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5.xml" ContentType="application/vnd.openxmlformats-officedocument.spreadsheetml.comments+xml"/>
  <Override PartName="/xl/comments15.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vmlDrawing2.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drawings/vmlDrawing6.vml" ContentType="application/vnd.openxmlformats-officedocument.vmlDrawing"/>
  <Override PartName="/xl/drawings/vmlDrawing7.vml" ContentType="application/vnd.openxmlformats-officedocument.vmlDrawing"/>
  <Override PartName="/xl/drawings/vmlDrawing8.vml" ContentType="application/vnd.openxmlformats-officedocument.vmlDrawing"/>
  <Override PartName="/xl/comments13.xml" ContentType="application/vnd.openxmlformats-officedocument.spreadsheetml.comments+xml"/>
  <Override PartName="/xl/comments12.xml" ContentType="application/vnd.openxmlformats-officedocument.spreadsheetml.comments+xml"/>
  <Override PartName="/xl/theme/theme1.xml" ContentType="application/vnd.openxmlformats-officedocument.theme+xml"/>
  <Override PartName="/xl/worksheets/_rels/sheet15.xml.rels" ContentType="application/vnd.openxmlformats-package.relationships+xml"/>
  <Override PartName="/xl/worksheets/_rels/sheet9.xml.rels" ContentType="application/vnd.openxmlformats-package.relationships+xml"/>
  <Override PartName="/xl/worksheets/_rels/sheet4.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6.xml.rels" ContentType="application/vnd.openxmlformats-package.relationships+xml"/>
  <Override PartName="/xl/worksheets/_rels/sheet13.xml.rels" ContentType="application/vnd.openxmlformats-package.relationships+xml"/>
  <Override PartName="/xl/worksheets/_rels/sheet5.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9.xml" ContentType="application/vnd.openxmlformats-officedocument.spreadsheetml.comment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6.xml" ContentType="application/vnd.openxmlformats-officedocument.spreadsheetml.comments+xml"/>
  <Override PartName="/xl/styles.xml" ContentType="application/vnd.openxmlformats-officedocument.spreadsheetml.styles+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omments10.xml" ContentType="application/vnd.openxmlformats-officedocument.spreadsheetml.comments+xml"/>
  <Override PartName="/xl/workbook.xml" ContentType="application/vnd.openxmlformats-officedocument.spreadsheetml.sheet.main+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1" activeTab="1"/>
  </bookViews>
  <sheets>
    <sheet name="monci" sheetId="1" state="hidden" r:id="rId3"/>
    <sheet name="Tracking sheet" sheetId="2" state="visible" r:id="rId4"/>
    <sheet name="Value" sheetId="3" state="visible" r:id="rId5"/>
    <sheet name="Project Assumptions" sheetId="4" state="visible" r:id="rId6"/>
    <sheet name="PPA Assumptions &amp;Summary" sheetId="5" state="visible" r:id="rId7"/>
    <sheet name="Operations" sheetId="6" state="visible" r:id="rId8"/>
    <sheet name="Debt Amortization" sheetId="7" state="visible" r:id="rId9"/>
    <sheet name="Returns Summary" sheetId="8" state="visible" r:id="rId10"/>
    <sheet name="Book Income Statement" sheetId="9" state="visible" r:id="rId11"/>
    <sheet name="Cash Flow Statement" sheetId="10" state="visible" r:id="rId12"/>
    <sheet name="BS" sheetId="11" state="visible" r:id="rId13"/>
    <sheet name="Tax Calculations" sheetId="12" state="visible" r:id="rId14"/>
    <sheet name="Depreciation" sheetId="13" state="visible" r:id="rId15"/>
    <sheet name="Interest During Construction" sheetId="14" state="visible" r:id="rId16"/>
    <sheet name="Maintenance Reserves" sheetId="15" state="visible" r:id="rId17"/>
  </sheets>
  <externalReferences>
    <externalReference r:id="rId18"/>
    <externalReference r:id="rId19"/>
    <externalReference r:id="rId20"/>
  </externalReferences>
  <definedNames>
    <definedName function="false" hidden="false" localSheetId="8" name="_xlnm.Print_Area" vbProcedure="false">'Book Income Statement'!$B$1:$AB$77</definedName>
    <definedName function="false" hidden="false" localSheetId="8" name="_xlnm.Print_Titles" vbProcedure="false">'Book Income Statement'!$B:$C</definedName>
    <definedName function="false" hidden="false" localSheetId="10" name="_xlnm.Print_Area" vbProcedure="false">BS!$A$1:$X$39</definedName>
    <definedName function="false" hidden="false" localSheetId="9" name="_xlnm.Print_Area" vbProcedure="false">'Cash Flow Statement'!$A$1:$X$37</definedName>
    <definedName function="false" hidden="false" localSheetId="9" name="_xlnm.Print_Titles" vbProcedure="false">'Cash Flow Statement'!$A:$C</definedName>
    <definedName function="false" hidden="false" localSheetId="6" name="_xlnm.Print_Area" vbProcedure="false">'Debt Amortization'!$A$1:$Y$59</definedName>
    <definedName function="false" hidden="false" localSheetId="6" name="_xlnm.Print_Titles" vbProcedure="false">'Debt Amortization'!$A:$C</definedName>
    <definedName function="false" hidden="false" localSheetId="12" name="_xlnm.Print_Area" vbProcedure="false">Depreciation!$A$1:$W$98</definedName>
    <definedName function="false" hidden="false" localSheetId="12" name="_xlnm.Print_Titles" vbProcedure="false">Depreciation!$A:$B</definedName>
    <definedName function="false" hidden="false" localSheetId="14" name="_xlnm.Print_Area" vbProcedure="false">'Maintenance Reserves'!$A$1:$AB$44</definedName>
    <definedName function="false" hidden="false" localSheetId="14" name="_xlnm.Print_Titles" vbProcedure="false">'Maintenance Reserves'!$A:$B</definedName>
    <definedName function="false" hidden="false" localSheetId="5" name="_xlnm.Print_Area" vbProcedure="false">Operations!$A$1:$W$47</definedName>
    <definedName function="false" hidden="false" localSheetId="5" name="_xlnm.Print_Titles" vbProcedure="false">Operations!$A:$B</definedName>
    <definedName function="false" hidden="false" localSheetId="4" name="_xlnm.Print_Area" vbProcedure="false">'PPA Assumptions &amp;Summary'!$A$1:$AA$80</definedName>
    <definedName function="false" hidden="false" localSheetId="4" name="_xlnm.Print_Titles" vbProcedure="false">'PPA Assumptions &amp;Summary'!$A:$B</definedName>
    <definedName function="false" hidden="false" localSheetId="3" name="_xlnm.Print_Area" vbProcedure="false">'Project Assumptions'!$A$1:$U$73</definedName>
    <definedName function="false" hidden="false" localSheetId="3" name="_xlnm.Print_Titles" vbProcedure="false">'Project Assumptions'!$1:$4</definedName>
    <definedName function="false" hidden="false" localSheetId="7" name="_xlnm.Print_Area" vbProcedure="false">'Returns Summary'!$A$1:$W$42</definedName>
    <definedName function="false" hidden="false" localSheetId="7" name="_xlnm.Print_Titles" vbProcedure="false">'Returns Summary'!$A:$B</definedName>
    <definedName function="false" hidden="false" localSheetId="11" name="_xlnm.Print_Area" vbProcedure="false">'Tax Calculations'!$A$1:$W$52</definedName>
    <definedName function="false" hidden="false" localSheetId="11" name="_xlnm.Print_Titles" vbProcedure="false">'Tax Calculations'!$A:$C</definedName>
    <definedName function="false" hidden="false" localSheetId="1" name="_xlnm.Print_Area" vbProcedure="false">'Tracking sheet'!$A$2:$G$18</definedName>
    <definedName function="false" hidden="false" localSheetId="1" name="_xlnm.Print_Titles" vbProcedure="false">'Tracking sheet'!$2:$4</definedName>
    <definedName function="false" hidden="false" name="AnnualHours" vbProcedure="false">'Project Assumptions'!$G$14</definedName>
    <definedName function="false" hidden="false" name="AssessedValueMultiplier" vbProcedure="false">'Project Assumptions'!$U$7</definedName>
    <definedName function="false" hidden="false" name="BaseYr" vbProcedure="false">'Project Assumptions'!$N$6</definedName>
    <definedName function="false" hidden="false" name="BI" vbProcedure="false">'Book Income Statement'!$B$1:$AB$77</definedName>
    <definedName function="false" hidden="false" name="BusnIInsr" vbProcedure="false">'Project Assumptions'!$N$31</definedName>
    <definedName function="false" hidden="false" name="Capital_Copy" vbProcedure="false">BS!$D$34:$X$34</definedName>
    <definedName function="false" hidden="false" name="Capital_Paste" vbProcedure="false">BS!$D$46:$X$46</definedName>
    <definedName function="false" hidden="false" name="Cap_Factor_Energy" vbProcedure="false">'Project Assumptions'!$I$23</definedName>
    <definedName function="false" hidden="false" name="CF" vbProcedure="false">'Cash Flow Statement'!$A$1:$AB$37</definedName>
    <definedName function="false" hidden="false" name="CityTaxRate" vbProcedure="false">#REF!</definedName>
    <definedName function="false" hidden="false" name="CountyMillageTaxRate" vbProcedure="false">#REF!</definedName>
    <definedName function="false" hidden="false" name="Debt" vbProcedure="false">'Debt Amortization'!$A$1:$Y$59</definedName>
    <definedName function="false" hidden="false" name="DebtTerm" vbProcedure="false">'Project Assumptions'!$I$39</definedName>
    <definedName function="false" hidden="false" name="Deg_Rate" vbProcedure="false">'[2]Project Assumptions'!$F$11</definedName>
    <definedName function="false" hidden="false" name="Deprec" vbProcedure="false">Depreciation!$A$1:$AB$51</definedName>
    <definedName function="false" hidden="false" name="Ebitda" vbProcedure="false">'Book Income Statement'!$B$65:$AB$65</definedName>
    <definedName function="false" hidden="false" name="Energy_Margin" vbProcedure="false">'Project Assumptions'!$F$23</definedName>
    <definedName function="false" hidden="false" name="FercMWh" vbProcedure="false">'Project Assumptions'!$N$9</definedName>
    <definedName function="false" hidden="false" name="Fixed" vbProcedure="false">'Project Assumptions'!$N$21</definedName>
    <definedName function="false" hidden="false" name="FracYr1" vbProcedure="false">'Project Assumptions'!$I$16</definedName>
    <definedName function="false" hidden="false" name="Fuel_Start" vbProcedure="false">'Project Assumptions'!$N$16</definedName>
    <definedName function="false" hidden="false" name="Grace1" vbProcedure="false">'[1]Project Assumptions'!$F$40</definedName>
    <definedName function="false" hidden="false" name="Grace2" vbProcedure="false">'[1]Project Assumptions'!$G$40</definedName>
    <definedName function="false" hidden="false" name="Grace3" vbProcedure="false">'[1]Project Assumptions'!$H$40</definedName>
    <definedName function="false" hidden="false" name="HeatRate" vbProcedure="false">'Project Assumptions'!$I$12</definedName>
    <definedName function="false" hidden="false" name="idc" vbProcedure="false">'Interest During Construction'!$A$1:$I$57</definedName>
    <definedName function="false" hidden="false" name="Int1" vbProcedure="false">'Project Assumptions'!$F$40</definedName>
    <definedName function="false" hidden="false" name="Int2" vbProcedure="false">'Project Assumptions'!$G$40</definedName>
    <definedName function="false" hidden="false" name="Int3" vbProcedure="false">'Project Assumptions'!$H$40</definedName>
    <definedName function="false" hidden="false" name="InterestExpense" vbProcedure="false">'Debt Amortization'!$D$88:$AC$88</definedName>
    <definedName function="false" hidden="false" name="ISO_NetMW" vbProcedure="false">'Project Assumptions'!$I$9</definedName>
    <definedName function="false" hidden="false" name="Labor" vbProcedure="false">'Project Assumptions'!$N$20</definedName>
    <definedName function="false" hidden="false" name="LiabInsr" vbProcedure="false">'Project Assumptions'!$N$30</definedName>
    <definedName function="false" hidden="false" name="Loan_Copy" vbProcedure="false">BS!$D$29:$X$29</definedName>
    <definedName function="false" hidden="false" name="Loan_Paste" vbProcedure="false">BS!$D$45:$X$45</definedName>
    <definedName function="false" hidden="false" name="Loop" vbProcedure="false">BS!$A$44</definedName>
    <definedName function="false" hidden="false" name="MAIN" vbProcedure="false">'Maintenance Reserves'!$A$1:$AB$44</definedName>
    <definedName function="false" hidden="false" name="MainMWh" vbProcedure="false">'Project Assumptions'!$N$10</definedName>
    <definedName function="false" hidden="false" name="Maint_Accrual" vbProcedure="false">#REF!</definedName>
    <definedName function="false" hidden="false" name="Main_Escal" vbProcedure="false">'Project Assumptions'!$P$15</definedName>
    <definedName function="false" hidden="false" name="Main_Start" vbProcedure="false">'Project Assumptions'!$N$15</definedName>
    <definedName function="false" hidden="false" name="Main_Table" vbProcedure="false">'Maintenance Reserves'!$E$19:$J$44</definedName>
    <definedName function="false" hidden="false" name="NetMW" vbProcedure="false">'Project Assumptions'!$I$10</definedName>
    <definedName function="false" hidden="false" name="OM_Escal" vbProcedure="false">'Project Assumptions'!$N$41</definedName>
    <definedName function="false" hidden="false" name="Opcostescalation" vbProcedure="false">'Project Assumptions'!$N$42</definedName>
    <definedName function="false" hidden="false" name="OpMachInsr" vbProcedure="false">'Project Assumptions'!$N$32</definedName>
    <definedName function="false" hidden="false" name="ops" vbProcedure="false">Operations!$A$1:$W$47</definedName>
    <definedName function="false" hidden="false" name="ppa" vbProcedure="false">'PPA Assumptions &amp;Summary'!$A$1:$AA$80</definedName>
    <definedName function="false" hidden="false" name="PPACAPACITY" vbProcedure="false">'Project Assumptions'!$I$27</definedName>
    <definedName function="false" hidden="false" name="PPAHours" vbProcedure="false">'Project Assumptions'!$I$28</definedName>
    <definedName function="false" hidden="false" name="PPATerm" vbProcedure="false">'Project Assumptions'!$F$26</definedName>
    <definedName function="false" hidden="false" name="PPA_Price" vbProcedure="false">'Project Assumptions'!$I$29</definedName>
    <definedName function="false" hidden="false" name="principal" vbProcedure="false">'Debt Amortization'!$D$89:$AC$89</definedName>
    <definedName function="false" hidden="false" name="principal1" vbProcedure="false">'Project Assumptions'!$F$38</definedName>
    <definedName function="false" hidden="false" name="principal2" vbProcedure="false">'Project Assumptions'!$G$38</definedName>
    <definedName function="false" hidden="false" name="principal3" vbProcedure="false">'Project Assumptions'!$H$38</definedName>
    <definedName function="false" hidden="false" name="ProjectLife" vbProcedure="false">'Project Assumptions'!$I$15</definedName>
    <definedName function="false" hidden="false" name="Pro_Ass" vbProcedure="false">'Project Assumptions'!$A$1:$U$72</definedName>
    <definedName function="false" hidden="false" name="Returns" vbProcedure="false">'Returns Summary'!$A$1:$W$42</definedName>
    <definedName function="false" hidden="false" name="s" vbProcedure="false">'Tracking sheet'!$A$4:$X$10</definedName>
    <definedName function="false" hidden="false" name="SchoolMillageTaxRate" vbProcedure="false">'Project Assumptions'!$U$8</definedName>
    <definedName function="false" hidden="false" name="StartDate" vbProcedure="false">'Project Assumptions'!$G$16</definedName>
    <definedName function="false" hidden="false" name="StartMWh" vbProcedure="false">#REF!</definedName>
    <definedName function="false" hidden="false" name="START_PAY" vbProcedure="false">'Project Assumptions'!$F$22</definedName>
    <definedName function="false" hidden="false" name="Tax" vbProcedure="false">'Tax Calculations'!$A$1:$AB$60</definedName>
    <definedName function="false" hidden="false" name="term1" vbProcedure="false">'Project Assumptions'!$F$39</definedName>
    <definedName function="false" hidden="false" name="term2" vbProcedure="false">'Project Assumptions'!$G$39</definedName>
    <definedName function="false" hidden="false" name="term3" vbProcedure="false">'Project Assumptions'!$H$39</definedName>
    <definedName function="false" hidden="false" name="TVA_hours" vbProcedure="false">'Project Assumptions'!$I$14</definedName>
    <definedName function="false" hidden="false" name="Variable" vbProcedure="false">'Project Assumptions'!$L$10</definedName>
    <definedName function="false" hidden="false" name="VariableMwh" vbProcedure="false">'Project Assumptions'!$N$11</definedName>
    <definedName function="false" hidden="false" name="VEP" vbProcedure="false">'Project Assumptions'!$F$21</definedName>
    <definedName function="false" hidden="false" name="VEP_ESCAL" vbProcedure="false">'Project Assumptions'!$I$21</definedName>
    <definedName function="false" hidden="false" name="WaterMWh" vbProcedure="false">'Project Assumptions'!$N$8</definedName>
    <definedName function="false" hidden="false" name="WaterTreatmentVar" vbProcedure="false">'Project Assumptions'!$L$8</definedName>
    <definedName function="false" hidden="false" name="wrn_test1_" vbProcedure="false">{"Income Statement",#N/A,FALSE,"CFMODEL";"Balance Sheet",#N/A,FALSE,"CFMODEL"}</definedName>
    <definedName function="false" hidden="false" name="wrn_test2_" vbProcedure="false">{"SourcesUses",#N/A,TRUE,"CFMODEL";"TransOverview",#N/A,TRUE,"CFMODEL"}</definedName>
    <definedName function="false" hidden="false" name="wrn_test3_" vbProcedure="false">{"SourcesUses",#N/A,TRUE,#N/A;"TransOverview",#N/A,TRUE,"CFMODEL"}</definedName>
    <definedName function="false" hidden="false" name="wrn_test4_" vbProcedure="false">{"SourcesUses",#N/A,TRUE,"FundsFlow";"TransOverview",#N/A,TRUE,"FundsFlow"}</definedName>
    <definedName function="false" hidden="false" localSheetId="3" name="solver_adj" vbProcedure="false">'Project Assumptions'!$I$29</definedName>
    <definedName function="false" hidden="false" localSheetId="3" name="solver_cvg" vbProcedure="false">0.001</definedName>
    <definedName function="false" hidden="false" localSheetId="3" name="solver_drv" vbProcedure="false">1</definedName>
    <definedName function="false" hidden="false" localSheetId="3" name="solver_est" vbProcedure="false">1</definedName>
    <definedName function="false" hidden="false" localSheetId="3" name="solver_itr" vbProcedure="false">100</definedName>
    <definedName function="false" hidden="false" localSheetId="3" name="solver_lin" vbProcedure="false">2</definedName>
    <definedName function="false" hidden="false" localSheetId="3" name="solver_neg" vbProcedure="false">2</definedName>
    <definedName function="false" hidden="false" localSheetId="3" name="solver_num" vbProcedure="false">0</definedName>
    <definedName function="false" hidden="false" localSheetId="3" name="solver_nwt" vbProcedure="false">1</definedName>
    <definedName function="false" hidden="false" localSheetId="3" name="solver_opt" vbProcedure="false">'Project Assumptions'!$I$60</definedName>
    <definedName function="false" hidden="false" localSheetId="3" name="solver_pre" vbProcedure="false">0.000001</definedName>
    <definedName function="false" hidden="false" localSheetId="3" name="solver_scl" vbProcedure="false">2</definedName>
    <definedName function="false" hidden="false" localSheetId="3" name="solver_sho" vbProcedure="false">2</definedName>
    <definedName function="false" hidden="false" localSheetId="3" name="solver_tim" vbProcedure="false">100</definedName>
    <definedName function="false" hidden="false" localSheetId="3" name="solver_tol" vbProcedure="false">0.05</definedName>
    <definedName function="false" hidden="false" localSheetId="3" name="solver_typ" vbProcedure="false">3</definedName>
    <definedName function="false" hidden="false" localSheetId="3" name="solver_val" vbProcedure="false">0.12</definedName>
    <definedName function="false" hidden="false" localSheetId="3" name="Z_9D7575BF_255B_11D2_8267_00A0D1027254__wvu_PrintArea" vbProcedure="false">'Project Assumptions'!$A$1:$N$62</definedName>
    <definedName function="false" hidden="false" localSheetId="6" name="wrn_test1_" vbProcedure="false">{"Income Statement",#N/A,FALSE,"CFMODEL";"Balance Sheet",#N/A,FALSE,"CFMODEL"}</definedName>
    <definedName function="false" hidden="false" localSheetId="6" name="wrn_test2_" vbProcedure="false">{"SourcesUses",#N/A,TRUE,"CFMODEL";"TransOverview",#N/A,TRUE,"CFMODEL"}</definedName>
    <definedName function="false" hidden="false" localSheetId="6" name="wrn_test3_" vbProcedure="false">{"SourcesUses",#N/A,TRUE,#N/A;"TransOverview",#N/A,TRUE,"CFMODEL"}</definedName>
    <definedName function="false" hidden="false" localSheetId="6" name="wrn_test4_" vbProcedure="false">{"SourcesUses",#N/A,TRUE,"FundsFlow";"TransOverview",#N/A,TRUE,"FundsFlow"}</definedName>
    <definedName function="false" hidden="false" localSheetId="6" name="Z_9D7575BF_255B_11D2_8267_00A0D1027254__wvu_PrintTitles" vbProcedure="false">'Debt Amortization'!$A:$B</definedName>
    <definedName function="false" hidden="false" localSheetId="7" name="wrn_test1_" vbProcedure="false">{"Income Statement",#N/A,FALSE,"CFMODEL";"Balance Sheet",#N/A,FALSE,"CFMODEL"}</definedName>
    <definedName function="false" hidden="false" localSheetId="7" name="wrn_test2_" vbProcedure="false">{"SourcesUses",#N/A,TRUE,"CFMODEL";"TransOverview",#N/A,TRUE,"CFMODEL"}</definedName>
    <definedName function="false" hidden="false" localSheetId="7" name="wrn_test3_" vbProcedure="false">{"SourcesUses",#N/A,TRUE,#N/A;"TransOverview",#N/A,TRUE,"CFMODEL"}</definedName>
    <definedName function="false" hidden="false" localSheetId="7" name="wrn_test4_" vbProcedure="false">{"SourcesUses",#N/A,TRUE,"FundsFlow";"TransOverview",#N/A,TRUE,"FundsFlow"}</definedName>
    <definedName function="false" hidden="false" localSheetId="7" name="Z_9D7575BF_255B_11D2_8267_00A0D1027254__wvu_PrintArea" vbProcedure="false">'Returns Summary'!$C$1:$AA$37</definedName>
    <definedName function="false" hidden="false" localSheetId="8" name="Z_9D7575BF_255B_11D2_8267_00A0D1027254__wvu_PrintArea" vbProcedure="false">'Book Income Statement'!$B$1:$AB$77</definedName>
    <definedName function="false" hidden="false" localSheetId="8" name="Z_9D7575BF_255B_11D2_8267_00A0D1027254__wvu_Rows" vbProcedure="false">'Book Income Statement'!$6:$9,#REF!</definedName>
    <definedName function="false" hidden="false" localSheetId="9" name="Z_9D7575BF_255B_11D2_8267_00A0D1027254__wvu_PrintArea" vbProcedure="false">'Cash Flow Statement'!$D$1:$AB$37</definedName>
    <definedName function="false" hidden="false" localSheetId="13" name="Z_87D5054C_0AAC_11D2_824B_00A0D1027254__wvu_PrintArea" vbProcedure="false">'Interest During Construction'!$A$2:$I$63</definedName>
    <definedName function="false" hidden="false" localSheetId="14" name="wrn_test1_" vbProcedure="false">{"Income Statement",#N/A,FALSE,"CFMODEL";"Balance Sheet",#N/A,FALSE,"CFMODEL"}</definedName>
    <definedName function="false" hidden="false" localSheetId="14" name="wrn_test2_" vbProcedure="false">{"SourcesUses",#N/A,TRUE,"CFMODEL";"TransOverview",#N/A,TRUE,"CFMODEL"}</definedName>
    <definedName function="false" hidden="false" localSheetId="14" name="wrn_test3_" vbProcedure="false">{"SourcesUses",#N/A,TRUE,#N/A;"TransOverview",#N/A,TRUE,"CFMODEL"}</definedName>
    <definedName function="false" hidden="false" localSheetId="14" name="wrn_test4_" vbProcedure="false">{"SourcesUses",#N/A,TRUE,"FundsFlow";"TransOverview",#N/A,TRUE,"FundsFlow"}</definedName>
    <definedName function="false" hidden="false" localSheetId="14" name="Z_14FB3146_3CEF_11D2_B9CE_0060080D6A65__wvu_PrintArea" vbProcedure="false">'Maintenance Reserves'!$C$1:$AB$34</definedName>
    <definedName function="false" hidden="false" localSheetId="14" name="Z_14FB3146_3CEF_11D2_B9CE_0060080D6A65__wvu_PrintTitles" vbProcedure="false">'Maintenance Reserves'!$A:$B</definedName>
    <definedName function="false" hidden="false" localSheetId="14" name="Z_14FB3146_3CEF_11D2_B9CE_0060080D6A65__wvu_Rows" vbProcedure="false">'Maintenance Reserves'!$15:$15,'Maintenance Reserves'!$27:$34</definedName>
    <definedName function="false" hidden="false" localSheetId="14" name="Z_9D7575BF_255B_11D2_8267_00A0D1027254__wvu_PrintArea" vbProcedure="false">'Maintenance Reserves'!$C$1:$AB$34</definedName>
    <definedName function="false" hidden="false" localSheetId="14" name="Z_9D7575BF_255B_11D2_8267_00A0D1027254__wvu_PrintTitles" vbProcedure="false">'Maintenance Reserves'!$A:$B</definedName>
    <definedName function="false" hidden="false" localSheetId="14" name="Z_9D7575BF_255B_11D2_8267_00A0D1027254__wvu_Rows" vbProcedure="false">'Maintenance Reserves'!$15:$15,'Maintenance Reserves'!$27:$34</definedName>
  </definedNames>
  <calcPr iterateCount="100" refMode="A1" iterate="false" iterateDelta="0.001"/>
  <extLst>
    <ext xmlns:loext="http://schemas.libreoffice.org/" uri="{7626C862-2A13-11E5-B345-FEFF819CDC9F}">
      <loext:extCalcPr stringRefSyntax="CalcA1"/>
    </ext>
  </extLst>
</workbook>
</file>

<file path=xl/comments10.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1" authorId="0">
      <text>
        <r>
          <rPr>
            <b val="true"/>
            <sz val="8"/>
            <color rgb="FF000000"/>
            <rFont val="Tahoma"/>
            <family val="0"/>
          </rPr>
          <t xml:space="preserve">Sheetal J Bajoria x3-5692:
</t>
        </r>
        <r>
          <rPr>
            <sz val="8"/>
            <color rgb="FF000000"/>
            <rFont val="Tahoma"/>
            <family val="0"/>
          </rPr>
          <t xml:space="preserve">CHANGED FORMULA</t>
        </r>
      </text>
      <mc:AlternateContent>
        <mc:Choice Requires="v2">
          <commentPr autoFill="true" autoScale="false" colHidden="false" locked="false" rowHidden="false" textHAlign="justify" textVAlign="top">
            <anchor moveWithCells="false" sizeWithCells="false">
              <xdr:from>
                <xdr:col>1</xdr:col>
                <xdr:colOff>16</xdr:colOff>
                <xdr:row>19</xdr:row>
                <xdr:rowOff>1</xdr:rowOff>
              </xdr:from>
              <xdr:to>
                <xdr:col>2</xdr:col>
                <xdr:colOff>42</xdr:colOff>
                <xdr:row>23</xdr:row>
                <xdr:rowOff>11</xdr:rowOff>
              </xdr:to>
            </anchor>
          </commentPr>
        </mc:Choice>
        <mc:Fallback/>
      </mc:AlternateContent>
    </comment>
    <comment ref="D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4</xdr:col>
                <xdr:colOff>16</xdr:colOff>
                <xdr:row>13</xdr:row>
                <xdr:rowOff>0</xdr:rowOff>
              </xdr:from>
              <xdr:to>
                <xdr:col>6</xdr:col>
                <xdr:colOff>13</xdr:colOff>
                <xdr:row>17</xdr:row>
                <xdr:rowOff>11</xdr:rowOff>
              </xdr:to>
            </anchor>
          </commentPr>
        </mc:Choice>
        <mc:Fallback/>
      </mc:AlternateContent>
    </comment>
    <comment ref="D21" authorId="0">
      <text>
        <r>
          <rPr>
            <b val="true"/>
            <sz val="8"/>
            <color rgb="FF000000"/>
            <rFont val="Tahoma"/>
            <family val="0"/>
          </rPr>
          <t xml:space="preserve">Sheetal J Bajoria x3-5692:
</t>
        </r>
        <r>
          <rPr>
            <sz val="8"/>
            <color rgb="FF000000"/>
            <rFont val="Tahoma"/>
            <family val="0"/>
          </rPr>
          <t xml:space="preserve">chca</t>
        </r>
      </text>
      <mc:AlternateContent>
        <mc:Choice Requires="v2">
          <commentPr autoFill="true" autoScale="false" colHidden="false" locked="false" rowHidden="false" textHAlign="justify" textVAlign="top">
            <anchor moveWithCells="false" sizeWithCells="false">
              <xdr:from>
                <xdr:col>4</xdr:col>
                <xdr:colOff>16</xdr:colOff>
                <xdr:row>19</xdr:row>
                <xdr:rowOff>1</xdr:rowOff>
              </xdr:from>
              <xdr:to>
                <xdr:col>6</xdr:col>
                <xdr:colOff>14</xdr:colOff>
                <xdr:row>23</xdr:row>
                <xdr:rowOff>11</xdr:rowOff>
              </xdr:to>
            </anchor>
          </commentPr>
        </mc:Choice>
        <mc:Fallback/>
      </mc:AlternateContent>
    </comment>
    <comment ref="E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5</xdr:col>
                <xdr:colOff>16</xdr:colOff>
                <xdr:row>13</xdr:row>
                <xdr:rowOff>0</xdr:rowOff>
              </xdr:from>
              <xdr:to>
                <xdr:col>7</xdr:col>
                <xdr:colOff>13</xdr:colOff>
                <xdr:row>17</xdr:row>
                <xdr:rowOff>11</xdr:rowOff>
              </xdr:to>
            </anchor>
          </commentPr>
        </mc:Choice>
        <mc:Fallback/>
      </mc:AlternateContent>
    </comment>
    <comment ref="F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6</xdr:col>
                <xdr:colOff>16</xdr:colOff>
                <xdr:row>13</xdr:row>
                <xdr:rowOff>0</xdr:rowOff>
              </xdr:from>
              <xdr:to>
                <xdr:col>8</xdr:col>
                <xdr:colOff>13</xdr:colOff>
                <xdr:row>17</xdr:row>
                <xdr:rowOff>11</xdr:rowOff>
              </xdr:to>
            </anchor>
          </commentPr>
        </mc:Choice>
        <mc:Fallback/>
      </mc:AlternateContent>
    </comment>
    <comment ref="G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7</xdr:col>
                <xdr:colOff>16</xdr:colOff>
                <xdr:row>13</xdr:row>
                <xdr:rowOff>0</xdr:rowOff>
              </xdr:from>
              <xdr:to>
                <xdr:col>9</xdr:col>
                <xdr:colOff>13</xdr:colOff>
                <xdr:row>17</xdr:row>
                <xdr:rowOff>11</xdr:rowOff>
              </xdr:to>
            </anchor>
          </commentPr>
        </mc:Choice>
        <mc:Fallback/>
      </mc:AlternateContent>
    </comment>
    <comment ref="H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8</xdr:col>
                <xdr:colOff>16</xdr:colOff>
                <xdr:row>13</xdr:row>
                <xdr:rowOff>0</xdr:rowOff>
              </xdr:from>
              <xdr:to>
                <xdr:col>10</xdr:col>
                <xdr:colOff>13</xdr:colOff>
                <xdr:row>17</xdr:row>
                <xdr:rowOff>11</xdr:rowOff>
              </xdr:to>
            </anchor>
          </commentPr>
        </mc:Choice>
        <mc:Fallback/>
      </mc:AlternateContent>
    </comment>
    <comment ref="I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9</xdr:col>
                <xdr:colOff>16</xdr:colOff>
                <xdr:row>13</xdr:row>
                <xdr:rowOff>0</xdr:rowOff>
              </xdr:from>
              <xdr:to>
                <xdr:col>11</xdr:col>
                <xdr:colOff>13</xdr:colOff>
                <xdr:row>17</xdr:row>
                <xdr:rowOff>11</xdr:rowOff>
              </xdr:to>
            </anchor>
          </commentPr>
        </mc:Choice>
        <mc:Fallback/>
      </mc:AlternateContent>
    </comment>
    <comment ref="J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10</xdr:col>
                <xdr:colOff>16</xdr:colOff>
                <xdr:row>13</xdr:row>
                <xdr:rowOff>0</xdr:rowOff>
              </xdr:from>
              <xdr:to>
                <xdr:col>12</xdr:col>
                <xdr:colOff>13</xdr:colOff>
                <xdr:row>17</xdr:row>
                <xdr:rowOff>11</xdr:rowOff>
              </xdr:to>
            </anchor>
          </commentPr>
        </mc:Choice>
        <mc:Fallback/>
      </mc:AlternateContent>
    </comment>
    <comment ref="K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11</xdr:col>
                <xdr:colOff>16</xdr:colOff>
                <xdr:row>13</xdr:row>
                <xdr:rowOff>0</xdr:rowOff>
              </xdr:from>
              <xdr:to>
                <xdr:col>13</xdr:col>
                <xdr:colOff>13</xdr:colOff>
                <xdr:row>17</xdr:row>
                <xdr:rowOff>11</xdr:rowOff>
              </xdr:to>
            </anchor>
          </commentPr>
        </mc:Choice>
        <mc:Fallback/>
      </mc:AlternateContent>
    </comment>
    <comment ref="L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12</xdr:col>
                <xdr:colOff>16</xdr:colOff>
                <xdr:row>13</xdr:row>
                <xdr:rowOff>0</xdr:rowOff>
              </xdr:from>
              <xdr:to>
                <xdr:col>14</xdr:col>
                <xdr:colOff>13</xdr:colOff>
                <xdr:row>17</xdr:row>
                <xdr:rowOff>11</xdr:rowOff>
              </xdr:to>
            </anchor>
          </commentPr>
        </mc:Choice>
        <mc:Fallback/>
      </mc:AlternateContent>
    </comment>
    <comment ref="M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13</xdr:col>
                <xdr:colOff>16</xdr:colOff>
                <xdr:row>13</xdr:row>
                <xdr:rowOff>0</xdr:rowOff>
              </xdr:from>
              <xdr:to>
                <xdr:col>15</xdr:col>
                <xdr:colOff>13</xdr:colOff>
                <xdr:row>17</xdr:row>
                <xdr:rowOff>11</xdr:rowOff>
              </xdr:to>
            </anchor>
          </commentPr>
        </mc:Choice>
        <mc:Fallback/>
      </mc:AlternateContent>
    </comment>
    <comment ref="N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14</xdr:col>
                <xdr:colOff>16</xdr:colOff>
                <xdr:row>13</xdr:row>
                <xdr:rowOff>0</xdr:rowOff>
              </xdr:from>
              <xdr:to>
                <xdr:col>16</xdr:col>
                <xdr:colOff>13</xdr:colOff>
                <xdr:row>17</xdr:row>
                <xdr:rowOff>11</xdr:rowOff>
              </xdr:to>
            </anchor>
          </commentPr>
        </mc:Choice>
        <mc:Fallback/>
      </mc:AlternateContent>
    </comment>
    <comment ref="O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15</xdr:col>
                <xdr:colOff>16</xdr:colOff>
                <xdr:row>13</xdr:row>
                <xdr:rowOff>0</xdr:rowOff>
              </xdr:from>
              <xdr:to>
                <xdr:col>17</xdr:col>
                <xdr:colOff>13</xdr:colOff>
                <xdr:row>17</xdr:row>
                <xdr:rowOff>11</xdr:rowOff>
              </xdr:to>
            </anchor>
          </commentPr>
        </mc:Choice>
        <mc:Fallback/>
      </mc:AlternateContent>
    </comment>
    <comment ref="P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16</xdr:col>
                <xdr:colOff>16</xdr:colOff>
                <xdr:row>13</xdr:row>
                <xdr:rowOff>0</xdr:rowOff>
              </xdr:from>
              <xdr:to>
                <xdr:col>18</xdr:col>
                <xdr:colOff>13</xdr:colOff>
                <xdr:row>17</xdr:row>
                <xdr:rowOff>11</xdr:rowOff>
              </xdr:to>
            </anchor>
          </commentPr>
        </mc:Choice>
        <mc:Fallback/>
      </mc:AlternateContent>
    </comment>
    <comment ref="Q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17</xdr:col>
                <xdr:colOff>16</xdr:colOff>
                <xdr:row>13</xdr:row>
                <xdr:rowOff>0</xdr:rowOff>
              </xdr:from>
              <xdr:to>
                <xdr:col>19</xdr:col>
                <xdr:colOff>13</xdr:colOff>
                <xdr:row>17</xdr:row>
                <xdr:rowOff>11</xdr:rowOff>
              </xdr:to>
            </anchor>
          </commentPr>
        </mc:Choice>
        <mc:Fallback/>
      </mc:AlternateContent>
    </comment>
    <comment ref="R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18</xdr:col>
                <xdr:colOff>16</xdr:colOff>
                <xdr:row>13</xdr:row>
                <xdr:rowOff>0</xdr:rowOff>
              </xdr:from>
              <xdr:to>
                <xdr:col>20</xdr:col>
                <xdr:colOff>13</xdr:colOff>
                <xdr:row>17</xdr:row>
                <xdr:rowOff>11</xdr:rowOff>
              </xdr:to>
            </anchor>
          </commentPr>
        </mc:Choice>
        <mc:Fallback/>
      </mc:AlternateContent>
    </comment>
    <comment ref="S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19</xdr:col>
                <xdr:colOff>16</xdr:colOff>
                <xdr:row>13</xdr:row>
                <xdr:rowOff>0</xdr:rowOff>
              </xdr:from>
              <xdr:to>
                <xdr:col>21</xdr:col>
                <xdr:colOff>13</xdr:colOff>
                <xdr:row>17</xdr:row>
                <xdr:rowOff>11</xdr:rowOff>
              </xdr:to>
            </anchor>
          </commentPr>
        </mc:Choice>
        <mc:Fallback/>
      </mc:AlternateContent>
    </comment>
    <comment ref="T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20</xdr:col>
                <xdr:colOff>16</xdr:colOff>
                <xdr:row>13</xdr:row>
                <xdr:rowOff>0</xdr:rowOff>
              </xdr:from>
              <xdr:to>
                <xdr:col>22</xdr:col>
                <xdr:colOff>13</xdr:colOff>
                <xdr:row>17</xdr:row>
                <xdr:rowOff>11</xdr:rowOff>
              </xdr:to>
            </anchor>
          </commentPr>
        </mc:Choice>
        <mc:Fallback/>
      </mc:AlternateContent>
    </comment>
    <comment ref="U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21</xdr:col>
                <xdr:colOff>16</xdr:colOff>
                <xdr:row>13</xdr:row>
                <xdr:rowOff>0</xdr:rowOff>
              </xdr:from>
              <xdr:to>
                <xdr:col>23</xdr:col>
                <xdr:colOff>13</xdr:colOff>
                <xdr:row>17</xdr:row>
                <xdr:rowOff>11</xdr:rowOff>
              </xdr:to>
            </anchor>
          </commentPr>
        </mc:Choice>
        <mc:Fallback/>
      </mc:AlternateContent>
    </comment>
    <comment ref="V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22</xdr:col>
                <xdr:colOff>16</xdr:colOff>
                <xdr:row>13</xdr:row>
                <xdr:rowOff>0</xdr:rowOff>
              </xdr:from>
              <xdr:to>
                <xdr:col>24</xdr:col>
                <xdr:colOff>13</xdr:colOff>
                <xdr:row>17</xdr:row>
                <xdr:rowOff>11</xdr:rowOff>
              </xdr:to>
            </anchor>
          </commentPr>
        </mc:Choice>
        <mc:Fallback/>
      </mc:AlternateContent>
    </comment>
    <comment ref="W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23</xdr:col>
                <xdr:colOff>16</xdr:colOff>
                <xdr:row>13</xdr:row>
                <xdr:rowOff>0</xdr:rowOff>
              </xdr:from>
              <xdr:to>
                <xdr:col>25</xdr:col>
                <xdr:colOff>13</xdr:colOff>
                <xdr:row>17</xdr:row>
                <xdr:rowOff>11</xdr:rowOff>
              </xdr:to>
            </anchor>
          </commentPr>
        </mc:Choice>
        <mc:Fallback/>
      </mc:AlternateContent>
    </comment>
    <comment ref="X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24</xdr:col>
                <xdr:colOff>16</xdr:colOff>
                <xdr:row>13</xdr:row>
                <xdr:rowOff>0</xdr:rowOff>
              </xdr:from>
              <xdr:to>
                <xdr:col>26</xdr:col>
                <xdr:colOff>13</xdr:colOff>
                <xdr:row>17</xdr:row>
                <xdr:rowOff>11</xdr:rowOff>
              </xdr:to>
            </anchor>
          </commentPr>
        </mc:Choice>
        <mc:Fallback/>
      </mc:AlternateContent>
    </comment>
    <comment ref="Y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25</xdr:col>
                <xdr:colOff>16</xdr:colOff>
                <xdr:row>13</xdr:row>
                <xdr:rowOff>0</xdr:rowOff>
              </xdr:from>
              <xdr:to>
                <xdr:col>27</xdr:col>
                <xdr:colOff>13</xdr:colOff>
                <xdr:row>17</xdr:row>
                <xdr:rowOff>11</xdr:rowOff>
              </xdr:to>
            </anchor>
          </commentPr>
        </mc:Choice>
        <mc:Fallback/>
      </mc:AlternateContent>
    </comment>
    <comment ref="Z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26</xdr:col>
                <xdr:colOff>16</xdr:colOff>
                <xdr:row>13</xdr:row>
                <xdr:rowOff>0</xdr:rowOff>
              </xdr:from>
              <xdr:to>
                <xdr:col>28</xdr:col>
                <xdr:colOff>13</xdr:colOff>
                <xdr:row>17</xdr:row>
                <xdr:rowOff>11</xdr:rowOff>
              </xdr:to>
            </anchor>
          </commentPr>
        </mc:Choice>
        <mc:Fallback/>
      </mc:AlternateContent>
    </comment>
    <comment ref="AA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27</xdr:col>
                <xdr:colOff>16</xdr:colOff>
                <xdr:row>13</xdr:row>
                <xdr:rowOff>0</xdr:rowOff>
              </xdr:from>
              <xdr:to>
                <xdr:col>29</xdr:col>
                <xdr:colOff>13</xdr:colOff>
                <xdr:row>17</xdr:row>
                <xdr:rowOff>11</xdr:rowOff>
              </xdr:to>
            </anchor>
          </commentPr>
        </mc:Choice>
        <mc:Fallback/>
      </mc:AlternateContent>
    </comment>
    <comment ref="AB15"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28</xdr:col>
                <xdr:colOff>16</xdr:colOff>
                <xdr:row>13</xdr:row>
                <xdr:rowOff>0</xdr:rowOff>
              </xdr:from>
              <xdr:to>
                <xdr:col>30</xdr:col>
                <xdr:colOff>13</xdr:colOff>
                <xdr:row>17</xdr:row>
                <xdr:rowOff>11</xdr:rowOff>
              </xdr:to>
            </anchor>
          </commentPr>
        </mc:Choice>
        <mc:Fallback/>
      </mc:AlternateContent>
    </comment>
  </commentList>
</comments>
</file>

<file path=xl/comments1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5" authorId="0">
      <text>
        <r>
          <rPr>
            <b val="true"/>
            <sz val="8"/>
            <color rgb="FF000000"/>
            <rFont val="Tahoma"/>
            <family val="0"/>
          </rPr>
          <t xml:space="preserve">Sheetal J Bajoria x3-5692:
</t>
        </r>
        <r>
          <rPr>
            <sz val="8"/>
            <color rgb="FF000000"/>
            <rFont val="Tahoma"/>
            <family val="0"/>
          </rPr>
          <t xml:space="preserve">
CHANGED FROM GROSS RECEIPTS ON TOTAL REVENUE.</t>
        </r>
      </text>
      <mc:AlternateContent>
        <mc:Choice Requires="v2">
          <commentPr autoFill="true" autoScale="false" colHidden="false" locked="false" rowHidden="false" textHAlign="justify" textVAlign="top">
            <anchor moveWithCells="false" sizeWithCells="false">
              <xdr:from>
                <xdr:col>1</xdr:col>
                <xdr:colOff>19</xdr:colOff>
                <xdr:row>13</xdr:row>
                <xdr:rowOff>10</xdr:rowOff>
              </xdr:from>
              <xdr:to>
                <xdr:col>2</xdr:col>
                <xdr:colOff>45</xdr:colOff>
                <xdr:row>18</xdr:row>
                <xdr:rowOff>1</xdr:rowOff>
              </xdr:to>
            </anchor>
          </commentPr>
        </mc:Choice>
        <mc:Fallback/>
      </mc:AlternateContent>
    </comment>
  </commentList>
</comments>
</file>

<file path=xl/comments1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34" authorId="0">
      <text>
        <r>
          <rPr>
            <b val="true"/>
            <sz val="8"/>
            <color rgb="FF000000"/>
            <rFont val="Tahoma"/>
            <family val="0"/>
          </rPr>
          <t xml:space="preserve">bgarret:
</t>
        </r>
        <r>
          <rPr>
            <sz val="8"/>
            <color rgb="FF000000"/>
            <rFont val="Tahoma"/>
            <family val="0"/>
          </rPr>
          <t xml:space="preserve">should vary with term of debt.
</t>
        </r>
      </text>
      <mc:AlternateContent>
        <mc:Choice Requires="v2">
          <commentPr autoFill="true" autoScale="false" colHidden="false" locked="false" rowHidden="false" textHAlign="justify" textVAlign="top">
            <anchor moveWithCells="false" sizeWithCells="false">
              <xdr:from>
                <xdr:col>2</xdr:col>
                <xdr:colOff>24</xdr:colOff>
                <xdr:row>32</xdr:row>
                <xdr:rowOff>0</xdr:rowOff>
              </xdr:from>
              <xdr:to>
                <xdr:col>3</xdr:col>
                <xdr:colOff>52</xdr:colOff>
                <xdr:row>36</xdr:row>
                <xdr:rowOff>9</xdr:rowOff>
              </xdr:to>
            </anchor>
          </commentPr>
        </mc:Choice>
        <mc:Fallback/>
      </mc:AlternateContent>
    </comment>
    <comment ref="B45" authorId="0">
      <text>
        <r>
          <rPr>
            <b val="true"/>
            <sz val="8"/>
            <color rgb="FF000000"/>
            <rFont val="Tahoma"/>
            <family val="0"/>
          </rPr>
          <t xml:space="preserve">Neil S-C
Assessable value decreases 12% every 4 years as per memo from Healy.</t>
        </r>
      </text>
      <mc:AlternateContent>
        <mc:Choice Requires="v2">
          <commentPr autoFill="true" autoScale="false" colHidden="false" locked="false" rowHidden="false" textHAlign="justify" textVAlign="top">
            <anchor moveWithCells="false" sizeWithCells="false">
              <xdr:from>
                <xdr:col>2</xdr:col>
                <xdr:colOff>16</xdr:colOff>
                <xdr:row>42</xdr:row>
                <xdr:rowOff>12</xdr:rowOff>
              </xdr:from>
              <xdr:to>
                <xdr:col>4</xdr:col>
                <xdr:colOff>13</xdr:colOff>
                <xdr:row>47</xdr:row>
                <xdr:rowOff>15</xdr:rowOff>
              </xdr:to>
            </anchor>
          </commentPr>
        </mc:Choice>
        <mc:Fallback/>
      </mc:AlternateContent>
    </comment>
  </commentList>
</comments>
</file>

<file path=xl/comments1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2" authorId="0">
      <text>
        <r>
          <rPr>
            <b val="true"/>
            <sz val="8"/>
            <color rgb="FF000000"/>
            <rFont val="Tahoma"/>
            <family val="0"/>
          </rPr>
          <t xml:space="preserve">Estimated Maintenance Cost:
</t>
        </r>
        <r>
          <rPr>
            <sz val="8"/>
            <color rgb="FF000000"/>
            <rFont val="Tahoma"/>
            <family val="2"/>
          </rPr>
          <t xml:space="preserve">
This comes directly from the vender recommended repair and replace schedules provided by the OEC</t>
        </r>
      </text>
      <mc:AlternateContent>
        <mc:Choice Requires="v2">
          <commentPr autoFill="true" autoScale="false" colHidden="false" locked="false" rowHidden="false" textHAlign="justify" textVAlign="top">
            <anchor moveWithCells="false" sizeWithCells="false">
              <xdr:from>
                <xdr:col>1</xdr:col>
                <xdr:colOff>16</xdr:colOff>
                <xdr:row>10</xdr:row>
                <xdr:rowOff>4</xdr:rowOff>
              </xdr:from>
              <xdr:to>
                <xdr:col>3</xdr:col>
                <xdr:colOff>37</xdr:colOff>
                <xdr:row>16</xdr:row>
                <xdr:rowOff>5</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3" authorId="0">
      <text>
        <r>
          <rPr>
            <b val="true"/>
            <sz val="8"/>
            <color rgb="FF000000"/>
            <rFont val="Tahoma"/>
            <family val="0"/>
          </rPr>
          <t xml:space="preserve">Uses of Funds:
</t>
        </r>
        <r>
          <rPr>
            <sz val="8"/>
            <color rgb="FF000000"/>
            <rFont val="Tahoma"/>
            <family val="2"/>
          </rPr>
          <t xml:space="preserve">
All cost figures come from the Control Budget put together by the Accounting Dept.</t>
        </r>
      </text>
      <mc:AlternateContent>
        <mc:Choice Requires="v2">
          <commentPr autoFill="true" autoScale="false" colHidden="false" locked="false" rowHidden="false" textHAlign="justify" textVAlign="top">
            <anchor moveWithCells="false" sizeWithCells="false">
              <xdr:from>
                <xdr:col>1</xdr:col>
                <xdr:colOff>16</xdr:colOff>
                <xdr:row>11</xdr:row>
                <xdr:rowOff>11</xdr:rowOff>
              </xdr:from>
              <xdr:to>
                <xdr:col>2</xdr:col>
                <xdr:colOff>80</xdr:colOff>
                <xdr:row>14</xdr:row>
                <xdr:rowOff>11</xdr:rowOff>
              </xdr:to>
            </anchor>
          </commentPr>
        </mc:Choice>
        <mc:Fallback/>
      </mc:AlternateContent>
    </comment>
    <comment ref="B52" authorId="0">
      <text>
        <r>
          <rPr>
            <b val="true"/>
            <sz val="8"/>
            <color rgb="FF000000"/>
            <rFont val="Tahoma"/>
            <family val="0"/>
          </rPr>
          <t xml:space="preserve">IDC Rate:
Neil S-C: 2/16/99
</t>
        </r>
        <r>
          <rPr>
            <sz val="8"/>
            <color rgb="FF000000"/>
            <rFont val="Tahoma"/>
            <family val="2"/>
          </rPr>
          <t xml:space="preserve">
Enron Capital &amp; Trade Resources confirmation memo to Rodney Malcom for Swap Transaction Deal No. M140023</t>
        </r>
      </text>
      <mc:AlternateContent>
        <mc:Choice Requires="v2">
          <commentPr autoFill="true" autoScale="false" colHidden="false" locked="false" rowHidden="false" textHAlign="justify" textVAlign="top">
            <anchor moveWithCells="false" sizeWithCells="false">
              <xdr:from>
                <xdr:col>2</xdr:col>
                <xdr:colOff>9</xdr:colOff>
                <xdr:row>48</xdr:row>
                <xdr:rowOff>1</xdr:rowOff>
              </xdr:from>
              <xdr:to>
                <xdr:col>3</xdr:col>
                <xdr:colOff>14</xdr:colOff>
                <xdr:row>52</xdr:row>
                <xdr:rowOff>1</xdr:rowOff>
              </xdr:to>
            </anchor>
          </commentPr>
        </mc:Choice>
        <mc:Fallback/>
      </mc:AlternateContent>
    </comment>
    <comment ref="C28" authorId="0">
      <text>
        <r>
          <rPr>
            <b val="true"/>
            <sz val="8"/>
            <color rgb="FF000000"/>
            <rFont val="Tahoma"/>
            <family val="2"/>
          </rPr>
          <t xml:space="preserve">SALES OF USE TAX ON EQUIPMENT
</t>
        </r>
        <r>
          <rPr>
            <sz val="8"/>
            <color rgb="FF000000"/>
            <rFont val="Tahoma"/>
            <family val="2"/>
          </rPr>
          <t xml:space="preserve">
This assumption  comes directly from Scott Healy.  Patrick Maloy is the tax support and has a difference of opinion on the correct liability here.
</t>
        </r>
        <r>
          <rPr>
            <b val="true"/>
            <sz val="8"/>
            <color rgb="FF000000"/>
            <rFont val="Tahoma"/>
            <family val="2"/>
          </rPr>
          <t xml:space="preserve">Neil S-C: 3/31/99
</t>
        </r>
        <r>
          <rPr>
            <sz val="8"/>
            <color rgb="FF000000"/>
            <rFont val="Tahoma"/>
            <family val="2"/>
          </rPr>
          <t xml:space="preserve">
This is a calculation from Scott Healy.  Every piece of equipment and construction material is subject to this tax except for pollution control equipment.
Reduced to $8.7M from $9M in Version #2
Sheetal J Bajoria x3-5692: Jan 29,99
Verified as per Capital Control Budget from Tammy Sheppard, Revision#11: 13,896
</t>
        </r>
      </text>
      <mc:AlternateContent>
        <mc:Choice Requires="v2">
          <commentPr autoFill="true" autoScale="false" colHidden="false" locked="false" rowHidden="false" textHAlign="justify" textVAlign="top">
            <anchor moveWithCells="false" sizeWithCells="false">
              <xdr:from>
                <xdr:col>2</xdr:col>
                <xdr:colOff>86</xdr:colOff>
                <xdr:row>20</xdr:row>
                <xdr:rowOff>12</xdr:rowOff>
              </xdr:from>
              <xdr:to>
                <xdr:col>6</xdr:col>
                <xdr:colOff>78</xdr:colOff>
                <xdr:row>27</xdr:row>
                <xdr:rowOff>14</xdr:rowOff>
              </xdr:to>
            </anchor>
          </commentPr>
        </mc:Choice>
        <mc:Fallback/>
      </mc:AlternateContent>
    </comment>
    <comment ref="C52" authorId="0">
      <text>
        <r>
          <rPr>
            <b val="true"/>
            <sz val="8"/>
            <color rgb="FF000000"/>
            <rFont val="Tahoma"/>
            <family val="0"/>
          </rPr>
          <t xml:space="preserve">IDC:
</t>
        </r>
        <r>
          <rPr>
            <sz val="8"/>
            <color rgb="FF000000"/>
            <rFont val="Tahoma"/>
            <family val="2"/>
          </rPr>
          <t xml:space="preserve">
The IDC is not calculated by this model though the model has the capability.  This comes directly from the control budgets and is a sum total of the Interest SWAP, IDC, and Commitment Fee</t>
        </r>
      </text>
      <mc:AlternateContent>
        <mc:Choice Requires="v2">
          <commentPr autoFill="true" autoScale="false" colHidden="false" locked="false" rowHidden="false" textHAlign="justify" textVAlign="top">
            <anchor moveWithCells="false" sizeWithCells="false">
              <xdr:from>
                <xdr:col>3</xdr:col>
                <xdr:colOff>16</xdr:colOff>
                <xdr:row>50</xdr:row>
                <xdr:rowOff>5</xdr:rowOff>
              </xdr:from>
              <xdr:to>
                <xdr:col>5</xdr:col>
                <xdr:colOff>33</xdr:colOff>
                <xdr:row>57</xdr:row>
                <xdr:rowOff>9</xdr:rowOff>
              </xdr:to>
            </anchor>
          </commentPr>
        </mc:Choice>
        <mc:Fallback/>
      </mc:AlternateContent>
    </comment>
    <comment ref="C59" authorId="0">
      <text>
        <r>
          <rPr>
            <b val="true"/>
            <sz val="8"/>
            <color rgb="FF000000"/>
            <rFont val="Tahoma"/>
            <family val="0"/>
          </rPr>
          <t xml:space="preserve">Total Uses:
</t>
        </r>
        <r>
          <rPr>
            <sz val="8"/>
            <color rgb="FF000000"/>
            <rFont val="Tahoma"/>
            <family val="2"/>
          </rPr>
          <t xml:space="preserve">
This should tie out to the most recent weekly Control Budget.</t>
        </r>
      </text>
      <mc:AlternateContent>
        <mc:Choice Requires="v2">
          <commentPr autoFill="true" autoScale="false" colHidden="false" locked="false" rowHidden="false" textHAlign="justify" textVAlign="top">
            <anchor moveWithCells="false" sizeWithCells="false">
              <xdr:from>
                <xdr:col>2</xdr:col>
                <xdr:colOff>95</xdr:colOff>
                <xdr:row>57</xdr:row>
                <xdr:rowOff>6</xdr:rowOff>
              </xdr:from>
              <xdr:to>
                <xdr:col>4</xdr:col>
                <xdr:colOff>56</xdr:colOff>
                <xdr:row>61</xdr:row>
                <xdr:rowOff>9</xdr:rowOff>
              </xdr:to>
            </anchor>
          </commentPr>
        </mc:Choice>
        <mc:Fallback/>
      </mc:AlternateContent>
    </comment>
    <comment ref="F38" authorId="0">
      <text>
        <r>
          <rPr>
            <b val="true"/>
            <sz val="8"/>
            <color rgb="FF000000"/>
            <rFont val="Tahoma"/>
            <family val="0"/>
          </rPr>
          <t xml:space="preserve">Tranche A:
</t>
        </r>
        <r>
          <rPr>
            <sz val="8"/>
            <color rgb="FF000000"/>
            <rFont val="Tahoma"/>
            <family val="2"/>
          </rPr>
          <t xml:space="preserve">
Used only for the Alternative Structure and is 16.2% of total debt based on the portfolio bond indenture.</t>
        </r>
      </text>
      <mc:AlternateContent>
        <mc:Choice Requires="v2">
          <commentPr autoFill="true" autoScale="false" colHidden="false" locked="false" rowHidden="false" textHAlign="justify" textVAlign="top">
            <anchor moveWithCells="false" sizeWithCells="false">
              <xdr:from>
                <xdr:col>5</xdr:col>
                <xdr:colOff>45</xdr:colOff>
                <xdr:row>36</xdr:row>
                <xdr:rowOff>6</xdr:rowOff>
              </xdr:from>
              <xdr:to>
                <xdr:col>7</xdr:col>
                <xdr:colOff>4</xdr:colOff>
                <xdr:row>40</xdr:row>
                <xdr:rowOff>12</xdr:rowOff>
              </xdr:to>
            </anchor>
          </commentPr>
        </mc:Choice>
        <mc:Fallback/>
      </mc:AlternateContent>
    </comment>
    <comment ref="G14" authorId="0">
      <text>
        <r>
          <rPr>
            <b val="true"/>
            <sz val="8"/>
            <color rgb="FF000000"/>
            <rFont val="Tahoma"/>
            <family val="0"/>
          </rPr>
          <t xml:space="preserve">ANNUAL PEAK OPERATING HOURS
Sheetal J Bajoria x3-5692:
</t>
        </r>
        <r>
          <rPr>
            <sz val="8"/>
            <color rgb="FF000000"/>
            <rFont val="Tahoma"/>
            <family val="0"/>
          </rPr>
          <t xml:space="preserve">Based on document EE&amp;CC, Mike Nanny 12/22/98.  PROBABLY WILL BE MUCH LOWER THAN THIS. PROBABLY IN RANGE OF 750-1200. Unless the permits are changed.
Does not affect NPV</t>
        </r>
      </text>
      <mc:AlternateContent>
        <mc:Choice Requires="v2">
          <commentPr autoFill="true" autoScale="false" colHidden="false" locked="false" rowHidden="false" textHAlign="justify" textVAlign="top">
            <anchor moveWithCells="false" sizeWithCells="false">
              <xdr:from>
                <xdr:col>7</xdr:col>
                <xdr:colOff>6</xdr:colOff>
                <xdr:row>11</xdr:row>
                <xdr:rowOff>9</xdr:rowOff>
              </xdr:from>
              <xdr:to>
                <xdr:col>10</xdr:col>
                <xdr:colOff>20</xdr:colOff>
                <xdr:row>19</xdr:row>
                <xdr:rowOff>2</xdr:rowOff>
              </xdr:to>
            </anchor>
          </commentPr>
        </mc:Choice>
        <mc:Fallback/>
      </mc:AlternateContent>
    </comment>
    <comment ref="G16" authorId="0">
      <text>
        <r>
          <rPr>
            <b val="true"/>
            <sz val="8"/>
            <color rgb="FF000000"/>
            <rFont val="Tahoma"/>
            <family val="0"/>
          </rPr>
          <t xml:space="preserve">Start Date:
2000 PPA's</t>
        </r>
      </text>
      <mc:AlternateContent>
        <mc:Choice Requires="v2">
          <commentPr autoFill="true" autoScale="false" colHidden="false" locked="false" rowHidden="false" textHAlign="justify" textVAlign="top">
            <anchor moveWithCells="false" sizeWithCells="false">
              <xdr:from>
                <xdr:col>6</xdr:col>
                <xdr:colOff>60</xdr:colOff>
                <xdr:row>14</xdr:row>
                <xdr:rowOff>6</xdr:rowOff>
              </xdr:from>
              <xdr:to>
                <xdr:col>8</xdr:col>
                <xdr:colOff>20</xdr:colOff>
                <xdr:row>18</xdr:row>
                <xdr:rowOff>9</xdr:rowOff>
              </xdr:to>
            </anchor>
          </commentPr>
        </mc:Choice>
        <mc:Fallback/>
      </mc:AlternateContent>
    </comment>
    <comment ref="G17" authorId="0">
      <text>
        <r>
          <rPr>
            <b val="true"/>
            <sz val="8"/>
            <color rgb="FF000000"/>
            <rFont val="Tahoma"/>
            <family val="0"/>
          </rPr>
          <t xml:space="preserve">End Date: 
See 2000 PPA</t>
        </r>
      </text>
      <mc:AlternateContent>
        <mc:Choice Requires="v2">
          <commentPr autoFill="true" autoScale="false" colHidden="false" locked="false" rowHidden="false" textHAlign="justify" textVAlign="top">
            <anchor moveWithCells="false" sizeWithCells="false">
              <xdr:from>
                <xdr:col>6</xdr:col>
                <xdr:colOff>60</xdr:colOff>
                <xdr:row>15</xdr:row>
                <xdr:rowOff>6</xdr:rowOff>
              </xdr:from>
              <xdr:to>
                <xdr:col>8</xdr:col>
                <xdr:colOff>20</xdr:colOff>
                <xdr:row>19</xdr:row>
                <xdr:rowOff>5</xdr:rowOff>
              </xdr:to>
            </anchor>
          </commentPr>
        </mc:Choice>
        <mc:Fallback/>
      </mc:AlternateContent>
    </comment>
    <comment ref="G38" authorId="0">
      <text>
        <r>
          <rPr>
            <b val="true"/>
            <sz val="8"/>
            <color rgb="FF000000"/>
            <rFont val="Tahoma"/>
            <family val="0"/>
          </rPr>
          <t xml:space="preserve">Tranche B:
</t>
        </r>
        <r>
          <rPr>
            <sz val="8"/>
            <color rgb="FF000000"/>
            <rFont val="Tahoma"/>
            <family val="2"/>
          </rPr>
          <t xml:space="preserve">
Used only for the Alternative Debt and is 30% of cost based on the portfolio structure in the consolidated model.</t>
        </r>
      </text>
      <mc:AlternateContent>
        <mc:Choice Requires="v2">
          <commentPr autoFill="true" autoScale="false" colHidden="false" locked="false" rowHidden="false" textHAlign="justify" textVAlign="top">
            <anchor moveWithCells="false" sizeWithCells="false">
              <xdr:from>
                <xdr:col>6</xdr:col>
                <xdr:colOff>60</xdr:colOff>
                <xdr:row>36</xdr:row>
                <xdr:rowOff>6</xdr:rowOff>
              </xdr:from>
              <xdr:to>
                <xdr:col>8</xdr:col>
                <xdr:colOff>20</xdr:colOff>
                <xdr:row>40</xdr:row>
                <xdr:rowOff>12</xdr:rowOff>
              </xdr:to>
            </anchor>
          </commentPr>
        </mc:Choice>
        <mc:Fallback/>
      </mc:AlternateContent>
    </comment>
    <comment ref="H7" authorId="0">
      <text>
        <r>
          <rPr>
            <b val="true"/>
            <u val="single"/>
            <sz val="8"/>
            <color rgb="FF000000"/>
            <rFont val="Tahoma"/>
            <family val="2"/>
          </rPr>
          <t xml:space="preserve">TYPE OF TURBINE
</t>
        </r>
        <r>
          <rPr>
            <sz val="8"/>
            <color rgb="FF000000"/>
            <rFont val="Tahoma"/>
            <family val="2"/>
          </rPr>
          <t xml:space="preserve">Sheetal: feb 2, changed to GT 501 D5A and D5
</t>
        </r>
        <r>
          <rPr>
            <b val="true"/>
            <sz val="8"/>
            <color rgb="FF000000"/>
            <rFont val="Tahoma"/>
            <family val="0"/>
          </rPr>
          <t xml:space="preserve">
Bryan Garrett:
</t>
        </r>
        <r>
          <rPr>
            <sz val="8"/>
            <color rgb="FF000000"/>
            <rFont val="Tahoma"/>
            <family val="0"/>
          </rPr>
          <t xml:space="preserve">These are the machines that were previously slated for installation at the Fulton site.</t>
        </r>
      </text>
      <mc:AlternateContent>
        <mc:Choice Requires="v2">
          <commentPr autoFill="true" autoScale="false" colHidden="false" locked="false" rowHidden="false" textHAlign="justify" textVAlign="top">
            <anchor moveWithCells="false" sizeWithCells="false">
              <xdr:from>
                <xdr:col>7</xdr:col>
                <xdr:colOff>55</xdr:colOff>
                <xdr:row>5</xdr:row>
                <xdr:rowOff>1</xdr:rowOff>
              </xdr:from>
              <xdr:to>
                <xdr:col>10</xdr:col>
                <xdr:colOff>16</xdr:colOff>
                <xdr:row>12</xdr:row>
                <xdr:rowOff>13</xdr:rowOff>
              </xdr:to>
            </anchor>
          </commentPr>
        </mc:Choice>
        <mc:Fallback/>
      </mc:AlternateContent>
    </comment>
    <comment ref="H38" authorId="0">
      <text>
        <r>
          <rPr>
            <b val="true"/>
            <sz val="8"/>
            <color rgb="FF000000"/>
            <rFont val="Tahoma"/>
            <family val="0"/>
          </rPr>
          <t xml:space="preserve">Tranche C:
</t>
        </r>
        <r>
          <rPr>
            <sz val="8"/>
            <color rgb="FF000000"/>
            <rFont val="Tahoma"/>
            <family val="2"/>
          </rPr>
          <t xml:space="preserve">
Used only for the Alternative Structure and assumes 54.2% of total debt based on portfolio.  See consolidated model.</t>
        </r>
      </text>
      <mc:AlternateContent>
        <mc:Choice Requires="v2">
          <commentPr autoFill="true" autoScale="false" colHidden="false" locked="false" rowHidden="false" textHAlign="justify" textVAlign="top">
            <anchor moveWithCells="false" sizeWithCells="false">
              <xdr:from>
                <xdr:col>7</xdr:col>
                <xdr:colOff>43</xdr:colOff>
                <xdr:row>36</xdr:row>
                <xdr:rowOff>6</xdr:rowOff>
              </xdr:from>
              <xdr:to>
                <xdr:col>9</xdr:col>
                <xdr:colOff>18</xdr:colOff>
                <xdr:row>40</xdr:row>
                <xdr:rowOff>12</xdr:rowOff>
              </xdr:to>
            </anchor>
          </commentPr>
        </mc:Choice>
        <mc:Fallback/>
      </mc:AlternateContent>
    </comment>
    <comment ref="I7" authorId="0">
      <text>
        <r>
          <rPr>
            <b val="true"/>
            <u val="single"/>
            <sz val="8"/>
            <color rgb="FF000000"/>
            <rFont val="Tahoma"/>
            <family val="2"/>
          </rPr>
          <t xml:space="preserve">TYPE OF TURBINE
</t>
        </r>
        <r>
          <rPr>
            <sz val="8"/>
            <color rgb="FF000000"/>
            <rFont val="Tahoma"/>
            <family val="2"/>
          </rPr>
          <t xml:space="preserve">
Sheetal: feb 2, 99changed to GT 501 D5A and D5
</t>
        </r>
        <r>
          <rPr>
            <b val="true"/>
            <sz val="8"/>
            <color rgb="FF000000"/>
            <rFont val="Tahoma"/>
            <family val="0"/>
          </rPr>
          <t xml:space="preserve">
Bryan Garrett:
</t>
        </r>
        <r>
          <rPr>
            <sz val="8"/>
            <color rgb="FF000000"/>
            <rFont val="Tahoma"/>
            <family val="0"/>
          </rPr>
          <t xml:space="preserve">These are the machines that were previously slated for installation at the Fulton site.</t>
        </r>
      </text>
      <mc:AlternateContent>
        <mc:Choice Requires="v2">
          <commentPr autoFill="true" autoScale="false" colHidden="false" locked="false" rowHidden="false" textHAlign="justify" textVAlign="top">
            <anchor moveWithCells="false" sizeWithCells="false">
              <xdr:from>
                <xdr:col>10</xdr:col>
                <xdr:colOff>2</xdr:colOff>
                <xdr:row>5</xdr:row>
                <xdr:rowOff>9</xdr:rowOff>
              </xdr:from>
              <xdr:to>
                <xdr:col>11</xdr:col>
                <xdr:colOff>2</xdr:colOff>
                <xdr:row>13</xdr:row>
                <xdr:rowOff>1</xdr:rowOff>
              </xdr:to>
            </anchor>
          </commentPr>
        </mc:Choice>
        <mc:Fallback/>
      </mc:AlternateContent>
    </comment>
    <comment ref="I9" authorId="0">
      <text>
        <r>
          <rPr>
            <b val="true"/>
            <sz val="8"/>
            <color rgb="FF000000"/>
            <rFont val="Tahoma"/>
            <family val="0"/>
          </rPr>
          <t xml:space="preserve">Capacity ISO:
The Kaiser capacity curve are generated off of ISO capacity so we need to use the ISO rating on the turbines to stay consistent.  7/15 email from Scott Healy confirmes ISO rateings</t>
        </r>
      </text>
      <mc:AlternateContent>
        <mc:Choice Requires="v2">
          <commentPr autoFill="true" autoScale="false" colHidden="false" locked="false" rowHidden="false" textHAlign="justify" textVAlign="top">
            <anchor moveWithCells="false" sizeWithCells="false">
              <xdr:from>
                <xdr:col>8</xdr:col>
                <xdr:colOff>47</xdr:colOff>
                <xdr:row>7</xdr:row>
                <xdr:rowOff>6</xdr:rowOff>
              </xdr:from>
              <xdr:to>
                <xdr:col>10</xdr:col>
                <xdr:colOff>53</xdr:colOff>
                <xdr:row>11</xdr:row>
                <xdr:rowOff>12</xdr:rowOff>
              </xdr:to>
            </anchor>
          </commentPr>
        </mc:Choice>
        <mc:Fallback/>
      </mc:AlternateContent>
    </comment>
    <comment ref="I10" authorId="0">
      <text>
        <r>
          <rPr>
            <b val="true"/>
            <sz val="10"/>
            <color rgb="FF000000"/>
            <rFont val="Tahoma"/>
            <family val="2"/>
          </rPr>
          <t xml:space="preserve">NET MW
Site ratings came from Chris Booth in EE&amp;CC through Scott Healy.  Refer to the 7/15 email from Scott.  Use site ratings for the fixed price period only.</t>
        </r>
      </text>
      <mc:AlternateContent>
        <mc:Choice Requires="v2">
          <commentPr autoFill="true" autoScale="false" colHidden="false" locked="false" rowHidden="false" textHAlign="justify" textVAlign="top">
            <anchor moveWithCells="false" sizeWithCells="false">
              <xdr:from>
                <xdr:col>8</xdr:col>
                <xdr:colOff>58</xdr:colOff>
                <xdr:row>3</xdr:row>
                <xdr:rowOff>11</xdr:rowOff>
              </xdr:from>
              <xdr:to>
                <xdr:col>11</xdr:col>
                <xdr:colOff>25</xdr:colOff>
                <xdr:row>8</xdr:row>
                <xdr:rowOff>5</xdr:rowOff>
              </xdr:to>
            </anchor>
          </commentPr>
        </mc:Choice>
        <mc:Fallback/>
      </mc:AlternateContent>
    </comment>
    <comment ref="I12" authorId="0">
      <text>
        <r>
          <rPr>
            <b val="true"/>
            <sz val="10"/>
            <color rgb="FF000000"/>
            <rFont val="Tahoma"/>
            <family val="2"/>
          </rPr>
          <t xml:space="preserve">HEAT RATE
Sheetal J Bajoria x3-5692 Feb 2, 99:
</t>
        </r>
        <r>
          <rPr>
            <sz val="10"/>
            <color rgb="FF000000"/>
            <rFont val="Tahoma"/>
            <family val="2"/>
          </rPr>
          <t xml:space="preserve">changed from 11,461 to 11,344 wrt to document from Azim Javin (EE&amp;CC) dated 2/1/99. 11,344 represents the Net Heat Rate, Btu/kWh HHV at a 90 degree ambient temperature.
</t>
        </r>
      </text>
      <mc:AlternateContent>
        <mc:Choice Requires="v2">
          <commentPr autoFill="true" autoScale="false" colHidden="false" locked="false" rowHidden="false" textHAlign="justify" textVAlign="top">
            <anchor moveWithCells="false" sizeWithCells="false">
              <xdr:from>
                <xdr:col>8</xdr:col>
                <xdr:colOff>58</xdr:colOff>
                <xdr:row>8</xdr:row>
                <xdr:rowOff>0</xdr:rowOff>
              </xdr:from>
              <xdr:to>
                <xdr:col>12</xdr:col>
                <xdr:colOff>43</xdr:colOff>
                <xdr:row>15</xdr:row>
                <xdr:rowOff>13</xdr:rowOff>
              </xdr:to>
            </anchor>
          </commentPr>
        </mc:Choice>
        <mc:Fallback/>
      </mc:AlternateContent>
    </comment>
    <comment ref="I28" authorId="0">
      <text>
        <r>
          <rPr>
            <b val="true"/>
            <sz val="8"/>
            <color rgb="FF000000"/>
            <rFont val="Tahoma"/>
            <family val="0"/>
          </rPr>
          <t xml:space="preserve">2/10/99
Sheetal J Bajoria x3-5692:
</t>
        </r>
      </text>
      <mc:AlternateContent>
        <mc:Choice Requires="v2">
          <commentPr autoFill="true" autoScale="false" colHidden="false" locked="false" rowHidden="false" textHAlign="justify" textVAlign="top">
            <anchor moveWithCells="false" sizeWithCells="false">
              <xdr:from>
                <xdr:col>7</xdr:col>
                <xdr:colOff>41</xdr:colOff>
                <xdr:row>25</xdr:row>
                <xdr:rowOff>0</xdr:rowOff>
              </xdr:from>
              <xdr:to>
                <xdr:col>9</xdr:col>
                <xdr:colOff>16</xdr:colOff>
                <xdr:row>28</xdr:row>
                <xdr:rowOff>14</xdr:rowOff>
              </xdr:to>
            </anchor>
          </commentPr>
        </mc:Choice>
        <mc:Fallback/>
      </mc:AlternateContent>
    </comment>
    <comment ref="I34" authorId="0">
      <text>
        <r>
          <rPr>
            <b val="true"/>
            <sz val="8"/>
            <color rgb="FF000000"/>
            <rFont val="Tahoma"/>
            <family val="0"/>
          </rPr>
          <t xml:space="preserve">Debt Structure:
</t>
        </r>
        <r>
          <rPr>
            <sz val="8"/>
            <color rgb="FF000000"/>
            <rFont val="Tahoma"/>
            <family val="2"/>
          </rPr>
          <t xml:space="preserve">
The Alternate Structure follows the CSFB terms and can be customized as the terms change.  The normal structure runs off of the Coverage Ratios.</t>
        </r>
      </text>
      <mc:AlternateContent>
        <mc:Choice Requires="v2">
          <commentPr autoFill="true" autoScale="false" colHidden="false" locked="false" rowHidden="false" textHAlign="justify" textVAlign="top">
            <anchor moveWithCells="false" sizeWithCells="false">
              <xdr:from>
                <xdr:col>8</xdr:col>
                <xdr:colOff>47</xdr:colOff>
                <xdr:row>32</xdr:row>
                <xdr:rowOff>11</xdr:rowOff>
              </xdr:from>
              <xdr:to>
                <xdr:col>10</xdr:col>
                <xdr:colOff>53</xdr:colOff>
                <xdr:row>36</xdr:row>
                <xdr:rowOff>14</xdr:rowOff>
              </xdr:to>
            </anchor>
          </commentPr>
        </mc:Choice>
        <mc:Fallback/>
      </mc:AlternateContent>
    </comment>
    <comment ref="I38" authorId="0">
      <text>
        <r>
          <rPr>
            <b val="true"/>
            <sz val="8"/>
            <color rgb="FF000000"/>
            <rFont val="Tahoma"/>
            <family val="0"/>
          </rPr>
          <t xml:space="preserve">Debt:
Back into about 75% debt to match the bond indenture for the portfolio.</t>
        </r>
      </text>
      <mc:AlternateContent>
        <mc:Choice Requires="v2">
          <commentPr autoFill="true" autoScale="false" colHidden="false" locked="false" rowHidden="false" textHAlign="justify" textVAlign="top">
            <anchor moveWithCells="false" sizeWithCells="false">
              <xdr:from>
                <xdr:col>8</xdr:col>
                <xdr:colOff>47</xdr:colOff>
                <xdr:row>36</xdr:row>
                <xdr:rowOff>6</xdr:rowOff>
              </xdr:from>
              <xdr:to>
                <xdr:col>10</xdr:col>
                <xdr:colOff>53</xdr:colOff>
                <xdr:row>40</xdr:row>
                <xdr:rowOff>12</xdr:rowOff>
              </xdr:to>
            </anchor>
          </commentPr>
        </mc:Choice>
        <mc:Fallback/>
      </mc:AlternateContent>
    </comment>
    <comment ref="L7" authorId="0">
      <text>
        <r>
          <rPr>
            <b val="true"/>
            <sz val="8"/>
            <color rgb="FF000000"/>
            <rFont val="Tahoma"/>
            <family val="0"/>
          </rPr>
          <t xml:space="preserve">Variable O&amp;M Hours
Neil S-C: 2/16/99
</t>
        </r>
        <r>
          <rPr>
            <sz val="8"/>
            <color rgb="FF000000"/>
            <rFont val="Tahoma"/>
            <family val="2"/>
          </rPr>
          <t xml:space="preserve">I have left 1200 here as the estimates were done on this run time.  Rodney had asked why this was different than the Operating Hours., which the expense calc's are based on.</t>
        </r>
      </text>
      <mc:AlternateContent>
        <mc:Choice Requires="v2">
          <commentPr autoFill="true" autoScale="false" colHidden="false" locked="false" rowHidden="false" textHAlign="justify" textVAlign="top">
            <anchor moveWithCells="false" sizeWithCells="false">
              <xdr:from>
                <xdr:col>11</xdr:col>
                <xdr:colOff>12</xdr:colOff>
                <xdr:row>5</xdr:row>
                <xdr:rowOff>8</xdr:rowOff>
              </xdr:from>
              <xdr:to>
                <xdr:col>14</xdr:col>
                <xdr:colOff>11</xdr:colOff>
                <xdr:row>9</xdr:row>
                <xdr:rowOff>18</xdr:rowOff>
              </xdr:to>
            </anchor>
          </commentPr>
        </mc:Choice>
        <mc:Fallback/>
      </mc:AlternateContent>
    </comment>
    <comment ref="L8" authorId="0">
      <text>
        <r>
          <rPr>
            <b val="true"/>
            <sz val="8"/>
            <color rgb="FF000000"/>
            <rFont val="Tahoma"/>
            <family val="0"/>
          </rPr>
          <t xml:space="preserve">WATER VARIABLE O&amp;M
Sheetal J Bajoria x3-5692, 1/27/99:
</t>
        </r>
        <r>
          <rPr>
            <sz val="8"/>
            <color rgb="FF000000"/>
            <rFont val="Tahoma"/>
            <family val="2"/>
          </rPr>
          <t xml:space="preserve">SE Peaking power projects, O&amp;M Estimates, D Ehler,  B Scmitt, dated 1/22/99: -Confirmed 746. Rewired to be truly variable with hours and MW</t>
        </r>
      </text>
      <mc:AlternateContent>
        <mc:Choice Requires="v2">
          <commentPr autoFill="true" autoScale="false" colHidden="false" locked="false" rowHidden="false" textHAlign="justify" textVAlign="top">
            <anchor moveWithCells="false" sizeWithCells="false">
              <xdr:from>
                <xdr:col>11</xdr:col>
                <xdr:colOff>80</xdr:colOff>
                <xdr:row>6</xdr:row>
                <xdr:rowOff>16</xdr:rowOff>
              </xdr:from>
              <xdr:to>
                <xdr:col>19</xdr:col>
                <xdr:colOff>16</xdr:colOff>
                <xdr:row>10</xdr:row>
                <xdr:rowOff>2</xdr:rowOff>
              </xdr:to>
            </anchor>
          </commentPr>
        </mc:Choice>
        <mc:Fallback/>
      </mc:AlternateContent>
    </comment>
    <comment ref="L10" authorId="0">
      <text>
        <r>
          <rPr>
            <b val="true"/>
            <sz val="8"/>
            <color rgb="FF000000"/>
            <rFont val="Tahoma"/>
            <family val="0"/>
          </rPr>
          <t xml:space="preserve">VARIABLE MAINTENANCE
Sheetal J Bajoria x3-5692, 1/27/99:
</t>
        </r>
        <r>
          <rPr>
            <sz val="8"/>
            <color rgb="FF000000"/>
            <rFont val="Tahoma"/>
            <family val="2"/>
          </rPr>
          <t xml:space="preserve">SE Peaking power projects, O&amp;M Estimates, D Ehler,  B Scmitt, dated 1/22/99: -Confirmed 746. Rewired to be truly variable with hours and MW</t>
        </r>
      </text>
      <mc:AlternateContent>
        <mc:Choice Requires="v2">
          <commentPr autoFill="true" autoScale="false" colHidden="false" locked="false" rowHidden="false" textHAlign="justify" textVAlign="top">
            <anchor moveWithCells="false" sizeWithCells="false">
              <xdr:from>
                <xdr:col>12</xdr:col>
                <xdr:colOff>46</xdr:colOff>
                <xdr:row>8</xdr:row>
                <xdr:rowOff>1</xdr:rowOff>
              </xdr:from>
              <xdr:to>
                <xdr:col>20</xdr:col>
                <xdr:colOff>12</xdr:colOff>
                <xdr:row>12</xdr:row>
                <xdr:rowOff>4</xdr:rowOff>
              </xdr:to>
            </anchor>
          </commentPr>
        </mc:Choice>
        <mc:Fallback/>
      </mc:AlternateContent>
    </comment>
    <comment ref="M8" authorId="0">
      <text>
        <r>
          <rPr>
            <b val="true"/>
            <sz val="8"/>
            <color rgb="FF000000"/>
            <rFont val="Tahoma"/>
            <family val="0"/>
          </rPr>
          <t xml:space="preserve">Variable MW's
Neil S-C: 2/16/99
</t>
        </r>
        <r>
          <rPr>
            <sz val="8"/>
            <color rgb="FF000000"/>
            <rFont val="Tahoma"/>
            <family val="2"/>
          </rPr>
          <t xml:space="preserve">Directly from the OEC cost estimate.</t>
        </r>
      </text>
      <mc:AlternateContent>
        <mc:Choice Requires="v2">
          <commentPr autoFill="true" autoScale="false" colHidden="false" locked="false" rowHidden="false" textHAlign="justify" textVAlign="top">
            <anchor moveWithCells="false" sizeWithCells="false">
              <xdr:from>
                <xdr:col>10</xdr:col>
                <xdr:colOff>145</xdr:colOff>
                <xdr:row>6</xdr:row>
                <xdr:rowOff>16</xdr:rowOff>
              </xdr:from>
              <xdr:to>
                <xdr:col>12</xdr:col>
                <xdr:colOff>6</xdr:colOff>
                <xdr:row>10</xdr:row>
                <xdr:rowOff>2</xdr:rowOff>
              </xdr:to>
            </anchor>
          </commentPr>
        </mc:Choice>
        <mc:Fallback/>
      </mc:AlternateContent>
    </comment>
    <comment ref="N20" authorId="0">
      <text>
        <r>
          <rPr>
            <b val="true"/>
            <sz val="12"/>
            <color rgb="FF000000"/>
            <rFont val="Tahoma"/>
            <family val="2"/>
          </rPr>
          <t xml:space="preserve">
PAYROLL AND BURDEN
Sheetal J Bajoria x3-5692, 1/27/99:
SE Peaking power projects, </t>
        </r>
        <r>
          <rPr>
            <sz val="12"/>
            <color rgb="FF000000"/>
            <rFont val="Tahoma"/>
            <family val="2"/>
          </rPr>
          <t xml:space="preserve">O&amp;M Estimates, D Ehler,  B Scmitt, dated 1/22/99
was 428, now 465.69, based on 454 MW</t>
        </r>
      </text>
      <mc:AlternateContent>
        <mc:Choice Requires="v2">
          <commentPr autoFill="true" autoScale="false" colHidden="false" locked="false" rowHidden="false" textHAlign="justify" textVAlign="top">
            <anchor moveWithCells="false" sizeWithCells="false">
              <xdr:from>
                <xdr:col>14</xdr:col>
                <xdr:colOff>19</xdr:colOff>
                <xdr:row>16</xdr:row>
                <xdr:rowOff>7</xdr:rowOff>
              </xdr:from>
              <xdr:to>
                <xdr:col>18</xdr:col>
                <xdr:colOff>67</xdr:colOff>
                <xdr:row>24</xdr:row>
                <xdr:rowOff>5</xdr:rowOff>
              </xdr:to>
            </anchor>
          </commentPr>
        </mc:Choice>
        <mc:Fallback/>
      </mc:AlternateContent>
    </comment>
    <comment ref="N21" authorId="0">
      <text>
        <r>
          <rPr>
            <sz val="10"/>
            <color rgb="FF000000"/>
            <rFont val="Tahoma"/>
            <family val="2"/>
          </rPr>
          <t xml:space="preserve">OTHER O&amp;M EXPENSES
Sheetal J Bajoria x3-5692, 1/27/99:
SE Peaking power projects, O&amp;M Estimates, D Ehler,  B Scmitt, dated 1/22/99
was 230.changed to 235.76, calc based on 454</t>
        </r>
      </text>
      <mc:AlternateContent>
        <mc:Choice Requires="v2">
          <commentPr autoFill="true" autoScale="false" colHidden="false" locked="false" rowHidden="false" textHAlign="justify" textVAlign="top">
            <anchor moveWithCells="false" sizeWithCells="false">
              <xdr:from>
                <xdr:col>14</xdr:col>
                <xdr:colOff>19</xdr:colOff>
                <xdr:row>17</xdr:row>
                <xdr:rowOff>16</xdr:rowOff>
              </xdr:from>
              <xdr:to>
                <xdr:col>18</xdr:col>
                <xdr:colOff>67</xdr:colOff>
                <xdr:row>26</xdr:row>
                <xdr:rowOff>9</xdr:rowOff>
              </xdr:to>
            </anchor>
          </commentPr>
        </mc:Choice>
        <mc:Fallback/>
      </mc:AlternateContent>
    </comment>
    <comment ref="N24" authorId="0">
      <text>
        <r>
          <rPr>
            <b val="true"/>
            <sz val="10"/>
            <color rgb="FF000000"/>
            <rFont val="Tahoma"/>
            <family val="2"/>
          </rPr>
          <t xml:space="preserve">MANAGEMENT FEE
Sheetal J Bajoria x3-5692, 1/27/99:
SE Peaking power projects, </t>
        </r>
        <r>
          <rPr>
            <sz val="10"/>
            <color rgb="FF000000"/>
            <rFont val="Tahoma"/>
            <family val="2"/>
          </rPr>
          <t xml:space="preserve">O&amp;M Estimates, D Ehler,  B Scmitt, dated 1/22/99
was 429, now 200. Based on 454 MW</t>
        </r>
      </text>
      <mc:AlternateContent>
        <mc:Choice Requires="v2">
          <commentPr autoFill="true" autoScale="false" colHidden="false" locked="false" rowHidden="false" textHAlign="justify" textVAlign="top">
            <anchor moveWithCells="false" sizeWithCells="false">
              <xdr:from>
                <xdr:col>14</xdr:col>
                <xdr:colOff>19</xdr:colOff>
                <xdr:row>20</xdr:row>
                <xdr:rowOff>8</xdr:rowOff>
              </xdr:from>
              <xdr:to>
                <xdr:col>18</xdr:col>
                <xdr:colOff>67</xdr:colOff>
                <xdr:row>28</xdr:row>
                <xdr:rowOff>5</xdr:rowOff>
              </xdr:to>
            </anchor>
          </commentPr>
        </mc:Choice>
        <mc:Fallback/>
      </mc:AlternateContent>
    </comment>
    <comment ref="N30" authorId="0">
      <text>
        <r>
          <rPr>
            <b val="true"/>
            <sz val="10"/>
            <color rgb="FF000000"/>
            <rFont val="Tahoma"/>
            <family val="2"/>
          </rPr>
          <t xml:space="preserve">LIABILITY INSURANCE
Sheetal J Bajoria x3-5692, </t>
        </r>
        <r>
          <rPr>
            <sz val="10"/>
            <color rgb="FF000000"/>
            <rFont val="Tahoma"/>
            <family val="2"/>
          </rPr>
          <t xml:space="preserve">1/29/99:
wrt Email from Paul Clayton, CORP INSR, to Agatha Andraczke on 1/20/99.   Number based on corporate allocation of costs.
Was zero now 10</t>
        </r>
      </text>
      <mc:AlternateContent>
        <mc:Choice Requires="v2">
          <commentPr autoFill="true" autoScale="false" colHidden="false" locked="false" rowHidden="false" textHAlign="justify" textVAlign="top">
            <anchor moveWithCells="false" sizeWithCells="false">
              <xdr:from>
                <xdr:col>14</xdr:col>
                <xdr:colOff>2</xdr:colOff>
                <xdr:row>26</xdr:row>
                <xdr:rowOff>1</xdr:rowOff>
              </xdr:from>
              <xdr:to>
                <xdr:col>17</xdr:col>
                <xdr:colOff>66</xdr:colOff>
                <xdr:row>33</xdr:row>
                <xdr:rowOff>5</xdr:rowOff>
              </xdr:to>
            </anchor>
          </commentPr>
        </mc:Choice>
        <mc:Fallback/>
      </mc:AlternateContent>
    </comment>
    <comment ref="N31" authorId="0">
      <text>
        <r>
          <rPr>
            <b val="true"/>
            <sz val="10"/>
            <color rgb="FF000000"/>
            <rFont val="Tahoma"/>
            <family val="2"/>
          </rPr>
          <t xml:space="preserve">BUSINESS INTERUPTION INSURANCE
Sheetal J Bajoria x3-5692, </t>
        </r>
        <r>
          <rPr>
            <sz val="10"/>
            <color rgb="FF000000"/>
            <rFont val="Tahoma"/>
            <family val="2"/>
          </rPr>
          <t xml:space="preserve">1/29/99:
wrt Email from Paul Clayton, CORP INSR, to Agatha Andraczke on 1/20/99.   Number based on corporate allocation of costs.
Was 77 now 30</t>
        </r>
      </text>
      <mc:AlternateContent>
        <mc:Choice Requires="v2">
          <commentPr autoFill="true" autoScale="false" colHidden="false" locked="false" rowHidden="false" textHAlign="justify" textVAlign="top">
            <anchor moveWithCells="false" sizeWithCells="false">
              <xdr:from>
                <xdr:col>14</xdr:col>
                <xdr:colOff>2</xdr:colOff>
                <xdr:row>26</xdr:row>
                <xdr:rowOff>9</xdr:rowOff>
              </xdr:from>
              <xdr:to>
                <xdr:col>17</xdr:col>
                <xdr:colOff>66</xdr:colOff>
                <xdr:row>33</xdr:row>
                <xdr:rowOff>14</xdr:rowOff>
              </xdr:to>
            </anchor>
          </commentPr>
        </mc:Choice>
        <mc:Fallback/>
      </mc:AlternateContent>
    </comment>
    <comment ref="N32" authorId="0">
      <text>
        <r>
          <rPr>
            <b val="true"/>
            <sz val="10"/>
            <color rgb="FF000000"/>
            <rFont val="Tahoma"/>
            <family val="2"/>
          </rPr>
          <t xml:space="preserve">OPS. AND MACHINERT INSURANCE
Sheetal J Bajoria x3-5692, </t>
        </r>
        <r>
          <rPr>
            <sz val="10"/>
            <color rgb="FF000000"/>
            <rFont val="Tahoma"/>
            <family val="2"/>
          </rPr>
          <t xml:space="preserve">1/29/99:
wrt Email from Paul Clayton, CORP INSR, to Agatha Andraczke on 1/20/99.   Number based on corporate allocation of costs. Was 125 now 180</t>
        </r>
      </text>
      <mc:AlternateContent>
        <mc:Choice Requires="v2">
          <commentPr autoFill="true" autoScale="false" colHidden="false" locked="false" rowHidden="false" textHAlign="justify" textVAlign="top">
            <anchor moveWithCells="false" sizeWithCells="false">
              <xdr:from>
                <xdr:col>14</xdr:col>
                <xdr:colOff>2</xdr:colOff>
                <xdr:row>28</xdr:row>
                <xdr:rowOff>12</xdr:rowOff>
              </xdr:from>
              <xdr:to>
                <xdr:col>17</xdr:col>
                <xdr:colOff>66</xdr:colOff>
                <xdr:row>36</xdr:row>
                <xdr:rowOff>12</xdr:rowOff>
              </xdr:to>
            </anchor>
          </commentPr>
        </mc:Choice>
        <mc:Fallback/>
      </mc:AlternateContent>
    </comment>
    <comment ref="N34" authorId="0">
      <text>
        <r>
          <rPr>
            <b val="true"/>
            <sz val="8"/>
            <color rgb="FF000000"/>
            <rFont val="Tahoma"/>
            <family val="0"/>
          </rPr>
          <t xml:space="preserve">UTILITIES START UP POWER:
Neil S-C,
</t>
        </r>
        <r>
          <rPr>
            <sz val="8"/>
            <color rgb="FF000000"/>
            <rFont val="Tahoma"/>
            <family val="2"/>
          </rPr>
          <t xml:space="preserve">
This is prorated off of Caledonia which has 6 Turbines.</t>
        </r>
      </text>
      <mc:AlternateContent>
        <mc:Choice Requires="v2">
          <commentPr autoFill="true" autoScale="false" colHidden="false" locked="false" rowHidden="false" textHAlign="justify" textVAlign="top">
            <anchor moveWithCells="false" sizeWithCells="false">
              <xdr:from>
                <xdr:col>13</xdr:col>
                <xdr:colOff>53</xdr:colOff>
                <xdr:row>32</xdr:row>
                <xdr:rowOff>12</xdr:rowOff>
              </xdr:from>
              <xdr:to>
                <xdr:col>15</xdr:col>
                <xdr:colOff>38</xdr:colOff>
                <xdr:row>36</xdr:row>
                <xdr:rowOff>12</xdr:rowOff>
              </xdr:to>
            </anchor>
          </commentPr>
        </mc:Choice>
        <mc:Fallback/>
      </mc:AlternateContent>
    </comment>
    <comment ref="N35" authorId="0">
      <text>
        <r>
          <rPr>
            <b val="true"/>
            <sz val="8"/>
            <color rgb="FF000000"/>
            <rFont val="Tahoma"/>
            <family val="0"/>
          </rPr>
          <t xml:space="preserve">UTILITIES START UP POWER:
Neil S-C,
</t>
        </r>
        <r>
          <rPr>
            <sz val="8"/>
            <color rgb="FF000000"/>
            <rFont val="Tahoma"/>
            <family val="2"/>
          </rPr>
          <t xml:space="preserve">
This is prorated off of Caledonia which has 6 Turbines.</t>
        </r>
      </text>
      <mc:AlternateContent>
        <mc:Choice Requires="v2">
          <commentPr autoFill="true" autoScale="false" colHidden="false" locked="false" rowHidden="false" textHAlign="justify" textVAlign="top">
            <anchor moveWithCells="false" sizeWithCells="false">
              <xdr:from>
                <xdr:col>13</xdr:col>
                <xdr:colOff>53</xdr:colOff>
                <xdr:row>33</xdr:row>
                <xdr:rowOff>5</xdr:rowOff>
              </xdr:from>
              <xdr:to>
                <xdr:col>15</xdr:col>
                <xdr:colOff>38</xdr:colOff>
                <xdr:row>37</xdr:row>
                <xdr:rowOff>8</xdr:rowOff>
              </xdr:to>
            </anchor>
          </commentPr>
        </mc:Choice>
        <mc:Fallback/>
      </mc:AlternateContent>
    </comment>
    <comment ref="N37" authorId="0">
      <text>
        <r>
          <rPr>
            <b val="true"/>
            <sz val="8"/>
            <color rgb="FF000000"/>
            <rFont val="Tahoma"/>
            <family val="0"/>
          </rPr>
          <t xml:space="preserve">GAS PIPELINE METERING:
Neil S-C; 3/15/99
</t>
        </r>
        <r>
          <rPr>
            <sz val="8"/>
            <color rgb="FF000000"/>
            <rFont val="Tahoma"/>
            <family val="2"/>
          </rPr>
          <t xml:space="preserve">Kevin Presto's Group.</t>
        </r>
      </text>
      <mc:AlternateContent>
        <mc:Choice Requires="v2">
          <commentPr autoFill="true" autoScale="false" colHidden="false" locked="false" rowHidden="false" textHAlign="justify" textVAlign="top">
            <anchor moveWithCells="false" sizeWithCells="false">
              <xdr:from>
                <xdr:col>13</xdr:col>
                <xdr:colOff>25</xdr:colOff>
                <xdr:row>32</xdr:row>
                <xdr:rowOff>19</xdr:rowOff>
              </xdr:from>
              <xdr:to>
                <xdr:col>15</xdr:col>
                <xdr:colOff>7</xdr:colOff>
                <xdr:row>37</xdr:row>
                <xdr:rowOff>1</xdr:rowOff>
              </xdr:to>
            </anchor>
          </commentPr>
        </mc:Choice>
        <mc:Fallback/>
      </mc:AlternateContent>
    </comment>
    <comment ref="N60" authorId="0">
      <text>
        <r>
          <rPr>
            <b val="true"/>
            <sz val="8"/>
            <color rgb="FF000000"/>
            <rFont val="Tahoma"/>
            <family val="0"/>
          </rPr>
          <t xml:space="preserve">Start Up Fuel:
</t>
        </r>
        <r>
          <rPr>
            <sz val="8"/>
            <color rgb="FF000000"/>
            <rFont val="Tahoma"/>
            <family val="2"/>
          </rPr>
          <t xml:space="preserve">
The number comes from Kevin Presto's Genco group but is not being reflected as it is a pass through and this reflects what is happening in the consolidated model</t>
        </r>
      </text>
      <mc:AlternateContent>
        <mc:Choice Requires="v2">
          <commentPr autoFill="true" autoScale="false" colHidden="false" locked="false" rowHidden="false" textHAlign="justify" textVAlign="top">
            <anchor moveWithCells="false" sizeWithCells="false">
              <xdr:from>
                <xdr:col>13</xdr:col>
                <xdr:colOff>53</xdr:colOff>
                <xdr:row>58</xdr:row>
                <xdr:rowOff>11</xdr:rowOff>
              </xdr:from>
              <xdr:to>
                <xdr:col>15</xdr:col>
                <xdr:colOff>38</xdr:colOff>
                <xdr:row>62</xdr:row>
                <xdr:rowOff>9</xdr:rowOff>
              </xdr:to>
            </anchor>
          </commentPr>
        </mc:Choice>
        <mc:Fallback/>
      </mc:AlternateContent>
    </comment>
    <comment ref="N64" authorId="0">
      <text>
        <r>
          <rPr>
            <b val="true"/>
            <sz val="8"/>
            <color rgb="FF000000"/>
            <rFont val="Tahoma"/>
            <family val="0"/>
          </rPr>
          <t xml:space="preserve">STATE INCOME TAX RATE
Neil S-C: 3/15/99
</t>
        </r>
        <r>
          <rPr>
            <sz val="8"/>
            <color rgb="FF000000"/>
            <rFont val="Tahoma"/>
            <family val="2"/>
          </rPr>
          <t xml:space="preserve">Illinois has 2 taxes based on net income and the combined rate is 7.18%
This is in a memo from Pat Maloy
</t>
        </r>
        <r>
          <rPr>
            <b val="true"/>
            <sz val="8"/>
            <color rgb="FF000000"/>
            <rFont val="Tahoma"/>
            <family val="0"/>
          </rPr>
          <t xml:space="preserve">
Sheetal J Bajoria x3-5692:
</t>
        </r>
        <r>
          <rPr>
            <sz val="8"/>
            <color rgb="FF000000"/>
            <rFont val="Tahoma"/>
            <family val="0"/>
          </rPr>
          <t xml:space="preserve">2/10/99 : PER MEMO From PAT MALOY TO Clay spears dated 6/29/98 wrt. TN taxes. The state income tax rate was changed from 5% (in Bryans model as of 1/25/99) to 6%.</t>
        </r>
      </text>
      <mc:AlternateContent>
        <mc:Choice Requires="v2">
          <commentPr autoFill="true" autoScale="false" colHidden="false" locked="false" rowHidden="false" textHAlign="justify" textVAlign="top">
            <anchor moveWithCells="false" sizeWithCells="false">
              <xdr:from>
                <xdr:col>13</xdr:col>
                <xdr:colOff>62</xdr:colOff>
                <xdr:row>45</xdr:row>
                <xdr:rowOff>13</xdr:rowOff>
              </xdr:from>
              <xdr:to>
                <xdr:col>20</xdr:col>
                <xdr:colOff>2</xdr:colOff>
                <xdr:row>62</xdr:row>
                <xdr:rowOff>15</xdr:rowOff>
              </xdr:to>
            </anchor>
          </commentPr>
        </mc:Choice>
        <mc:Fallback/>
      </mc:AlternateContent>
    </comment>
    <comment ref="N67" authorId="0">
      <text>
        <r>
          <rPr>
            <sz val="8"/>
            <color rgb="FF000000"/>
            <rFont val="Tahoma"/>
            <family val="2"/>
          </rPr>
          <t xml:space="preserve">STATE UTILITY GROSS RECEIPTS TAX RATE ON GROSS REVENUE
Sheetal J Bajoria x3-5692: 2/2/99:
Per memo from Patrick Maloy to Clay Spears wrt taxes in TN, DATED 6/29/98
</t>
        </r>
        <r>
          <rPr>
            <b val="true"/>
            <sz val="8"/>
            <color rgb="FF000000"/>
            <rFont val="Tahoma"/>
            <family val="0"/>
          </rPr>
          <t xml:space="preserve">
2/11/99 Per KEvin Presto, gross receipts refers to only the Energy payment and furthermore is payable on non-TVA hours.
</t>
        </r>
        <r>
          <rPr>
            <sz val="8"/>
            <color rgb="FF000000"/>
            <rFont val="Tahoma"/>
            <family val="0"/>
          </rPr>
          <t xml:space="preserve">
Pay greater of 
(state util gross receipts) or  (excise util + Franchise) 
</t>
        </r>
      </text>
      <mc:AlternateContent>
        <mc:Choice Requires="v2">
          <commentPr autoFill="true" autoScale="false" colHidden="false" locked="false" rowHidden="false" textHAlign="justify" textVAlign="top">
            <anchor moveWithCells="false" sizeWithCells="false">
              <xdr:from>
                <xdr:col>14</xdr:col>
                <xdr:colOff>19</xdr:colOff>
                <xdr:row>59</xdr:row>
                <xdr:rowOff>11</xdr:rowOff>
              </xdr:from>
              <xdr:to>
                <xdr:col>17</xdr:col>
                <xdr:colOff>66</xdr:colOff>
                <xdr:row>69</xdr:row>
                <xdr:rowOff>12</xdr:rowOff>
              </xdr:to>
            </anchor>
          </commentPr>
        </mc:Choice>
        <mc:Fallback/>
      </mc:AlternateContent>
    </comment>
    <comment ref="N68" authorId="0">
      <text>
        <r>
          <rPr>
            <b val="true"/>
            <sz val="8"/>
            <color rgb="FF000000"/>
            <rFont val="Tahoma"/>
            <family val="2"/>
          </rPr>
          <t xml:space="preserve">STATE FRANCHISE TAX RATE ON CAPITAL 
</t>
        </r>
        <r>
          <rPr>
            <sz val="8"/>
            <color rgb="FF000000"/>
            <rFont val="Tahoma"/>
            <family val="2"/>
          </rPr>
          <t xml:space="preserve">
Neil S-C x66527:  3/9/99
Received Confirmation from Pat Maloy on 3/7.  This is the Tax for the 1st year only.
Sheetal J Bajoria x3-5692: 2/2/99:
Per memo from Patrick Maloy to Clay Spears wrt taxes in TN, DATED 6/29/98
</t>
        </r>
        <r>
          <rPr>
            <sz val="8"/>
            <color rgb="FF000000"/>
            <rFont val="Tahoma"/>
            <family val="0"/>
          </rPr>
          <t xml:space="preserve">
Pay greater of 
(state util gross rec) or  (excise util + Franchise ) </t>
        </r>
      </text>
      <mc:AlternateContent>
        <mc:Choice Requires="v2">
          <commentPr autoFill="true" autoScale="false" colHidden="false" locked="false" rowHidden="false" textHAlign="justify" textVAlign="top">
            <anchor moveWithCells="false" sizeWithCells="false">
              <xdr:from>
                <xdr:col>13</xdr:col>
                <xdr:colOff>62</xdr:colOff>
                <xdr:row>61</xdr:row>
                <xdr:rowOff>16</xdr:rowOff>
              </xdr:from>
              <xdr:to>
                <xdr:col>17</xdr:col>
                <xdr:colOff>18</xdr:colOff>
                <xdr:row>72</xdr:row>
                <xdr:rowOff>14</xdr:rowOff>
              </xdr:to>
            </anchor>
          </commentPr>
        </mc:Choice>
        <mc:Fallback/>
      </mc:AlternateContent>
    </comment>
    <comment ref="N69" authorId="0">
      <text>
        <r>
          <rPr>
            <b val="true"/>
            <sz val="8"/>
            <color rgb="FF000000"/>
            <rFont val="Tahoma"/>
            <family val="2"/>
          </rPr>
          <t xml:space="preserve">STATE FRANCHISE TAX RATE ON CAPITAL 
</t>
        </r>
        <r>
          <rPr>
            <sz val="8"/>
            <color rgb="FF000000"/>
            <rFont val="Tahoma"/>
            <family val="2"/>
          </rPr>
          <t xml:space="preserve">
Neil S-C, x66527: 3/9/99
Pat Maloy indicated by email that this would be the rate from the second year on</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13</xdr:col>
                <xdr:colOff>25</xdr:colOff>
                <xdr:row>64</xdr:row>
                <xdr:rowOff>1</xdr:rowOff>
              </xdr:from>
              <xdr:to>
                <xdr:col>16</xdr:col>
                <xdr:colOff>7</xdr:colOff>
                <xdr:row>70</xdr:row>
                <xdr:rowOff>1</xdr:rowOff>
              </xdr:to>
            </anchor>
          </commentPr>
        </mc:Choice>
        <mc:Fallback/>
      </mc:AlternateContent>
    </comment>
    <comment ref="N70" authorId="0">
      <text>
        <r>
          <rPr>
            <sz val="8"/>
            <color rgb="FF000000"/>
            <rFont val="Tahoma"/>
            <family val="2"/>
          </rPr>
          <t xml:space="preserve">STATE SALES AND USE TAS RATE ON FUEL:
Neil S-C, x66527:  3/9/99
Per Pat Maloy; natural gas is exempt
Sheetal J Bajoria x3-5692: 2/2/99:
Per memo from Patrick Maloy to Clay Spears wrt taxes in TN, dated 6.29.98.
</t>
        </r>
        <r>
          <rPr>
            <b val="true"/>
            <sz val="8"/>
            <color rgb="FF000000"/>
            <rFont val="Tahoma"/>
            <family val="0"/>
          </rPr>
          <t xml:space="preserve">
Gas used in power production is exempt from Sales and use tax.
</t>
        </r>
      </text>
      <mc:AlternateContent>
        <mc:Choice Requires="v2">
          <commentPr autoFill="true" autoScale="false" colHidden="false" locked="false" rowHidden="false" textHAlign="justify" textVAlign="top">
            <anchor moveWithCells="false" sizeWithCells="false">
              <xdr:from>
                <xdr:col>14</xdr:col>
                <xdr:colOff>19</xdr:colOff>
                <xdr:row>54</xdr:row>
                <xdr:rowOff>5</xdr:rowOff>
              </xdr:from>
              <xdr:to>
                <xdr:col>17</xdr:col>
                <xdr:colOff>109</xdr:colOff>
                <xdr:row>62</xdr:row>
                <xdr:rowOff>11</xdr:rowOff>
              </xdr:to>
            </anchor>
          </commentPr>
        </mc:Choice>
        <mc:Fallback/>
      </mc:AlternateContent>
    </comment>
    <comment ref="N71" authorId="0">
      <text>
        <r>
          <rPr>
            <b val="true"/>
            <sz val="8"/>
            <color rgb="FF000000"/>
            <rFont val="Tahoma"/>
            <family val="2"/>
          </rPr>
          <t xml:space="preserve">EXCISE UTILITY TAX ON NET INCOME
</t>
        </r>
        <r>
          <rPr>
            <sz val="8"/>
            <color rgb="FF000000"/>
            <rFont val="Tahoma"/>
            <family val="2"/>
          </rPr>
          <t xml:space="preserve">
Sheetal J Bajoria x3-5692: 2/2/99:
Per memo from Patrick Maloy to Clay Spears wrt taxes in TN.
</t>
        </r>
        <r>
          <rPr>
            <sz val="8"/>
            <color rgb="FF000000"/>
            <rFont val="Tahoma"/>
            <family val="0"/>
          </rPr>
          <t xml:space="preserve">
Pay greater of 
(state util gross rec) or  (excise util + Franchise ) </t>
        </r>
      </text>
      <mc:AlternateContent>
        <mc:Choice Requires="v2">
          <commentPr autoFill="true" autoScale="false" colHidden="false" locked="false" rowHidden="false" textHAlign="justify" textVAlign="top">
            <anchor moveWithCells="false" sizeWithCells="false">
              <xdr:from>
                <xdr:col>14</xdr:col>
                <xdr:colOff>19</xdr:colOff>
                <xdr:row>55</xdr:row>
                <xdr:rowOff>15</xdr:rowOff>
              </xdr:from>
              <xdr:to>
                <xdr:col>16</xdr:col>
                <xdr:colOff>4</xdr:colOff>
                <xdr:row>73</xdr:row>
                <xdr:rowOff>4</xdr:rowOff>
              </xdr:to>
            </anchor>
          </commentPr>
        </mc:Choice>
        <mc:Fallback/>
      </mc:AlternateContent>
    </comment>
    <comment ref="U6" authorId="0">
      <text>
        <r>
          <rPr>
            <b val="true"/>
            <sz val="8"/>
            <color rgb="FF000000"/>
            <rFont val="Tahoma"/>
            <family val="0"/>
          </rPr>
          <t xml:space="preserve">Basis for Property Tax:
Multiplied by .7576 to back into a 350 Property Tax in year 1 as per Scott Healy's request.  This is stilled deemed a conservative estimate.</t>
        </r>
      </text>
      <mc:AlternateContent>
        <mc:Choice Requires="v2">
          <commentPr autoFill="true" autoScale="false" colHidden="false" locked="false" rowHidden="false" textHAlign="justify" textVAlign="top">
            <anchor moveWithCells="false" sizeWithCells="false">
              <xdr:from>
                <xdr:col>20</xdr:col>
                <xdr:colOff>33</xdr:colOff>
                <xdr:row>4</xdr:row>
                <xdr:rowOff>11</xdr:rowOff>
              </xdr:from>
              <xdr:to>
                <xdr:col>22</xdr:col>
                <xdr:colOff>32</xdr:colOff>
                <xdr:row>7</xdr:row>
                <xdr:rowOff>14</xdr:rowOff>
              </xdr:to>
            </anchor>
          </commentPr>
        </mc:Choice>
        <mc:Fallback/>
      </mc:AlternateContent>
    </comment>
    <comment ref="U7" authorId="0">
      <text>
        <r>
          <rPr>
            <b val="true"/>
            <sz val="8"/>
            <color rgb="FF000000"/>
            <rFont val="Tahoma"/>
            <family val="0"/>
          </rPr>
          <t xml:space="preserve">Assessed Value Multiplier:
</t>
        </r>
        <r>
          <rPr>
            <sz val="8"/>
            <color rgb="FF000000"/>
            <rFont val="Tahoma"/>
            <family val="2"/>
          </rPr>
          <t xml:space="preserve">
Neil S-C, 2/25/99
State of Illinois assesses property at a rate of 33% of market value.  Market Value is 15% of real property value.  See  Pollina Corp Memo provided by Scott Healy.</t>
        </r>
      </text>
      <mc:AlternateContent>
        <mc:Choice Requires="v2">
          <commentPr autoFill="true" autoScale="false" colHidden="false" locked="false" rowHidden="false" textHAlign="justify" textVAlign="top">
            <anchor moveWithCells="false" sizeWithCells="false">
              <xdr:from>
                <xdr:col>19</xdr:col>
                <xdr:colOff>26</xdr:colOff>
                <xdr:row>3</xdr:row>
                <xdr:rowOff>9</xdr:rowOff>
              </xdr:from>
              <xdr:to>
                <xdr:col>22</xdr:col>
                <xdr:colOff>0</xdr:colOff>
                <xdr:row>7</xdr:row>
                <xdr:rowOff>5</xdr:rowOff>
              </xdr:to>
            </anchor>
          </commentPr>
        </mc:Choice>
        <mc:Fallback/>
      </mc:AlternateContent>
    </comment>
    <comment ref="U8" authorId="0">
      <text>
        <r>
          <rPr>
            <b val="true"/>
            <sz val="8"/>
            <color rgb="FF000000"/>
            <rFont val="Tahoma"/>
            <family val="0"/>
          </rPr>
          <t xml:space="preserve">SCHOOL MILLAGE RATE:
Sheetal J Bajoria x3-5692:
2/10/99
Need verification from Clay Spears
</t>
        </r>
      </text>
      <mc:AlternateContent>
        <mc:Choice Requires="v2">
          <commentPr autoFill="true" autoScale="false" colHidden="false" locked="false" rowHidden="false" textHAlign="justify" textVAlign="top">
            <anchor moveWithCells="false" sizeWithCells="false">
              <xdr:from>
                <xdr:col>19</xdr:col>
                <xdr:colOff>7</xdr:colOff>
                <xdr:row>4</xdr:row>
                <xdr:rowOff>1</xdr:rowOff>
              </xdr:from>
              <xdr:to>
                <xdr:col>21</xdr:col>
                <xdr:colOff>5</xdr:colOff>
                <xdr:row>8</xdr:row>
                <xdr:rowOff>11</xdr:rowOff>
              </xdr:to>
            </anchor>
          </commentPr>
        </mc:Choice>
        <mc:Fallback/>
      </mc:AlternateContent>
    </comment>
    <comment ref="U10" authorId="0">
      <text>
        <r>
          <rPr>
            <b val="true"/>
            <sz val="8"/>
            <color rgb="FF000000"/>
            <rFont val="Tahoma"/>
            <family val="0"/>
          </rPr>
          <t xml:space="preserve">PROPERTY TAXES
Sheetal J Bajoria x3-5692:
</t>
        </r>
        <r>
          <rPr>
            <sz val="8"/>
            <color rgb="FF000000"/>
            <rFont val="Tahoma"/>
            <family val="0"/>
          </rPr>
          <t xml:space="preserve">per the  "Real Property Lease Agreement" between Brownsville Power I, LLC and the Industrial Development Board of the City of Brownsville, Tennessee. Section  6.02.
This abatement is valid for 15  years.
The calculation after 15 years needs to checked and automated.</t>
        </r>
      </text>
      <mc:AlternateContent>
        <mc:Choice Requires="v2">
          <commentPr autoFill="true" autoScale="false" colHidden="false" locked="false" rowHidden="false" textHAlign="justify" textVAlign="top">
            <anchor moveWithCells="false" sizeWithCells="false">
              <xdr:from>
                <xdr:col>19</xdr:col>
                <xdr:colOff>7</xdr:colOff>
                <xdr:row>5</xdr:row>
                <xdr:rowOff>13</xdr:rowOff>
              </xdr:from>
              <xdr:to>
                <xdr:col>24</xdr:col>
                <xdr:colOff>14</xdr:colOff>
                <xdr:row>13</xdr:row>
                <xdr:rowOff>8</xdr:rowOff>
              </xdr:to>
            </anchor>
          </commentPr>
        </mc:Choice>
        <mc:Fallback/>
      </mc:AlternateContent>
    </comment>
  </commentList>
</comments>
</file>

<file path=xl/comments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70" authorId="0">
      <text>
        <r>
          <rPr>
            <b val="true"/>
            <sz val="8"/>
            <color rgb="FF000000"/>
            <rFont val="Tahoma"/>
            <family val="0"/>
          </rPr>
          <t xml:space="preserve">Sheetal J Bajoria x3-5692:
</t>
        </r>
        <r>
          <rPr>
            <sz val="8"/>
            <color rgb="FF000000"/>
            <rFont val="Tahoma"/>
            <family val="0"/>
          </rPr>
          <t xml:space="preserve">from ICF kaisiser presentationn dated Sept 23, 98, ppage 36,</t>
        </r>
      </text>
      <mc:AlternateContent>
        <mc:Choice Requires="v2">
          <commentPr autoFill="true" autoScale="false" colHidden="false" locked="false" rowHidden="false" textHAlign="justify" textVAlign="top">
            <anchor moveWithCells="false" sizeWithCells="false">
              <xdr:from>
                <xdr:col>0</xdr:col>
                <xdr:colOff>132</xdr:colOff>
                <xdr:row>65</xdr:row>
                <xdr:rowOff>12</xdr:rowOff>
              </xdr:from>
              <xdr:to>
                <xdr:col>2</xdr:col>
                <xdr:colOff>43</xdr:colOff>
                <xdr:row>74</xdr:row>
                <xdr:rowOff>12</xdr:rowOff>
              </xdr:to>
            </anchor>
          </commentPr>
        </mc:Choice>
        <mc:Fallback/>
      </mc:AlternateContent>
    </comment>
    <comment ref="A71" authorId="0">
      <text>
        <r>
          <rPr>
            <b val="true"/>
            <sz val="8"/>
            <color rgb="FF000000"/>
            <rFont val="Tahoma"/>
            <family val="0"/>
          </rPr>
          <t xml:space="preserve">Sheetal J Bajoria x3-5692:
</t>
        </r>
        <r>
          <rPr>
            <sz val="8"/>
            <color rgb="FF000000"/>
            <rFont val="Tahoma"/>
            <family val="0"/>
          </rPr>
          <t xml:space="preserve">from ICF kaisiser presentationn dated Sept 23, 98, ppage 36,</t>
        </r>
      </text>
      <mc:AlternateContent>
        <mc:Choice Requires="v2">
          <commentPr autoFill="true" autoScale="false" colHidden="false" locked="false" rowHidden="false" textHAlign="justify" textVAlign="top">
            <anchor moveWithCells="false" sizeWithCells="false">
              <xdr:from>
                <xdr:col>1</xdr:col>
                <xdr:colOff>16</xdr:colOff>
                <xdr:row>68</xdr:row>
                <xdr:rowOff>14</xdr:rowOff>
              </xdr:from>
              <xdr:to>
                <xdr:col>5</xdr:col>
                <xdr:colOff>0</xdr:colOff>
                <xdr:row>76</xdr:row>
                <xdr:rowOff>17</xdr:rowOff>
              </xdr:to>
            </anchor>
          </commentPr>
        </mc:Choice>
        <mc:Fallback/>
      </mc:AlternateContent>
    </comment>
    <comment ref="A79" authorId="0">
      <text>
        <r>
          <rPr>
            <b val="true"/>
            <sz val="8"/>
            <color rgb="FF000000"/>
            <rFont val="Tahoma"/>
            <family val="0"/>
          </rPr>
          <t xml:space="preserve">Energy Curve:
Neil S-C, 2/17/99
</t>
        </r>
        <r>
          <rPr>
            <sz val="8"/>
            <color rgb="FF000000"/>
            <rFont val="Tahoma"/>
            <family val="2"/>
          </rPr>
          <t xml:space="preserve">From the ICF Kaiser Market Assessment of TVA dated 9/23/98</t>
        </r>
      </text>
      <mc:AlternateContent>
        <mc:Choice Requires="v2">
          <commentPr autoFill="true" autoScale="false" colHidden="false" locked="false" rowHidden="false" textHAlign="justify" textVAlign="top">
            <anchor moveWithCells="false" sizeWithCells="false">
              <xdr:from>
                <xdr:col>1</xdr:col>
                <xdr:colOff>16</xdr:colOff>
                <xdr:row>77</xdr:row>
                <xdr:rowOff>7</xdr:rowOff>
              </xdr:from>
              <xdr:to>
                <xdr:col>4</xdr:col>
                <xdr:colOff>59</xdr:colOff>
                <xdr:row>82</xdr:row>
                <xdr:rowOff>17</xdr:rowOff>
              </xdr:to>
            </anchor>
          </commentPr>
        </mc:Choice>
        <mc:Fallback/>
      </mc:AlternateContent>
    </comment>
    <comment ref="A80" authorId="0">
      <text>
        <r>
          <rPr>
            <b val="true"/>
            <sz val="8"/>
            <color rgb="FF000000"/>
            <rFont val="Tahoma"/>
            <family val="0"/>
          </rPr>
          <t xml:space="preserve">Energy Curve:
Neil S-C, 2/17/99
</t>
        </r>
        <r>
          <rPr>
            <sz val="8"/>
            <color rgb="FF000000"/>
            <rFont val="Tahoma"/>
            <family val="2"/>
          </rPr>
          <t xml:space="preserve">From the ICF Kaiser Market Assessment of TVA dated 9/23/98</t>
        </r>
      </text>
      <mc:AlternateContent>
        <mc:Choice Requires="v2">
          <commentPr autoFill="true" autoScale="false" colHidden="false" locked="false" rowHidden="false" textHAlign="justify" textVAlign="top">
            <anchor moveWithCells="false" sizeWithCells="false">
              <xdr:from>
                <xdr:col>1</xdr:col>
                <xdr:colOff>16</xdr:colOff>
                <xdr:row>78</xdr:row>
                <xdr:rowOff>7</xdr:rowOff>
              </xdr:from>
              <xdr:to>
                <xdr:col>4</xdr:col>
                <xdr:colOff>59</xdr:colOff>
                <xdr:row>82</xdr:row>
                <xdr:rowOff>17</xdr:rowOff>
              </xdr:to>
            </anchor>
          </commentPr>
        </mc:Choice>
        <mc:Fallback/>
      </mc:AlternateContent>
    </comment>
    <comment ref="B74" authorId="0">
      <text>
        <r>
          <rPr>
            <b val="true"/>
            <sz val="8"/>
            <color rgb="FF000000"/>
            <rFont val="Tahoma"/>
            <family val="0"/>
          </rPr>
          <t xml:space="preserve">
Sheetal J Bajoria x3-5692:
</t>
        </r>
        <r>
          <rPr>
            <sz val="8"/>
            <color rgb="FF000000"/>
            <rFont val="Tahoma"/>
            <family val="0"/>
          </rPr>
          <t xml:space="preserve">`</t>
        </r>
      </text>
      <mc:AlternateContent>
        <mc:Choice Requires="v2">
          <commentPr autoFill="true" autoScale="false" colHidden="false" locked="false" rowHidden="false" textHAlign="justify" textVAlign="top">
            <anchor moveWithCells="false" sizeWithCells="false">
              <xdr:from>
                <xdr:col>2</xdr:col>
                <xdr:colOff>46</xdr:colOff>
                <xdr:row>58</xdr:row>
                <xdr:rowOff>8</xdr:rowOff>
              </xdr:from>
              <xdr:to>
                <xdr:col>4</xdr:col>
                <xdr:colOff>50</xdr:colOff>
                <xdr:row>63</xdr:row>
                <xdr:rowOff>11</xdr:rowOff>
              </xdr:to>
            </anchor>
          </commentPr>
        </mc:Choice>
        <mc:Fallback/>
      </mc:AlternateContent>
    </comment>
    <comment ref="C22" authorId="0">
      <text>
        <r>
          <rPr>
            <b val="true"/>
            <sz val="8"/>
            <color rgb="FF000000"/>
            <rFont val="Tahoma"/>
            <family val="0"/>
          </rPr>
          <t xml:space="preserve">Bryan Garrett:
</t>
        </r>
        <r>
          <rPr>
            <sz val="8"/>
            <color rgb="FF000000"/>
            <rFont val="Tahoma"/>
            <family val="0"/>
          </rPr>
          <t xml:space="preserve">This is lower because you have only a partial year's costs vs a full year's MWh output (this is due to the fact that the plant only runs during summer months.</t>
        </r>
      </text>
      <mc:AlternateContent>
        <mc:Choice Requires="v2">
          <commentPr autoFill="true" autoScale="false" colHidden="false" locked="false" rowHidden="false" textHAlign="justify" textVAlign="top">
            <anchor moveWithCells="false" sizeWithCells="false">
              <xdr:from>
                <xdr:col>2</xdr:col>
                <xdr:colOff>56</xdr:colOff>
                <xdr:row>22</xdr:row>
                <xdr:rowOff>14</xdr:rowOff>
              </xdr:from>
              <xdr:to>
                <xdr:col>4</xdr:col>
                <xdr:colOff>46</xdr:colOff>
                <xdr:row>29</xdr:row>
                <xdr:rowOff>17</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27" authorId="0">
      <text>
        <r>
          <rPr>
            <b val="true"/>
            <sz val="8"/>
            <color rgb="FF000000"/>
            <rFont val="Tahoma"/>
            <family val="0"/>
          </rPr>
          <t xml:space="preserve">Bryan Garrett:
Must be linked to the dispatch line in the consolidated model or must insert a line for dispatch run hours.
</t>
        </r>
      </text>
      <mc:AlternateContent>
        <mc:Choice Requires="v2">
          <commentPr autoFill="true" autoScale="false" colHidden="false" locked="false" rowHidden="false" textHAlign="justify" textVAlign="top">
            <anchor moveWithCells="false" sizeWithCells="false">
              <xdr:from>
                <xdr:col>3</xdr:col>
                <xdr:colOff>2</xdr:colOff>
                <xdr:row>25</xdr:row>
                <xdr:rowOff>3</xdr:rowOff>
              </xdr:from>
              <xdr:to>
                <xdr:col>4</xdr:col>
                <xdr:colOff>34</xdr:colOff>
                <xdr:row>31</xdr:row>
                <xdr:rowOff>5</xdr:rowOff>
              </xdr:to>
            </anchor>
          </commentPr>
        </mc:Choice>
        <mc:Fallback/>
      </mc:AlternateContent>
    </comment>
  </commentList>
</comments>
</file>

<file path=xl/comments9.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68" authorId="0">
      <text>
        <r>
          <rPr>
            <b val="true"/>
            <sz val="8"/>
            <color rgb="FF000000"/>
            <rFont val="Tahoma"/>
            <family val="0"/>
          </rPr>
          <t xml:space="preserve">Expensed Cost:
</t>
        </r>
        <r>
          <rPr>
            <sz val="8"/>
            <color rgb="FF000000"/>
            <rFont val="Tahoma"/>
            <family val="2"/>
          </rPr>
          <t xml:space="preserve">
There are cost in Project Cost that are not capitalized.  These have to be expensed.</t>
        </r>
      </text>
      <mc:AlternateContent>
        <mc:Choice Requires="v2">
          <commentPr autoFill="true" autoScale="false" colHidden="false" locked="false" rowHidden="false" textHAlign="justify" textVAlign="top">
            <anchor moveWithCells="false" sizeWithCells="false">
              <xdr:from>
                <xdr:col>4</xdr:col>
                <xdr:colOff>16</xdr:colOff>
                <xdr:row>66</xdr:row>
                <xdr:rowOff>5</xdr:rowOff>
              </xdr:from>
              <xdr:to>
                <xdr:col>6</xdr:col>
                <xdr:colOff>0</xdr:colOff>
                <xdr:row>70</xdr:row>
                <xdr:rowOff>17</xdr:rowOff>
              </xdr:to>
            </anchor>
          </commentPr>
        </mc:Choice>
        <mc:Fallback/>
      </mc:AlternateContent>
    </comment>
  </commentList>
</comments>
</file>

<file path=xl/sharedStrings.xml><?xml version="1.0" encoding="utf-8"?>
<sst xmlns="http://schemas.openxmlformats.org/spreadsheetml/2006/main" count="1503" uniqueCount="691">
  <si>
    <t xml:space="preserve">Tracker </t>
  </si>
  <si>
    <t xml:space="preserve">This page is designed to track all the changes made to the model to be able to reconcile back to any number that was released.</t>
  </si>
  <si>
    <t xml:space="preserve">NPV at 15% 20 years After Tax</t>
  </si>
  <si>
    <t xml:space="preserve">NPV at 15% 20 years Before Tax</t>
  </si>
  <si>
    <t xml:space="preserve">YEAR</t>
  </si>
  <si>
    <t xml:space="preserve">Total NPV</t>
  </si>
  <si>
    <t xml:space="preserve">Delta</t>
  </si>
  <si>
    <t xml:space="preserve">Annual Revenues</t>
  </si>
  <si>
    <t xml:space="preserve">Annual Expenses</t>
  </si>
  <si>
    <t xml:space="preserve">After Tax Book Income</t>
  </si>
  <si>
    <t xml:space="preserve">After Tax Cash Flow</t>
  </si>
  <si>
    <t xml:space="preserve">1.  Models Sent to Banks on 2/23/99 - Neil Sainsbury-Carter</t>
  </si>
  <si>
    <t xml:space="preserve">2. Changed the Basis for the Franchise Tax from Asset Value to Paid-In-Capital According to a Jan. 6, 1999 memo from Patrick Maloy and canvo with Scott Healy and Patrick.</t>
  </si>
  <si>
    <t xml:space="preserve">3. Changed the Property Tax calculation based on Polina Corporate Real Estate Analysis.  Changed basis and mileage rate and took out the descalation on market value.</t>
  </si>
  <si>
    <t xml:space="preserve">4. Changed the Drawdown Schedule to the 2/23/99  version.  Accelerated Trubine Payments</t>
  </si>
  <si>
    <t xml:space="preserve">5. Property Tax. Decreased the assesable value 12% every 4 years and escalated the mileage rate 1.5% annually.</t>
  </si>
  <si>
    <t xml:space="preserve">6.  Contingency Calculation Changed: Was 5% on total cost and is now 3% on Total Hard and Soft Costs and an addition 5% on NEPCO</t>
  </si>
  <si>
    <t xml:space="preserve">7.  Added a FERC Fee to Variable O&amp;M.  As this is a pass through total returns do not change while revenues and expenses increase the same amount.</t>
  </si>
  <si>
    <t xml:space="preserve">8.  Increased the Utilities Fee to reflect the new estimate we have for the 1999's</t>
  </si>
  <si>
    <t xml:space="preserve">9.  Depreciate the EI O&amp;M Mobilization all in the first year.</t>
  </si>
  <si>
    <t xml:space="preserve">10.  Changed the Start Up Fuel to reflect the MMBTU's/Turbine of Caledonia which has GE's.  No effect on returns as is a passthrough.</t>
  </si>
  <si>
    <t xml:space="preserve">11.  Taxes. The State tax had 2 components which we are aggregating.  Rate went from 4.6% to 7.18%.  Added State NOL's and took out the State tax being included in the Fed NOL calc.</t>
  </si>
  <si>
    <t xml:space="preserve">      Changed the State Franchise Tax Rate.  It was .15% for the term.  Now this rate changes to .10% from the second year on.  All per Pat Maloy</t>
  </si>
  <si>
    <t xml:space="preserve">12.  Changed the format of the State Taxes making Franchise and Gross Receipts deductible for State Income Tax purposes.</t>
  </si>
  <si>
    <t xml:space="preserve">13.  Changed the MACR tables</t>
  </si>
  <si>
    <t xml:space="preserve">14.  Added to Fixed G&amp;A $30k for Gas Pipeline Metering</t>
  </si>
  <si>
    <t xml:space="preserve">15.  Changed the Major Maintenance according to the Matrix provided by the OEC.</t>
  </si>
  <si>
    <t xml:space="preserve">16.  New Drawdown Schedule</t>
  </si>
  <si>
    <t xml:space="preserve">17.  Updated model with the new Contol Budget version #1</t>
  </si>
  <si>
    <t xml:space="preserve">18.  Changed the IDC calculation to include half of the current month Draw.</t>
  </si>
  <si>
    <t xml:space="preserve">19.  Control Budget Version #2 and the new Draw Schedule.</t>
  </si>
  <si>
    <t xml:space="preserve">20.  Increased the Capacity from 600 to 614 based on Scott Healy's recommendation.</t>
  </si>
  <si>
    <t xml:space="preserve">21.  Added the Franchise Tax into EBITDA.</t>
  </si>
  <si>
    <t xml:space="preserve">22.  Added a full year to year 20 instead of 5 months</t>
  </si>
  <si>
    <t xml:space="preserve">23.  Rolled EI Mob into Turnkey to Depreciate and changed Book Deprec to 30 years.</t>
  </si>
  <si>
    <t xml:space="preserve">24.  Added an Admin Fee to O&amp;M prorating $1M on a MW basis.</t>
  </si>
  <si>
    <t xml:space="preserve">25.  Changed Interest Income to be 5% of 25% of EBITDA.</t>
  </si>
  <si>
    <t xml:space="preserve">26.  Changed the Site MW's from 614 to 601.5</t>
  </si>
  <si>
    <t xml:space="preserve">27.  Changed the # on Start per Yr. To 120 from 115.  This changes the Start Fuel Expense which is a pass through.</t>
  </si>
  <si>
    <t xml:space="preserve">28.  Changed the Gas Price to Fixed 2.5</t>
  </si>
  <si>
    <t xml:space="preserve">29.  Added a per start payment which causes the Maj. Main to be treated as a passthrough.</t>
  </si>
  <si>
    <t xml:space="preserve">30.  Version #4 of the Control Budget and took out the Debt Reserve.</t>
  </si>
  <si>
    <t xml:space="preserve">31.  Put in the new ICF Capacity Curve.</t>
  </si>
  <si>
    <t xml:space="preserve">31.  Changed the start of Fuel to 255 MMBTU / Start / Turbine</t>
  </si>
  <si>
    <t xml:space="preserve">32.  Confirmed Capacity at 608 MW up from 601.5</t>
  </si>
  <si>
    <t xml:space="preserve">33.  Capacity Price to $4.00/ kw-mo</t>
  </si>
  <si>
    <t xml:space="preserve">34.  Broke out Utlity Cost between the Facilities Load and Start Up Power.</t>
  </si>
  <si>
    <t xml:space="preserve">35.  Updated the Fuel Usage for Start Up and Version #5 of the Control Budget which only had a nominal change in the IDC.</t>
  </si>
  <si>
    <t xml:space="preserve">36.  Changed the Start Date to July 1st from June 1st</t>
  </si>
  <si>
    <t xml:space="preserve">37.  Added in Degredation on Capacity for the Merchant output</t>
  </si>
  <si>
    <t xml:space="preserve">38.  Added a .07 / kw-mo  Marketing Fee</t>
  </si>
  <si>
    <t xml:space="preserve">39.  New Kaiser Curves that are in $1998.</t>
  </si>
  <si>
    <t xml:space="preserve">40.  Revised the Start Up Fuel Quantity</t>
  </si>
  <si>
    <t xml:space="preserve">41.  Control Budget Version # 7</t>
  </si>
  <si>
    <t xml:space="preserve">42.  Moved the Start Date to June 1st giving 7 months for Yr. 1</t>
  </si>
  <si>
    <t xml:space="preserve">43.  Incorporated the Enegry Margin on 2% of the Capacity</t>
  </si>
  <si>
    <t xml:space="preserve">44.  Reduced the Maj. Maint in thr Block Payment to 1/3 of the expense as Kaiser is incorporating 2/3 of it in the Capacity Price.</t>
  </si>
  <si>
    <t xml:space="preserve">45.  Changed the Start Date to 5/30/20</t>
  </si>
  <si>
    <t xml:space="preserve">46.  Control Budget Version # 9</t>
  </si>
  <si>
    <t xml:space="preserve">47.  Changed the Financing Structure to the CSFB structure</t>
  </si>
  <si>
    <t xml:space="preserve">48.  Changed the escalation on the $.07 Marketing Fee.  The base year is now 2003.</t>
  </si>
  <si>
    <t xml:space="preserve">49.  Control Budget Version #11</t>
  </si>
  <si>
    <t xml:space="preserve">50.  The last years Block Payment was prorating the Major Main. Portion while the cost was not.</t>
  </si>
  <si>
    <t xml:space="preserve">51.  Control Budget Version #12 and change of last year energy income to partial year as well as cost.</t>
  </si>
  <si>
    <t xml:space="preserve">52.  Control Budget Revision #15</t>
  </si>
  <si>
    <t xml:space="preserve">53.  Adjusted the Property Tax downward as per Scott Healy</t>
  </si>
  <si>
    <t xml:space="preserve">54.  Control Budget revision #18</t>
  </si>
  <si>
    <t xml:space="preserve">55.  Using the ISO ratings during the Merchant Period.</t>
  </si>
  <si>
    <t xml:space="preserve">56.  Control Budget Version # 20</t>
  </si>
  <si>
    <t xml:space="preserve">57.  Control Budget Verssion # 21</t>
  </si>
  <si>
    <t xml:space="preserve">58.  Expensed the Plano Expenses and Wilton Expenses that we should not be capitalizing.</t>
  </si>
  <si>
    <t xml:space="preserve">59.  Added in a property tax accrual in the year 2000.  Before we assumed that the convention would follow Mississippi</t>
  </si>
  <si>
    <t xml:space="preserve">60. Update costs from weekly control sheet</t>
  </si>
  <si>
    <t xml:space="preserve">61. Update costs from weekly control sheet</t>
  </si>
  <si>
    <t xml:space="preserve">62.  Change to IDC and Commitment Fee</t>
  </si>
  <si>
    <t xml:space="preserve">64 The changes that were made were to IDC &amp; to Commitment Fee.</t>
  </si>
  <si>
    <t xml:space="preserve">65.  Changes made to Wilton Center Expenses</t>
  </si>
  <si>
    <t xml:space="preserve">65.  Changes made to Development Costs and No Financing Charges in Model ($1,500)</t>
  </si>
  <si>
    <t xml:space="preserve">66 No changes made to Nepco scope</t>
  </si>
  <si>
    <t xml:space="preserve">66 No changes made to IDC and NEPCO</t>
  </si>
  <si>
    <t xml:space="preserve">67. No changes made to IDC and NEPCO</t>
  </si>
  <si>
    <t xml:space="preserve">67. Changes made to development and nepco</t>
  </si>
  <si>
    <t xml:space="preserve">67. Changes made to nepco</t>
  </si>
  <si>
    <t xml:space="preserve">COPIED TO THE CONSOLIDATED FILE</t>
  </si>
  <si>
    <t xml:space="preserve">Plant Summary</t>
  </si>
  <si>
    <t xml:space="preserve">Capacity</t>
  </si>
  <si>
    <t xml:space="preserve">Heat Rate</t>
  </si>
  <si>
    <t xml:space="preserve">No. of Turbines</t>
  </si>
  <si>
    <t xml:space="preserve">Operating Hours</t>
  </si>
  <si>
    <t xml:space="preserve">Start Up MMBTU's</t>
  </si>
  <si>
    <t xml:space="preserve">Book Income 1999 Costs</t>
  </si>
  <si>
    <t xml:space="preserve">Fixed Operating Cost</t>
  </si>
  <si>
    <t xml:space="preserve">Variable Operating Cost</t>
  </si>
  <si>
    <t xml:space="preserve">Start Fuel</t>
  </si>
  <si>
    <t xml:space="preserve">Major Main.</t>
  </si>
  <si>
    <t xml:space="preserve">Insurance</t>
  </si>
  <si>
    <t xml:space="preserve">SG&amp;A Cost</t>
  </si>
  <si>
    <t xml:space="preserve">Utility: Start Up Power</t>
  </si>
  <si>
    <t xml:space="preserve">Property Taxes &amp; Other</t>
  </si>
  <si>
    <t xml:space="preserve">Debt Service</t>
  </si>
  <si>
    <t xml:space="preserve">Admin Fees</t>
  </si>
  <si>
    <t xml:space="preserve">O&amp;M Fees</t>
  </si>
  <si>
    <t xml:space="preserve">Variable Revenue</t>
  </si>
  <si>
    <t xml:space="preserve">Variable Energy Payment</t>
  </si>
  <si>
    <t xml:space="preserve">Start Payment/Turbine</t>
  </si>
  <si>
    <t xml:space="preserve">Consolidated Check</t>
  </si>
  <si>
    <t xml:space="preserve">EGC EBITDA</t>
  </si>
  <si>
    <t xml:space="preserve">Wilton</t>
  </si>
  <si>
    <t xml:space="preserve">Plus : L/C</t>
  </si>
  <si>
    <t xml:space="preserve">Less:  Interest</t>
  </si>
  <si>
    <t xml:space="preserve">    Difference</t>
  </si>
  <si>
    <t xml:space="preserve">WILTON CENTER, Will County, IL</t>
  </si>
  <si>
    <t xml:space="preserve">ASSUMPTIONS AND SUMMARY</t>
  </si>
  <si>
    <t xml:space="preserve">SOURCES AND USES:</t>
  </si>
  <si>
    <t xml:space="preserve">PROJECT DESCRIPTION:</t>
  </si>
  <si>
    <t xml:space="preserve">VARIABLE OPERATING COSTS:</t>
  </si>
  <si>
    <t xml:space="preserve">PROPERTY TAX ASSUMPTIONS:</t>
  </si>
  <si>
    <t xml:space="preserve">Base Year </t>
  </si>
  <si>
    <t xml:space="preserve">Basis for Property Tax</t>
  </si>
  <si>
    <t xml:space="preserve">Sources of Funds</t>
  </si>
  <si>
    <t xml:space="preserve">Type of Turbines</t>
  </si>
  <si>
    <t xml:space="preserve">GE 7EA</t>
  </si>
  <si>
    <t xml:space="preserve">OEC #'s per 1200 hrs</t>
  </si>
  <si>
    <t xml:space="preserve">MW'hrs</t>
  </si>
  <si>
    <t xml:space="preserve"> $/MWh</t>
  </si>
  <si>
    <t xml:space="preserve">2000-2003 Ave</t>
  </si>
  <si>
    <t xml:space="preserve">Assessed Value Multiplier</t>
  </si>
  <si>
    <t xml:space="preserve">    Equity Capital</t>
  </si>
  <si>
    <t xml:space="preserve">No. Turbines</t>
  </si>
  <si>
    <t xml:space="preserve">Water Treatment</t>
  </si>
  <si>
    <t xml:space="preserve">All-in Mileage Rate</t>
  </si>
  <si>
    <t xml:space="preserve">    Permanent Loan</t>
  </si>
  <si>
    <t xml:space="preserve">ISO Capacity Rating (MW)</t>
  </si>
  <si>
    <t xml:space="preserve">FERC Fee</t>
  </si>
  <si>
    <t xml:space="preserve">Years of Tax Abatement</t>
  </si>
  <si>
    <t xml:space="preserve">N/A</t>
  </si>
  <si>
    <t xml:space="preserve">Net Project MW -  Site</t>
  </si>
  <si>
    <t xml:space="preserve">Variable Maintenance</t>
  </si>
  <si>
    <t xml:space="preserve">Avg. Property Tax</t>
  </si>
  <si>
    <t xml:space="preserve">  Total Sources</t>
  </si>
  <si>
    <t xml:space="preserve">Degraded Capacity</t>
  </si>
  <si>
    <t xml:space="preserve">On Merchant Hours Only</t>
  </si>
  <si>
    <t xml:space="preserve">   TOTAL VEP</t>
  </si>
  <si>
    <t xml:space="preserve">Heat Rate (HHV)</t>
  </si>
  <si>
    <t xml:space="preserve">BOOK INCOME ASSUMPTIONS:</t>
  </si>
  <si>
    <t xml:space="preserve">Uses of Funds</t>
  </si>
  <si>
    <t xml:space="preserve">Power Capacity Factor</t>
  </si>
  <si>
    <t xml:space="preserve">COST PER START:</t>
  </si>
  <si>
    <t xml:space="preserve">P/E in Year 2000:</t>
  </si>
  <si>
    <t xml:space="preserve">Hard Costs:</t>
  </si>
  <si>
    <t xml:space="preserve">Annual Peak Operating Hours</t>
  </si>
  <si>
    <t xml:space="preserve">TVA hours</t>
  </si>
  <si>
    <t xml:space="preserve">No of Starts (By 10's)</t>
  </si>
  <si>
    <t xml:space="preserve">Cost/Start/Turbine</t>
  </si>
  <si>
    <t xml:space="preserve">Cost/Start</t>
  </si>
  <si>
    <t xml:space="preserve">$/Yr. (000's)</t>
  </si>
  <si>
    <t xml:space="preserve">Escalation</t>
  </si>
  <si>
    <t xml:space="preserve">Book Depreciation Period</t>
  </si>
  <si>
    <t xml:space="preserve">  Turbines</t>
  </si>
  <si>
    <t xml:space="preserve">Project Life (Years)</t>
  </si>
  <si>
    <t xml:space="preserve">Major Maintenance</t>
  </si>
  <si>
    <t xml:space="preserve">Book Residual</t>
  </si>
  <si>
    <t xml:space="preserve">  ABB (Transformer and Curcuit Breakers</t>
  </si>
  <si>
    <t xml:space="preserve">Start of Commercial Operation</t>
  </si>
  <si>
    <t xml:space="preserve">Fraction of Yr1</t>
  </si>
  <si>
    <t xml:space="preserve">Start Up Fuel</t>
  </si>
  <si>
    <t xml:space="preserve">Avg Annual Int Rate Earned on EBITDA and Maint Res.</t>
  </si>
  <si>
    <t xml:space="preserve">  Sound Control</t>
  </si>
  <si>
    <t xml:space="preserve">End of Commercial Operation</t>
  </si>
  <si>
    <t xml:space="preserve">  EE&amp;CC , Overhead and Fees</t>
  </si>
  <si>
    <t xml:space="preserve">Installed Cost ($/kW)</t>
  </si>
  <si>
    <t xml:space="preserve">W/Debt Res.</t>
  </si>
  <si>
    <t xml:space="preserve">W/O Debt Res.</t>
  </si>
  <si>
    <t xml:space="preserve">CHECKS:</t>
  </si>
  <si>
    <t xml:space="preserve">  NEPCO, Overheads and Fees</t>
  </si>
  <si>
    <t xml:space="preserve">FIXED OPERATING COSTS:</t>
  </si>
  <si>
    <t xml:space="preserve">  Base Fee</t>
  </si>
  <si>
    <t xml:space="preserve">VARIABLE PAYMENTS:</t>
  </si>
  <si>
    <t xml:space="preserve">Payroll and Burden</t>
  </si>
  <si>
    <t xml:space="preserve">Does Balance Sheet Balance</t>
  </si>
  <si>
    <t xml:space="preserve">  NEPCO Scope (Reimbursable)</t>
  </si>
  <si>
    <t xml:space="preserve">$/ MW h</t>
  </si>
  <si>
    <t xml:space="preserve">Other O&amp;M expenses</t>
  </si>
  <si>
    <t xml:space="preserve">Total Depreciable Base</t>
  </si>
  <si>
    <t xml:space="preserve">  Switchyard</t>
  </si>
  <si>
    <t xml:space="preserve">Start Up Payment / Turbine</t>
  </si>
  <si>
    <t xml:space="preserve">$/Start/ Turbine</t>
  </si>
  <si>
    <t xml:space="preserve">Admin Fee's ( $1M Prorated by Project MW's )</t>
  </si>
  <si>
    <t xml:space="preserve">Total Project Cost</t>
  </si>
  <si>
    <t xml:space="preserve">  Union Adders/Other</t>
  </si>
  <si>
    <t xml:space="preserve">Energy Margin</t>
  </si>
  <si>
    <t xml:space="preserve">$/MWh</t>
  </si>
  <si>
    <t xml:space="preserve">Capacity Factor</t>
  </si>
  <si>
    <t xml:space="preserve">Marketing Fee (Merchant Only)</t>
  </si>
  <si>
    <t xml:space="preserve">$/kw-mo</t>
  </si>
  <si>
    <t xml:space="preserve">   Undepreciated Cost</t>
  </si>
  <si>
    <t xml:space="preserve">  Spare Parts </t>
  </si>
  <si>
    <t xml:space="preserve">   Land</t>
  </si>
  <si>
    <t xml:space="preserve">  Land Acquisition</t>
  </si>
  <si>
    <t xml:space="preserve">PPA ASSUMPTIONS:</t>
  </si>
  <si>
    <t xml:space="preserve">   TOTAL FIXED O&amp;M</t>
  </si>
  <si>
    <t xml:space="preserve">  Power and Water Interconnect</t>
  </si>
  <si>
    <t xml:space="preserve">Term of ECT PPA (years)</t>
  </si>
  <si>
    <t xml:space="preserve">Yrs.</t>
  </si>
  <si>
    <t xml:space="preserve">End Month</t>
  </si>
  <si>
    <t xml:space="preserve">  Gas Interconnection Costs</t>
  </si>
  <si>
    <t xml:space="preserve">Total PPA Capacity (MW)</t>
  </si>
  <si>
    <t xml:space="preserve">FIXED G&amp;A:</t>
  </si>
  <si>
    <t xml:space="preserve">  Sales and Use Tax on Equipment</t>
  </si>
  <si>
    <t xml:space="preserve">Number of Hours Called under PPA</t>
  </si>
  <si>
    <t xml:space="preserve">Base Year</t>
  </si>
  <si>
    <t xml:space="preserve">  Mobilization Fuel</t>
  </si>
  <si>
    <t xml:space="preserve">Capacity Rate</t>
  </si>
  <si>
    <t xml:space="preserve">Insurance Costs:</t>
  </si>
  <si>
    <t xml:space="preserve">Capacity Rate Escalation</t>
  </si>
  <si>
    <t xml:space="preserve">   Liability Insurance</t>
  </si>
  <si>
    <t xml:space="preserve">Soft Costs:</t>
  </si>
  <si>
    <t xml:space="preserve">Capacity Rate Escalation for Kaiser estimates</t>
  </si>
  <si>
    <t xml:space="preserve">   Bus Int Ins.</t>
  </si>
  <si>
    <t xml:space="preserve">  EE&amp;CC Project Management</t>
  </si>
  <si>
    <t xml:space="preserve">   Ops and Mach Ins</t>
  </si>
  <si>
    <t xml:space="preserve">  Mobilization of O&amp;M</t>
  </si>
  <si>
    <t xml:space="preserve">DEBT FINANCING ASSUMPTIONS:</t>
  </si>
  <si>
    <t xml:space="preserve">Total Insurance Cost</t>
  </si>
  <si>
    <t xml:space="preserve">  Environmental Permitting</t>
  </si>
  <si>
    <t xml:space="preserve">Use Normal Debt Structure or Alternate?</t>
  </si>
  <si>
    <t xml:space="preserve">Alternate</t>
  </si>
  <si>
    <t xml:space="preserve">Utilities: Start Up Power</t>
  </si>
  <si>
    <t xml:space="preserve">  Insurance During Construction</t>
  </si>
  <si>
    <t xml:space="preserve">Utilities: Facilities Load</t>
  </si>
  <si>
    <t xml:space="preserve">  Capitalized Salaries</t>
  </si>
  <si>
    <t xml:space="preserve">Tranche A</t>
  </si>
  <si>
    <t xml:space="preserve">Tranche B</t>
  </si>
  <si>
    <t xml:space="preserve">Tranche C</t>
  </si>
  <si>
    <t xml:space="preserve">Total</t>
  </si>
  <si>
    <t xml:space="preserve">Interconnection Fees</t>
  </si>
  <si>
    <t xml:space="preserve">  Plano Capitalized Expenses</t>
  </si>
  <si>
    <t xml:space="preserve">Principal Amount</t>
  </si>
  <si>
    <t xml:space="preserve">Gas Pipeline Metering Station</t>
  </si>
  <si>
    <t xml:space="preserve">  Development Expenses</t>
  </si>
  <si>
    <t xml:space="preserve">Principal Amount - Alternate</t>
  </si>
  <si>
    <t xml:space="preserve">Miscellaneous</t>
  </si>
  <si>
    <t xml:space="preserve">  Legal Expense</t>
  </si>
  <si>
    <t xml:space="preserve">Term</t>
  </si>
  <si>
    <t xml:space="preserve">   TOTAL FIXED G&amp;A</t>
  </si>
  <si>
    <t xml:space="preserve">  Wilton Center Expensed</t>
  </si>
  <si>
    <t xml:space="preserve">Interest Rate</t>
  </si>
  <si>
    <t xml:space="preserve">  Working Capital</t>
  </si>
  <si>
    <t xml:space="preserve">DSCR</t>
  </si>
  <si>
    <t xml:space="preserve">O&amp;M Escalation</t>
  </si>
  <si>
    <t xml:space="preserve">Choose for Tranches B &amp; C </t>
  </si>
  <si>
    <t xml:space="preserve">Interest Only</t>
  </si>
  <si>
    <t xml:space="preserve">Operating Cost Escalation</t>
  </si>
  <si>
    <t xml:space="preserve">Avg. Life (years)</t>
  </si>
  <si>
    <t xml:space="preserve">Financing Costs:</t>
  </si>
  <si>
    <t xml:space="preserve">OPERATING COST SUMMARY:</t>
  </si>
  <si>
    <t xml:space="preserve">  Lender's Engineer</t>
  </si>
  <si>
    <t xml:space="preserve">DEBT RESERVE ASSUMPTIONS:</t>
  </si>
  <si>
    <t xml:space="preserve">1999  US$</t>
  </si>
  <si>
    <t xml:space="preserve">  Lender's Counsel</t>
  </si>
  <si>
    <t xml:space="preserve">Fund from Operations or Financing?</t>
  </si>
  <si>
    <t xml:space="preserve">Operations</t>
  </si>
  <si>
    <t xml:space="preserve">Variable Operating Costs</t>
  </si>
  <si>
    <t xml:space="preserve">$/YR</t>
  </si>
  <si>
    <t xml:space="preserve">  Financing Fee</t>
  </si>
  <si>
    <t xml:space="preserve">Amount of Reserve Needed (6 mos DS)</t>
  </si>
  <si>
    <t xml:space="preserve">  Debt Reserves</t>
  </si>
  <si>
    <t xml:space="preserve">Interest Rate Earned on Outstanding Debt Reserve Balance </t>
  </si>
  <si>
    <t xml:space="preserve">$/Start</t>
  </si>
  <si>
    <t xml:space="preserve">   </t>
  </si>
  <si>
    <t xml:space="preserve">RETURNS TO EQUITY HOLDERS:</t>
  </si>
  <si>
    <t xml:space="preserve">Capitalized Interest:</t>
  </si>
  <si>
    <t xml:space="preserve">Preferred Equity</t>
  </si>
  <si>
    <t xml:space="preserve">Term (yrs)</t>
  </si>
  <si>
    <t xml:space="preserve">  IDC on Project Cost</t>
  </si>
  <si>
    <t xml:space="preserve">Coupon</t>
  </si>
  <si>
    <t xml:space="preserve">Fixed Operating Costs</t>
  </si>
  <si>
    <t xml:space="preserve">$/KWm</t>
  </si>
  <si>
    <t xml:space="preserve">Principal</t>
  </si>
  <si>
    <t xml:space="preserve">Fixed G&amp;A</t>
  </si>
  <si>
    <t xml:space="preserve">Property Tax ('02 Disc.)</t>
  </si>
  <si>
    <t xml:space="preserve">  Contingency on Hard &amp; Soft Costs</t>
  </si>
  <si>
    <t xml:space="preserve">RETURN ON EQUITY:</t>
  </si>
  <si>
    <t xml:space="preserve">Operating Taxes ('02 Disc.)</t>
  </si>
  <si>
    <t xml:space="preserve">  Contingency on NEPCO</t>
  </si>
  <si>
    <t xml:space="preserve">Required Return on Equity</t>
  </si>
  <si>
    <t xml:space="preserve">   Total Contingency</t>
  </si>
  <si>
    <t xml:space="preserve">Pre-Tax</t>
  </si>
  <si>
    <t xml:space="preserve">After-Tax</t>
  </si>
  <si>
    <t xml:space="preserve">   Total  Operating Costs</t>
  </si>
  <si>
    <t xml:space="preserve">Years</t>
  </si>
  <si>
    <t xml:space="preserve">XIRR</t>
  </si>
  <si>
    <t xml:space="preserve">Total Uses</t>
  </si>
  <si>
    <t xml:space="preserve">Start Up Fuel (MMBTU/Turbine)</t>
  </si>
  <si>
    <t xml:space="preserve">Startup Fuel Mmbtu/Turbine</t>
  </si>
  <si>
    <t xml:space="preserve">MMBTU's</t>
  </si>
  <si>
    <t xml:space="preserve">MODEL TOGGLES:</t>
  </si>
  <si>
    <t xml:space="preserve">STATE &amp; FEDERAL TAX ASSUMPTIONS:</t>
  </si>
  <si>
    <t xml:space="preserve">Fixed Price or Index Gas Curve?</t>
  </si>
  <si>
    <t xml:space="preserve">Fixed</t>
  </si>
  <si>
    <t xml:space="preserve">Federal Income Tax Rate</t>
  </si>
  <si>
    <t xml:space="preserve">Fixed Gas Price</t>
  </si>
  <si>
    <t xml:space="preserve">State Income Tax Rate</t>
  </si>
  <si>
    <t xml:space="preserve">Use Fed NOL Carryforward?</t>
  </si>
  <si>
    <t xml:space="preserve">Yes</t>
  </si>
  <si>
    <t xml:space="preserve">XNPV</t>
  </si>
  <si>
    <t xml:space="preserve">Effective Income Tax Rate</t>
  </si>
  <si>
    <t xml:space="preserve">Use State NOL Carryforward?</t>
  </si>
  <si>
    <t xml:space="preserve">Maximum Term of Carryforward (years)</t>
  </si>
  <si>
    <t xml:space="preserve">State Utility Gross Receipts Tax Rate (Gross Rev.)</t>
  </si>
  <si>
    <t xml:space="preserve">Assumed run hours or dispatched?</t>
  </si>
  <si>
    <t xml:space="preserve">Assumed</t>
  </si>
  <si>
    <t xml:space="preserve">State Franchise Tax Rate (Capital or BV of assets) Yr. 1</t>
  </si>
  <si>
    <t xml:space="preserve">Allow Merchant Energy Revenue?</t>
  </si>
  <si>
    <t xml:space="preserve">No</t>
  </si>
  <si>
    <t xml:space="preserve">State Franchise Tax Rate (Capital or BV of assets) Yr. 2 - 20</t>
  </si>
  <si>
    <t xml:space="preserve">Allow Residual Capacity Value?</t>
  </si>
  <si>
    <t xml:space="preserve">State Sales and Use Tax Rate on Fuel</t>
  </si>
  <si>
    <t xml:space="preserve">Residual Capacity Value ($/kWmo)</t>
  </si>
  <si>
    <t xml:space="preserve">Excise Util tax (Net Income)</t>
  </si>
  <si>
    <t xml:space="preserve">Kaiser Capacity Curve</t>
  </si>
  <si>
    <t xml:space="preserve">Base, Low, Mid or Percentage (1, 2, 3 or 4)</t>
  </si>
  <si>
    <t xml:space="preserve">Percentage for Option 4</t>
  </si>
  <si>
    <t xml:space="preserve">Energy Curve Selector</t>
  </si>
  <si>
    <t xml:space="preserve">Marginal Cost Curve</t>
  </si>
  <si>
    <t xml:space="preserve">Pass through Variable O&amp;M?</t>
  </si>
  <si>
    <t xml:space="preserve">Multiples</t>
  </si>
  <si>
    <t xml:space="preserve">Auction Value</t>
  </si>
  <si>
    <t xml:space="preserve">TO DO</t>
  </si>
  <si>
    <t xml:space="preserve">IPO Value</t>
  </si>
  <si>
    <t xml:space="preserve">IDC amortized</t>
  </si>
  <si>
    <t xml:space="preserve">Total Value</t>
  </si>
  <si>
    <t xml:space="preserve">check util</t>
  </si>
  <si>
    <t xml:space="preserve">*</t>
  </si>
  <si>
    <t xml:space="preserve">Less Cost</t>
  </si>
  <si>
    <t xml:space="preserve">**</t>
  </si>
  <si>
    <t xml:space="preserve">Net Value</t>
  </si>
  <si>
    <t xml:space="preserve">IPO Equity Valuation*</t>
  </si>
  <si>
    <t xml:space="preserve">REIT Equity  Value**</t>
  </si>
  <si>
    <t xml:space="preserve">IPO = NPV of 2001 Earnings*Multiple-Equity-Capacity Delta</t>
  </si>
  <si>
    <t xml:space="preserve">Reit =NPV of 2001  EBT*Multiple-Equity-Capacity Delta</t>
  </si>
  <si>
    <t xml:space="preserve">Checked and verified</t>
  </si>
  <si>
    <t xml:space="preserve">Check with Tax</t>
  </si>
  <si>
    <t xml:space="preserve">Modelling or Assumption # change needed</t>
  </si>
  <si>
    <t xml:space="preserve">Need clarication of principle</t>
  </si>
  <si>
    <t xml:space="preserve">Changed</t>
  </si>
  <si>
    <t xml:space="preserve">PPA Assumptions and Pricing Summary</t>
  </si>
  <si>
    <t xml:space="preserve">Months of Operation</t>
  </si>
  <si>
    <t xml:space="preserve">Months of Year Under PPA</t>
  </si>
  <si>
    <t xml:space="preserve">Months of Year Merchant</t>
  </si>
  <si>
    <t xml:space="preserve">% of Capacity Under PPA</t>
  </si>
  <si>
    <t xml:space="preserve">Capacity Payment Terms</t>
  </si>
  <si>
    <t xml:space="preserve"> </t>
  </si>
  <si>
    <t xml:space="preserve">   Energy ($/MWH)</t>
  </si>
  <si>
    <t xml:space="preserve">   Capacity ($/kw-mo) - Fixed PPA</t>
  </si>
  <si>
    <t xml:space="preserve">   Capacity ($/kw-mo) - Merchant</t>
  </si>
  <si>
    <t xml:space="preserve">   Capacity Escalation Index</t>
  </si>
  <si>
    <t xml:space="preserve">   Ancillary Services</t>
  </si>
  <si>
    <t xml:space="preserve">   Fees</t>
  </si>
  <si>
    <t xml:space="preserve">r</t>
  </si>
  <si>
    <t xml:space="preserve">Power Pricing Summary</t>
  </si>
  <si>
    <t xml:space="preserve">   All in Power Price $/MWH</t>
  </si>
  <si>
    <t xml:space="preserve">   Fuel $/MWH</t>
  </si>
  <si>
    <t xml:space="preserve">   Variable O&amp;M $/MWH</t>
  </si>
  <si>
    <t xml:space="preserve">   Marginal cost of Generation $/MWh</t>
  </si>
  <si>
    <t xml:space="preserve">Operations &amp; Maintenance Costs</t>
  </si>
  <si>
    <r>
      <rPr>
        <b val="true"/>
        <sz val="8"/>
        <rFont val="Times New Roman"/>
        <family val="1"/>
      </rPr>
      <t xml:space="preserve">   </t>
    </r>
    <r>
      <rPr>
        <b val="true"/>
        <u val="single"/>
        <sz val="8"/>
        <rFont val="Times New Roman"/>
        <family val="1"/>
      </rPr>
      <t xml:space="preserve">Annual Costs by Type:</t>
    </r>
  </si>
  <si>
    <t xml:space="preserve">Term Ave</t>
  </si>
  <si>
    <t xml:space="preserve">   Total Variable Operating Cost</t>
  </si>
  <si>
    <t xml:space="preserve">   Total Start Up Cost</t>
  </si>
  <si>
    <t xml:space="preserve">   Total Fixed (incl. G&amp;A)</t>
  </si>
  <si>
    <t xml:space="preserve">   Property Taxes</t>
  </si>
  <si>
    <t xml:space="preserve">   Total Operating Taxes</t>
  </si>
  <si>
    <t xml:space="preserve">   Total Debt Service</t>
  </si>
  <si>
    <t xml:space="preserve">   Total Annual Expenses</t>
  </si>
  <si>
    <t xml:space="preserve">   Breakout of Total Fixed:</t>
  </si>
  <si>
    <t xml:space="preserve">   Fixed Operating Cost</t>
  </si>
  <si>
    <t xml:space="preserve">   Fixed G&amp;A</t>
  </si>
  <si>
    <r>
      <rPr>
        <b val="true"/>
        <sz val="8"/>
        <rFont val="Times New Roman"/>
        <family val="1"/>
      </rPr>
      <t xml:space="preserve">   </t>
    </r>
    <r>
      <rPr>
        <b val="true"/>
        <u val="single"/>
        <sz val="8"/>
        <rFont val="Times New Roman"/>
        <family val="1"/>
      </rPr>
      <t xml:space="preserve">$/kWmo Costs by Type:</t>
    </r>
  </si>
  <si>
    <t xml:space="preserve">   Variable Operating Cost $/kWmo</t>
  </si>
  <si>
    <t xml:space="preserve">   Start Up Cost $/ KW mo</t>
  </si>
  <si>
    <t xml:space="preserve">   Fixed Operating Cost (incl G&amp;A) $/kWmo</t>
  </si>
  <si>
    <t xml:space="preserve">   Total Operating Cost $/kWmo</t>
  </si>
  <si>
    <t xml:space="preserve">   Total O&amp;M $/kWmo (excluding Debt Service)</t>
  </si>
  <si>
    <t xml:space="preserve">   Operating Taxes $/Kwmo</t>
  </si>
  <si>
    <t xml:space="preserve">   Debt Service $/kWmo</t>
  </si>
  <si>
    <t xml:space="preserve">   Total Operating Cost $/kWmo </t>
  </si>
  <si>
    <r>
      <rPr>
        <b val="true"/>
        <sz val="8"/>
        <rFont val="Times New Roman"/>
        <family val="1"/>
      </rPr>
      <t xml:space="preserve">   </t>
    </r>
    <r>
      <rPr>
        <b val="true"/>
        <u val="single"/>
        <sz val="8"/>
        <rFont val="Times New Roman"/>
        <family val="1"/>
      </rPr>
      <t xml:space="preserve">$/MWh Costs by Type:</t>
    </r>
  </si>
  <si>
    <t xml:space="preserve">   Variable O&amp;M $/MWh</t>
  </si>
  <si>
    <t xml:space="preserve">   Start Up Cost $/MWh</t>
  </si>
  <si>
    <t xml:space="preserve">   Fixed O&amp;M $/MWh</t>
  </si>
  <si>
    <t xml:space="preserve">   Total O&amp;M $/MWh</t>
  </si>
  <si>
    <t xml:space="preserve">Consultant's Capacity Curve</t>
  </si>
  <si>
    <t xml:space="preserve">Kaiser Base </t>
  </si>
  <si>
    <t xml:space="preserve">Kaiser Low </t>
  </si>
  <si>
    <t xml:space="preserve">Kaiser Mid (Average of Base and Low)</t>
  </si>
  <si>
    <t xml:space="preserve">Kaiser Percent (Percentage of Low and Mid)</t>
  </si>
  <si>
    <t xml:space="preserve">Kaiser Comed Base $/kw-year (in 1998 real $)</t>
  </si>
  <si>
    <t xml:space="preserve">REAL</t>
  </si>
  <si>
    <t xml:space="preserve">Kaiser Comed Low $/kw-year (in 1998 real $)</t>
  </si>
  <si>
    <t xml:space="preserve">Consultant's Energy Curve</t>
  </si>
  <si>
    <t xml:space="preserve">Kaiser Peak</t>
  </si>
  <si>
    <t xml:space="preserve">Kaiser Off peak</t>
  </si>
  <si>
    <t xml:space="preserve">ECT Peak Curve</t>
  </si>
  <si>
    <t xml:space="preserve">Kaiser Peak as of 1998 ( $ / MWh )</t>
  </si>
  <si>
    <t xml:space="preserve">Kaiser Off Peak as of 1998 ( $ / MWh )</t>
  </si>
  <si>
    <t xml:space="preserve">PPA Plant Output Summary</t>
  </si>
  <si>
    <t xml:space="preserve">   Capacity Degradation</t>
  </si>
  <si>
    <t xml:space="preserve">   Heat Rate Degradation</t>
  </si>
  <si>
    <t xml:space="preserve">   Degraded Capacity (MW)</t>
  </si>
  <si>
    <t xml:space="preserve">   Peak Capacity Sales Rate (MW)</t>
  </si>
  <si>
    <t xml:space="preserve">   Peak  Hours</t>
  </si>
  <si>
    <t xml:space="preserve">   Maximum Peak Generation (MWh)</t>
  </si>
  <si>
    <t xml:space="preserve">Merchant Plant Output Summary</t>
  </si>
  <si>
    <t xml:space="preserve">   Peak Energy Sales (MW)</t>
  </si>
  <si>
    <t xml:space="preserve">PPA to Merchant Split</t>
  </si>
  <si>
    <t xml:space="preserve">  PPA MWh</t>
  </si>
  <si>
    <t xml:space="preserve">      % of Total MWh Taken</t>
  </si>
  <si>
    <t xml:space="preserve">  Market MWh</t>
  </si>
  <si>
    <t xml:space="preserve">   Actual MWh Produced</t>
  </si>
  <si>
    <t xml:space="preserve">      % of Total MWH Available</t>
  </si>
  <si>
    <t xml:space="preserve">   Degraded Peak Heat Rate (Btu/kWh)</t>
  </si>
  <si>
    <t xml:space="preserve">   Peak Fuel BBtu</t>
  </si>
  <si>
    <t xml:space="preserve">   Peak Fuel Cost $000</t>
  </si>
  <si>
    <t xml:space="preserve">   Start up fuel cost for all turbines</t>
  </si>
  <si>
    <t xml:space="preserve">      Total Fuel Cost</t>
  </si>
  <si>
    <t xml:space="preserve">Gas &amp; Power Curves</t>
  </si>
  <si>
    <t xml:space="preserve">   Avg Mid Gas Curve Price ($/MMBtu)</t>
  </si>
  <si>
    <t xml:space="preserve">   Fixed Price ($/MMBtu)</t>
  </si>
  <si>
    <t xml:space="preserve">   Sales Tax Rate</t>
  </si>
  <si>
    <t xml:space="preserve">   Delivered Gas Price</t>
  </si>
  <si>
    <t xml:space="preserve">   Desk Mid Peak Power Curve ($/MWh)</t>
  </si>
  <si>
    <t xml:space="preserve">   Assumed Residual Capacity Value Curve ($/kWmo)</t>
  </si>
  <si>
    <t xml:space="preserve">Debt Amortization</t>
  </si>
  <si>
    <t xml:space="preserve">EBITDA</t>
  </si>
  <si>
    <t xml:space="preserve">DSCR - Tranche A</t>
  </si>
  <si>
    <t xml:space="preserve">DSCR - Tranche B</t>
  </si>
  <si>
    <t xml:space="preserve">DSCR - Tranche C</t>
  </si>
  <si>
    <t xml:space="preserve">Interest Rate For Period, Tranche A</t>
  </si>
  <si>
    <t xml:space="preserve">Interest Rate For Period, Tranche B</t>
  </si>
  <si>
    <t xml:space="preserve">Interest Rate For Period, Tranche C</t>
  </si>
  <si>
    <t xml:space="preserve">Total Annual CFAFDS</t>
  </si>
  <si>
    <t xml:space="preserve">NPV of CFAFDS Tranche A</t>
  </si>
  <si>
    <t xml:space="preserve">NPV of CFAFDS Tranche B</t>
  </si>
  <si>
    <t xml:space="preserve">NPV of CFAFDS Tranche C</t>
  </si>
  <si>
    <t xml:space="preserve">NPV of Total CFAFDS</t>
  </si>
  <si>
    <t xml:space="preserve">  Beginning Balance</t>
  </si>
  <si>
    <t xml:space="preserve">  Interest </t>
  </si>
  <si>
    <t xml:space="preserve">  Principal</t>
  </si>
  <si>
    <t xml:space="preserve">  Total Debt Service</t>
  </si>
  <si>
    <t xml:space="preserve">  Ending Balance</t>
  </si>
  <si>
    <t xml:space="preserve">  Average Life (years)</t>
  </si>
  <si>
    <t xml:space="preserve">TOTAL ANNUAL DEBT AMORTIZATION</t>
  </si>
  <si>
    <t xml:space="preserve">  Check</t>
  </si>
  <si>
    <t xml:space="preserve">ALTERNATE DEBT STRUCTURE</t>
  </si>
  <si>
    <t xml:space="preserve">TRANCHE 1</t>
  </si>
  <si>
    <t xml:space="preserve">Beginning Prinipal</t>
  </si>
  <si>
    <t xml:space="preserve">Project Period</t>
  </si>
  <si>
    <t xml:space="preserve">     Beginning Balance</t>
  </si>
  <si>
    <t xml:space="preserve">     Interests</t>
  </si>
  <si>
    <t xml:space="preserve">     Principal Payments</t>
  </si>
  <si>
    <t xml:space="preserve">     Debt Service</t>
  </si>
  <si>
    <t xml:space="preserve">     Ending Balance</t>
  </si>
  <si>
    <t xml:space="preserve">     Average Life (years)</t>
  </si>
  <si>
    <t xml:space="preserve">Percentage of Principal Repaid</t>
  </si>
  <si>
    <t xml:space="preserve">TRANCHE 2</t>
  </si>
  <si>
    <t xml:space="preserve">TRANCHE 3</t>
  </si>
  <si>
    <t xml:space="preserve">Returns Summary</t>
  </si>
  <si>
    <t xml:space="preserve">Equity Returns Analysis</t>
  </si>
  <si>
    <t xml:space="preserve">Date of Cashflow</t>
  </si>
  <si>
    <t xml:space="preserve">Pretax Cashflow</t>
  </si>
  <si>
    <t xml:space="preserve">Pre-Tax XIRR</t>
  </si>
  <si>
    <t xml:space="preserve">Pre-Tax XNPV</t>
  </si>
  <si>
    <t xml:space="preserve">After-Tax Cashflow</t>
  </si>
  <si>
    <t xml:space="preserve">After-Tax XIRR</t>
  </si>
  <si>
    <t xml:space="preserve">After-Tax XNPV</t>
  </si>
  <si>
    <t xml:space="preserve">Unlevered Pre-tax Cash Flow</t>
  </si>
  <si>
    <t xml:space="preserve">Pre-tax Unlevered XIRR</t>
  </si>
  <si>
    <t xml:space="preserve">Pre-tax Unlevered XNPV</t>
  </si>
  <si>
    <t xml:space="preserve">Discount Rate</t>
  </si>
  <si>
    <t xml:space="preserve">NPV</t>
  </si>
  <si>
    <t xml:space="preserve">IRR</t>
  </si>
  <si>
    <t xml:space="preserve">Debt Amounts and Annual Balances</t>
  </si>
  <si>
    <t xml:space="preserve">  Debt Payment, P+I ($MM)</t>
  </si>
  <si>
    <t xml:space="preserve">  Debt Service Coverage Ratio (EWG)</t>
  </si>
  <si>
    <t xml:space="preserve">  Remaining Debt Outstanding</t>
  </si>
  <si>
    <t xml:space="preserve">  Debt Reserve</t>
  </si>
  <si>
    <t xml:space="preserve">  Debt Service, P+I ($MM)</t>
  </si>
  <si>
    <t xml:space="preserve">  Min DSCR</t>
  </si>
  <si>
    <t xml:space="preserve">Income Statement</t>
  </si>
  <si>
    <t xml:space="preserve">REVENUES</t>
  </si>
  <si>
    <t xml:space="preserve">   Energy Revenues</t>
  </si>
  <si>
    <t xml:space="preserve">  Capacity Revenues</t>
  </si>
  <si>
    <t xml:space="preserve"> Variable Energy Payment</t>
  </si>
  <si>
    <t xml:space="preserve">   Block Payment</t>
  </si>
  <si>
    <t xml:space="preserve">   Energy Margin</t>
  </si>
  <si>
    <t xml:space="preserve">   Total Revenue</t>
  </si>
  <si>
    <t xml:space="preserve">EXPENSES</t>
  </si>
  <si>
    <t xml:space="preserve">Variable Expenses:</t>
  </si>
  <si>
    <t xml:space="preserve">   Fuel Expense</t>
  </si>
  <si>
    <t xml:space="preserve">  Water Treatment</t>
  </si>
  <si>
    <t xml:space="preserve">  FERC Fee</t>
  </si>
  <si>
    <t xml:space="preserve">  Variable Maintenance</t>
  </si>
  <si>
    <t xml:space="preserve">   Total Variable Costs</t>
  </si>
  <si>
    <t xml:space="preserve">Total Variable Expenses</t>
  </si>
  <si>
    <t xml:space="preserve">Per Start Expenses:</t>
  </si>
  <si>
    <t xml:space="preserve">   Major Maintenance Accrual</t>
  </si>
  <si>
    <t xml:space="preserve">  Start-Up Fuel</t>
  </si>
  <si>
    <t xml:space="preserve">Total Per Start Expenses</t>
  </si>
  <si>
    <t xml:space="preserve">Fixed Expenses:</t>
  </si>
  <si>
    <t xml:space="preserve">   Payroll &amp; Burden</t>
  </si>
  <si>
    <t xml:space="preserve">   Other O&amp;M Expenses</t>
  </si>
  <si>
    <t xml:space="preserve">   Admin Fee</t>
  </si>
  <si>
    <t xml:space="preserve">   Marketing Fee</t>
  </si>
  <si>
    <t xml:space="preserve">   O&amp;M Fee</t>
  </si>
  <si>
    <t xml:space="preserve">   Total Fixed Expenses</t>
  </si>
  <si>
    <t xml:space="preserve">Total Fixed G&amp;A:</t>
  </si>
  <si>
    <t xml:space="preserve">   Total Insurance</t>
  </si>
  <si>
    <t xml:space="preserve">   Utilities: Start Up Power</t>
  </si>
  <si>
    <t xml:space="preserve">   Utilities: Facility Load</t>
  </si>
  <si>
    <t xml:space="preserve">   Interconnection Fees</t>
  </si>
  <si>
    <t xml:space="preserve">   Gas Pipeline Metering</t>
  </si>
  <si>
    <t xml:space="preserve">   Miscellaneous</t>
  </si>
  <si>
    <t xml:space="preserve">   Total Fixed G&amp;A</t>
  </si>
  <si>
    <t xml:space="preserve">Property Taxes</t>
  </si>
  <si>
    <t xml:space="preserve">Operating Taxes</t>
  </si>
  <si>
    <t xml:space="preserve">   Franchise Tax</t>
  </si>
  <si>
    <t xml:space="preserve">   Gross Receipts Tax</t>
  </si>
  <si>
    <t xml:space="preserve">   Total Operation Taxes</t>
  </si>
  <si>
    <t xml:space="preserve">TOTAL EXPENSES</t>
  </si>
  <si>
    <t xml:space="preserve">   Book Depreciation &amp; Amortization</t>
  </si>
  <si>
    <t xml:space="preserve">   Project Cost Expensed</t>
  </si>
  <si>
    <t xml:space="preserve">EBIT</t>
  </si>
  <si>
    <t xml:space="preserve">   Interest Expense</t>
  </si>
  <si>
    <t xml:space="preserve">   Interest Income</t>
  </si>
  <si>
    <t xml:space="preserve">   Net Interest Expense</t>
  </si>
  <si>
    <t xml:space="preserve">EBT</t>
  </si>
  <si>
    <t xml:space="preserve">   Book Provision for Taxes</t>
  </si>
  <si>
    <t xml:space="preserve">NPV of 2001 EBTD</t>
  </si>
  <si>
    <t xml:space="preserve">NPV of 2001 Earnings</t>
  </si>
  <si>
    <t xml:space="preserve">Cash Flow Statement</t>
  </si>
  <si>
    <t xml:space="preserve">Pretax Book Income</t>
  </si>
  <si>
    <t xml:space="preserve">  Plus Depreciation &amp; Amortization</t>
  </si>
  <si>
    <t xml:space="preserve">  Plus Accrued Prop Tax Expense</t>
  </si>
  <si>
    <t xml:space="preserve">  Less Property Tax Payment</t>
  </si>
  <si>
    <t xml:space="preserve">  Plus Accrued Interest Expense</t>
  </si>
  <si>
    <t xml:space="preserve">  Less Interest Payments</t>
  </si>
  <si>
    <t xml:space="preserve">  Less Principal Payments</t>
  </si>
  <si>
    <t xml:space="preserve">Subtotal </t>
  </si>
  <si>
    <t xml:space="preserve">  Less Debt Reserve Funding</t>
  </si>
  <si>
    <t xml:space="preserve">  Plus Release of Debt Reserve</t>
  </si>
  <si>
    <t xml:space="preserve">  Initial Working Capital Adjustment</t>
  </si>
  <si>
    <t xml:space="preserve">Pretax Cash Flow</t>
  </si>
  <si>
    <t xml:space="preserve">  Total Income Tax Expense (Benefit)</t>
  </si>
  <si>
    <t xml:space="preserve">  Cash Flow Available to Preferred Equity</t>
  </si>
  <si>
    <t xml:space="preserve">  Dividends </t>
  </si>
  <si>
    <t xml:space="preserve">  Accrued Dividends To Date</t>
  </si>
  <si>
    <t xml:space="preserve">  Dividends Paid</t>
  </si>
  <si>
    <t xml:space="preserve">  Ending Principal Amount</t>
  </si>
  <si>
    <t xml:space="preserve">Common Equity</t>
  </si>
  <si>
    <t xml:space="preserve">  Cash Flow Available to Common Equity</t>
  </si>
  <si>
    <t xml:space="preserve">  Total Cash</t>
  </si>
  <si>
    <t xml:space="preserve">Balance Sheet</t>
  </si>
  <si>
    <t xml:space="preserve">Assets:</t>
  </si>
  <si>
    <t xml:space="preserve">Cash</t>
  </si>
  <si>
    <t xml:space="preserve">Accounts Receivable</t>
  </si>
  <si>
    <t xml:space="preserve">Inventories</t>
  </si>
  <si>
    <t xml:space="preserve">Other Current Assets</t>
  </si>
  <si>
    <t xml:space="preserve">Debt Service Reserve</t>
  </si>
  <si>
    <t xml:space="preserve">Maintenance Reserve</t>
  </si>
  <si>
    <t xml:space="preserve">Total Current Assets</t>
  </si>
  <si>
    <t xml:space="preserve">Gross PP&amp;E</t>
  </si>
  <si>
    <t xml:space="preserve">Accumulated Depreciation</t>
  </si>
  <si>
    <t xml:space="preserve">Net PP&amp;E</t>
  </si>
  <si>
    <t xml:space="preserve">Land</t>
  </si>
  <si>
    <t xml:space="preserve">Other Assets</t>
  </si>
  <si>
    <t xml:space="preserve">Total Assets</t>
  </si>
  <si>
    <t xml:space="preserve">Liabilities</t>
  </si>
  <si>
    <t xml:space="preserve">Accounts Payable</t>
  </si>
  <si>
    <t xml:space="preserve">Accrued Expenses</t>
  </si>
  <si>
    <t xml:space="preserve">Deferred Tax Liability</t>
  </si>
  <si>
    <t xml:space="preserve">Working Capital Revolver</t>
  </si>
  <si>
    <t xml:space="preserve">Long Term Debt</t>
  </si>
  <si>
    <t xml:space="preserve">Other Non-Current Liabilities</t>
  </si>
  <si>
    <t xml:space="preserve">Total Long-term Liabilities</t>
  </si>
  <si>
    <t xml:space="preserve">Stockholders' Equity</t>
  </si>
  <si>
    <t xml:space="preserve">Paid-In-Capital</t>
  </si>
  <si>
    <t xml:space="preserve">Retained earnings</t>
  </si>
  <si>
    <t xml:space="preserve">Total stockholders' equity</t>
  </si>
  <si>
    <t xml:space="preserve">Total Liabilities &amp; Equity</t>
  </si>
  <si>
    <t xml:space="preserve">Proof</t>
  </si>
  <si>
    <t xml:space="preserve">Paste Range for Franchise Tax Calc</t>
  </si>
  <si>
    <t xml:space="preserve">Note:  If this range is moved the MACRO will not paste into the correct range.</t>
  </si>
  <si>
    <t xml:space="preserve">State and Federal Tax Calculation</t>
  </si>
  <si>
    <t xml:space="preserve">STATE TAXES</t>
  </si>
  <si>
    <t xml:space="preserve">State Franchise Taxes</t>
  </si>
  <si>
    <t xml:space="preserve">   Paid-In-Capital</t>
  </si>
  <si>
    <t xml:space="preserve">   State Franchise Tax Rate</t>
  </si>
  <si>
    <t xml:space="preserve">   State Franchise Tax Liability</t>
  </si>
  <si>
    <t xml:space="preserve">State Gross Receipts Taxes</t>
  </si>
  <si>
    <t xml:space="preserve">   Gross Receipts on non TVA hours ONLY</t>
  </si>
  <si>
    <t xml:space="preserve">   Gross Receipts Tax Rate</t>
  </si>
  <si>
    <t xml:space="preserve">   Gross Receipts Tax Liability</t>
  </si>
  <si>
    <t xml:space="preserve">State Income Tax</t>
  </si>
  <si>
    <t xml:space="preserve">   Pretax Book Income</t>
  </si>
  <si>
    <t xml:space="preserve">   Adjusted Pretax Book Income</t>
  </si>
  <si>
    <t xml:space="preserve">   Plus Book Depreciation &amp; Amortization</t>
  </si>
  <si>
    <t xml:space="preserve">   Less State Tax Depreciation</t>
  </si>
  <si>
    <t xml:space="preserve">   State Taxable Income</t>
  </si>
  <si>
    <t xml:space="preserve">   Taxable Income</t>
  </si>
  <si>
    <t xml:space="preserve">   State Income Tax Rate</t>
  </si>
  <si>
    <t xml:space="preserve">   State Income Tax Expense (Benefit)</t>
  </si>
  <si>
    <t xml:space="preserve">   Beginning NOL's</t>
  </si>
  <si>
    <t xml:space="preserve">   New NOL's</t>
  </si>
  <si>
    <t xml:space="preserve">   NOL Expired  (15 Year)</t>
  </si>
  <si>
    <t xml:space="preserve">   NOL Utilization</t>
  </si>
  <si>
    <t xml:space="preserve">   Ending NOL's</t>
  </si>
  <si>
    <t xml:space="preserve">   State Cash Taxes Payable/(Benefit)</t>
  </si>
  <si>
    <t xml:space="preserve">FEDERAL TAXES</t>
  </si>
  <si>
    <t xml:space="preserve">   Less: Federal Tax Depreciation</t>
  </si>
  <si>
    <t xml:space="preserve">   Less: State Taxes</t>
  </si>
  <si>
    <t xml:space="preserve">   Federal Tax Rate</t>
  </si>
  <si>
    <t xml:space="preserve">   Total Federal Taxes</t>
  </si>
  <si>
    <t xml:space="preserve">   NOL Carryforward</t>
  </si>
  <si>
    <t xml:space="preserve">   Fed Cash Taxes Payable/(Benefit)</t>
  </si>
  <si>
    <t xml:space="preserve">Total Cash Taxes</t>
  </si>
  <si>
    <t xml:space="preserve">Total Book Taxes</t>
  </si>
  <si>
    <t xml:space="preserve">  Total Deferred Tax Liability</t>
  </si>
  <si>
    <t xml:space="preserve">  Cumulative DTL</t>
  </si>
  <si>
    <t xml:space="preserve">Depreciation and Property Taxes</t>
  </si>
  <si>
    <t xml:space="preserve">US FEDERAL TAX DEPRECIATION &amp; AMORTIZATION</t>
  </si>
  <si>
    <t xml:space="preserve">   Plant and Equipment - MACRS</t>
  </si>
  <si>
    <t xml:space="preserve">   Start-up Costs - SL </t>
  </si>
  <si>
    <t xml:space="preserve">   Debt Iss &amp; Loan Fees - SL</t>
  </si>
  <si>
    <t xml:space="preserve">   Tax Depr - Plant and Equipment</t>
  </si>
  <si>
    <t xml:space="preserve">   Amort - Start-up Costs</t>
  </si>
  <si>
    <t xml:space="preserve">   Amort - Debt Iss &amp; Loan Fees</t>
  </si>
  <si>
    <t xml:space="preserve">   EI O&amp;M Mobilization </t>
  </si>
  <si>
    <t xml:space="preserve">   Total Annual Depr &amp; Amort </t>
  </si>
  <si>
    <t xml:space="preserve">STATE TAX DEPRECIATION &amp; AMORTIZATION</t>
  </si>
  <si>
    <t xml:space="preserve">BOOK DEPRECIATION &amp; AMORTIZATION</t>
  </si>
  <si>
    <t xml:space="preserve">Residual</t>
  </si>
  <si>
    <t xml:space="preserve">   Plant and Equipment - SL</t>
  </si>
  <si>
    <t xml:space="preserve">   Book Depr - Plant and Equipment</t>
  </si>
  <si>
    <t xml:space="preserve">   Total Beginning Book Value</t>
  </si>
  <si>
    <t xml:space="preserve">   Ending Book Value of Assets</t>
  </si>
  <si>
    <t xml:space="preserve">PROPERTY TAX CALCULATION</t>
  </si>
  <si>
    <t xml:space="preserve">   Assessable Value of Hard Assets</t>
  </si>
  <si>
    <t xml:space="preserve">   Annual Depreciated Assessable Value</t>
  </si>
  <si>
    <t xml:space="preserve">   Mileage Rate (Increase 1.5% / Year)</t>
  </si>
  <si>
    <t xml:space="preserve">   Annual Tax (with abatement)</t>
  </si>
  <si>
    <t xml:space="preserve">   Annual City Tax (no city taxes)</t>
  </si>
  <si>
    <t xml:space="preserve">   Total Property Tax (with Abatement)</t>
  </si>
  <si>
    <t xml:space="preserve">15 Year MACRS Table</t>
  </si>
  <si>
    <t xml:space="preserve">Half-Year Convention</t>
  </si>
  <si>
    <t xml:space="preserve">Year</t>
  </si>
  <si>
    <t xml:space="preserve">Depr. %</t>
  </si>
  <si>
    <t xml:space="preserve">20 Year MACRS Table</t>
  </si>
  <si>
    <t xml:space="preserve">IDC Calculations</t>
  </si>
  <si>
    <t xml:space="preserve">CARRYING COST OF TURBINES, TRANSFORMERS AND CIRCUIT BREAKERS</t>
  </si>
  <si>
    <t xml:space="preserve">Turbine Cost</t>
  </si>
  <si>
    <t xml:space="preserve">Base Rate</t>
  </si>
  <si>
    <t xml:space="preserve">Term (Months)</t>
  </si>
  <si>
    <t xml:space="preserve">Monthly Rate</t>
  </si>
  <si>
    <t xml:space="preserve">Financing Fee (Basis Points)</t>
  </si>
  <si>
    <t xml:space="preserve">Drawdown Schedule</t>
  </si>
  <si>
    <t xml:space="preserve">   0=Straightline, 1=Custom</t>
  </si>
  <si>
    <t xml:space="preserve">Calculated IDC</t>
  </si>
  <si>
    <t xml:space="preserve">Month</t>
  </si>
  <si>
    <t xml:space="preserve">Percent Drawn Down</t>
  </si>
  <si>
    <t xml:space="preserve">Cumulative Principal</t>
  </si>
  <si>
    <t xml:space="preserve">Monthly Interest</t>
  </si>
  <si>
    <t xml:space="preserve">Cumulative Interest</t>
  </si>
  <si>
    <t xml:space="preserve">Number of Starts to Maintenance Draw</t>
  </si>
  <si>
    <t xml:space="preserve">Number of Starts per Year</t>
  </si>
  <si>
    <t xml:space="preserve">Total Cumulative Starts</t>
  </si>
  <si>
    <t xml:space="preserve">Annual Overhaul Accrual Expense</t>
  </si>
  <si>
    <t xml:space="preserve">Estimated Cost Schedule for 120 Starts</t>
  </si>
  <si>
    <t xml:space="preserve">Cumulative Overhaul Accrual Expense</t>
  </si>
  <si>
    <t xml:space="preserve">Annual Overhaul Accrual Interest Income</t>
  </si>
  <si>
    <t xml:space="preserve">Cumulative Overhaul Accrual Interest Income</t>
  </si>
  <si>
    <t xml:space="preserve">Annual Growth of Total Cost</t>
  </si>
  <si>
    <t xml:space="preserve">Sales &amp; Use Tax on Fuel </t>
  </si>
  <si>
    <t xml:space="preserve">NO. of Starts Per Yr.</t>
  </si>
  <si>
    <t xml:space="preserve">Major Main</t>
  </si>
  <si>
    <t xml:space="preserve">Fuel</t>
  </si>
  <si>
    <t xml:space="preserve">Total/Start Cost</t>
  </si>
  <si>
    <t xml:space="preserve">Fuel %</t>
  </si>
  <si>
    <t xml:space="preserve">Main %</t>
  </si>
  <si>
    <t xml:space="preserve">Fuel Price</t>
  </si>
  <si>
    <t xml:space="preserve">Fuel /Start/Turbine</t>
  </si>
</sst>
</file>

<file path=xl/styles.xml><?xml version="1.0" encoding="utf-8"?>
<styleSheet xmlns="http://schemas.openxmlformats.org/spreadsheetml/2006/main">
  <numFmts count="102">
    <numFmt numFmtId="164" formatCode="General"/>
    <numFmt numFmtId="165" formatCode="0.00000000000000000000000000"/>
    <numFmt numFmtId="166" formatCode="0.0000E+00"/>
    <numFmt numFmtId="167" formatCode="\$#,##0.00000"/>
    <numFmt numFmtId="168" formatCode="\$#,##0.0000"/>
    <numFmt numFmtId="169" formatCode="[$-409]#,##0_);[RED]\(#,##0\)"/>
    <numFmt numFmtId="170" formatCode="\$#,##0_);[RED]&quot;($&quot;#,##0\)"/>
    <numFmt numFmtId="171" formatCode="m"/>
    <numFmt numFmtId="172" formatCode="0.000000000_)"/>
    <numFmt numFmtId="173" formatCode="\£#,##0.0000_);&quot;(£&quot;#,##0.0000\)"/>
    <numFmt numFmtId="174" formatCode="\$#,##0;[RED]\$#,##0"/>
    <numFmt numFmtId="175" formatCode="0.0000000000000000000000000000"/>
    <numFmt numFmtId="176" formatCode="#,##0.00000000000000000000"/>
    <numFmt numFmtId="177" formatCode="0.0000000%"/>
    <numFmt numFmtId="178" formatCode="0.000000%"/>
    <numFmt numFmtId="179" formatCode="[$-409]#,##0.00_);[RED]\(#,##0.00\)"/>
    <numFmt numFmtId="180" formatCode="\$#,##0.00_);[RED]&quot;($&quot;#,##0.00\)"/>
    <numFmt numFmtId="181" formatCode="_(\$* #,##0.000_);_(\$* \(#,##0.000\);_(\$* \-??_);_(@_)"/>
    <numFmt numFmtId="182" formatCode="0.0000000000000000000000"/>
    <numFmt numFmtId="183" formatCode="0.00000000000"/>
    <numFmt numFmtId="184" formatCode="_(* #,##0.00000000000000_);_(* \(#,##0.00000000000000\);_(* \-_);_(@_)"/>
    <numFmt numFmtId="185" formatCode="_(* #,##0_);_(* \(#,##0\);_(* \-_);_(@_)"/>
    <numFmt numFmtId="186" formatCode="\$#,##0.0000000_);&quot;($&quot;#,##0.0000000\)"/>
    <numFmt numFmtId="187" formatCode="0.000000000000000%"/>
    <numFmt numFmtId="188" formatCode="0.00_);[RED]\(0.00\)"/>
    <numFmt numFmtId="189" formatCode="\£#,##0.00_);&quot;(£&quot;#,##0.00\)"/>
    <numFmt numFmtId="190" formatCode="0.000000000000000000000000000000000"/>
    <numFmt numFmtId="191" formatCode="0.000"/>
    <numFmt numFmtId="192" formatCode="_(* #,##0.0_);_(* \(#,##0.0\);_(* \-?_);_(@_)"/>
    <numFmt numFmtId="193" formatCode="_(* #,##0.00_);_(* \(#,##0.00\);_(* \-??_);_(@_)"/>
    <numFmt numFmtId="194" formatCode="#,##0.00"/>
    <numFmt numFmtId="195" formatCode="0.0000000000"/>
    <numFmt numFmtId="196" formatCode="\£#,##0.00_);[RED]&quot;(£&quot;#,##0.00\)"/>
    <numFmt numFmtId="197" formatCode="0_);[RED]\(0\)"/>
    <numFmt numFmtId="198" formatCode="0.00000000000000000000000000000000000"/>
    <numFmt numFmtId="199" formatCode="_(* #,##0.0000000000000_);_(* \(#,##0.0000000000000\);_(* \-_);_(@_)"/>
    <numFmt numFmtId="200" formatCode="_(\$* #,##0_);_(\$* \(#,##0\);_(\$* \-_);_(@_)"/>
    <numFmt numFmtId="201" formatCode="##0.000"/>
    <numFmt numFmtId="202" formatCode="_(* #,##0.0000000000_);_(* \(#,##0.0000000000\);_(* \-_);_(@_)"/>
    <numFmt numFmtId="203" formatCode="_(\$* #,##0.000000_);_(\$* \(#,##0.000000\);_(\$* \-??_);_(@_)"/>
    <numFmt numFmtId="204" formatCode="0.0000000000000000"/>
    <numFmt numFmtId="205" formatCode="0.0000_)"/>
    <numFmt numFmtId="206" formatCode="#,##0.000_);\(#,##0.000\)"/>
    <numFmt numFmtId="207" formatCode="_(\$* #,##0.00000_);_(\$* \(#,##0.00000\);_(\$* \-??_);_(@_)"/>
    <numFmt numFmtId="208" formatCode="0.000E+00"/>
    <numFmt numFmtId="209" formatCode="0.00000000000000%"/>
    <numFmt numFmtId="210" formatCode="\£#,##0.0_);&quot;(£&quot;#,##0.0\)"/>
    <numFmt numFmtId="211" formatCode="0.0000000000000000000000000"/>
    <numFmt numFmtId="212" formatCode="m/d/yyyy"/>
    <numFmt numFmtId="213" formatCode="0.00000000000000000000000000000000"/>
    <numFmt numFmtId="214" formatCode="\£#,##0.0_);[RED]&quot;(£&quot;#,##0.0\)"/>
    <numFmt numFmtId="215" formatCode="_(* #,##0.0000_);_(* \(#,##0.0000\);_(* \-??_);_(@_)"/>
    <numFmt numFmtId="216" formatCode="_(* #,##0.00000000_);_(* \(#,##0.00000000\);_(* \-??_);_(@_)"/>
    <numFmt numFmtId="217" formatCode="_(\$* #,##0.00_);_(\$* \(#,##0.00\);_(\$* \-??_);_(@_)"/>
    <numFmt numFmtId="218" formatCode="_(* #,##0.000000000000_);_(* \(#,##0.000000000000\);_(* \-_);_(@_)"/>
    <numFmt numFmtId="219" formatCode="#,##0.000_);[RED]\(#,##0.000\)"/>
    <numFmt numFmtId="220" formatCode="0.00000000000000000"/>
    <numFmt numFmtId="221" formatCode="0.000000000"/>
    <numFmt numFmtId="222" formatCode="\£#,##0_);&quot;(£&quot;#,##0\)"/>
    <numFmt numFmtId="223" formatCode="_(\$* #,##0.0000000_);_(\$* \(#,##0.0000000\);_(\$* \-??_);_(@_)"/>
    <numFmt numFmtId="224" formatCode="[$-409]m/d/yyyy"/>
    <numFmt numFmtId="225" formatCode="\£#,##0.000_);&quot;(£&quot;#,##0.000\)"/>
    <numFmt numFmtId="226" formatCode="0.000000000000000000000000000"/>
    <numFmt numFmtId="227" formatCode="0.0000000000000000000000000000000000"/>
    <numFmt numFmtId="228" formatCode="\£#,##0_);[RED]&quot;(£&quot;#,##0\)"/>
    <numFmt numFmtId="229" formatCode="0.00"/>
    <numFmt numFmtId="230" formatCode="[$-409]d\-mmm\-yy"/>
    <numFmt numFmtId="231" formatCode=";;;"/>
    <numFmt numFmtId="232" formatCode="m/d/yyyy\ h:mm:ss"/>
    <numFmt numFmtId="233" formatCode="_(* #,##0.000_);_(* \(#,##0.000\);_(* \-???_);_(@_)"/>
    <numFmt numFmtId="234" formatCode="0.000000000000000000"/>
    <numFmt numFmtId="235" formatCode="[$-409]#,##0_);\(#,##0\)"/>
    <numFmt numFmtId="236" formatCode="0.00_)"/>
    <numFmt numFmtId="237" formatCode="0.000000000000000000000000000000"/>
    <numFmt numFmtId="238" formatCode="General_)"/>
    <numFmt numFmtId="239" formatCode="#,##0"/>
    <numFmt numFmtId="240" formatCode="#,##0.0_);\(#,##0.0\)"/>
    <numFmt numFmtId="241" formatCode="#,##0.0000_);[RED]\(#,##0.0000\)"/>
    <numFmt numFmtId="242" formatCode="0"/>
    <numFmt numFmtId="243" formatCode="0.00%"/>
    <numFmt numFmtId="244" formatCode="0%"/>
    <numFmt numFmtId="245" formatCode="00000"/>
    <numFmt numFmtId="246" formatCode="\$#,##0_);&quot;($&quot;#,##0\)"/>
    <numFmt numFmtId="247" formatCode="_(\$* #,##0_);_(\$* \(#,##0\);_(\$* \-??_);_(@_)"/>
    <numFmt numFmtId="248" formatCode="_(* #,##0_);_(* \(#,##0\);_(* \-??_);_(@_)"/>
    <numFmt numFmtId="249" formatCode="0.0%"/>
    <numFmt numFmtId="250" formatCode="\$#,##0.000_);[RED]&quot;($&quot;#,##0.000\)"/>
    <numFmt numFmtId="251" formatCode="0.000%"/>
    <numFmt numFmtId="252" formatCode="_(* #,##0.0_);_(* \(#,##0.0\);_(* \-??_);_(@_)"/>
    <numFmt numFmtId="253" formatCode="[$-409]0.00"/>
    <numFmt numFmtId="254" formatCode="\$#,##0.000"/>
    <numFmt numFmtId="255" formatCode="0.0"/>
    <numFmt numFmtId="256" formatCode="\$#,##0.00"/>
    <numFmt numFmtId="257" formatCode="\$#,##0.000_);&quot;($&quot;#,##0.000\)"/>
    <numFmt numFmtId="258" formatCode="\$#,##0.00_);&quot;($&quot;#,##0.00\)"/>
    <numFmt numFmtId="259" formatCode="0_)"/>
    <numFmt numFmtId="260" formatCode="[$-409]#,##0.00_);\(#,##0.00\)"/>
    <numFmt numFmtId="261" formatCode="_(* #,##0.000000_);_(* \(#,##0.000000\);_(* \-??_);_(@_)"/>
    <numFmt numFmtId="262" formatCode="_(* #,##0.00000_);_(* \(#,##0.00000\);_(* \-??_);_(@_)"/>
    <numFmt numFmtId="263" formatCode="_(* #,##0.00_);_(* \(#,##0.00\);_(* \-_);_(@_)"/>
    <numFmt numFmtId="264" formatCode="mmm\-yy_)"/>
    <numFmt numFmtId="265" formatCode="0.000_)"/>
  </numFmts>
  <fonts count="130">
    <font>
      <sz val="10"/>
      <name val="Arial"/>
      <family val="0"/>
    </font>
    <font>
      <sz val="10"/>
      <name val="Arial"/>
      <family val="0"/>
    </font>
    <font>
      <sz val="10"/>
      <name val="Arial"/>
      <family val="0"/>
    </font>
    <font>
      <sz val="10"/>
      <name val="Arial"/>
      <family val="0"/>
    </font>
    <font>
      <sz val="10"/>
      <name val="MS Sans Serif"/>
      <family val="2"/>
    </font>
    <font>
      <sz val="12"/>
      <name val="???"/>
      <family val="3"/>
      <charset val="129"/>
    </font>
    <font>
      <sz val="12"/>
      <name val="???"/>
      <family val="1"/>
      <charset val="129"/>
    </font>
    <font>
      <sz val="10"/>
      <name val="???"/>
      <family val="3"/>
      <charset val="129"/>
    </font>
    <font>
      <sz val="11"/>
      <name val="??"/>
      <family val="3"/>
      <charset val="129"/>
    </font>
    <font>
      <sz val="10"/>
      <name val="Arial"/>
      <family val="2"/>
    </font>
    <font>
      <sz val="11"/>
      <name val="???"/>
      <family val="1"/>
      <charset val="129"/>
    </font>
    <font>
      <sz val="11"/>
      <name val="???"/>
      <family val="3"/>
      <charset val="129"/>
    </font>
    <font>
      <sz val="8"/>
      <name val="Arial"/>
      <family val="2"/>
    </font>
    <font>
      <b val="true"/>
      <u val="single"/>
      <sz val="11"/>
      <color rgb="FF800000"/>
      <name val="Arial"/>
      <family val="2"/>
    </font>
    <font>
      <sz val="10"/>
      <color rgb="FF0000FF"/>
      <name val="Arial"/>
      <family val="2"/>
    </font>
    <font>
      <u val="single"/>
      <sz val="8.4"/>
      <color rgb="FF0000FF"/>
      <name val="Arial"/>
      <family val="2"/>
    </font>
    <font>
      <sz val="7"/>
      <name val="Small Fonts"/>
      <family val="0"/>
    </font>
    <font>
      <b val="true"/>
      <i val="true"/>
      <sz val="16"/>
      <name val="Arial"/>
      <family val="0"/>
    </font>
    <font>
      <sz val="12"/>
      <name val="Arial"/>
      <family val="2"/>
    </font>
    <font>
      <sz val="10"/>
      <name val="Courier New"/>
      <family val="0"/>
    </font>
    <font>
      <sz val="12"/>
      <color rgb="FF000000"/>
      <name val="Arial MT"/>
      <family val="0"/>
    </font>
    <font>
      <sz val="10"/>
      <name val="MS Sans Serif"/>
      <family val="0"/>
    </font>
    <font>
      <sz val="12"/>
      <name val="Courier New"/>
      <family val="3"/>
    </font>
    <font>
      <sz val="8"/>
      <name val="Courier New"/>
      <family val="3"/>
    </font>
    <font>
      <sz val="10"/>
      <name val="Geneva"/>
      <family val="2"/>
    </font>
    <font>
      <sz val="8"/>
      <name val="Arial"/>
      <family val="0"/>
    </font>
    <font>
      <sz val="10"/>
      <name val="Book Antiqua"/>
      <family val="1"/>
    </font>
    <font>
      <sz val="10"/>
      <name val="Times New Roman"/>
      <family val="0"/>
    </font>
    <font>
      <sz val="10"/>
      <name val="Times New Roman"/>
      <family val="1"/>
    </font>
    <font>
      <sz val="8"/>
      <name val=""/>
      <family val="0"/>
    </font>
    <font>
      <sz val="8"/>
      <name val="MS Sans Serif"/>
      <family val="2"/>
    </font>
    <font>
      <sz val="10"/>
      <color rgb="FF000000"/>
      <name val="Arial"/>
      <family val="2"/>
    </font>
    <font>
      <sz val="12"/>
      <name val="Times New Roman"/>
      <family val="1"/>
    </font>
    <font>
      <sz val="10"/>
      <name val="Courier New"/>
      <family val="3"/>
    </font>
    <font>
      <sz val="10"/>
      <name val="Univers (W1)"/>
      <family val="0"/>
    </font>
    <font>
      <sz val="12"/>
      <name val="Times New Roman"/>
      <family val="0"/>
    </font>
    <font>
      <sz val="10"/>
      <name val="Univers (W1)"/>
      <family val="2"/>
    </font>
    <font>
      <b val="true"/>
      <sz val="14"/>
      <name val="Times New Roman"/>
      <family val="1"/>
    </font>
    <font>
      <b val="true"/>
      <sz val="14"/>
      <name val="Times New Roman"/>
      <family val="0"/>
    </font>
    <font>
      <sz val="10"/>
      <name val="Geneva"/>
      <family val="0"/>
    </font>
    <font>
      <sz val="14"/>
      <name val="AngsanaUPC"/>
      <family val="1"/>
    </font>
    <font>
      <sz val="9"/>
      <name val="Arial Narrow"/>
      <family val="2"/>
    </font>
    <font>
      <sz val="7"/>
      <name val="Arial"/>
      <family val="2"/>
    </font>
    <font>
      <sz val="7"/>
      <name val="Arial"/>
      <family val="0"/>
    </font>
    <font>
      <sz val="12"/>
      <name val="EucrosiaUPC"/>
      <family val="1"/>
    </font>
    <font>
      <sz val="14"/>
      <name val="CordiaUPC"/>
      <family val="1"/>
    </font>
    <font>
      <sz val="10"/>
      <name val="Advisor SSi"/>
      <family val="1"/>
    </font>
    <font>
      <sz val="14"/>
      <name val="FreesiaUPC"/>
      <family val="1"/>
    </font>
    <font>
      <sz val="12"/>
      <name val="PathWay Access 3.0"/>
      <family val="3"/>
    </font>
    <font>
      <sz val="12"/>
      <name val="Arial"/>
      <family val="0"/>
    </font>
    <font>
      <sz val="8.5"/>
      <name val="MS Sans Serif"/>
      <family val="2"/>
    </font>
    <font>
      <sz val="10"/>
      <name val="Arial Narrow"/>
      <family val="2"/>
    </font>
    <font>
      <sz val="10"/>
      <color rgb="FF000000"/>
      <name val="MS Sans Serif"/>
      <family val="0"/>
    </font>
    <font>
      <sz val="9"/>
      <name val="Arial"/>
      <family val="0"/>
    </font>
    <font>
      <sz val="11"/>
      <name val="Book Antiqua"/>
      <family val="1"/>
    </font>
    <font>
      <sz val="8"/>
      <name val="Times New Roman"/>
      <family val="0"/>
    </font>
    <font>
      <sz val="10"/>
      <name val="TimesNewRomanPS"/>
      <family val="1"/>
    </font>
    <font>
      <sz val="8"/>
      <name val="Times New Roman"/>
      <family val="1"/>
    </font>
    <font>
      <sz val="8"/>
      <color rgb="FF0000FF"/>
      <name val="Arial"/>
      <family val="2"/>
    </font>
    <font>
      <b val="true"/>
      <i val="true"/>
      <sz val="8"/>
      <name val="Times New Roman"/>
      <family val="1"/>
    </font>
    <font>
      <b val="true"/>
      <u val="single"/>
      <sz val="15"/>
      <color rgb="FFFF0000"/>
      <name val="Times New Roman"/>
      <family val="1"/>
    </font>
    <font>
      <b val="true"/>
      <sz val="8"/>
      <name val="Times New Roman"/>
      <family val="1"/>
    </font>
    <font>
      <b val="true"/>
      <sz val="8"/>
      <color rgb="FFFF0000"/>
      <name val="Times New Roman"/>
      <family val="1"/>
    </font>
    <font>
      <b val="true"/>
      <sz val="8"/>
      <color rgb="FF008000"/>
      <name val="Times New Roman"/>
      <family val="1"/>
    </font>
    <font>
      <b val="true"/>
      <sz val="8"/>
      <color rgb="FF800000"/>
      <name val="Times New Roman"/>
      <family val="1"/>
    </font>
    <font>
      <sz val="8"/>
      <color rgb="FF800000"/>
      <name val="Times New Roman"/>
      <family val="1"/>
    </font>
    <font>
      <b val="true"/>
      <sz val="10"/>
      <name val="Arial"/>
      <family val="0"/>
    </font>
    <font>
      <b val="true"/>
      <sz val="10"/>
      <name val="Arial"/>
      <family val="2"/>
    </font>
    <font>
      <b val="true"/>
      <u val="single"/>
      <sz val="10"/>
      <name val="Arial"/>
      <family val="2"/>
    </font>
    <font>
      <u val="single"/>
      <sz val="10"/>
      <name val="Arial"/>
      <family val="0"/>
    </font>
    <font>
      <sz val="9"/>
      <name val="Times New Roman"/>
      <family val="1"/>
    </font>
    <font>
      <sz val="9"/>
      <name val="Arial"/>
      <family val="2"/>
    </font>
    <font>
      <b val="true"/>
      <sz val="12"/>
      <color rgb="FFFF0000"/>
      <name val="Times New Roman"/>
      <family val="1"/>
    </font>
    <font>
      <sz val="16"/>
      <name val="Times New Roman"/>
      <family val="1"/>
    </font>
    <font>
      <sz val="11"/>
      <name val="Times New Roman"/>
      <family val="1"/>
    </font>
    <font>
      <b val="true"/>
      <u val="single"/>
      <sz val="12"/>
      <name val="Times New Roman"/>
      <family val="1"/>
    </font>
    <font>
      <sz val="9"/>
      <color rgb="FFFFFFFF"/>
      <name val="Times New Roman"/>
      <family val="1"/>
    </font>
    <font>
      <sz val="9"/>
      <color rgb="FF000000"/>
      <name val="Times New Roman"/>
      <family val="1"/>
    </font>
    <font>
      <b val="true"/>
      <sz val="9"/>
      <color rgb="FF000000"/>
      <name val="Times New Roman"/>
      <family val="1"/>
    </font>
    <font>
      <b val="true"/>
      <sz val="9"/>
      <color rgb="FF0000FF"/>
      <name val="Times New Roman"/>
      <family val="1"/>
    </font>
    <font>
      <u val="single"/>
      <sz val="11"/>
      <name val="Times New Roman"/>
      <family val="1"/>
    </font>
    <font>
      <sz val="9"/>
      <color rgb="FF0000FF"/>
      <name val="Times New Roman"/>
      <family val="1"/>
    </font>
    <font>
      <b val="true"/>
      <u val="single"/>
      <sz val="10"/>
      <name val="Times New Roman"/>
      <family val="1"/>
    </font>
    <font>
      <u val="single"/>
      <sz val="9"/>
      <color rgb="FF000000"/>
      <name val="Times New Roman"/>
      <family val="1"/>
    </font>
    <font>
      <u val="single"/>
      <sz val="9"/>
      <name val="Times New Roman"/>
      <family val="1"/>
    </font>
    <font>
      <b val="true"/>
      <u val="single"/>
      <sz val="9"/>
      <name val="Times New Roman"/>
      <family val="1"/>
    </font>
    <font>
      <u val="single"/>
      <sz val="9"/>
      <color rgb="FF0000FF"/>
      <name val="Times New Roman"/>
      <family val="1"/>
    </font>
    <font>
      <b val="true"/>
      <sz val="9"/>
      <name val="Times New Roman"/>
      <family val="1"/>
    </font>
    <font>
      <b val="true"/>
      <u val="single"/>
      <sz val="12"/>
      <color rgb="FF000000"/>
      <name val="Times New Roman"/>
      <family val="1"/>
    </font>
    <font>
      <i val="true"/>
      <sz val="9"/>
      <name val="Times New Roman"/>
      <family val="1"/>
    </font>
    <font>
      <b val="true"/>
      <sz val="9"/>
      <color rgb="FFFF0000"/>
      <name val="Times New Roman"/>
      <family val="1"/>
    </font>
    <font>
      <b val="true"/>
      <sz val="12"/>
      <name val="Times New Roman"/>
      <family val="1"/>
    </font>
    <font>
      <u val="single"/>
      <sz val="9"/>
      <color rgb="FFFFFFFF"/>
      <name val="Times New Roman"/>
      <family val="1"/>
    </font>
    <font>
      <sz val="9"/>
      <color rgb="FFFF0000"/>
      <name val="Times New Roman"/>
      <family val="1"/>
    </font>
    <font>
      <b val="true"/>
      <u val="single"/>
      <sz val="9"/>
      <color rgb="FF0000FF"/>
      <name val="Times New Roman"/>
      <family val="1"/>
    </font>
    <font>
      <sz val="8"/>
      <color rgb="FF0000FF"/>
      <name val="Times New Roman"/>
      <family val="1"/>
    </font>
    <font>
      <sz val="9"/>
      <color rgb="FF003366"/>
      <name val="Times New Roman"/>
      <family val="1"/>
    </font>
    <font>
      <b val="true"/>
      <sz val="10"/>
      <name val="Times New Roman"/>
      <family val="1"/>
    </font>
    <font>
      <sz val="8"/>
      <color rgb="FFFF0000"/>
      <name val="Times New Roman"/>
      <family val="1"/>
    </font>
    <font>
      <b val="true"/>
      <sz val="8"/>
      <color rgb="FF000000"/>
      <name val="Tahoma"/>
      <family val="0"/>
    </font>
    <font>
      <sz val="8"/>
      <color rgb="FF000000"/>
      <name val="Tahoma"/>
      <family val="2"/>
    </font>
    <font>
      <b val="true"/>
      <sz val="8"/>
      <color rgb="FF000000"/>
      <name val="Tahoma"/>
      <family val="2"/>
    </font>
    <font>
      <sz val="8"/>
      <color rgb="FF000000"/>
      <name val="Tahoma"/>
      <family val="0"/>
    </font>
    <font>
      <b val="true"/>
      <u val="single"/>
      <sz val="8"/>
      <color rgb="FF000000"/>
      <name val="Tahoma"/>
      <family val="2"/>
    </font>
    <font>
      <b val="true"/>
      <sz val="10"/>
      <color rgb="FF000000"/>
      <name val="Tahoma"/>
      <family val="2"/>
    </font>
    <font>
      <sz val="10"/>
      <color rgb="FF000000"/>
      <name val="Tahoma"/>
      <family val="2"/>
    </font>
    <font>
      <sz val="12"/>
      <color rgb="FF000000"/>
      <name val="Tahoma"/>
      <family val="2"/>
    </font>
    <font>
      <b val="true"/>
      <sz val="12"/>
      <color rgb="FF000000"/>
      <name val="Tahoma"/>
      <family val="2"/>
    </font>
    <font>
      <b val="true"/>
      <sz val="16"/>
      <name val="Times New Roman"/>
      <family val="1"/>
    </font>
    <font>
      <b val="true"/>
      <u val="single"/>
      <sz val="8"/>
      <name val="Times New Roman"/>
      <family val="1"/>
    </font>
    <font>
      <u val="single"/>
      <sz val="8"/>
      <name val="Times New Roman"/>
      <family val="1"/>
    </font>
    <font>
      <b val="true"/>
      <sz val="8"/>
      <color rgb="FF0000FF"/>
      <name val="Times New Roman"/>
      <family val="1"/>
    </font>
    <font>
      <sz val="8"/>
      <color rgb="FF000000"/>
      <name val="Times New Roman"/>
      <family val="1"/>
    </font>
    <font>
      <sz val="10"/>
      <color rgb="FF0000FF"/>
      <name val="Times New Roman"/>
      <family val="1"/>
    </font>
    <font>
      <u val="single"/>
      <sz val="10"/>
      <name val="Times New Roman"/>
      <family val="1"/>
    </font>
    <font>
      <u val="single"/>
      <sz val="10"/>
      <color rgb="FF000000"/>
      <name val="Times New Roman"/>
      <family val="1"/>
    </font>
    <font>
      <sz val="10"/>
      <color rgb="FF000000"/>
      <name val="Times New Roman"/>
      <family val="1"/>
    </font>
    <font>
      <b val="true"/>
      <u val="single"/>
      <sz val="8"/>
      <name val="Arial"/>
      <family val="2"/>
    </font>
    <font>
      <u val="single"/>
      <sz val="8"/>
      <color rgb="FF0000FF"/>
      <name val="Times New Roman"/>
      <family val="1"/>
    </font>
    <font>
      <u val="double"/>
      <sz val="8"/>
      <name val="Times New Roman"/>
      <family val="1"/>
    </font>
    <font>
      <sz val="8"/>
      <color rgb="FFFFFFFF"/>
      <name val="Times New Roman"/>
      <family val="1"/>
    </font>
    <font>
      <sz val="10"/>
      <color rgb="FFFF0000"/>
      <name val="Times New Roman"/>
      <family val="1"/>
    </font>
    <font>
      <b val="true"/>
      <sz val="10"/>
      <color rgb="FF0000FF"/>
      <name val="Times New Roman"/>
      <family val="1"/>
    </font>
    <font>
      <i val="true"/>
      <u val="single"/>
      <sz val="8"/>
      <name val="Times New Roman"/>
      <family val="1"/>
    </font>
    <font>
      <b val="true"/>
      <i val="true"/>
      <u val="single"/>
      <sz val="8"/>
      <name val="Times New Roman"/>
      <family val="1"/>
    </font>
    <font>
      <i val="true"/>
      <sz val="8"/>
      <name val="Times New Roman"/>
      <family val="1"/>
    </font>
    <font>
      <b val="true"/>
      <sz val="8"/>
      <color rgb="FF000000"/>
      <name val="Times New Roman"/>
      <family val="1"/>
    </font>
    <font>
      <u val="single"/>
      <sz val="10"/>
      <color rgb="FF0000FF"/>
      <name val="Times New Roman"/>
      <family val="1"/>
    </font>
    <font>
      <b val="true"/>
      <i val="true"/>
      <sz val="8"/>
      <color rgb="FF000000"/>
      <name val="Times New Roman"/>
      <family val="1"/>
    </font>
    <font>
      <b val="true"/>
      <sz val="8"/>
      <color rgb="FF3366FF"/>
      <name val="Times New Roman"/>
      <family val="1"/>
    </font>
  </fonts>
  <fills count="15">
    <fill>
      <patternFill patternType="none"/>
    </fill>
    <fill>
      <patternFill patternType="gray125"/>
    </fill>
    <fill>
      <patternFill patternType="solid">
        <fgColor rgb="FF99CCFF"/>
        <bgColor rgb="FFCCCCFF"/>
      </patternFill>
    </fill>
    <fill>
      <patternFill patternType="solid">
        <fgColor rgb="FF00FFFF"/>
        <bgColor rgb="FF00FFFF"/>
      </patternFill>
    </fill>
    <fill>
      <patternFill patternType="solid">
        <fgColor rgb="FFC0C0C0"/>
        <bgColor rgb="FFCCCCFF"/>
      </patternFill>
    </fill>
    <fill>
      <patternFill patternType="solid">
        <fgColor rgb="FFFFFFCC"/>
        <bgColor rgb="FFFFFFFF"/>
      </patternFill>
    </fill>
    <fill>
      <patternFill patternType="solid">
        <fgColor rgb="FF003300"/>
        <bgColor rgb="FF333300"/>
      </patternFill>
    </fill>
    <fill>
      <patternFill patternType="solid">
        <fgColor rgb="FFCCFFFF"/>
        <bgColor rgb="FFCCFFFF"/>
      </patternFill>
    </fill>
    <fill>
      <patternFill patternType="solid">
        <fgColor rgb="FFFFFF99"/>
        <bgColor rgb="FFFFFFCC"/>
      </patternFill>
    </fill>
    <fill>
      <patternFill patternType="solid">
        <fgColor rgb="FFFFFFFF"/>
        <bgColor rgb="FFFFFFCC"/>
      </patternFill>
    </fill>
    <fill>
      <patternFill patternType="solid">
        <fgColor rgb="FFCCFFCC"/>
        <bgColor rgb="FFCCFFFF"/>
      </patternFill>
    </fill>
    <fill>
      <patternFill patternType="solid">
        <fgColor rgb="FFFFCC99"/>
        <bgColor rgb="FFC0C0C0"/>
      </patternFill>
    </fill>
    <fill>
      <patternFill patternType="solid">
        <fgColor rgb="FFCC99FF"/>
        <bgColor rgb="FF9999FF"/>
      </patternFill>
    </fill>
    <fill>
      <patternFill patternType="solid">
        <fgColor rgb="FF00CCFF"/>
        <bgColor rgb="FF33CCCC"/>
      </patternFill>
    </fill>
    <fill>
      <patternFill patternType="solid">
        <fgColor rgb="FFFFFF00"/>
        <bgColor rgb="FFFFFF00"/>
      </patternFill>
    </fill>
  </fills>
  <borders count="28">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bottom style="thin"/>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right/>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style="thin"/>
      <diagonal/>
    </border>
    <border diagonalUp="false" diagonalDown="false">
      <left style="medium"/>
      <right style="medium"/>
      <top style="medium"/>
      <bottom style="mediu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right/>
      <top/>
      <bottom style="medium"/>
      <diagonal/>
    </border>
    <border diagonalUp="false" diagonalDown="false">
      <left style="medium"/>
      <right/>
      <top/>
      <bottom style="medium"/>
      <diagonal/>
    </border>
    <border diagonalUp="false" diagonalDown="false">
      <left/>
      <right style="medium"/>
      <top/>
      <bottom style="medium"/>
      <diagonal/>
    </border>
    <border diagonalUp="false" diagonalDown="false">
      <left style="medium"/>
      <right/>
      <top style="medium"/>
      <bottom/>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top style="thin"/>
      <bottom style="medium"/>
      <diagonal/>
    </border>
  </borders>
  <cellStyleXfs count="155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93" fontId="0" fillId="0" borderId="0" applyFont="true" applyBorder="false" applyAlignment="false" applyProtection="false"/>
    <xf numFmtId="41" fontId="1" fillId="0" borderId="0" applyFont="true" applyBorder="false" applyAlignment="false" applyProtection="false"/>
    <xf numFmtId="217" fontId="0" fillId="0" borderId="0" applyFont="true" applyBorder="false" applyAlignment="false" applyProtection="false"/>
    <xf numFmtId="42" fontId="1" fillId="0" borderId="0" applyFont="true" applyBorder="false" applyAlignment="false" applyProtection="false"/>
    <xf numFmtId="244"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68"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7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76"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9"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false" applyAlignment="false" applyProtection="false"/>
    <xf numFmtId="181"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64" fontId="8"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false" applyAlignment="false" applyProtection="false"/>
    <xf numFmtId="17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3"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82"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83" fontId="0" fillId="2" borderId="1" applyFont="true" applyBorder="true" applyAlignment="true" applyProtection="true">
      <alignment horizontal="center" vertical="center" textRotation="0" wrapText="false" indent="0" shrinkToFit="false"/>
      <protection locked="true" hidden="false"/>
    </xf>
    <xf numFmtId="184"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8"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65"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90"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5"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91" fontId="8" fillId="0" borderId="0" applyFont="true" applyBorder="true" applyAlignment="true" applyProtection="true">
      <alignment horizontal="general" vertical="bottom" textRotation="0" wrapText="false" indent="0" shrinkToFit="false"/>
      <protection locked="true" hidden="false"/>
    </xf>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95" fontId="0" fillId="0" borderId="0" applyFont="true" applyBorder="false" applyAlignment="false" applyProtection="false"/>
    <xf numFmtId="193"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5"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3" borderId="0" applyFont="true" applyBorder="false" applyAlignment="false" applyProtection="false"/>
    <xf numFmtId="193" fontId="9"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97"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7" fontId="0" fillId="0" borderId="0" applyFont="true" applyBorder="false" applyAlignment="false" applyProtection="false"/>
    <xf numFmtId="173" fontId="0" fillId="0" borderId="0" applyFont="true" applyBorder="false" applyAlignment="false" applyProtection="false"/>
    <xf numFmtId="173" fontId="0" fillId="0" borderId="0" applyFont="true" applyBorder="false" applyAlignment="false" applyProtection="false"/>
    <xf numFmtId="194"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194"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8"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77"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8" fontId="0" fillId="0" borderId="0" applyFont="true" applyBorder="false" applyAlignment="false" applyProtection="false"/>
    <xf numFmtId="173"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4"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8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6" fontId="0" fillId="0" borderId="0" applyFont="true" applyBorder="false" applyAlignment="false" applyProtection="false"/>
    <xf numFmtId="175" fontId="0" fillId="0" borderId="0" applyFont="true" applyBorder="false" applyAlignment="false" applyProtection="false"/>
    <xf numFmtId="177"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6" fontId="0" fillId="0" borderId="0" applyFont="true" applyBorder="false" applyAlignment="false" applyProtection="false"/>
    <xf numFmtId="193" fontId="0" fillId="0"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201"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1" fontId="0" fillId="0" borderId="0" applyFont="true" applyBorder="false" applyAlignment="false" applyProtection="false"/>
    <xf numFmtId="203"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4" fontId="0" fillId="0" borderId="0" applyFont="true" applyBorder="false" applyAlignment="false" applyProtection="false"/>
    <xf numFmtId="205"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168" fontId="0" fillId="0" borderId="0" applyFont="true" applyBorder="false" applyAlignment="false" applyProtection="false"/>
    <xf numFmtId="203" fontId="0" fillId="0" borderId="0" applyFont="true" applyBorder="false" applyAlignment="false" applyProtection="false"/>
    <xf numFmtId="205"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1" fontId="0" fillId="0" borderId="0" applyFont="true" applyBorder="false" applyAlignment="false" applyProtection="false"/>
    <xf numFmtId="206"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203"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200" fontId="0" fillId="0" borderId="0" applyFont="true" applyBorder="false" applyAlignment="false" applyProtection="false"/>
    <xf numFmtId="170" fontId="0" fillId="0" borderId="0" applyFont="true" applyBorder="false" applyAlignment="false" applyProtection="false"/>
    <xf numFmtId="207" fontId="0" fillId="0" borderId="0" applyFont="true" applyBorder="false" applyAlignment="false" applyProtection="false"/>
    <xf numFmtId="208" fontId="0" fillId="0" borderId="0" applyFont="true" applyBorder="false" applyAlignment="false" applyProtection="false"/>
    <xf numFmtId="20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0" fontId="0" fillId="0" borderId="0" applyFont="true" applyBorder="false" applyAlignment="false" applyProtection="false"/>
    <xf numFmtId="209" fontId="0" fillId="0" borderId="0" applyFont="true" applyBorder="false" applyAlignment="false" applyProtection="false"/>
    <xf numFmtId="16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6" fontId="0" fillId="0" borderId="0" applyFont="true" applyBorder="false" applyAlignment="false" applyProtection="false"/>
    <xf numFmtId="164"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211" fontId="0" fillId="0" borderId="0" applyFont="true" applyBorder="false" applyAlignment="false" applyProtection="false"/>
    <xf numFmtId="210"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212" fontId="0" fillId="0" borderId="0" applyFont="true" applyBorder="false" applyAlignment="false" applyProtection="false"/>
    <xf numFmtId="168"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11"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68"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168" fontId="0" fillId="0" borderId="0" applyFont="true" applyBorder="false" applyAlignment="false" applyProtection="false"/>
    <xf numFmtId="190" fontId="0" fillId="0" borderId="0" applyFont="true" applyBorder="false" applyAlignment="false" applyProtection="false"/>
    <xf numFmtId="201" fontId="0" fillId="0" borderId="0" applyFont="true" applyBorder="false" applyAlignment="false" applyProtection="false"/>
    <xf numFmtId="210"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6" fontId="0" fillId="0" borderId="0" applyFont="true" applyBorder="false" applyAlignment="false" applyProtection="false"/>
    <xf numFmtId="215" fontId="0" fillId="0" borderId="0" applyFont="true" applyBorder="false" applyAlignment="false" applyProtection="false"/>
    <xf numFmtId="204" fontId="0" fillId="0" borderId="0" applyFont="true" applyBorder="false" applyAlignment="false" applyProtection="false"/>
    <xf numFmtId="215"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206" fontId="0" fillId="0" borderId="0" applyFont="true" applyBorder="false" applyAlignment="false" applyProtection="false"/>
    <xf numFmtId="206"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6"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1"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6"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206" fontId="0" fillId="0" borderId="0" applyFont="true" applyBorder="false" applyAlignment="false" applyProtection="false"/>
    <xf numFmtId="203"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199" fontId="0" fillId="0" borderId="0" applyFont="true" applyBorder="false" applyAlignment="false" applyProtection="false"/>
    <xf numFmtId="206" fontId="0" fillId="0" borderId="0" applyFont="true" applyBorder="false" applyAlignment="false" applyProtection="false"/>
    <xf numFmtId="200"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7" fontId="0" fillId="0" borderId="0" applyFont="true" applyBorder="false" applyAlignment="false" applyProtection="false"/>
    <xf numFmtId="210"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0" fontId="0" fillId="0" borderId="0" applyFont="true" applyBorder="false" applyAlignment="false" applyProtection="false"/>
    <xf numFmtId="219"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20" fontId="0" fillId="0" borderId="0" applyFont="true" applyBorder="false" applyAlignment="false" applyProtection="false"/>
    <xf numFmtId="221"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67" fontId="0" fillId="0" borderId="0" applyFont="true" applyBorder="false" applyAlignment="false" applyProtection="false"/>
    <xf numFmtId="219" fontId="0" fillId="0" borderId="0" applyFont="true" applyBorder="false" applyAlignment="false" applyProtection="false"/>
    <xf numFmtId="221"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0"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219"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23" fontId="0" fillId="0" borderId="0" applyFont="true" applyBorder="false" applyAlignment="false" applyProtection="false"/>
    <xf numFmtId="166" fontId="0" fillId="0" borderId="0" applyFont="true" applyBorder="false" applyAlignment="false" applyProtection="false"/>
    <xf numFmtId="22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22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4" fontId="0" fillId="0" borderId="0" applyFont="true" applyBorder="false" applyAlignment="false" applyProtection="false"/>
    <xf numFmtId="164"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226" fontId="0" fillId="0" borderId="0" applyFont="true" applyBorder="false" applyAlignment="false" applyProtection="false"/>
    <xf numFmtId="225"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4"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26"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167" fontId="0" fillId="0" borderId="0" applyFont="true" applyBorder="false" applyAlignment="false" applyProtection="false"/>
    <xf numFmtId="227" fontId="0" fillId="0" borderId="0" applyFont="true" applyBorder="false" applyAlignment="false" applyProtection="false"/>
    <xf numFmtId="228" fontId="0" fillId="0" borderId="0" applyFont="true" applyBorder="false" applyAlignment="false" applyProtection="false"/>
    <xf numFmtId="167" fontId="0" fillId="0" borderId="0" applyFont="true" applyBorder="false" applyAlignment="false" applyProtection="false"/>
    <xf numFmtId="227" fontId="0" fillId="0" borderId="0" applyFont="true" applyBorder="false" applyAlignment="false" applyProtection="false"/>
    <xf numFmtId="229" fontId="0" fillId="0" borderId="0" applyFont="true" applyBorder="false" applyAlignment="false" applyProtection="false"/>
    <xf numFmtId="210" fontId="0" fillId="0" borderId="0" applyFont="true" applyBorder="false" applyAlignment="false" applyProtection="false"/>
    <xf numFmtId="225"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6" fontId="0" fillId="0" borderId="0" applyFont="true" applyBorder="false" applyAlignment="false" applyProtection="false"/>
    <xf numFmtId="209" fontId="0" fillId="0" borderId="0" applyFont="true" applyBorder="false" applyAlignment="false" applyProtection="false"/>
    <xf numFmtId="220" fontId="0" fillId="0" borderId="0" applyFont="true" applyBorder="false" applyAlignment="false" applyProtection="false"/>
    <xf numFmtId="209" fontId="0" fillId="0" borderId="0" applyFont="true" applyBorder="false" applyAlignment="false" applyProtection="false"/>
    <xf numFmtId="226" fontId="0" fillId="0" borderId="0" applyFont="true" applyBorder="false" applyAlignment="false" applyProtection="false"/>
    <xf numFmtId="227" fontId="0" fillId="0" borderId="0" applyFont="true" applyBorder="false" applyAlignment="false" applyProtection="false"/>
    <xf numFmtId="225"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24" fontId="0" fillId="0" borderId="0" applyFont="true" applyBorder="false" applyAlignment="false" applyProtection="false"/>
    <xf numFmtId="230" fontId="0" fillId="0" borderId="0" applyFont="true" applyBorder="false" applyAlignment="false" applyProtection="false"/>
    <xf numFmtId="175" fontId="0" fillId="0" borderId="0" applyFont="true" applyBorder="false" applyAlignment="false" applyProtection="false"/>
    <xf numFmtId="225" fontId="0" fillId="0" borderId="0" applyFont="true" applyBorder="false" applyAlignment="false" applyProtection="false"/>
    <xf numFmtId="214" fontId="0" fillId="0" borderId="0" applyFont="true" applyBorder="false" applyAlignment="false" applyProtection="false"/>
    <xf numFmtId="231"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22"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22"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0" fontId="0" fillId="0" borderId="0" applyFont="true" applyBorder="false" applyAlignment="false" applyProtection="false"/>
    <xf numFmtId="167" fontId="0" fillId="0" borderId="0" applyFont="true" applyBorder="false" applyAlignment="false" applyProtection="false"/>
    <xf numFmtId="214"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7" fontId="0" fillId="0" borderId="0" applyFont="true" applyBorder="false" applyAlignment="false" applyProtection="false"/>
    <xf numFmtId="222" fontId="0" fillId="0" borderId="0" applyFont="true" applyBorder="false" applyAlignment="false" applyProtection="false"/>
    <xf numFmtId="219"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16" fontId="0" fillId="0" borderId="0" applyFont="true" applyBorder="false" applyAlignment="false" applyProtection="false"/>
    <xf numFmtId="222"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170" fontId="8" fillId="0" borderId="0" applyFont="true" applyBorder="true" applyAlignment="true" applyProtection="true">
      <alignment horizontal="general" vertical="bottom" textRotation="0" wrapText="false" indent="0" shrinkToFit="false"/>
      <protection locked="false" hidden="false"/>
    </xf>
    <xf numFmtId="186" fontId="0" fillId="0" borderId="0" applyFont="true" applyBorder="false" applyAlignment="false" applyProtection="false"/>
    <xf numFmtId="186" fontId="0" fillId="0" borderId="0" applyFont="true" applyBorder="false" applyAlignment="false" applyProtection="false"/>
    <xf numFmtId="232"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233" fontId="0" fillId="0" borderId="0" applyFont="true" applyBorder="false" applyAlignment="false" applyProtection="false"/>
    <xf numFmtId="234" fontId="0" fillId="0" borderId="0" applyFont="true" applyBorder="true" applyAlignment="true" applyProtection="true">
      <alignment horizontal="general" vertical="bottom" textRotation="0" wrapText="false" indent="0" shrinkToFit="false"/>
      <protection locked="false" hidden="false"/>
    </xf>
    <xf numFmtId="164" fontId="12" fillId="4" borderId="0" applyFont="true" applyBorder="false" applyAlignment="false" applyProtection="false"/>
    <xf numFmtId="164" fontId="13" fillId="0" borderId="0" applyFont="true" applyBorder="false" applyAlignment="false" applyProtection="false"/>
    <xf numFmtId="224" fontId="0" fillId="0" borderId="0" applyFont="true" applyBorder="true" applyAlignment="true" applyProtection="true">
      <alignment horizontal="general" vertical="bottom" textRotation="0" wrapText="false" indent="0" shrinkToFit="false"/>
      <protection locked="false" hidden="false"/>
    </xf>
    <xf numFmtId="224" fontId="0" fillId="0" borderId="0" applyFont="true" applyBorder="true" applyAlignment="true" applyProtection="true">
      <alignment horizontal="general" vertical="bottom" textRotation="0" wrapText="false" indent="0" shrinkToFit="false"/>
      <protection locked="false" hidden="false"/>
    </xf>
    <xf numFmtId="164" fontId="14" fillId="0" borderId="2" applyFont="true" applyBorder="true" applyAlignment="false" applyProtection="false"/>
    <xf numFmtId="164" fontId="15" fillId="0" borderId="0" applyFont="true" applyBorder="false" applyAlignment="false" applyProtection="false"/>
    <xf numFmtId="164" fontId="12" fillId="5" borderId="0" applyFont="true" applyBorder="false" applyAlignment="false" applyProtection="false"/>
    <xf numFmtId="235" fontId="16" fillId="0" borderId="0" applyFont="true" applyBorder="true" applyAlignment="true" applyProtection="true">
      <alignment horizontal="general" vertical="bottom" textRotation="0" wrapText="false" indent="0" shrinkToFit="false"/>
      <protection locked="true" hidden="false"/>
    </xf>
    <xf numFmtId="236" fontId="17"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235" fontId="2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9"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9" fillId="6"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top" textRotation="0" wrapText="tru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true" applyAlignment="false" applyProtection="true">
      <protection locked="true" hidden="false"/>
    </xf>
    <xf numFmtId="235" fontId="25" fillId="0" borderId="0" applyFont="true" applyBorder="false" applyAlignment="false" applyProtection="false"/>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9"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9" fontId="21"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31" fillId="6" borderId="0" applyFont="true" applyBorder="true" applyAlignment="true" applyProtection="true">
      <alignment horizontal="general" vertical="bottom" textRotation="0" wrapText="false" indent="0" shrinkToFit="false"/>
      <protection locked="true" hidden="false"/>
    </xf>
    <xf numFmtId="164" fontId="9" fillId="6"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false" applyProtection="tru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true" applyAlignment="false" applyProtection="tru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41" fontId="0" fillId="0" borderId="0" applyFont="true" applyBorder="true" applyAlignment="true" applyProtection="true">
      <alignment horizontal="general" vertical="center"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34" fillId="0" borderId="3"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36"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34" fillId="0" borderId="3" applyFont="true" applyBorder="true" applyAlignment="true" applyProtection="true">
      <alignment horizontal="general" vertical="bottom" textRotation="0" wrapText="false" indent="0" shrinkToFit="false"/>
      <protection locked="true" hidden="false"/>
    </xf>
    <xf numFmtId="164" fontId="36"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tru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4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tru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5" fillId="0" borderId="0" applyFont="true" applyBorder="true" applyAlignment="true" applyProtection="true">
      <alignment horizontal="general" vertical="bottom" textRotation="0" wrapText="false" indent="0" shrinkToFit="false"/>
      <protection locked="true" hidden="false"/>
    </xf>
    <xf numFmtId="164" fontId="46" fillId="0" borderId="0" applyFont="true" applyBorder="true" applyAlignment="true" applyProtection="true">
      <alignment horizontal="general" vertical="bottom" textRotation="0" wrapText="false" indent="0" shrinkToFit="false"/>
      <protection locked="true" hidden="false"/>
    </xf>
    <xf numFmtId="164" fontId="47"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236" fontId="49"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239"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6"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false" applyProtection="true">
      <protection locked="true" hidden="false"/>
    </xf>
    <xf numFmtId="239"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235" fontId="23"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center"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9" fontId="9"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true" hidden="false"/>
    </xf>
    <xf numFmtId="164" fontId="5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tru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8" fontId="4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cellStyleXfs>
  <cellXfs count="947">
    <xf numFmtId="164" fontId="0" fillId="0" borderId="0" xfId="0" applyFont="fals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top" textRotation="0" wrapText="tru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244" fontId="3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true" applyProtection="false">
      <alignment horizontal="general" vertical="top" textRotation="0" wrapText="true" indent="0" shrinkToFit="false"/>
      <protection locked="true" hidden="false"/>
    </xf>
    <xf numFmtId="164" fontId="61" fillId="0" borderId="0" xfId="0" applyFont="true" applyBorder="false" applyAlignment="true" applyProtection="false">
      <alignment horizontal="general" vertical="top" textRotation="0" wrapText="true" indent="0" shrinkToFit="false"/>
      <protection locked="true" hidden="false"/>
    </xf>
    <xf numFmtId="164" fontId="62" fillId="0" borderId="0" xfId="0" applyFont="true" applyBorder="false" applyAlignment="true" applyProtection="false">
      <alignment horizontal="general" vertical="top" textRotation="0" wrapText="true" indent="0" shrinkToFit="false"/>
      <protection locked="true" hidden="false"/>
    </xf>
    <xf numFmtId="164" fontId="63" fillId="0" borderId="4" xfId="0" applyFont="true" applyBorder="true" applyAlignment="false" applyProtection="false">
      <alignment horizontal="general" vertical="bottom" textRotation="0" wrapText="false" indent="0" shrinkToFit="false"/>
      <protection locked="true" hidden="false"/>
    </xf>
    <xf numFmtId="246" fontId="64" fillId="0" borderId="5" xfId="0" applyFont="true" applyBorder="true" applyAlignment="false" applyProtection="fals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64" fontId="63" fillId="0" borderId="6" xfId="0" applyFont="true" applyBorder="true" applyAlignment="false" applyProtection="false">
      <alignment horizontal="general" vertical="bottom" textRotation="0" wrapText="false" indent="0" shrinkToFit="false"/>
      <protection locked="true" hidden="false"/>
    </xf>
    <xf numFmtId="246" fontId="64" fillId="0" borderId="7" xfId="0" applyFont="true" applyBorder="true" applyAlignment="false" applyProtection="false">
      <alignment horizontal="general" vertical="bottom" textRotation="0" wrapText="false" indent="0" shrinkToFit="false"/>
      <protection locked="true" hidden="false"/>
    </xf>
    <xf numFmtId="164" fontId="63" fillId="0" borderId="0" xfId="0" applyFont="true" applyBorder="true" applyAlignment="false" applyProtection="false">
      <alignment horizontal="general" vertical="bottom" textRotation="0" wrapText="false" indent="0" shrinkToFit="false"/>
      <protection locked="true" hidden="false"/>
    </xf>
    <xf numFmtId="164" fontId="61" fillId="0" borderId="8" xfId="0" applyFont="true" applyBorder="true" applyAlignment="true" applyProtection="false">
      <alignment horizontal="center" vertical="bottom" textRotation="0" wrapText="false" indent="0" shrinkToFit="false"/>
      <protection locked="true" hidden="false"/>
    </xf>
    <xf numFmtId="164" fontId="65" fillId="0" borderId="4" xfId="0" applyFont="true" applyBorder="true" applyAlignment="false" applyProtection="false">
      <alignment horizontal="general" vertical="bottom" textRotation="0" wrapText="false" indent="0" shrinkToFit="false"/>
      <protection locked="true" hidden="false"/>
    </xf>
    <xf numFmtId="164" fontId="65" fillId="0" borderId="9" xfId="0" applyFont="true" applyBorder="true" applyAlignment="false" applyProtection="false">
      <alignment horizontal="general" vertical="bottom" textRotation="0" wrapText="false" indent="0" shrinkToFit="false"/>
      <protection locked="true" hidden="false"/>
    </xf>
    <xf numFmtId="164" fontId="65" fillId="0" borderId="5" xfId="0" applyFont="true" applyBorder="true" applyAlignment="false" applyProtection="false">
      <alignment horizontal="general" vertical="bottom" textRotation="0" wrapText="false" indent="0" shrinkToFit="false"/>
      <protection locked="true" hidden="false"/>
    </xf>
    <xf numFmtId="169" fontId="57" fillId="0" borderId="8" xfId="0" applyFont="true" applyBorder="true" applyAlignment="false" applyProtection="false">
      <alignment horizontal="general" vertical="bottom" textRotation="0" wrapText="false" indent="0" shrinkToFit="false"/>
      <protection locked="true" hidden="false"/>
    </xf>
    <xf numFmtId="169" fontId="57" fillId="0" borderId="10" xfId="0" applyFont="true" applyBorder="true" applyAlignment="false" applyProtection="false">
      <alignment horizontal="general" vertical="bottom" textRotation="0" wrapText="false" indent="0" shrinkToFit="false"/>
      <protection locked="true" hidden="false"/>
    </xf>
    <xf numFmtId="169" fontId="57" fillId="0" borderId="0" xfId="0" applyFont="true" applyBorder="true" applyAlignment="false" applyProtection="false">
      <alignment horizontal="general" vertical="bottom" textRotation="0" wrapText="false" indent="0" shrinkToFit="false"/>
      <protection locked="true" hidden="false"/>
    </xf>
    <xf numFmtId="169" fontId="57" fillId="0" borderId="11" xfId="0" applyFont="true" applyBorder="true" applyAlignment="false" applyProtection="false">
      <alignment horizontal="general" vertical="bottom" textRotation="0" wrapText="false" indent="0" shrinkToFit="false"/>
      <protection locked="true" hidden="false"/>
    </xf>
    <xf numFmtId="169" fontId="57" fillId="0" borderId="0" xfId="0" applyFont="tru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69" fontId="57" fillId="0" borderId="6" xfId="0" applyFont="true" applyBorder="true" applyAlignment="false" applyProtection="false">
      <alignment horizontal="general" vertical="bottom" textRotation="0" wrapText="false" indent="0" shrinkToFit="false"/>
      <protection locked="true" hidden="false"/>
    </xf>
    <xf numFmtId="169" fontId="57" fillId="0" borderId="3" xfId="0" applyFont="true" applyBorder="true" applyAlignment="false" applyProtection="false">
      <alignment horizontal="general" vertical="bottom" textRotation="0" wrapText="false" indent="0" shrinkToFit="false"/>
      <protection locked="true" hidden="false"/>
    </xf>
    <xf numFmtId="169" fontId="57" fillId="0" borderId="7" xfId="0" applyFont="true" applyBorder="tru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64" fontId="63" fillId="0" borderId="10" xfId="0" applyFont="true" applyBorder="true" applyAlignment="false" applyProtection="false">
      <alignment horizontal="general" vertical="bottom" textRotation="0" wrapText="false" indent="0" shrinkToFit="false"/>
      <protection locked="true" hidden="false"/>
    </xf>
    <xf numFmtId="246" fontId="64" fillId="0" borderId="11" xfId="0" applyFont="true" applyBorder="true" applyAlignment="false" applyProtection="false">
      <alignment horizontal="general" vertical="bottom" textRotation="0" wrapText="false" indent="0" shrinkToFit="false"/>
      <protection locked="true" hidden="false"/>
    </xf>
    <xf numFmtId="224" fontId="61" fillId="0" borderId="0" xfId="0" applyFont="tru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left" vertical="bottom" textRotation="0" wrapText="false" indent="0" shrinkToFit="false"/>
      <protection locked="true" hidden="false"/>
    </xf>
    <xf numFmtId="244" fontId="66" fillId="0" borderId="0" xfId="0" applyFont="true" applyBorder="false" applyAlignment="false" applyProtection="false">
      <alignment horizontal="general"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64" fontId="67"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68" fillId="0" borderId="0" xfId="0" applyFont="true" applyBorder="false" applyAlignment="false" applyProtection="false">
      <alignment horizontal="general" vertical="bottom" textRotation="0" wrapText="false" indent="0" shrinkToFit="false"/>
      <protection locked="true" hidden="false"/>
    </xf>
    <xf numFmtId="191" fontId="0" fillId="0" borderId="0" xfId="0" applyFont="false" applyBorder="false" applyAlignment="false" applyProtection="false">
      <alignment horizontal="general" vertical="bottom" textRotation="0" wrapText="false" indent="0" shrinkToFit="false"/>
      <protection locked="true" hidden="false"/>
    </xf>
    <xf numFmtId="164" fontId="66" fillId="0" borderId="4" xfId="0" applyFont="tru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66" fillId="0" borderId="0" xfId="0" applyFont="true" applyBorder="true" applyAlignment="false" applyProtection="false">
      <alignment horizontal="general" vertical="bottom" textRotation="0" wrapText="false" indent="0" shrinkToFit="false"/>
      <protection locked="true" hidden="false"/>
    </xf>
    <xf numFmtId="164" fontId="66" fillId="0" borderId="11" xfId="0" applyFont="true" applyBorder="true" applyAlignment="false" applyProtection="false">
      <alignment horizontal="general" vertical="bottom" textRotation="0" wrapText="false" indent="0" shrinkToFit="false"/>
      <protection locked="true" hidden="false"/>
    </xf>
    <xf numFmtId="169" fontId="0" fillId="0" borderId="0"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9" fontId="69" fillId="0" borderId="0" xfId="0" applyFont="true" applyBorder="true" applyAlignment="false" applyProtection="false">
      <alignment horizontal="general" vertical="bottom" textRotation="0" wrapText="false" indent="0" shrinkToFit="false"/>
      <protection locked="true" hidden="false"/>
    </xf>
    <xf numFmtId="169" fontId="0" fillId="0" borderId="11" xfId="0" applyFont="false" applyBorder="true" applyAlignment="false" applyProtection="false">
      <alignment horizontal="general" vertical="bottom" textRotation="0" wrapText="false" indent="0" shrinkToFit="false"/>
      <protection locked="true" hidden="false"/>
    </xf>
    <xf numFmtId="164" fontId="66" fillId="0" borderId="6" xfId="0" applyFont="true" applyBorder="true" applyAlignment="false" applyProtection="false">
      <alignment horizontal="general" vertical="bottom" textRotation="0" wrapText="false" indent="0" shrinkToFit="false"/>
      <protection locked="true" hidden="false"/>
    </xf>
    <xf numFmtId="164" fontId="66" fillId="0" borderId="3" xfId="0" applyFont="true" applyBorder="true" applyAlignment="false" applyProtection="false">
      <alignment horizontal="general" vertical="bottom" textRotation="0" wrapText="false" indent="0" shrinkToFit="false"/>
      <protection locked="true" hidden="false"/>
    </xf>
    <xf numFmtId="169" fontId="66" fillId="0" borderId="3" xfId="0" applyFont="true" applyBorder="true" applyAlignment="false" applyProtection="false">
      <alignment horizontal="general" vertical="bottom" textRotation="0" wrapText="false" indent="0" shrinkToFit="false"/>
      <protection locked="true" hidden="false"/>
    </xf>
    <xf numFmtId="169" fontId="66" fillId="0" borderId="7"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false" applyAlignment="false" applyProtection="false">
      <alignment horizontal="general" vertical="bottom" textRotation="0" wrapText="false" indent="0" shrinkToFit="false"/>
      <protection locked="true" hidden="false"/>
    </xf>
    <xf numFmtId="164" fontId="71" fillId="0" borderId="0" xfId="0" applyFont="true" applyBorder="false" applyAlignment="false" applyProtection="false">
      <alignment horizontal="general" vertical="bottom" textRotation="0" wrapText="false" indent="0" shrinkToFit="false"/>
      <protection locked="true" hidden="false"/>
    </xf>
    <xf numFmtId="164" fontId="72" fillId="0" borderId="0" xfId="0" applyFont="true" applyBorder="false" applyAlignment="false" applyProtection="false">
      <alignment horizontal="general" vertical="bottom" textRotation="0" wrapText="false" indent="0" shrinkToFit="false"/>
      <protection locked="true" hidden="false"/>
    </xf>
    <xf numFmtId="164" fontId="73" fillId="2" borderId="0" xfId="0" applyFont="true" applyBorder="true" applyAlignment="true" applyProtection="false">
      <alignment horizontal="center" vertical="bottom" textRotation="0" wrapText="false" indent="0" shrinkToFit="false"/>
      <protection locked="true" hidden="false"/>
    </xf>
    <xf numFmtId="164" fontId="70" fillId="2" borderId="0" xfId="0" applyFont="true" applyBorder="false" applyAlignment="false" applyProtection="false">
      <alignment horizontal="general" vertical="bottom" textRotation="0" wrapText="false" indent="0" shrinkToFit="false"/>
      <protection locked="true" hidden="false"/>
    </xf>
    <xf numFmtId="164" fontId="71" fillId="2" borderId="0" xfId="0" applyFont="true" applyBorder="false" applyAlignment="false" applyProtection="false">
      <alignment horizontal="general" vertical="bottom" textRotation="0" wrapText="false" indent="0" shrinkToFit="false"/>
      <protection locked="true" hidden="false"/>
    </xf>
    <xf numFmtId="164" fontId="74" fillId="0" borderId="0" xfId="0" applyFont="true" applyBorder="true" applyAlignment="true" applyProtection="false">
      <alignment horizontal="center" vertical="bottom" textRotation="0" wrapText="false" indent="0" shrinkToFit="false"/>
      <protection locked="true" hidden="false"/>
    </xf>
    <xf numFmtId="164" fontId="57" fillId="0" borderId="0" xfId="0" applyFont="true" applyBorder="true" applyAlignment="true" applyProtection="false">
      <alignment horizontal="center" vertical="bottom" textRotation="0" wrapText="false" indent="0" shrinkToFit="false"/>
      <protection locked="true" hidden="false"/>
    </xf>
    <xf numFmtId="164" fontId="75" fillId="4" borderId="4" xfId="0" applyFont="true" applyBorder="true" applyAlignment="true" applyProtection="true">
      <alignment horizontal="left" vertical="bottom" textRotation="0" wrapText="false" indent="0" shrinkToFit="false"/>
      <protection locked="true" hidden="false"/>
    </xf>
    <xf numFmtId="164" fontId="70" fillId="4" borderId="9" xfId="0" applyFont="true" applyBorder="true" applyAlignment="false" applyProtection="false">
      <alignment horizontal="general" vertical="bottom" textRotation="0" wrapText="false" indent="0" shrinkToFit="false"/>
      <protection locked="true" hidden="false"/>
    </xf>
    <xf numFmtId="164" fontId="70" fillId="4" borderId="5" xfId="0" applyFont="true" applyBorder="true" applyAlignment="false" applyProtection="false">
      <alignment horizontal="general" vertical="bottom" textRotation="0" wrapText="false" indent="0" shrinkToFit="false"/>
      <protection locked="true" hidden="false"/>
    </xf>
    <xf numFmtId="244" fontId="76" fillId="4" borderId="5" xfId="19" applyFont="true" applyBorder="true" applyAlignment="true" applyProtection="true">
      <alignment horizontal="general" vertical="bottom" textRotation="0" wrapText="false" indent="0" shrinkToFit="false"/>
      <protection locked="true" hidden="false"/>
    </xf>
    <xf numFmtId="164" fontId="75" fillId="4" borderId="4" xfId="0" applyFont="true" applyBorder="true" applyAlignment="false" applyProtection="false">
      <alignment horizontal="general" vertical="bottom" textRotation="0" wrapText="false" indent="0" shrinkToFit="false"/>
      <protection locked="true" hidden="false"/>
    </xf>
    <xf numFmtId="164" fontId="77" fillId="4" borderId="9" xfId="0" applyFont="true" applyBorder="true" applyAlignment="false" applyProtection="false">
      <alignment horizontal="general" vertical="bottom" textRotation="0" wrapText="false" indent="0" shrinkToFit="false"/>
      <protection locked="true" hidden="false"/>
    </xf>
    <xf numFmtId="164" fontId="70" fillId="4" borderId="5" xfId="0" applyFont="true" applyBorder="true" applyAlignment="true" applyProtection="false">
      <alignment horizontal="center" vertical="bottom" textRotation="0" wrapText="false" indent="0" shrinkToFit="false"/>
      <protection locked="true" hidden="false"/>
    </xf>
    <xf numFmtId="164" fontId="75" fillId="0" borderId="10" xfId="0" applyFont="true" applyBorder="true" applyAlignment="true" applyProtection="true">
      <alignment horizontal="left"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0" borderId="11" xfId="0" applyFont="true" applyBorder="true" applyAlignment="false" applyProtection="false">
      <alignment horizontal="general" vertical="bottom" textRotation="0" wrapText="false" indent="0" shrinkToFit="false"/>
      <protection locked="true" hidden="false"/>
    </xf>
    <xf numFmtId="244" fontId="76" fillId="0" borderId="11" xfId="19" applyFont="true" applyBorder="true" applyAlignment="true" applyProtection="true">
      <alignment horizontal="general" vertical="bottom" textRotation="0" wrapText="false" indent="0" shrinkToFit="false"/>
      <protection locked="true" hidden="false"/>
    </xf>
    <xf numFmtId="164" fontId="70" fillId="0" borderId="10" xfId="0" applyFont="true" applyBorder="true" applyAlignment="false" applyProtection="false">
      <alignment horizontal="general" vertical="bottom" textRotation="0" wrapText="false" indent="0" shrinkToFit="false"/>
      <protection locked="true" hidden="false"/>
    </xf>
    <xf numFmtId="164" fontId="78" fillId="0" borderId="12" xfId="0" applyFont="true" applyBorder="true" applyAlignment="false" applyProtection="false">
      <alignment horizontal="general" vertical="bottom" textRotation="0" wrapText="false" indent="0" shrinkToFit="false"/>
      <protection locked="true" hidden="false"/>
    </xf>
    <xf numFmtId="164" fontId="79" fillId="0" borderId="13" xfId="0" applyFont="true" applyBorder="true" applyAlignment="false" applyProtection="false">
      <alignment horizontal="general" vertical="bottom" textRotation="0" wrapText="false" indent="0" shrinkToFit="false"/>
      <protection locked="true" hidden="false"/>
    </xf>
    <xf numFmtId="164" fontId="57" fillId="0" borderId="10" xfId="0" applyFont="true" applyBorder="true" applyAlignment="true" applyProtection="true">
      <alignment horizontal="left" vertical="bottom" textRotation="0" wrapText="false" indent="0" shrinkToFit="false"/>
      <protection locked="true" hidden="false"/>
    </xf>
    <xf numFmtId="247" fontId="70" fillId="0" borderId="11" xfId="0" applyFont="true" applyBorder="true" applyAlignment="false" applyProtection="false">
      <alignment horizontal="general" vertical="bottom" textRotation="0" wrapText="false" indent="0" shrinkToFit="false"/>
      <protection locked="true" hidden="false"/>
    </xf>
    <xf numFmtId="164" fontId="80" fillId="0" borderId="10" xfId="0" applyFont="true" applyBorder="true" applyAlignment="true" applyProtection="true">
      <alignment horizontal="left" vertical="bottom" textRotation="0" wrapText="false" indent="0" shrinkToFit="false"/>
      <protection locked="true" hidden="false"/>
    </xf>
    <xf numFmtId="164" fontId="70" fillId="0" borderId="10" xfId="0" applyFont="true" applyBorder="true" applyAlignment="true" applyProtection="true">
      <alignment horizontal="left" vertical="bottom" textRotation="0" wrapText="false" indent="0" shrinkToFit="false"/>
      <protection locked="true" hidden="false"/>
    </xf>
    <xf numFmtId="248" fontId="81" fillId="0" borderId="0" xfId="15" applyFont="true" applyBorder="true" applyAlignment="true" applyProtection="true">
      <alignment horizontal="right" vertical="bottom" textRotation="0" wrapText="false" indent="0" shrinkToFit="false"/>
      <protection locked="true" hidden="false"/>
    </xf>
    <xf numFmtId="248" fontId="81" fillId="0" borderId="11" xfId="15" applyFont="true" applyBorder="true" applyAlignment="true" applyProtection="true">
      <alignment horizontal="right" vertical="bottom" textRotation="0" wrapText="false" indent="0" shrinkToFit="false"/>
      <protection locked="true" hidden="false"/>
    </xf>
    <xf numFmtId="164" fontId="82" fillId="0" borderId="10" xfId="0" applyFont="true" applyBorder="true" applyAlignment="false" applyProtection="false">
      <alignment horizontal="general" vertical="bottom" textRotation="0" wrapText="false" indent="0" shrinkToFit="false"/>
      <protection locked="true" hidden="false"/>
    </xf>
    <xf numFmtId="164" fontId="83" fillId="0" borderId="0" xfId="0" applyFont="true" applyBorder="true" applyAlignment="true" applyProtection="false">
      <alignment horizontal="center" vertical="bottom" textRotation="0" wrapText="true" indent="0" shrinkToFit="false"/>
      <protection locked="true" hidden="false"/>
    </xf>
    <xf numFmtId="164" fontId="84" fillId="0" borderId="0" xfId="0" applyFont="true" applyBorder="true" applyAlignment="true" applyProtection="false">
      <alignment horizontal="center" vertical="bottom" textRotation="0" wrapText="false" indent="0" shrinkToFit="false"/>
      <protection locked="true" hidden="false"/>
    </xf>
    <xf numFmtId="164" fontId="84" fillId="0" borderId="0" xfId="0" applyFont="true" applyBorder="true" applyAlignment="false" applyProtection="false">
      <alignment horizontal="general" vertical="bottom" textRotation="0" wrapText="false" indent="0" shrinkToFit="false"/>
      <protection locked="true" hidden="false"/>
    </xf>
    <xf numFmtId="164" fontId="85" fillId="0" borderId="11" xfId="0" applyFont="true" applyBorder="true" applyAlignment="true" applyProtection="false">
      <alignment horizontal="center" vertical="bottom" textRotation="0" wrapText="true" indent="0" shrinkToFit="false"/>
      <protection locked="true" hidden="false"/>
    </xf>
    <xf numFmtId="243" fontId="81" fillId="0" borderId="11" xfId="19" applyFont="true" applyBorder="true" applyAlignment="true" applyProtection="true">
      <alignment horizontal="right" vertical="bottom" textRotation="0" wrapText="false" indent="0" shrinkToFit="false"/>
      <protection locked="true" hidden="false"/>
    </xf>
    <xf numFmtId="249" fontId="70" fillId="0" borderId="0" xfId="0" applyFont="true" applyBorder="true" applyAlignment="true" applyProtection="true">
      <alignment horizontal="center" vertical="bottom" textRotation="0" wrapText="false" indent="0" shrinkToFit="false"/>
      <protection locked="true" hidden="false"/>
    </xf>
    <xf numFmtId="247" fontId="70" fillId="0" borderId="11" xfId="0" applyFont="true" applyBorder="true" applyAlignment="false" applyProtection="true">
      <alignment horizontal="general" vertical="bottom" textRotation="0" wrapText="false" indent="0" shrinkToFit="false"/>
      <protection locked="true" hidden="false"/>
    </xf>
    <xf numFmtId="248" fontId="81" fillId="0" borderId="0" xfId="15" applyFont="true" applyBorder="true" applyAlignment="true" applyProtection="true">
      <alignment horizontal="general" vertical="bottom" textRotation="0" wrapText="false" indent="0" shrinkToFit="false"/>
      <protection locked="false" hidden="false"/>
    </xf>
    <xf numFmtId="248" fontId="81" fillId="0" borderId="11" xfId="15" applyFont="true" applyBorder="true" applyAlignment="true" applyProtection="true">
      <alignment horizontal="general" vertical="bottom" textRotation="0" wrapText="false" indent="0" shrinkToFit="false"/>
      <protection locked="false" hidden="false"/>
    </xf>
    <xf numFmtId="164" fontId="77" fillId="0" borderId="10" xfId="0" applyFont="true" applyBorder="true" applyAlignment="true" applyProtection="true">
      <alignment horizontal="left" vertical="bottom" textRotation="0" wrapText="false" indent="0" shrinkToFit="false"/>
      <protection locked="true" hidden="false"/>
    </xf>
    <xf numFmtId="247" fontId="81" fillId="0" borderId="0" xfId="17" applyFont="true" applyBorder="true" applyAlignment="true" applyProtection="true">
      <alignment horizontal="general" vertical="bottom" textRotation="0" wrapText="false" indent="0" shrinkToFit="false"/>
      <protection locked="false" hidden="false"/>
    </xf>
    <xf numFmtId="239" fontId="81" fillId="0" borderId="0" xfId="0" applyFont="true" applyBorder="true" applyAlignment="false" applyProtection="false">
      <alignment horizontal="general" vertical="bottom" textRotation="0" wrapText="false" indent="0" shrinkToFit="false"/>
      <protection locked="true" hidden="false"/>
    </xf>
    <xf numFmtId="250" fontId="70" fillId="0" borderId="0" xfId="0" applyFont="true" applyBorder="true" applyAlignment="true" applyProtection="false">
      <alignment horizontal="right" vertical="bottom" textRotation="0" wrapText="false" indent="0" shrinkToFit="false"/>
      <protection locked="true" hidden="false"/>
    </xf>
    <xf numFmtId="170" fontId="70" fillId="0" borderId="0" xfId="0" applyFont="true" applyBorder="true" applyAlignment="false" applyProtection="false">
      <alignment horizontal="general" vertical="bottom" textRotation="0" wrapText="false" indent="0" shrinkToFit="false"/>
      <protection locked="true" hidden="false"/>
    </xf>
    <xf numFmtId="200" fontId="70" fillId="0" borderId="11" xfId="0" applyFont="true" applyBorder="true" applyAlignment="false" applyProtection="false">
      <alignment horizontal="general" vertical="bottom" textRotation="0" wrapText="false" indent="0" shrinkToFit="false"/>
      <protection locked="true" hidden="false"/>
    </xf>
    <xf numFmtId="164" fontId="77" fillId="0" borderId="0" xfId="0" applyFont="true" applyBorder="true" applyAlignment="false" applyProtection="false">
      <alignment horizontal="general" vertical="bottom" textRotation="0" wrapText="false" indent="0" shrinkToFit="false"/>
      <protection locked="true" hidden="false"/>
    </xf>
    <xf numFmtId="164" fontId="77" fillId="0" borderId="0" xfId="0" applyFont="true" applyBorder="true" applyAlignment="true" applyProtection="false">
      <alignment horizontal="center" vertical="bottom" textRotation="0" wrapText="false" indent="0" shrinkToFit="false"/>
      <protection locked="true" hidden="false"/>
    </xf>
    <xf numFmtId="251" fontId="81" fillId="0" borderId="11" xfId="0" applyFont="true" applyBorder="true" applyAlignment="false" applyProtection="true">
      <alignment horizontal="general" vertical="bottom" textRotation="0" wrapText="false" indent="0" shrinkToFit="false"/>
      <protection locked="false" hidden="false"/>
    </xf>
    <xf numFmtId="235" fontId="70" fillId="0" borderId="11" xfId="0" applyFont="true" applyBorder="true" applyAlignment="false" applyProtection="true">
      <alignment horizontal="general" vertical="bottom" textRotation="0" wrapText="false" indent="0" shrinkToFit="false"/>
      <protection locked="true" hidden="false"/>
    </xf>
    <xf numFmtId="193" fontId="81" fillId="0" borderId="0" xfId="15" applyFont="true" applyBorder="true" applyAlignment="true" applyProtection="true">
      <alignment horizontal="right" vertical="bottom" textRotation="0" wrapText="false" indent="0" shrinkToFit="false"/>
      <protection locked="true" hidden="false"/>
    </xf>
    <xf numFmtId="252" fontId="81" fillId="0" borderId="11" xfId="15" applyFont="true" applyBorder="true" applyAlignment="true" applyProtection="true">
      <alignment horizontal="general" vertical="bottom" textRotation="0" wrapText="false" indent="0" shrinkToFit="false"/>
      <protection locked="true" hidden="false"/>
    </xf>
    <xf numFmtId="250" fontId="81" fillId="0" borderId="0" xfId="0" applyFont="true" applyBorder="true" applyAlignment="true" applyProtection="false">
      <alignment horizontal="right" vertical="bottom" textRotation="0" wrapText="false" indent="0" shrinkToFit="false"/>
      <protection locked="true" hidden="false"/>
    </xf>
    <xf numFmtId="164" fontId="81" fillId="0" borderId="11" xfId="0" applyFont="true" applyBorder="true" applyAlignment="true" applyProtection="false">
      <alignment horizontal="right" vertical="bottom" textRotation="0" wrapText="false" indent="0" shrinkToFit="false"/>
      <protection locked="true" hidden="false"/>
    </xf>
    <xf numFmtId="164" fontId="70" fillId="0" borderId="10" xfId="0" applyFont="true" applyBorder="true" applyAlignment="true" applyProtection="true">
      <alignment horizontal="general"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70" fillId="0" borderId="11" xfId="0" applyFont="true" applyBorder="true" applyAlignment="true" applyProtection="true">
      <alignment horizontal="general" vertical="bottom" textRotation="0" wrapText="false" indent="0" shrinkToFit="false"/>
      <protection locked="true" hidden="false"/>
    </xf>
    <xf numFmtId="240" fontId="81" fillId="0" borderId="11" xfId="0" applyFont="true" applyBorder="true" applyAlignment="false" applyProtection="true">
      <alignment horizontal="general" vertical="bottom" textRotation="0" wrapText="false" indent="0" shrinkToFit="false"/>
      <protection locked="false" hidden="false"/>
    </xf>
    <xf numFmtId="247" fontId="86" fillId="0" borderId="0" xfId="17" applyFont="true" applyBorder="true" applyAlignment="true" applyProtection="true">
      <alignment horizontal="general" vertical="bottom" textRotation="0" wrapText="false" indent="0" shrinkToFit="false"/>
      <protection locked="false" hidden="false"/>
    </xf>
    <xf numFmtId="250" fontId="84" fillId="0" borderId="0" xfId="0" applyFont="true" applyBorder="true" applyAlignment="false" applyProtection="false">
      <alignment horizontal="general" vertical="bottom" textRotation="0" wrapText="false" indent="0" shrinkToFit="false"/>
      <protection locked="true" hidden="false"/>
    </xf>
    <xf numFmtId="170" fontId="84" fillId="0" borderId="0" xfId="0" applyFont="true" applyBorder="true" applyAlignment="false" applyProtection="false">
      <alignment horizontal="general" vertical="bottom" textRotation="0" wrapText="false" indent="0" shrinkToFit="false"/>
      <protection locked="true" hidden="false"/>
    </xf>
    <xf numFmtId="200" fontId="84" fillId="0" borderId="11" xfId="0" applyFont="true" applyBorder="true" applyAlignment="false" applyProtection="false">
      <alignment horizontal="general" vertical="bottom" textRotation="0" wrapText="false" indent="0" shrinkToFit="false"/>
      <protection locked="true" hidden="false"/>
    </xf>
    <xf numFmtId="253" fontId="70" fillId="0" borderId="6" xfId="1237" applyFont="true" applyBorder="true" applyAlignment="true" applyProtection="true">
      <alignment horizontal="left" vertical="bottom" textRotation="0" wrapText="false" indent="0" shrinkToFit="false"/>
      <protection locked="true" hidden="false"/>
    </xf>
    <xf numFmtId="229" fontId="70" fillId="0" borderId="3" xfId="0" applyFont="true" applyBorder="true" applyAlignment="false" applyProtection="false">
      <alignment horizontal="general" vertical="bottom" textRotation="0" wrapText="false" indent="0" shrinkToFit="false"/>
      <protection locked="true" hidden="false"/>
    </xf>
    <xf numFmtId="242" fontId="81" fillId="0" borderId="3" xfId="0" applyFont="true" applyBorder="true" applyAlignment="true" applyProtection="false">
      <alignment horizontal="center" vertical="bottom" textRotation="0" wrapText="false" indent="0" shrinkToFit="false"/>
      <protection locked="true" hidden="false"/>
    </xf>
    <xf numFmtId="248" fontId="70" fillId="0" borderId="7" xfId="15" applyFont="true" applyBorder="true" applyAlignment="true" applyProtection="true">
      <alignment horizontal="general" vertical="bottom" textRotation="0" wrapText="false" indent="0" shrinkToFit="false"/>
      <protection locked="true" hidden="false"/>
    </xf>
    <xf numFmtId="246" fontId="70" fillId="0" borderId="11" xfId="0" applyFont="true" applyBorder="true" applyAlignment="false" applyProtection="true">
      <alignment horizontal="general" vertical="bottom" textRotation="0" wrapText="false" indent="0" shrinkToFit="false"/>
      <protection locked="true" hidden="false"/>
    </xf>
    <xf numFmtId="249" fontId="81" fillId="0" borderId="0" xfId="0" applyFont="true" applyBorder="true" applyAlignment="false" applyProtection="false">
      <alignment horizontal="general" vertical="bottom" textRotation="0" wrapText="false" indent="0" shrinkToFit="false"/>
      <protection locked="true" hidden="false"/>
    </xf>
    <xf numFmtId="240" fontId="77" fillId="0" borderId="11" xfId="0" applyFont="true" applyBorder="true" applyAlignment="false" applyProtection="true">
      <alignment horizontal="general" vertical="bottom" textRotation="0" wrapText="false" indent="0" shrinkToFit="false"/>
      <protection locked="false" hidden="false"/>
    </xf>
    <xf numFmtId="164" fontId="78" fillId="0" borderId="6" xfId="0" applyFont="true" applyBorder="true" applyAlignment="true" applyProtection="true">
      <alignment horizontal="left" vertical="bottom" textRotation="0" wrapText="false" indent="0" shrinkToFit="false"/>
      <protection locked="true" hidden="false"/>
    </xf>
    <xf numFmtId="247" fontId="87" fillId="0" borderId="3" xfId="17" applyFont="true" applyBorder="true" applyAlignment="true" applyProtection="true">
      <alignment horizontal="general" vertical="bottom" textRotation="0" wrapText="false" indent="0" shrinkToFit="false"/>
      <protection locked="false" hidden="false"/>
    </xf>
    <xf numFmtId="164" fontId="77" fillId="0" borderId="3" xfId="0" applyFont="true" applyBorder="true" applyAlignment="false" applyProtection="false">
      <alignment horizontal="general" vertical="bottom" textRotation="0" wrapText="false" indent="0" shrinkToFit="false"/>
      <protection locked="true" hidden="false"/>
    </xf>
    <xf numFmtId="254" fontId="87" fillId="0" borderId="3" xfId="0" applyFont="true" applyBorder="true" applyAlignment="false" applyProtection="false">
      <alignment horizontal="general" vertical="bottom" textRotation="0" wrapText="false" indent="0" shrinkToFit="false"/>
      <protection locked="true" hidden="false"/>
    </xf>
    <xf numFmtId="170" fontId="87" fillId="0" borderId="3" xfId="0" applyFont="true" applyBorder="true" applyAlignment="false" applyProtection="false">
      <alignment horizontal="general" vertical="bottom" textRotation="0" wrapText="false" indent="0" shrinkToFit="false"/>
      <protection locked="true" hidden="false"/>
    </xf>
    <xf numFmtId="200" fontId="87" fillId="0" borderId="7" xfId="0" applyFont="true" applyBorder="true" applyAlignment="false" applyProtection="false">
      <alignment horizontal="general" vertical="bottom" textRotation="0" wrapText="false" indent="0" shrinkToFit="false"/>
      <protection locked="true" hidden="false"/>
    </xf>
    <xf numFmtId="164" fontId="70" fillId="0" borderId="10" xfId="0" applyFont="true" applyBorder="true" applyAlignment="true" applyProtection="false">
      <alignment horizontal="center" vertical="bottom" textRotation="0" wrapText="false" indent="0" shrinkToFit="false"/>
      <protection locked="true" hidden="false"/>
    </xf>
    <xf numFmtId="164" fontId="70" fillId="0" borderId="10" xfId="0" applyFont="true" applyBorder="true" applyAlignment="true" applyProtection="false">
      <alignment horizontal="left" vertical="bottom" textRotation="0" wrapText="false" indent="0" shrinkToFit="false"/>
      <protection locked="true" hidden="false"/>
    </xf>
    <xf numFmtId="248" fontId="81" fillId="0" borderId="11" xfId="15" applyFont="true" applyBorder="true" applyAlignment="true" applyProtection="true">
      <alignment horizontal="general" vertical="bottom" textRotation="0" wrapText="false" indent="0" shrinkToFit="false"/>
      <protection locked="true" hidden="false"/>
    </xf>
    <xf numFmtId="169" fontId="70" fillId="0" borderId="0" xfId="0" applyFont="true" applyBorder="true" applyAlignment="true" applyProtection="false">
      <alignment horizontal="right" vertical="bottom" textRotation="0" wrapText="false" indent="0" shrinkToFit="false"/>
      <protection locked="true" hidden="false"/>
    </xf>
    <xf numFmtId="249" fontId="70" fillId="0" borderId="11" xfId="19" applyFont="true" applyBorder="true" applyAlignment="true" applyProtection="true">
      <alignment horizontal="general" vertical="bottom" textRotation="0" wrapText="false" indent="0" shrinkToFit="false"/>
      <protection locked="false" hidden="false"/>
    </xf>
    <xf numFmtId="164" fontId="88" fillId="4" borderId="4" xfId="0" applyFont="true" applyBorder="true" applyAlignment="true" applyProtection="true">
      <alignment horizontal="left" vertical="bottom" textRotation="0" wrapText="false" indent="0" shrinkToFit="false"/>
      <protection locked="true" hidden="false"/>
    </xf>
    <xf numFmtId="247" fontId="87" fillId="4" borderId="9" xfId="17" applyFont="true" applyBorder="true" applyAlignment="true" applyProtection="true">
      <alignment horizontal="general" vertical="bottom" textRotation="0" wrapText="false" indent="0" shrinkToFit="false"/>
      <protection locked="false" hidden="false"/>
    </xf>
    <xf numFmtId="254" fontId="87" fillId="4" borderId="9" xfId="0" applyFont="true" applyBorder="true" applyAlignment="false" applyProtection="false">
      <alignment horizontal="general" vertical="bottom" textRotation="0" wrapText="false" indent="0" shrinkToFit="false"/>
      <protection locked="true" hidden="false"/>
    </xf>
    <xf numFmtId="170" fontId="87" fillId="4" borderId="9" xfId="0" applyFont="true" applyBorder="true" applyAlignment="false" applyProtection="false">
      <alignment horizontal="general" vertical="bottom" textRotation="0" wrapText="false" indent="0" shrinkToFit="false"/>
      <protection locked="true" hidden="false"/>
    </xf>
    <xf numFmtId="200" fontId="87" fillId="4" borderId="5" xfId="0" applyFont="true" applyBorder="true" applyAlignment="false" applyProtection="false">
      <alignment horizontal="general" vertical="bottom" textRotation="0" wrapText="false" indent="0" shrinkToFit="false"/>
      <protection locked="true" hidden="false"/>
    </xf>
    <xf numFmtId="255" fontId="70" fillId="0" borderId="11" xfId="0" applyFont="true" applyBorder="true" applyAlignment="false" applyProtection="false">
      <alignment horizontal="general" vertical="bottom" textRotation="0" wrapText="false" indent="0" shrinkToFit="false"/>
      <protection locked="true" hidden="false"/>
    </xf>
    <xf numFmtId="164" fontId="89" fillId="0" borderId="10" xfId="0" applyFont="true" applyBorder="true" applyAlignment="true" applyProtection="true">
      <alignment horizontal="left" vertical="bottom" textRotation="0" wrapText="false" indent="0" shrinkToFit="false"/>
      <protection locked="true" hidden="false"/>
    </xf>
    <xf numFmtId="247" fontId="87" fillId="0" borderId="0" xfId="17" applyFont="true" applyBorder="true" applyAlignment="true" applyProtection="true">
      <alignment horizontal="center" vertical="bottom" textRotation="0" wrapText="true" indent="0" shrinkToFit="false"/>
      <protection locked="false" hidden="false"/>
    </xf>
    <xf numFmtId="254" fontId="87" fillId="0" borderId="0" xfId="0" applyFont="true" applyBorder="true" applyAlignment="true" applyProtection="false">
      <alignment horizontal="center" vertical="bottom" textRotation="0" wrapText="true" indent="0" shrinkToFit="false"/>
      <protection locked="true" hidden="false"/>
    </xf>
    <xf numFmtId="164" fontId="87" fillId="0" borderId="0" xfId="0" applyFont="true" applyBorder="true" applyAlignment="true" applyProtection="false">
      <alignment horizontal="center" vertical="bottom" textRotation="0" wrapText="false" indent="0" shrinkToFit="false"/>
      <protection locked="true" hidden="false"/>
    </xf>
    <xf numFmtId="170" fontId="87" fillId="0" borderId="0" xfId="0" applyFont="true" applyBorder="true" applyAlignment="true" applyProtection="false">
      <alignment horizontal="center" vertical="bottom" textRotation="0" wrapText="true" indent="0" shrinkToFit="false"/>
      <protection locked="true" hidden="false"/>
    </xf>
    <xf numFmtId="200" fontId="87" fillId="0" borderId="11" xfId="0" applyFont="true" applyBorder="true" applyAlignment="false" applyProtection="false">
      <alignment horizontal="general" vertical="bottom" textRotation="0" wrapText="false" indent="0" shrinkToFit="false"/>
      <protection locked="true" hidden="false"/>
    </xf>
    <xf numFmtId="164" fontId="81" fillId="0" borderId="11" xfId="0" applyFont="true" applyBorder="true" applyAlignment="false" applyProtection="false">
      <alignment horizontal="general" vertical="bottom" textRotation="0" wrapText="false" indent="0" shrinkToFit="false"/>
      <protection locked="true" hidden="false"/>
    </xf>
    <xf numFmtId="169" fontId="79" fillId="7" borderId="11" xfId="17" applyFont="true" applyBorder="true" applyAlignment="true" applyProtection="true">
      <alignment horizontal="general" vertical="bottom" textRotation="0" wrapText="false" indent="0" shrinkToFit="false"/>
      <protection locked="true" hidden="false"/>
    </xf>
    <xf numFmtId="248" fontId="90" fillId="0" borderId="11" xfId="15" applyFont="true" applyBorder="true" applyAlignment="true" applyProtection="true">
      <alignment horizontal="general" vertical="bottom" textRotation="0" wrapText="false" indent="0" shrinkToFit="false"/>
      <protection locked="false" hidden="false"/>
    </xf>
    <xf numFmtId="169" fontId="81" fillId="0" borderId="0" xfId="17" applyFont="true" applyBorder="true" applyAlignment="true" applyProtection="true">
      <alignment horizontal="general" vertical="bottom" textRotation="0" wrapText="false" indent="0" shrinkToFit="false"/>
      <protection locked="false" hidden="false"/>
    </xf>
    <xf numFmtId="200" fontId="70" fillId="0" borderId="0" xfId="0" applyFont="true" applyBorder="true" applyAlignment="false" applyProtection="false">
      <alignment horizontal="general" vertical="bottom" textRotation="0" wrapText="false" indent="0" shrinkToFit="false"/>
      <protection locked="true" hidden="false"/>
    </xf>
    <xf numFmtId="249" fontId="70" fillId="0" borderId="11" xfId="19" applyFont="true" applyBorder="true" applyAlignment="true" applyProtection="true">
      <alignment horizontal="general" vertical="bottom" textRotation="0" wrapText="false" indent="0" shrinkToFit="false"/>
      <protection locked="true" hidden="false"/>
    </xf>
    <xf numFmtId="244" fontId="81" fillId="0" borderId="11" xfId="19" applyFont="true" applyBorder="true" applyAlignment="true" applyProtection="true">
      <alignment horizontal="general" vertical="bottom" textRotation="0" wrapText="false" indent="0" shrinkToFit="false"/>
      <protection locked="true" hidden="false"/>
    </xf>
    <xf numFmtId="230" fontId="81" fillId="0" borderId="0" xfId="0" applyFont="true" applyBorder="true" applyAlignment="false" applyProtection="true">
      <alignment horizontal="general" vertical="bottom" textRotation="0" wrapText="false" indent="0" shrinkToFit="false"/>
      <protection locked="false" hidden="false"/>
    </xf>
    <xf numFmtId="244" fontId="70" fillId="0" borderId="11" xfId="19" applyFont="true" applyBorder="true" applyAlignment="true" applyProtection="true">
      <alignment horizontal="general" vertical="bottom" textRotation="0" wrapText="false" indent="0" shrinkToFit="false"/>
      <protection locked="true" hidden="false"/>
    </xf>
    <xf numFmtId="200" fontId="84" fillId="0" borderId="0" xfId="0" applyFont="true" applyBorder="true" applyAlignment="false" applyProtection="false">
      <alignment horizontal="general" vertical="bottom" textRotation="0" wrapText="false" indent="0" shrinkToFit="false"/>
      <protection locked="true" hidden="false"/>
    </xf>
    <xf numFmtId="244" fontId="87" fillId="0" borderId="11" xfId="19" applyFont="true" applyBorder="true" applyAlignment="true" applyProtection="true">
      <alignment horizontal="general" vertical="bottom" textRotation="0" wrapText="false" indent="0" shrinkToFit="false"/>
      <protection locked="true" hidden="false"/>
    </xf>
    <xf numFmtId="164" fontId="70" fillId="0" borderId="6" xfId="0" applyFont="true" applyBorder="true" applyAlignment="false" applyProtection="false">
      <alignment horizontal="general" vertical="bottom" textRotation="0" wrapText="false" indent="0" shrinkToFit="false"/>
      <protection locked="true" hidden="false"/>
    </xf>
    <xf numFmtId="164" fontId="70" fillId="0" borderId="3" xfId="0" applyFont="true" applyBorder="true" applyAlignment="false" applyProtection="false">
      <alignment horizontal="general" vertical="bottom" textRotation="0" wrapText="false" indent="0" shrinkToFit="false"/>
      <protection locked="true" hidden="false"/>
    </xf>
    <xf numFmtId="249" fontId="81" fillId="0" borderId="7" xfId="19" applyFont="true" applyBorder="true" applyAlignment="true" applyProtection="true">
      <alignment horizontal="general" vertical="bottom" textRotation="0" wrapText="false" indent="0" shrinkToFit="false"/>
      <protection locked="true" hidden="false"/>
    </xf>
    <xf numFmtId="164" fontId="77" fillId="0" borderId="6" xfId="0" applyFont="true" applyBorder="true" applyAlignment="true" applyProtection="true">
      <alignment horizontal="left" vertical="bottom" textRotation="0" wrapText="false" indent="0" shrinkToFit="false"/>
      <protection locked="true" hidden="false"/>
    </xf>
    <xf numFmtId="200" fontId="70" fillId="0" borderId="3" xfId="0" applyFont="true" applyBorder="true" applyAlignment="false" applyProtection="false">
      <alignment horizontal="general" vertical="bottom" textRotation="0" wrapText="false" indent="0" shrinkToFit="false"/>
      <protection locked="true" hidden="false"/>
    </xf>
    <xf numFmtId="170" fontId="70" fillId="0" borderId="3" xfId="0" applyFont="true" applyBorder="true" applyAlignment="false" applyProtection="false">
      <alignment horizontal="general" vertical="bottom" textRotation="0" wrapText="false" indent="0" shrinkToFit="false"/>
      <protection locked="true" hidden="false"/>
    </xf>
    <xf numFmtId="164" fontId="70" fillId="0" borderId="3" xfId="0" applyFont="true" applyBorder="true" applyAlignment="true" applyProtection="false">
      <alignment horizontal="right" vertical="bottom" textRotation="0" wrapText="false" indent="0" shrinkToFit="false"/>
      <protection locked="true" hidden="false"/>
    </xf>
    <xf numFmtId="246" fontId="70" fillId="0" borderId="3" xfId="17" applyFont="true" applyBorder="true" applyAlignment="true" applyProtection="true">
      <alignment horizontal="center" vertical="bottom" textRotation="0" wrapText="false" indent="0" shrinkToFit="false"/>
      <protection locked="true" hidden="false"/>
    </xf>
    <xf numFmtId="246" fontId="70" fillId="0" borderId="7" xfId="17" applyFont="true" applyBorder="true" applyAlignment="true" applyProtection="true">
      <alignment horizontal="center" vertical="bottom" textRotation="0" wrapText="false" indent="0" shrinkToFit="false"/>
      <protection locked="true" hidden="false"/>
    </xf>
    <xf numFmtId="164" fontId="91" fillId="4" borderId="4"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false" applyAlignment="true" applyProtection="true">
      <alignment horizontal="left" vertical="bottom" textRotation="0" wrapText="false" indent="0" shrinkToFit="false"/>
      <protection locked="true" hidden="false"/>
    </xf>
    <xf numFmtId="164" fontId="84" fillId="0" borderId="0" xfId="0" applyFont="true" applyBorder="false" applyAlignment="true" applyProtection="true">
      <alignment horizontal="center" vertical="bottom" textRotation="0" wrapText="false" indent="0" shrinkToFit="false"/>
      <protection locked="true" hidden="false"/>
    </xf>
    <xf numFmtId="164" fontId="92" fillId="0" borderId="0" xfId="0" applyFont="true" applyBorder="false" applyAlignment="true" applyProtection="true">
      <alignment horizontal="center" vertical="bottom" textRotation="0" wrapText="false" indent="0" shrinkToFit="false"/>
      <protection locked="true" hidden="false"/>
    </xf>
    <xf numFmtId="164" fontId="92" fillId="0" borderId="0" xfId="0" applyFont="true" applyBorder="false" applyAlignment="true" applyProtection="false">
      <alignment horizontal="center" vertical="bottom" textRotation="0" wrapText="false" indent="0" shrinkToFit="false"/>
      <protection locked="true" hidden="false"/>
    </xf>
    <xf numFmtId="247" fontId="81" fillId="4" borderId="9" xfId="17" applyFont="true" applyBorder="true" applyAlignment="true" applyProtection="true">
      <alignment horizontal="general" vertical="bottom" textRotation="0" wrapText="false" indent="0" shrinkToFit="false"/>
      <protection locked="false" hidden="false"/>
    </xf>
    <xf numFmtId="254" fontId="70" fillId="4" borderId="9" xfId="0" applyFont="true" applyBorder="true" applyAlignment="false" applyProtection="false">
      <alignment horizontal="general" vertical="bottom" textRotation="0" wrapText="false" indent="0" shrinkToFit="false"/>
      <protection locked="true" hidden="false"/>
    </xf>
    <xf numFmtId="169" fontId="70" fillId="4" borderId="5" xfId="0" applyFont="true" applyBorder="true" applyAlignment="false" applyProtection="false">
      <alignment horizontal="general" vertical="bottom" textRotation="0" wrapText="false" indent="0" shrinkToFit="false"/>
      <protection locked="true" hidden="false"/>
    </xf>
    <xf numFmtId="164" fontId="70" fillId="4" borderId="9" xfId="0" applyFont="true" applyBorder="true" applyAlignment="true" applyProtection="false">
      <alignment horizontal="right" vertical="bottom" textRotation="0" wrapText="false" indent="0" shrinkToFit="false"/>
      <protection locked="true" hidden="false"/>
    </xf>
    <xf numFmtId="246" fontId="70" fillId="4" borderId="9" xfId="17" applyFont="true" applyBorder="true" applyAlignment="true" applyProtection="true">
      <alignment horizontal="center" vertical="bottom" textRotation="0" wrapText="false" indent="0" shrinkToFit="false"/>
      <protection locked="true" hidden="false"/>
    </xf>
    <xf numFmtId="246" fontId="70" fillId="4" borderId="5" xfId="17" applyFont="true" applyBorder="true" applyAlignment="true" applyProtection="true">
      <alignment horizontal="center" vertical="bottom" textRotation="0" wrapText="false" indent="0" shrinkToFit="false"/>
      <protection locked="true" hidden="false"/>
    </xf>
    <xf numFmtId="248" fontId="81" fillId="0" borderId="0" xfId="15" applyFont="true" applyBorder="true" applyAlignment="true" applyProtection="true">
      <alignment horizontal="general" vertical="bottom" textRotation="0" wrapText="false" indent="0" shrinkToFit="false"/>
      <protection locked="true" hidden="false"/>
    </xf>
    <xf numFmtId="254" fontId="70" fillId="0" borderId="0" xfId="0" applyFont="true" applyBorder="true" applyAlignment="false" applyProtection="false">
      <alignment horizontal="general" vertical="bottom" textRotation="0" wrapText="false" indent="0" shrinkToFit="false"/>
      <protection locked="true" hidden="false"/>
    </xf>
    <xf numFmtId="164" fontId="93" fillId="0" borderId="11" xfId="0" applyFont="true" applyBorder="true" applyAlignment="true" applyProtection="false">
      <alignment horizontal="center" vertical="bottom" textRotation="0" wrapText="false" indent="0" shrinkToFit="false"/>
      <protection locked="true" hidden="false"/>
    </xf>
    <xf numFmtId="248" fontId="79" fillId="7" borderId="11" xfId="15" applyFont="true" applyBorder="true" applyAlignment="true" applyProtection="true">
      <alignment horizontal="general" vertical="bottom" textRotation="0" wrapText="false" indent="0" shrinkToFit="false"/>
      <protection locked="true" hidden="false"/>
    </xf>
    <xf numFmtId="246" fontId="70" fillId="0" borderId="0" xfId="17" applyFont="true" applyBorder="true" applyAlignment="true" applyProtection="true">
      <alignment horizontal="center" vertical="bottom" textRotation="0" wrapText="false" indent="0" shrinkToFit="false"/>
      <protection locked="true" hidden="false"/>
    </xf>
    <xf numFmtId="243" fontId="70" fillId="0" borderId="11" xfId="19" applyFont="true" applyBorder="true" applyAlignment="true" applyProtection="true">
      <alignment horizontal="general" vertical="bottom" textRotation="0" wrapText="false" indent="0" shrinkToFit="false"/>
      <protection locked="true" hidden="false"/>
    </xf>
    <xf numFmtId="169" fontId="70" fillId="0" borderId="11" xfId="0" applyFont="true" applyBorder="true" applyAlignment="false" applyProtection="false">
      <alignment horizontal="general" vertical="bottom" textRotation="0" wrapText="false" indent="0" shrinkToFit="false"/>
      <protection locked="true" hidden="false"/>
    </xf>
    <xf numFmtId="200" fontId="70" fillId="0" borderId="0" xfId="0" applyFont="true" applyBorder="true" applyAlignment="true" applyProtection="false">
      <alignment horizontal="right" vertical="bottom" textRotation="0" wrapText="false" indent="0" shrinkToFit="false"/>
      <protection locked="true" hidden="false"/>
    </xf>
    <xf numFmtId="247" fontId="81" fillId="0" borderId="0" xfId="17" applyFont="true" applyBorder="true" applyAlignment="true" applyProtection="true">
      <alignment horizontal="general" vertical="bottom" textRotation="0" wrapText="false" indent="0" shrinkToFit="false"/>
      <protection locked="true" hidden="false"/>
    </xf>
    <xf numFmtId="164" fontId="84" fillId="0" borderId="10" xfId="0" applyFont="true" applyBorder="true" applyAlignment="false" applyProtection="false">
      <alignment horizontal="general" vertical="bottom" textRotation="0" wrapText="false" indent="0" shrinkToFit="false"/>
      <protection locked="true" hidden="false"/>
    </xf>
    <xf numFmtId="169" fontId="84" fillId="0" borderId="11" xfId="0" applyFont="true" applyBorder="true" applyAlignment="false" applyProtection="false">
      <alignment horizontal="general" vertical="bottom" textRotation="0" wrapText="false" indent="0" shrinkToFit="false"/>
      <protection locked="true" hidden="false"/>
    </xf>
    <xf numFmtId="200" fontId="81" fillId="0" borderId="3" xfId="0" applyFont="true" applyBorder="true" applyAlignment="true" applyProtection="false">
      <alignment horizontal="right" vertical="bottom" textRotation="0" wrapText="false" indent="0" shrinkToFit="false"/>
      <protection locked="true" hidden="false"/>
    </xf>
    <xf numFmtId="244" fontId="81" fillId="0" borderId="7" xfId="19" applyFont="true" applyBorder="true" applyAlignment="true" applyProtection="true">
      <alignment horizontal="left" vertical="bottom" textRotation="0" wrapText="false" indent="0" shrinkToFit="false"/>
      <protection locked="true" hidden="false"/>
    </xf>
    <xf numFmtId="256" fontId="81" fillId="0" borderId="0" xfId="0" applyFont="true" applyBorder="true" applyAlignment="false" applyProtection="false">
      <alignment horizontal="general" vertical="bottom" textRotation="0" wrapText="false" indent="0" shrinkToFit="false"/>
      <protection locked="true" hidden="false"/>
    </xf>
    <xf numFmtId="247" fontId="81" fillId="7" borderId="0" xfId="17" applyFont="true" applyBorder="true" applyAlignment="true" applyProtection="true">
      <alignment horizontal="general" vertical="bottom" textRotation="0" wrapText="false" indent="0" shrinkToFit="false"/>
      <protection locked="true" hidden="false"/>
    </xf>
    <xf numFmtId="169" fontId="93" fillId="0" borderId="11" xfId="0" applyFont="true" applyBorder="true" applyAlignment="false" applyProtection="false">
      <alignment horizontal="general" vertical="bottom" textRotation="0" wrapText="false" indent="0" shrinkToFit="false"/>
      <protection locked="true" hidden="false"/>
    </xf>
    <xf numFmtId="247" fontId="86" fillId="0" borderId="0" xfId="17" applyFont="true" applyBorder="true" applyAlignment="true" applyProtection="true">
      <alignment horizontal="general" vertical="bottom" textRotation="0" wrapText="false" indent="0" shrinkToFit="false"/>
      <protection locked="true" hidden="false"/>
    </xf>
    <xf numFmtId="248" fontId="70" fillId="0" borderId="11" xfId="0" applyFont="true" applyBorder="true" applyAlignment="false" applyProtection="false">
      <alignment horizontal="general" vertical="bottom" textRotation="0" wrapText="false" indent="0" shrinkToFit="false"/>
      <protection locked="true" hidden="false"/>
    </xf>
    <xf numFmtId="164" fontId="81" fillId="4" borderId="5" xfId="0" applyFont="true" applyBorder="true" applyAlignment="false" applyProtection="true">
      <alignment horizontal="general" vertical="bottom" textRotation="0" wrapText="false" indent="0" shrinkToFit="false"/>
      <protection locked="true" hidden="false"/>
    </xf>
    <xf numFmtId="243" fontId="81" fillId="0" borderId="3" xfId="19" applyFont="true" applyBorder="true" applyAlignment="true" applyProtection="true">
      <alignment horizontal="general" vertical="bottom" textRotation="0" wrapText="false" indent="0" shrinkToFit="false"/>
      <protection locked="true" hidden="false"/>
    </xf>
    <xf numFmtId="248" fontId="93" fillId="0" borderId="11" xfId="0" applyFont="true" applyBorder="true" applyAlignment="false" applyProtection="false">
      <alignment horizontal="general" vertical="bottom" textRotation="0" wrapText="false" indent="0" shrinkToFit="false"/>
      <protection locked="true" hidden="false"/>
    </xf>
    <xf numFmtId="235" fontId="70" fillId="0" borderId="10" xfId="1237" applyFont="true" applyBorder="true" applyAlignment="true" applyProtection="true">
      <alignment horizontal="left" vertical="bottom" textRotation="0" wrapText="false" indent="0" shrinkToFit="false"/>
      <protection locked="true" hidden="false"/>
    </xf>
    <xf numFmtId="164" fontId="81" fillId="0" borderId="0" xfId="0" applyFont="true" applyBorder="true" applyAlignment="false" applyProtection="false">
      <alignment horizontal="general" vertical="bottom" textRotation="0" wrapText="false" indent="0" shrinkToFit="false"/>
      <protection locked="true" hidden="false"/>
    </xf>
    <xf numFmtId="164" fontId="77" fillId="0" borderId="0" xfId="0" applyFont="true" applyBorder="false" applyAlignment="true" applyProtection="true">
      <alignment horizontal="left" vertical="bottom" textRotation="0" wrapText="false" indent="0" shrinkToFit="false"/>
      <protection locked="true" hidden="false"/>
    </xf>
    <xf numFmtId="164" fontId="77" fillId="0" borderId="0" xfId="0" applyFont="true" applyBorder="false" applyAlignment="false" applyProtection="false">
      <alignment horizontal="general" vertical="bottom" textRotation="0" wrapText="false" indent="0" shrinkToFit="false"/>
      <protection locked="true" hidden="false"/>
    </xf>
    <xf numFmtId="247" fontId="70" fillId="0" borderId="0" xfId="17" applyFont="true" applyBorder="true" applyAlignment="true" applyProtection="true">
      <alignment horizontal="general" vertical="bottom" textRotation="0" wrapText="false" indent="0" shrinkToFit="false"/>
      <protection locked="false" hidden="false"/>
    </xf>
    <xf numFmtId="169" fontId="70" fillId="0" borderId="0" xfId="0" applyFont="true" applyBorder="false" applyAlignment="false" applyProtection="false">
      <alignment horizontal="general" vertical="bottom" textRotation="0" wrapText="false" indent="0" shrinkToFit="false"/>
      <protection locked="true" hidden="false"/>
    </xf>
    <xf numFmtId="248" fontId="71" fillId="0" borderId="0" xfId="15" applyFont="true" applyBorder="true" applyAlignment="true" applyProtection="true">
      <alignment horizontal="general" vertical="bottom" textRotation="0" wrapText="false" indent="0" shrinkToFit="false"/>
      <protection locked="true" hidden="false"/>
    </xf>
    <xf numFmtId="164" fontId="70" fillId="0" borderId="7" xfId="0" applyFont="true" applyBorder="true" applyAlignment="false" applyProtection="false">
      <alignment horizontal="general" vertical="bottom" textRotation="0" wrapText="false" indent="0" shrinkToFit="false"/>
      <protection locked="true" hidden="false"/>
    </xf>
    <xf numFmtId="243" fontId="81" fillId="0" borderId="0" xfId="19" applyFont="true" applyBorder="true" applyAlignment="true" applyProtection="true">
      <alignment horizontal="center" vertical="bottom" textRotation="0" wrapText="false" indent="0" shrinkToFit="false"/>
      <protection locked="true" hidden="false"/>
    </xf>
    <xf numFmtId="248" fontId="79" fillId="8" borderId="11" xfId="15" applyFont="true" applyBorder="true" applyAlignment="true" applyProtection="true">
      <alignment horizontal="general" vertical="bottom" textRotation="0" wrapText="false" indent="0" shrinkToFit="false"/>
      <protection locked="true" hidden="false"/>
    </xf>
    <xf numFmtId="164" fontId="70" fillId="0" borderId="10"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248" fontId="70" fillId="0" borderId="11" xfId="15" applyFont="true" applyBorder="true" applyAlignment="true" applyProtection="true">
      <alignment horizontal="general" vertical="bottom" textRotation="0" wrapText="false" indent="0" shrinkToFit="false"/>
      <protection locked="true" hidden="false"/>
    </xf>
    <xf numFmtId="164" fontId="70" fillId="0" borderId="12" xfId="0" applyFont="true" applyBorder="true" applyAlignment="false" applyProtection="false">
      <alignment horizontal="general" vertical="bottom" textRotation="0" wrapText="false" indent="0" shrinkToFit="false"/>
      <protection locked="true" hidden="false"/>
    </xf>
    <xf numFmtId="164" fontId="81" fillId="0" borderId="13" xfId="0" applyFont="true" applyBorder="true" applyAlignment="false" applyProtection="false">
      <alignment horizontal="general" vertical="bottom" textRotation="0" wrapText="false" indent="0" shrinkToFit="false"/>
      <protection locked="true" hidden="false"/>
    </xf>
    <xf numFmtId="248" fontId="94" fillId="7" borderId="11" xfId="15" applyFont="true" applyBorder="true" applyAlignment="true" applyProtection="true">
      <alignment horizontal="general" vertical="bottom" textRotation="0" wrapText="false" indent="0" shrinkToFit="false"/>
      <protection locked="true" hidden="false"/>
    </xf>
    <xf numFmtId="257" fontId="95" fillId="0" borderId="11" xfId="15" applyFont="true" applyBorder="true" applyAlignment="true" applyProtection="true">
      <alignment horizontal="right" vertical="bottom" textRotation="0" wrapText="false" indent="0" shrinkToFit="false"/>
      <protection locked="true" hidden="false"/>
    </xf>
    <xf numFmtId="164" fontId="83" fillId="0" borderId="10" xfId="0" applyFont="true" applyBorder="true" applyAlignment="true" applyProtection="true">
      <alignment horizontal="left" vertical="bottom" textRotation="0" wrapText="false" indent="0" shrinkToFit="false"/>
      <protection locked="true" hidden="false"/>
    </xf>
    <xf numFmtId="247" fontId="87" fillId="0" borderId="0" xfId="17" applyFont="true" applyBorder="true" applyAlignment="true" applyProtection="true">
      <alignment horizontal="general" vertical="bottom" textRotation="0" wrapText="false" indent="0" shrinkToFit="false"/>
      <protection locked="false" hidden="false"/>
    </xf>
    <xf numFmtId="248" fontId="70" fillId="0" borderId="0" xfId="0" applyFont="true" applyBorder="true" applyAlignment="true" applyProtection="false">
      <alignment horizontal="center" vertical="bottom" textRotation="0" wrapText="false" indent="0" shrinkToFit="false"/>
      <protection locked="true" hidden="false"/>
    </xf>
    <xf numFmtId="248" fontId="87" fillId="9" borderId="11" xfId="15" applyFont="true" applyBorder="true" applyAlignment="true" applyProtection="true">
      <alignment horizontal="general" vertical="bottom" textRotation="0" wrapText="false" indent="0" shrinkToFit="false"/>
      <protection locked="true" hidden="false"/>
    </xf>
    <xf numFmtId="243" fontId="95" fillId="0" borderId="11" xfId="19" applyFont="true" applyBorder="true" applyAlignment="true" applyProtection="true">
      <alignment horizontal="right" vertical="bottom" textRotation="0" wrapText="false" indent="0" shrinkToFit="false"/>
      <protection locked="true" hidden="false"/>
    </xf>
    <xf numFmtId="248" fontId="96" fillId="9" borderId="11" xfId="15" applyFont="true" applyBorder="true" applyAlignment="true" applyProtection="true">
      <alignment horizontal="general" vertical="bottom" textRotation="0" wrapText="false" indent="0" shrinkToFit="false"/>
      <protection locked="true" hidden="false"/>
    </xf>
    <xf numFmtId="243" fontId="95" fillId="0" borderId="7" xfId="19" applyFont="true" applyBorder="true" applyAlignment="true" applyProtection="true">
      <alignment horizontal="right" vertical="bottom" textRotation="0" wrapText="false" indent="0" shrinkToFit="false"/>
      <protection locked="true" hidden="false"/>
    </xf>
    <xf numFmtId="248" fontId="81" fillId="9" borderId="11" xfId="15" applyFont="true" applyBorder="true" applyAlignment="true" applyProtection="true">
      <alignment horizontal="general" vertical="bottom" textRotation="0" wrapText="false" indent="0" shrinkToFit="false"/>
      <protection locked="true" hidden="false"/>
    </xf>
    <xf numFmtId="238" fontId="70" fillId="4" borderId="9" xfId="0" applyFont="true" applyBorder="true" applyAlignment="false" applyProtection="true">
      <alignment horizontal="general" vertical="bottom" textRotation="0" wrapText="false" indent="0" shrinkToFit="false"/>
      <protection locked="true" hidden="false"/>
    </xf>
    <xf numFmtId="243" fontId="81" fillId="0" borderId="0" xfId="19" applyFont="true" applyBorder="true" applyAlignment="true" applyProtection="true">
      <alignment horizontal="general" vertical="bottom" textRotation="0" wrapText="false" indent="0" shrinkToFit="false"/>
      <protection locked="true" hidden="false"/>
    </xf>
    <xf numFmtId="247" fontId="70" fillId="0" borderId="0" xfId="17" applyFont="true" applyBorder="true" applyAlignment="true" applyProtection="true">
      <alignment horizontal="general" vertical="bottom" textRotation="0" wrapText="false" indent="0" shrinkToFit="false"/>
      <protection locked="true" hidden="false"/>
    </xf>
    <xf numFmtId="164" fontId="85" fillId="0" borderId="0" xfId="0" applyFont="true" applyBorder="true" applyAlignment="true" applyProtection="true">
      <alignment horizontal="center" vertical="bottom" textRotation="0" wrapText="false" indent="0" shrinkToFit="false"/>
      <protection locked="true" hidden="false"/>
    </xf>
    <xf numFmtId="164" fontId="85" fillId="0" borderId="11" xfId="0" applyFont="true" applyBorder="true" applyAlignment="true" applyProtection="true">
      <alignment horizontal="center" vertical="bottom" textRotation="0" wrapText="false" indent="0" shrinkToFit="false"/>
      <protection locked="true" hidden="false"/>
    </xf>
    <xf numFmtId="247" fontId="90" fillId="0" borderId="11" xfId="0" applyFont="true" applyBorder="true" applyAlignment="true" applyProtection="false">
      <alignment horizontal="right" vertical="bottom" textRotation="0" wrapText="false" indent="0" shrinkToFit="false"/>
      <protection locked="true" hidden="false"/>
    </xf>
    <xf numFmtId="164" fontId="81" fillId="0" borderId="0" xfId="0" applyFont="true" applyBorder="true" applyAlignment="false" applyProtection="true">
      <alignment horizontal="general" vertical="bottom" textRotation="0" wrapText="false" indent="0" shrinkToFit="false"/>
      <protection locked="true" hidden="false"/>
    </xf>
    <xf numFmtId="164" fontId="81" fillId="0" borderId="0" xfId="0" applyFont="true" applyBorder="true" applyAlignment="false" applyProtection="true">
      <alignment horizontal="general" vertical="bottom" textRotation="0" wrapText="false" indent="0" shrinkToFit="false"/>
      <protection locked="true" hidden="false"/>
    </xf>
    <xf numFmtId="164" fontId="78" fillId="0" borderId="10" xfId="0" applyFont="true" applyBorder="true" applyAlignment="true" applyProtection="true">
      <alignment horizontal="left" vertical="bottom" textRotation="0" wrapText="false" indent="0" shrinkToFit="false"/>
      <protection locked="true" hidden="false"/>
    </xf>
    <xf numFmtId="247" fontId="87" fillId="0" borderId="0" xfId="17" applyFont="true" applyBorder="true" applyAlignment="true" applyProtection="true">
      <alignment horizontal="general" vertical="bottom" textRotation="0" wrapText="false" indent="0" shrinkToFit="false"/>
      <protection locked="true" hidden="false"/>
    </xf>
    <xf numFmtId="164" fontId="87" fillId="0" borderId="0" xfId="0" applyFont="true" applyBorder="true" applyAlignment="false" applyProtection="false">
      <alignment horizontal="general" vertical="bottom" textRotation="0" wrapText="false" indent="0" shrinkToFit="false"/>
      <protection locked="true" hidden="false"/>
    </xf>
    <xf numFmtId="164" fontId="70" fillId="0" borderId="10" xfId="0" applyFont="true" applyBorder="true" applyAlignment="true" applyProtection="true">
      <alignment horizontal="general" vertical="bottom" textRotation="0" wrapText="false" indent="0" shrinkToFit="false"/>
      <protection locked="true" hidden="false"/>
    </xf>
    <xf numFmtId="243" fontId="70" fillId="0" borderId="11" xfId="0" applyFont="true" applyBorder="true" applyAlignment="false" applyProtection="false">
      <alignment horizontal="general" vertical="bottom" textRotation="0" wrapText="false" indent="0" shrinkToFit="false"/>
      <protection locked="true" hidden="false"/>
    </xf>
    <xf numFmtId="248" fontId="86" fillId="9" borderId="11" xfId="15" applyFont="true" applyBorder="true" applyAlignment="true" applyProtection="true">
      <alignment horizontal="general" vertical="bottom" textRotation="0" wrapText="false" indent="0" shrinkToFit="false"/>
      <protection locked="true" hidden="false"/>
    </xf>
    <xf numFmtId="229" fontId="81" fillId="0" borderId="0" xfId="0" applyFont="true" applyBorder="true" applyAlignment="false" applyProtection="true">
      <alignment horizontal="general" vertical="bottom" textRotation="0" wrapText="false" indent="0" shrinkToFit="false"/>
      <protection locked="true" hidden="false"/>
    </xf>
    <xf numFmtId="229" fontId="81" fillId="0" borderId="0" xfId="0" applyFont="true" applyBorder="true" applyAlignment="true" applyProtection="true">
      <alignment horizontal="right" vertical="bottom" textRotation="0" wrapText="false" indent="0" shrinkToFit="false"/>
      <protection locked="true" hidden="false"/>
    </xf>
    <xf numFmtId="229" fontId="70" fillId="0" borderId="11" xfId="0" applyFont="true" applyBorder="true" applyAlignment="false" applyProtection="false">
      <alignment horizontal="general" vertical="bottom" textRotation="0" wrapText="false" indent="0" shrinkToFit="false"/>
      <protection locked="true" hidden="false"/>
    </xf>
    <xf numFmtId="164" fontId="77" fillId="0" borderId="10" xfId="0" applyFont="true" applyBorder="true" applyAlignment="false" applyProtection="false">
      <alignment horizontal="general" vertical="bottom" textRotation="0" wrapText="false" indent="0" shrinkToFit="false"/>
      <protection locked="true" hidden="false"/>
    </xf>
    <xf numFmtId="243" fontId="81" fillId="0" borderId="0" xfId="0" applyFont="true" applyBorder="true" applyAlignment="false" applyProtection="false">
      <alignment horizontal="general" vertical="bottom" textRotation="0" wrapText="false" indent="0" shrinkToFit="false"/>
      <protection locked="true" hidden="false"/>
    </xf>
    <xf numFmtId="244" fontId="81" fillId="0" borderId="0" xfId="19" applyFont="true" applyBorder="true" applyAlignment="true" applyProtection="true">
      <alignment horizontal="general" vertical="bottom" textRotation="0" wrapText="false" indent="0" shrinkToFit="false"/>
      <protection locked="true" hidden="false"/>
    </xf>
    <xf numFmtId="164" fontId="77" fillId="0" borderId="6" xfId="0" applyFont="true" applyBorder="true" applyAlignment="false" applyProtection="false">
      <alignment horizontal="general" vertical="bottom" textRotation="0" wrapText="false" indent="0" shrinkToFit="false"/>
      <protection locked="true" hidden="false"/>
    </xf>
    <xf numFmtId="169" fontId="70" fillId="0" borderId="7" xfId="0" applyFont="true" applyBorder="true" applyAlignment="false" applyProtection="false">
      <alignment horizontal="general" vertical="bottom" textRotation="0" wrapText="false" indent="0" shrinkToFit="false"/>
      <protection locked="true" hidden="false"/>
    </xf>
    <xf numFmtId="164" fontId="70" fillId="9" borderId="11" xfId="0" applyFont="true" applyBorder="true" applyAlignment="false" applyProtection="false">
      <alignment horizontal="general" vertical="bottom" textRotation="0" wrapText="false" indent="0" shrinkToFit="false"/>
      <protection locked="true" hidden="false"/>
    </xf>
    <xf numFmtId="164" fontId="70" fillId="0" borderId="6" xfId="0" applyFont="true" applyBorder="true" applyAlignment="true" applyProtection="true">
      <alignment horizontal="general" vertical="bottom" textRotation="0" wrapText="false" indent="0" shrinkToFit="false"/>
      <protection locked="true" hidden="false"/>
    </xf>
    <xf numFmtId="229" fontId="77" fillId="0" borderId="3" xfId="0" applyFont="true" applyBorder="true" applyAlignment="false" applyProtection="true">
      <alignment horizontal="general" vertical="bottom" textRotation="0" wrapText="false" indent="0" shrinkToFit="false"/>
      <protection locked="true" hidden="false"/>
    </xf>
    <xf numFmtId="229" fontId="77" fillId="0" borderId="3" xfId="0" applyFont="true" applyBorder="true" applyAlignment="true" applyProtection="true">
      <alignment horizontal="right" vertical="bottom" textRotation="0" wrapText="false" indent="0" shrinkToFit="false"/>
      <protection locked="true" hidden="false"/>
    </xf>
    <xf numFmtId="229" fontId="70" fillId="0" borderId="7" xfId="0" applyFont="true" applyBorder="true" applyAlignment="false" applyProtection="false">
      <alignment horizontal="general" vertical="bottom" textRotation="0" wrapText="false" indent="0" shrinkToFit="false"/>
      <protection locked="true" hidden="false"/>
    </xf>
    <xf numFmtId="246" fontId="70" fillId="0" borderId="0" xfId="0" applyFont="true" applyBorder="false" applyAlignment="false" applyProtection="true">
      <alignment horizontal="general" vertical="bottom" textRotation="0" wrapText="false" indent="0" shrinkToFit="false"/>
      <protection locked="true" hidden="false"/>
    </xf>
    <xf numFmtId="164" fontId="88" fillId="4" borderId="4" xfId="0" applyFont="true" applyBorder="true" applyAlignment="false" applyProtection="false">
      <alignment horizontal="general" vertical="bottom" textRotation="0" wrapText="false" indent="0" shrinkToFit="false"/>
      <protection locked="true" hidden="false"/>
    </xf>
    <xf numFmtId="164" fontId="28" fillId="4" borderId="9" xfId="0" applyFont="true" applyBorder="true" applyAlignment="false" applyProtection="false">
      <alignment horizontal="general" vertical="bottom" textRotation="0" wrapText="false" indent="0" shrinkToFit="false"/>
      <protection locked="true" hidden="false"/>
    </xf>
    <xf numFmtId="243" fontId="81" fillId="4" borderId="9" xfId="19" applyFont="true" applyBorder="true" applyAlignment="true" applyProtection="true">
      <alignment horizontal="general" vertical="bottom" textRotation="0" wrapText="false" indent="0" shrinkToFit="false"/>
      <protection locked="true" hidden="false"/>
    </xf>
    <xf numFmtId="229" fontId="81" fillId="4" borderId="5" xfId="0" applyFont="true" applyBorder="true" applyAlignment="false" applyProtection="true">
      <alignment horizontal="general" vertical="bottom" textRotation="0" wrapText="false" indent="0" shrinkToFit="false"/>
      <protection locked="true" hidden="false"/>
    </xf>
    <xf numFmtId="243" fontId="85" fillId="0" borderId="0" xfId="19" applyFont="true" applyBorder="true" applyAlignment="true" applyProtection="true">
      <alignment horizontal="center" vertical="bottom" textRotation="0" wrapText="false" indent="0" shrinkToFit="false"/>
      <protection locked="true" hidden="false"/>
    </xf>
    <xf numFmtId="164" fontId="97" fillId="0" borderId="0" xfId="0" applyFont="true" applyBorder="true" applyAlignment="true" applyProtection="false">
      <alignment horizontal="center" vertical="bottom" textRotation="0" wrapText="false" indent="0" shrinkToFit="false"/>
      <protection locked="true" hidden="false"/>
    </xf>
    <xf numFmtId="243" fontId="87" fillId="0" borderId="0" xfId="19" applyFont="true" applyBorder="true" applyAlignment="true" applyProtection="true">
      <alignment horizontal="center" vertical="bottom" textRotation="0" wrapText="false" indent="0" shrinkToFit="false"/>
      <protection locked="true" hidden="false"/>
    </xf>
    <xf numFmtId="229" fontId="81" fillId="0" borderId="11" xfId="0" applyFont="true" applyBorder="true" applyAlignment="true" applyProtection="true">
      <alignment horizontal="right" vertical="bottom" textRotation="0" wrapText="false" indent="0" shrinkToFit="false"/>
      <protection locked="true" hidden="false"/>
    </xf>
    <xf numFmtId="247" fontId="87" fillId="0" borderId="0" xfId="0" applyFont="true" applyBorder="true" applyAlignment="false" applyProtection="false">
      <alignment horizontal="general" vertical="bottom" textRotation="0" wrapText="false" indent="0" shrinkToFit="false"/>
      <protection locked="true" hidden="false"/>
    </xf>
    <xf numFmtId="193" fontId="87" fillId="0" borderId="0" xfId="0" applyFont="true" applyBorder="true" applyAlignment="false" applyProtection="false">
      <alignment horizontal="general" vertical="bottom" textRotation="0" wrapText="false" indent="0" shrinkToFit="false"/>
      <protection locked="true" hidden="false"/>
    </xf>
    <xf numFmtId="243" fontId="70" fillId="0" borderId="0" xfId="19" applyFont="true" applyBorder="true" applyAlignment="true" applyProtection="true">
      <alignment horizontal="general" vertical="bottom" textRotation="0" wrapText="false" indent="0" shrinkToFit="false"/>
      <protection locked="true" hidden="false"/>
    </xf>
    <xf numFmtId="179" fontId="70" fillId="0" borderId="11" xfId="0" applyFont="true" applyBorder="true" applyAlignment="false" applyProtection="false">
      <alignment horizontal="general" vertical="bottom" textRotation="0" wrapText="false" indent="0" shrinkToFit="false"/>
      <protection locked="true" hidden="false"/>
    </xf>
    <xf numFmtId="249" fontId="70" fillId="0" borderId="0" xfId="0" applyFont="true" applyBorder="true" applyAlignment="true" applyProtection="false">
      <alignment horizontal="center" vertical="bottom" textRotation="0" wrapText="false" indent="0" shrinkToFit="false"/>
      <protection locked="true" hidden="false"/>
    </xf>
    <xf numFmtId="248" fontId="70" fillId="0" borderId="11" xfId="15" applyFont="true" applyBorder="true" applyAlignment="true" applyProtection="true">
      <alignment horizontal="right" vertical="bottom" textRotation="0" wrapText="false" indent="0" shrinkToFit="false"/>
      <protection locked="true" hidden="false"/>
    </xf>
    <xf numFmtId="193" fontId="70" fillId="0" borderId="0" xfId="0" applyFont="true" applyBorder="true" applyAlignment="false" applyProtection="false">
      <alignment horizontal="general" vertical="bottom" textRotation="0" wrapText="false" indent="0" shrinkToFit="false"/>
      <protection locked="true" hidden="false"/>
    </xf>
    <xf numFmtId="248" fontId="84" fillId="0" borderId="11" xfId="15" applyFont="true" applyBorder="true" applyAlignment="true" applyProtection="true">
      <alignment horizontal="general" vertical="bottom" textRotation="0" wrapText="false" indent="0" shrinkToFit="false"/>
      <protection locked="true" hidden="false"/>
    </xf>
    <xf numFmtId="164" fontId="70" fillId="0" borderId="6" xfId="0" applyFont="true" applyBorder="true" applyAlignment="true" applyProtection="true">
      <alignment horizontal="left" vertical="bottom" textRotation="0" wrapText="false" indent="0" shrinkToFit="false"/>
      <protection locked="true" hidden="false"/>
    </xf>
    <xf numFmtId="246" fontId="81" fillId="0" borderId="3" xfId="0" applyFont="true" applyBorder="true" applyAlignment="false" applyProtection="false">
      <alignment horizontal="general" vertical="bottom" textRotation="0" wrapText="false" indent="0" shrinkToFit="false"/>
      <protection locked="true" hidden="false"/>
    </xf>
    <xf numFmtId="249" fontId="81" fillId="0" borderId="7" xfId="0" applyFont="true" applyBorder="true" applyAlignment="false" applyProtection="false">
      <alignment horizontal="general" vertical="bottom" textRotation="0" wrapText="false" indent="0" shrinkToFit="false"/>
      <protection locked="true" hidden="false"/>
    </xf>
    <xf numFmtId="200" fontId="87" fillId="0" borderId="0" xfId="0" applyFont="true" applyBorder="true" applyAlignment="false" applyProtection="false">
      <alignment horizontal="general" vertical="bottom" textRotation="0" wrapText="false" indent="0" shrinkToFit="false"/>
      <protection locked="true" hidden="false"/>
    </xf>
    <xf numFmtId="248" fontId="96" fillId="0" borderId="11" xfId="15" applyFont="true" applyBorder="true" applyAlignment="true" applyProtection="true">
      <alignment horizontal="general" vertical="bottom" textRotation="0" wrapText="false" indent="0" shrinkToFit="false"/>
      <protection locked="true" hidden="false"/>
    </xf>
    <xf numFmtId="164" fontId="87" fillId="0" borderId="10" xfId="0" applyFont="true" applyBorder="true" applyAlignment="false" applyProtection="false">
      <alignment horizontal="general" vertical="bottom" textRotation="0" wrapText="false" indent="0" shrinkToFit="false"/>
      <protection locked="true" hidden="false"/>
    </xf>
    <xf numFmtId="164" fontId="93" fillId="0" borderId="0" xfId="0" applyFont="true" applyBorder="true" applyAlignment="true" applyProtection="false">
      <alignment horizontal="center" vertical="bottom" textRotation="0" wrapText="false" indent="0" shrinkToFit="false"/>
      <protection locked="true" hidden="false"/>
    </xf>
    <xf numFmtId="243" fontId="81" fillId="7" borderId="0" xfId="19" applyFont="true" applyBorder="true" applyAlignment="true" applyProtection="true">
      <alignment horizontal="center" vertical="bottom" textRotation="0" wrapText="false" indent="0" shrinkToFit="false"/>
      <protection locked="false" hidden="false"/>
    </xf>
    <xf numFmtId="248" fontId="94" fillId="0" borderId="11" xfId="15" applyFont="true" applyBorder="true" applyAlignment="true" applyProtection="true">
      <alignment horizontal="center" vertical="bottom" textRotation="0" wrapText="false" indent="0" shrinkToFit="false"/>
      <protection locked="true" hidden="false"/>
    </xf>
    <xf numFmtId="249" fontId="81" fillId="0" borderId="11" xfId="0" applyFont="true" applyBorder="true" applyAlignment="false" applyProtection="false">
      <alignment horizontal="general" vertical="bottom" textRotation="0" wrapText="false" indent="0" shrinkToFit="false"/>
      <protection locked="true" hidden="false"/>
    </xf>
    <xf numFmtId="249" fontId="81" fillId="0" borderId="0" xfId="19" applyFont="true" applyBorder="true" applyAlignment="true" applyProtection="true">
      <alignment horizontal="center" vertical="bottom" textRotation="0" wrapText="false" indent="0" shrinkToFit="false"/>
      <protection locked="false" hidden="false"/>
    </xf>
    <xf numFmtId="248" fontId="81" fillId="0" borderId="7" xfId="0" applyFont="true" applyBorder="true" applyAlignment="false" applyProtection="false">
      <alignment horizontal="general" vertical="bottom" textRotation="0" wrapText="false" indent="0" shrinkToFit="false"/>
      <protection locked="true" hidden="false"/>
    </xf>
    <xf numFmtId="248" fontId="81" fillId="0" borderId="0" xfId="0" applyFont="true" applyBorder="true" applyAlignment="false" applyProtection="false">
      <alignment horizontal="general" vertical="bottom" textRotation="0" wrapText="false" indent="0" shrinkToFit="false"/>
      <protection locked="true" hidden="false"/>
    </xf>
    <xf numFmtId="249" fontId="81" fillId="0" borderId="0" xfId="19" applyFont="true" applyBorder="true" applyAlignment="true" applyProtection="true">
      <alignment horizontal="center" vertical="bottom" textRotation="0" wrapText="false" indent="0" shrinkToFit="false"/>
      <protection locked="true" hidden="false"/>
    </xf>
    <xf numFmtId="193" fontId="84" fillId="0" borderId="0" xfId="0" applyFont="true" applyBorder="true" applyAlignment="false" applyProtection="false">
      <alignment horizontal="general" vertical="bottom" textRotation="0" wrapText="false" indent="0" shrinkToFit="false"/>
      <protection locked="true" hidden="false"/>
    </xf>
    <xf numFmtId="179" fontId="84" fillId="0" borderId="11" xfId="0" applyFont="true" applyBorder="true" applyAlignment="false" applyProtection="false">
      <alignment horizontal="general" vertical="bottom" textRotation="0" wrapText="false" indent="0" shrinkToFit="false"/>
      <protection locked="true" hidden="false"/>
    </xf>
    <xf numFmtId="248" fontId="94" fillId="0" borderId="11" xfId="15" applyFont="true" applyBorder="true" applyAlignment="true" applyProtection="true">
      <alignment horizontal="general" vertical="bottom" textRotation="0" wrapText="false" indent="0" shrinkToFit="false"/>
      <protection locked="true" hidden="false"/>
    </xf>
    <xf numFmtId="244" fontId="79" fillId="0" borderId="11" xfId="19" applyFont="true" applyBorder="true" applyAlignment="true" applyProtection="true">
      <alignment horizontal="center" vertical="bottom" textRotation="0" wrapText="false" indent="0" shrinkToFit="false"/>
      <protection locked="true" hidden="false"/>
    </xf>
    <xf numFmtId="164" fontId="87" fillId="0" borderId="0" xfId="0" applyFont="true" applyBorder="true" applyAlignment="true" applyProtection="true">
      <alignment horizontal="center" vertical="bottom" textRotation="0" wrapText="false" indent="0" shrinkToFit="false"/>
      <protection locked="true" hidden="false"/>
    </xf>
    <xf numFmtId="164" fontId="87" fillId="0" borderId="11" xfId="0" applyFont="true" applyBorder="true" applyAlignment="true" applyProtection="true">
      <alignment horizontal="center" vertical="bottom" textRotation="0" wrapText="false" indent="0" shrinkToFit="false"/>
      <protection locked="true" hidden="false"/>
    </xf>
    <xf numFmtId="185" fontId="87" fillId="0" borderId="14" xfId="0" applyFont="true" applyBorder="true" applyAlignment="false" applyProtection="false">
      <alignment horizontal="general" vertical="bottom" textRotation="0" wrapText="false" indent="0" shrinkToFit="false"/>
      <protection locked="true" hidden="false"/>
    </xf>
    <xf numFmtId="164" fontId="87" fillId="0" borderId="14" xfId="0" applyFont="true" applyBorder="true" applyAlignment="true" applyProtection="false">
      <alignment horizontal="center" vertical="bottom" textRotation="0" wrapText="false" indent="0" shrinkToFit="false"/>
      <protection locked="true" hidden="false"/>
    </xf>
    <xf numFmtId="193" fontId="70" fillId="0" borderId="14" xfId="0" applyFont="true" applyBorder="true" applyAlignment="false" applyProtection="false">
      <alignment horizontal="general" vertical="bottom" textRotation="0" wrapText="false" indent="0" shrinkToFit="false"/>
      <protection locked="true" hidden="false"/>
    </xf>
    <xf numFmtId="243" fontId="70" fillId="0" borderId="14" xfId="19" applyFont="true" applyBorder="true" applyAlignment="true" applyProtection="true">
      <alignment horizontal="general" vertical="bottom" textRotation="0" wrapText="false" indent="0" shrinkToFit="false"/>
      <protection locked="true" hidden="false"/>
    </xf>
    <xf numFmtId="169" fontId="70" fillId="0" borderId="13" xfId="0" applyFont="true" applyBorder="true" applyAlignment="false" applyProtection="false">
      <alignment horizontal="general" vertical="bottom" textRotation="0" wrapText="false" indent="0" shrinkToFit="false"/>
      <protection locked="true" hidden="false"/>
    </xf>
    <xf numFmtId="164" fontId="85" fillId="0" borderId="10" xfId="0" applyFont="true" applyBorder="true" applyAlignment="true" applyProtection="true">
      <alignment horizontal="center" vertical="bottom" textRotation="0" wrapText="false" indent="0" shrinkToFit="false"/>
      <protection locked="true" hidden="false"/>
    </xf>
    <xf numFmtId="164" fontId="77" fillId="0" borderId="3" xfId="0" applyFont="true" applyBorder="true" applyAlignment="true" applyProtection="false">
      <alignment horizontal="center" vertical="bottom" textRotation="0" wrapText="false" indent="0" shrinkToFit="false"/>
      <protection locked="true" hidden="false"/>
    </xf>
    <xf numFmtId="247" fontId="78" fillId="0" borderId="7" xfId="17" applyFont="true" applyBorder="true" applyAlignment="true" applyProtection="true">
      <alignment horizontal="general" vertical="bottom" textRotation="0" wrapText="false" indent="0" shrinkToFit="false"/>
      <protection locked="true" hidden="false"/>
    </xf>
    <xf numFmtId="164" fontId="70" fillId="0" borderId="10" xfId="0" applyFont="true" applyBorder="true" applyAlignment="true" applyProtection="true">
      <alignment horizontal="center" vertical="bottom" textRotation="0" wrapText="false" indent="0" shrinkToFit="false"/>
      <protection locked="true" hidden="false"/>
    </xf>
    <xf numFmtId="243" fontId="70" fillId="0" borderId="0" xfId="0" applyFont="true" applyBorder="true" applyAlignment="true" applyProtection="true">
      <alignment horizontal="center" vertical="bottom" textRotation="0" wrapText="false" indent="0" shrinkToFit="false"/>
      <protection locked="true" hidden="false"/>
    </xf>
    <xf numFmtId="243" fontId="70" fillId="0" borderId="11" xfId="0" applyFont="true" applyBorder="true" applyAlignment="true" applyProtection="true">
      <alignment horizontal="center" vertical="bottom" textRotation="0" wrapText="false" indent="0" shrinkToFit="false"/>
      <protection locked="true" hidden="false"/>
    </xf>
    <xf numFmtId="229" fontId="81" fillId="0" borderId="3" xfId="0" applyFont="true" applyBorder="true" applyAlignment="false" applyProtection="false">
      <alignment horizontal="general" vertical="bottom" textRotation="0" wrapText="false" indent="0" shrinkToFit="false"/>
      <protection locked="true" hidden="false"/>
    </xf>
    <xf numFmtId="247" fontId="81" fillId="0" borderId="0" xfId="0" applyFont="true" applyBorder="false" applyAlignment="true" applyProtection="false">
      <alignment horizontal="right" vertical="bottom" textRotation="0" wrapText="false" indent="0" shrinkToFit="false"/>
      <protection locked="true" hidden="false"/>
    </xf>
    <xf numFmtId="249" fontId="81" fillId="0" borderId="0" xfId="19" applyFont="true" applyBorder="true" applyAlignment="true" applyProtection="true">
      <alignment horizontal="general" vertical="bottom" textRotation="0" wrapText="false" indent="0" shrinkToFit="false"/>
      <protection locked="true" hidden="false"/>
    </xf>
    <xf numFmtId="164" fontId="70" fillId="0" borderId="0" xfId="0" applyFont="true" applyBorder="true" applyAlignment="true" applyProtection="true">
      <alignment horizontal="center" vertical="bottom" textRotation="0" wrapText="false" indent="0" shrinkToFit="false"/>
      <protection locked="true" hidden="false"/>
    </xf>
    <xf numFmtId="164" fontId="70" fillId="0" borderId="11" xfId="0" applyFont="true" applyBorder="true" applyAlignment="true" applyProtection="true">
      <alignment horizontal="center" vertical="bottom" textRotation="0" wrapText="false" indent="0" shrinkToFit="false"/>
      <protection locked="true" hidden="false"/>
    </xf>
    <xf numFmtId="243" fontId="81" fillId="0" borderId="0" xfId="0" applyFont="true" applyBorder="true" applyAlignment="false" applyProtection="true">
      <alignment horizontal="general" vertical="bottom" textRotation="0" wrapText="false" indent="0" shrinkToFit="false"/>
      <protection locked="false" hidden="false"/>
    </xf>
    <xf numFmtId="256" fontId="81" fillId="0" borderId="11" xfId="0" applyFont="true" applyBorder="true" applyAlignment="true" applyProtection="false">
      <alignment horizontal="right" vertical="bottom" textRotation="0" wrapText="false" indent="0" shrinkToFit="false"/>
      <protection locked="true" hidden="false"/>
    </xf>
    <xf numFmtId="243" fontId="81" fillId="7" borderId="0" xfId="0" applyFont="true" applyBorder="true" applyAlignment="true" applyProtection="true">
      <alignment horizontal="right" vertical="bottom" textRotation="0" wrapText="false" indent="0" shrinkToFit="false"/>
      <protection locked="false" hidden="false"/>
    </xf>
    <xf numFmtId="243" fontId="77" fillId="0" borderId="0" xfId="1138" applyFont="true" applyBorder="true" applyAlignment="false" applyProtection="true">
      <alignment horizontal="general" vertical="bottom" textRotation="0" wrapText="false" indent="0" shrinkToFit="false"/>
      <protection locked="false" hidden="false"/>
    </xf>
    <xf numFmtId="246" fontId="70" fillId="0" borderId="0" xfId="19" applyFont="true" applyBorder="true" applyAlignment="true" applyProtection="true">
      <alignment horizontal="center" vertical="bottom" textRotation="0" wrapText="false" indent="0" shrinkToFit="false"/>
      <protection locked="true" hidden="false"/>
    </xf>
    <xf numFmtId="246" fontId="70" fillId="0" borderId="11" xfId="19" applyFont="true" applyBorder="true" applyAlignment="true" applyProtection="true">
      <alignment horizontal="center" vertical="bottom" textRotation="0" wrapText="false" indent="0" shrinkToFit="false"/>
      <protection locked="true" hidden="false"/>
    </xf>
    <xf numFmtId="243" fontId="81" fillId="7" borderId="0" xfId="0" applyFont="true" applyBorder="true" applyAlignment="false" applyProtection="true">
      <alignment horizontal="general" vertical="bottom" textRotation="0" wrapText="false" indent="0" shrinkToFit="false"/>
      <protection locked="false" hidden="false"/>
    </xf>
    <xf numFmtId="164" fontId="70" fillId="0" borderId="6" xfId="0" applyFont="true" applyBorder="true" applyAlignment="true" applyProtection="true">
      <alignment horizontal="center" vertical="bottom" textRotation="0" wrapText="false" indent="0" shrinkToFit="false"/>
      <protection locked="true" hidden="false"/>
    </xf>
    <xf numFmtId="164" fontId="70" fillId="0" borderId="3" xfId="0" applyFont="true" applyBorder="true" applyAlignment="true" applyProtection="false">
      <alignment horizontal="center" vertical="bottom" textRotation="0" wrapText="false" indent="0" shrinkToFit="false"/>
      <protection locked="true" hidden="false"/>
    </xf>
    <xf numFmtId="246" fontId="70" fillId="0" borderId="3" xfId="19" applyFont="true" applyBorder="true" applyAlignment="true" applyProtection="true">
      <alignment horizontal="center" vertical="bottom" textRotation="0" wrapText="false" indent="0" shrinkToFit="false"/>
      <protection locked="true" hidden="false"/>
    </xf>
    <xf numFmtId="246" fontId="70" fillId="0" borderId="7" xfId="19" applyFont="true" applyBorder="true" applyAlignment="true" applyProtection="true">
      <alignment horizontal="center" vertical="bottom" textRotation="0" wrapText="false" indent="0" shrinkToFit="false"/>
      <protection locked="true" hidden="false"/>
    </xf>
    <xf numFmtId="164" fontId="70" fillId="0" borderId="0" xfId="0" applyFont="true" applyBorder="false" applyAlignment="true" applyProtection="true">
      <alignment horizontal="center" vertical="bottom" textRotation="0" wrapText="false" indent="0" shrinkToFit="false"/>
      <protection locked="true" hidden="false"/>
    </xf>
    <xf numFmtId="164" fontId="70" fillId="0" borderId="0" xfId="0" applyFont="true" applyBorder="false" applyAlignment="true" applyProtection="false">
      <alignment horizontal="center" vertical="bottom" textRotation="0" wrapText="false" indent="0" shrinkToFit="false"/>
      <protection locked="true" hidden="false"/>
    </xf>
    <xf numFmtId="185" fontId="70" fillId="0" borderId="0" xfId="0" applyFont="true" applyBorder="true" applyAlignment="false" applyProtection="false">
      <alignment horizontal="general" vertical="bottom" textRotation="0" wrapText="false" indent="0" shrinkToFit="false"/>
      <protection locked="true" hidden="false"/>
    </xf>
    <xf numFmtId="256" fontId="81" fillId="0" borderId="11" xfId="0" applyFont="true" applyBorder="true" applyAlignment="false" applyProtection="false">
      <alignment horizontal="general" vertical="bottom" textRotation="0" wrapText="false" indent="0" shrinkToFit="false"/>
      <protection locked="true" hidden="false"/>
    </xf>
    <xf numFmtId="243" fontId="81" fillId="9" borderId="3" xfId="0" applyFont="true" applyBorder="true" applyAlignment="false" applyProtection="true">
      <alignment horizontal="general" vertical="bottom" textRotation="0" wrapText="false" indent="0" shrinkToFit="false"/>
      <protection locked="false" hidden="false"/>
    </xf>
    <xf numFmtId="164" fontId="81" fillId="0" borderId="7" xfId="0" applyFont="true" applyBorder="true" applyAlignment="true" applyProtection="false">
      <alignment horizontal="right" vertical="bottom" textRotation="0" wrapText="false" indent="0" shrinkToFit="false"/>
      <protection locked="true" hidden="false"/>
    </xf>
    <xf numFmtId="251" fontId="81" fillId="0" borderId="0" xfId="0" applyFont="true" applyBorder="false" applyAlignment="false" applyProtection="true">
      <alignment horizontal="general" vertical="bottom" textRotation="0" wrapText="false" indent="0" shrinkToFit="false"/>
      <protection locked="false" hidden="false"/>
    </xf>
    <xf numFmtId="242" fontId="95" fillId="0" borderId="11" xfId="15" applyFont="true" applyBorder="true" applyAlignment="true" applyProtection="true">
      <alignment horizontal="right" vertical="bottom" textRotation="0" wrapText="false" indent="0" shrinkToFit="false"/>
      <protection locked="true" hidden="false"/>
    </xf>
    <xf numFmtId="164" fontId="70" fillId="0" borderId="11" xfId="0" applyFont="true" applyBorder="true" applyAlignment="true" applyProtection="false">
      <alignment horizontal="right" vertical="bottom" textRotation="0" wrapText="false" indent="0" shrinkToFit="false"/>
      <protection locked="true" hidden="false"/>
    </xf>
    <xf numFmtId="235" fontId="70" fillId="0" borderId="0" xfId="0" applyFont="true" applyBorder="false" applyAlignment="false" applyProtection="false">
      <alignment horizontal="general" vertical="bottom" textRotation="0" wrapText="false" indent="0" shrinkToFit="false"/>
      <protection locked="true" hidden="false"/>
    </xf>
    <xf numFmtId="164" fontId="70" fillId="10" borderId="0" xfId="0" applyFont="true" applyBorder="false" applyAlignment="false" applyProtection="false">
      <alignment horizontal="general" vertical="bottom" textRotation="0" wrapText="false" indent="0" shrinkToFit="false"/>
      <protection locked="true" hidden="false"/>
    </xf>
    <xf numFmtId="256" fontId="70" fillId="11" borderId="0" xfId="0" applyFont="true" applyBorder="false" applyAlignment="true" applyProtection="false">
      <alignment horizontal="right" vertical="bottom" textRotation="0" wrapText="false" indent="0" shrinkToFit="false"/>
      <protection locked="true" hidden="false"/>
    </xf>
    <xf numFmtId="164" fontId="70" fillId="12" borderId="0" xfId="0" applyFont="true" applyBorder="false" applyAlignment="false" applyProtection="false">
      <alignment horizontal="general" vertical="bottom" textRotation="0" wrapText="false" indent="0" shrinkToFit="false"/>
      <protection locked="true" hidden="false"/>
    </xf>
    <xf numFmtId="229" fontId="70" fillId="0" borderId="0" xfId="0" applyFont="true" applyBorder="true" applyAlignment="false" applyProtection="false">
      <alignment horizontal="general" vertical="bottom" textRotation="0" wrapText="false" indent="0" shrinkToFit="false"/>
      <protection locked="true" hidden="false"/>
    </xf>
    <xf numFmtId="164" fontId="70" fillId="8" borderId="0" xfId="0" applyFont="true" applyBorder="false" applyAlignment="false" applyProtection="false">
      <alignment horizontal="general" vertical="bottom" textRotation="0" wrapText="false" indent="0" shrinkToFit="false"/>
      <protection locked="true" hidden="false"/>
    </xf>
    <xf numFmtId="253" fontId="95" fillId="0" borderId="0" xfId="404" applyFont="true" applyBorder="true" applyAlignment="true" applyProtection="true">
      <alignment horizontal="right" vertical="bottom" textRotation="0" wrapText="false" indent="0" shrinkToFit="false"/>
      <protection locked="true" hidden="false"/>
    </xf>
    <xf numFmtId="164" fontId="70" fillId="7" borderId="0" xfId="0" applyFont="true" applyBorder="false" applyAlignment="false" applyProtection="false">
      <alignment horizontal="general" vertical="bottom" textRotation="0" wrapText="false" indent="0" shrinkToFit="false"/>
      <protection locked="true" hidden="false"/>
    </xf>
    <xf numFmtId="229" fontId="95" fillId="0" borderId="0" xfId="19" applyFont="true" applyBorder="true" applyAlignment="true" applyProtection="true">
      <alignment horizontal="right" vertical="bottom" textRotation="0" wrapText="false" indent="0" shrinkToFit="false"/>
      <protection locked="true" hidden="false"/>
    </xf>
    <xf numFmtId="164" fontId="91" fillId="0" borderId="15" xfId="0" applyFont="true" applyBorder="true" applyAlignment="false" applyProtection="false">
      <alignment horizontal="general" vertical="bottom" textRotation="0" wrapText="false" indent="0" shrinkToFit="false"/>
      <protection locked="true" hidden="false"/>
    </xf>
    <xf numFmtId="164" fontId="70" fillId="0" borderId="16" xfId="0" applyFont="true" applyBorder="true" applyAlignment="false" applyProtection="false">
      <alignment horizontal="general" vertical="bottom" textRotation="0" wrapText="false" indent="0" shrinkToFit="false"/>
      <protection locked="true" hidden="false"/>
    </xf>
    <xf numFmtId="164" fontId="70" fillId="0" borderId="17" xfId="0" applyFont="true" applyBorder="true" applyAlignment="false" applyProtection="false">
      <alignment horizontal="general" vertical="bottom" textRotation="0" wrapText="false" indent="0" shrinkToFit="false"/>
      <protection locked="true" hidden="false"/>
    </xf>
    <xf numFmtId="164" fontId="81" fillId="0" borderId="0" xfId="0" applyFont="true" applyBorder="false" applyAlignment="false" applyProtection="true">
      <alignment horizontal="general" vertical="bottom" textRotation="0" wrapText="false" indent="0" shrinkToFit="false"/>
      <protection locked="true" hidden="false"/>
    </xf>
    <xf numFmtId="164" fontId="98" fillId="13" borderId="0" xfId="0" applyFont="true" applyBorder="false" applyAlignment="true" applyProtection="false">
      <alignment horizontal="general" vertical="top" textRotation="0" wrapText="true" indent="0" shrinkToFit="false"/>
      <protection locked="true" hidden="false"/>
    </xf>
    <xf numFmtId="164" fontId="70" fillId="0" borderId="18" xfId="0" applyFont="true" applyBorder="true" applyAlignment="false" applyProtection="false">
      <alignment horizontal="general" vertical="bottom" textRotation="0" wrapText="false" indent="0" shrinkToFit="false"/>
      <protection locked="true" hidden="false"/>
    </xf>
    <xf numFmtId="164" fontId="70" fillId="0" borderId="19" xfId="0" applyFont="true" applyBorder="true" applyAlignment="false" applyProtection="false">
      <alignment horizontal="general" vertical="bottom" textRotation="0" wrapText="false" indent="0" shrinkToFit="false"/>
      <protection locked="true" hidden="false"/>
    </xf>
    <xf numFmtId="164" fontId="81" fillId="0" borderId="0" xfId="0" applyFont="true" applyBorder="false" applyAlignment="false" applyProtection="true">
      <alignment horizontal="general" vertical="bottom" textRotation="0" wrapText="false" indent="0" shrinkToFit="false"/>
      <protection locked="false" hidden="false"/>
    </xf>
    <xf numFmtId="247" fontId="70" fillId="0" borderId="0"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false" applyAlignment="true" applyProtection="false">
      <alignment horizontal="right" vertical="bottom" textRotation="0" wrapText="false" indent="0" shrinkToFit="false"/>
      <protection locked="true" hidden="false"/>
    </xf>
    <xf numFmtId="247" fontId="70" fillId="0" borderId="20" xfId="0" applyFont="true" applyBorder="true" applyAlignment="false" applyProtection="false">
      <alignment horizontal="general" vertical="bottom" textRotation="0" wrapText="false" indent="0" shrinkToFit="false"/>
      <protection locked="true" hidden="false"/>
    </xf>
    <xf numFmtId="164" fontId="70" fillId="0" borderId="21" xfId="0" applyFont="true" applyBorder="true" applyAlignment="true" applyProtection="true">
      <alignment horizontal="left" vertical="bottom" textRotation="0" wrapText="false" indent="0" shrinkToFit="false"/>
      <protection locked="true" hidden="false"/>
    </xf>
    <xf numFmtId="248" fontId="70" fillId="0" borderId="20" xfId="0" applyFont="true" applyBorder="true" applyAlignment="false" applyProtection="false">
      <alignment horizontal="general" vertical="bottom" textRotation="0" wrapText="false" indent="0" shrinkToFit="false"/>
      <protection locked="true" hidden="false"/>
    </xf>
    <xf numFmtId="164" fontId="70" fillId="0" borderId="20" xfId="0" applyFont="true" applyBorder="true" applyAlignment="false" applyProtection="false">
      <alignment horizontal="general" vertical="bottom" textRotation="0" wrapText="false" indent="0" shrinkToFit="false"/>
      <protection locked="true" hidden="false"/>
    </xf>
    <xf numFmtId="164" fontId="70" fillId="0" borderId="22" xfId="0" applyFont="true" applyBorder="true" applyAlignment="false" applyProtection="false">
      <alignment horizontal="general" vertical="bottom" textRotation="0" wrapText="false" indent="0" shrinkToFit="false"/>
      <protection locked="true" hidden="false"/>
    </xf>
    <xf numFmtId="247" fontId="70" fillId="0" borderId="0" xfId="0" applyFont="true" applyBorder="false" applyAlignment="false" applyProtection="false">
      <alignment horizontal="general" vertical="bottom" textRotation="0" wrapText="false" indent="0" shrinkToFit="false"/>
      <protection locked="true" hidden="false"/>
    </xf>
    <xf numFmtId="164" fontId="91" fillId="0" borderId="23" xfId="0" applyFont="true" applyBorder="true" applyAlignment="true" applyProtection="true">
      <alignment horizontal="center" vertical="bottom" textRotation="0" wrapText="false" indent="0" shrinkToFit="false"/>
      <protection locked="true" hidden="false"/>
    </xf>
    <xf numFmtId="164" fontId="91" fillId="0" borderId="17" xfId="0" applyFont="true" applyBorder="true" applyAlignment="true" applyProtection="true">
      <alignment horizontal="center" vertical="bottom" textRotation="0" wrapText="false" indent="0" shrinkToFit="false"/>
      <protection locked="true" hidden="false"/>
    </xf>
    <xf numFmtId="247" fontId="91" fillId="0" borderId="23" xfId="0" applyFont="true" applyBorder="true" applyAlignment="true" applyProtection="false">
      <alignment horizontal="center" vertical="bottom" textRotation="0" wrapText="false" indent="0" shrinkToFit="false"/>
      <protection locked="true" hidden="false"/>
    </xf>
    <xf numFmtId="247" fontId="91" fillId="0" borderId="17" xfId="0" applyFont="true" applyBorder="true" applyAlignment="true" applyProtection="false">
      <alignment horizontal="center" vertical="bottom" textRotation="0" wrapText="false" indent="0" shrinkToFit="false"/>
      <protection locked="true" hidden="false"/>
    </xf>
    <xf numFmtId="248" fontId="91" fillId="0" borderId="16" xfId="15" applyFont="true" applyBorder="true" applyAlignment="true" applyProtection="true">
      <alignment horizontal="center" vertical="bottom" textRotation="0" wrapText="false" indent="0" shrinkToFit="false"/>
      <protection locked="true" hidden="false"/>
    </xf>
    <xf numFmtId="248" fontId="91" fillId="0" borderId="17" xfId="15" applyFont="true" applyBorder="true" applyAlignment="true" applyProtection="true">
      <alignment horizontal="center" vertical="bottom" textRotation="0" wrapText="false" indent="0" shrinkToFit="false"/>
      <protection locked="true" hidden="false"/>
    </xf>
    <xf numFmtId="193" fontId="28" fillId="0" borderId="15" xfId="17" applyFont="true" applyBorder="true" applyAlignment="true" applyProtection="true">
      <alignment horizontal="center" vertical="bottom" textRotation="0" wrapText="false" indent="0" shrinkToFit="false"/>
      <protection locked="true" hidden="false"/>
    </xf>
    <xf numFmtId="247" fontId="28" fillId="0" borderId="15" xfId="17" applyFont="true" applyBorder="true" applyAlignment="true" applyProtection="true">
      <alignment horizontal="center" vertical="bottom" textRotation="0" wrapText="false" indent="0" shrinkToFit="false"/>
      <protection locked="true" hidden="false"/>
    </xf>
    <xf numFmtId="164" fontId="70" fillId="0" borderId="0" xfId="0" applyFont="true" applyBorder="false" applyAlignment="true" applyProtection="true">
      <alignment horizontal="general" vertical="bottom" textRotation="0" wrapText="false" indent="0" shrinkToFit="false"/>
      <protection locked="true" hidden="false"/>
    </xf>
    <xf numFmtId="164" fontId="84" fillId="0" borderId="0" xfId="0" applyFont="true" applyBorder="false" applyAlignment="false" applyProtection="false">
      <alignment horizontal="general" vertical="bottom" textRotation="0" wrapText="false" indent="0" shrinkToFit="false"/>
      <protection locked="true" hidden="false"/>
    </xf>
    <xf numFmtId="229" fontId="70" fillId="0" borderId="0" xfId="0" applyFont="tru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244" fontId="108" fillId="2" borderId="4" xfId="19" applyFont="true" applyBorder="true" applyAlignment="true" applyProtection="true">
      <alignment horizontal="left" vertical="bottom" textRotation="0" wrapText="false" indent="0" shrinkToFit="false"/>
      <protection locked="true" hidden="false"/>
    </xf>
    <xf numFmtId="164" fontId="28" fillId="2" borderId="9" xfId="0" applyFont="true" applyBorder="true" applyAlignment="false" applyProtection="false">
      <alignment horizontal="general" vertical="bottom" textRotation="0" wrapText="false" indent="0" shrinkToFit="false"/>
      <protection locked="true" hidden="false"/>
    </xf>
    <xf numFmtId="164" fontId="28" fillId="2" borderId="5" xfId="0" applyFont="true" applyBorder="true" applyAlignment="false" applyProtection="false">
      <alignment horizontal="general" vertical="bottom" textRotation="0" wrapText="false" indent="0" shrinkToFit="false"/>
      <protection locked="true" hidden="false"/>
    </xf>
    <xf numFmtId="258" fontId="57" fillId="0" borderId="0" xfId="15" applyFont="true" applyBorder="true" applyAlignment="true" applyProtection="true">
      <alignment horizontal="right" vertical="bottom" textRotation="0" wrapText="false" indent="0" shrinkToFit="false"/>
      <protection locked="true" hidden="false"/>
    </xf>
    <xf numFmtId="164" fontId="97" fillId="2" borderId="6" xfId="0" applyFont="true" applyBorder="true" applyAlignment="false" applyProtection="false">
      <alignment horizontal="general" vertical="bottom" textRotation="0" wrapText="false" indent="0" shrinkToFit="false"/>
      <protection locked="true" hidden="false"/>
    </xf>
    <xf numFmtId="164" fontId="28" fillId="2" borderId="3" xfId="0" applyFont="true" applyBorder="true" applyAlignment="false" applyProtection="false">
      <alignment horizontal="general" vertical="bottom" textRotation="0" wrapText="false" indent="0" shrinkToFit="false"/>
      <protection locked="true" hidden="false"/>
    </xf>
    <xf numFmtId="164" fontId="28" fillId="2" borderId="7" xfId="0" applyFont="true" applyBorder="true" applyAlignment="false" applyProtection="false">
      <alignment horizontal="general" vertical="bottom" textRotation="0" wrapText="false" indent="0" shrinkToFit="false"/>
      <protection locked="true" hidden="false"/>
    </xf>
    <xf numFmtId="235" fontId="28" fillId="0" borderId="0" xfId="0" applyFont="true" applyBorder="false" applyAlignment="false" applyProtection="false">
      <alignment horizontal="general" vertical="bottom" textRotation="0" wrapText="false" indent="0" shrinkToFit="false"/>
      <protection locked="true" hidden="false"/>
    </xf>
    <xf numFmtId="164" fontId="28" fillId="0" borderId="4" xfId="0" applyFont="true" applyBorder="true" applyAlignment="false" applyProtection="false">
      <alignment horizontal="general" vertical="bottom" textRotation="0" wrapText="false" indent="0" shrinkToFit="false"/>
      <protection locked="true" hidden="false"/>
    </xf>
    <xf numFmtId="164" fontId="57" fillId="0" borderId="9" xfId="0" applyFont="true" applyBorder="true" applyAlignment="false" applyProtection="false">
      <alignment horizontal="general" vertical="bottom" textRotation="0" wrapText="false" indent="0" shrinkToFit="false"/>
      <protection locked="true" hidden="false"/>
    </xf>
    <xf numFmtId="259" fontId="109" fillId="2" borderId="9" xfId="0" applyFont="true" applyBorder="true" applyAlignment="false" applyProtection="true">
      <alignment horizontal="general" vertical="bottom" textRotation="0" wrapText="false" indent="0" shrinkToFit="false"/>
      <protection locked="true" hidden="false"/>
    </xf>
    <xf numFmtId="259" fontId="109" fillId="2" borderId="5" xfId="0" applyFont="true" applyBorder="true" applyAlignment="false" applyProtection="true">
      <alignment horizontal="general" vertical="bottom" textRotation="0" wrapText="false" indent="0" shrinkToFit="false"/>
      <protection locked="true" hidden="false"/>
    </xf>
    <xf numFmtId="235" fontId="97" fillId="0" borderId="10" xfId="1237" applyFont="true" applyBorder="true" applyAlignment="true" applyProtection="true">
      <alignment horizontal="left"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252" fontId="57" fillId="0" borderId="0" xfId="15" applyFont="true" applyBorder="true" applyAlignment="true" applyProtection="true">
      <alignment horizontal="general" vertical="bottom" textRotation="0" wrapText="false" indent="0" shrinkToFit="false"/>
      <protection locked="true" hidden="false"/>
    </xf>
    <xf numFmtId="240" fontId="57" fillId="0" borderId="0" xfId="1237" applyFont="true" applyBorder="true" applyAlignment="true" applyProtection="true">
      <alignment horizontal="general" vertical="bottom" textRotation="0" wrapText="false" indent="0" shrinkToFit="false"/>
      <protection locked="true" hidden="false"/>
    </xf>
    <xf numFmtId="240" fontId="95" fillId="0" borderId="0" xfId="1237" applyFont="true" applyBorder="true" applyAlignment="true" applyProtection="true">
      <alignment horizontal="general" vertical="bottom" textRotation="0" wrapText="false" indent="0" shrinkToFit="false"/>
      <protection locked="true" hidden="false"/>
    </xf>
    <xf numFmtId="240" fontId="57" fillId="0" borderId="11" xfId="1237" applyFont="true" applyBorder="true" applyAlignment="true" applyProtection="true">
      <alignment horizontal="general" vertical="bottom" textRotation="0" wrapText="false" indent="0" shrinkToFit="false"/>
      <protection locked="true" hidden="false"/>
    </xf>
    <xf numFmtId="235" fontId="97" fillId="0" borderId="10" xfId="1237" applyFont="true" applyBorder="true" applyAlignment="true" applyProtection="true">
      <alignment horizontal="general" vertical="bottom" textRotation="0" wrapText="false" indent="0" shrinkToFit="false"/>
      <protection locked="true" hidden="false"/>
    </xf>
    <xf numFmtId="244" fontId="57" fillId="0" borderId="0" xfId="19" applyFont="true" applyBorder="true" applyAlignment="true" applyProtection="true">
      <alignment horizontal="center" vertical="bottom" textRotation="0" wrapText="false" indent="0" shrinkToFit="false"/>
      <protection locked="true" hidden="false"/>
    </xf>
    <xf numFmtId="244" fontId="57" fillId="0" borderId="11" xfId="19" applyFont="true" applyBorder="true" applyAlignment="true" applyProtection="true">
      <alignment horizontal="center" vertical="bottom" textRotation="0" wrapText="false" indent="0" shrinkToFit="false"/>
      <protection locked="true" hidden="false"/>
    </xf>
    <xf numFmtId="235" fontId="97" fillId="0" borderId="6" xfId="1237" applyFont="true" applyBorder="true" applyAlignment="true" applyProtection="true">
      <alignment horizontal="general" vertical="bottom" textRotation="0" wrapText="false" indent="0" shrinkToFit="false"/>
      <protection locked="true" hidden="false"/>
    </xf>
    <xf numFmtId="258" fontId="57" fillId="0" borderId="3" xfId="0" applyFont="true" applyBorder="true" applyAlignment="false" applyProtection="false">
      <alignment horizontal="general" vertical="bottom" textRotation="0" wrapText="false" indent="0" shrinkToFit="false"/>
      <protection locked="true" hidden="false"/>
    </xf>
    <xf numFmtId="240" fontId="57" fillId="0" borderId="3" xfId="1237" applyFont="true" applyBorder="true" applyAlignment="true" applyProtection="true">
      <alignment horizontal="center" vertical="bottom" textRotation="0" wrapText="false" indent="0" shrinkToFit="false"/>
      <protection locked="true" hidden="false"/>
    </xf>
    <xf numFmtId="240" fontId="57" fillId="0" borderId="7" xfId="1237" applyFont="true" applyBorder="true" applyAlignment="true" applyProtection="true">
      <alignment horizontal="center" vertical="bottom" textRotation="0" wrapText="false" indent="0" shrinkToFit="false"/>
      <protection locked="true" hidden="false"/>
    </xf>
    <xf numFmtId="164" fontId="97" fillId="0" borderId="0" xfId="0" applyFont="true" applyBorder="false" applyAlignment="false" applyProtection="false">
      <alignment horizontal="general" vertical="bottom" textRotation="0" wrapText="false" indent="0" shrinkToFit="false"/>
      <protection locked="true" hidden="false"/>
    </xf>
    <xf numFmtId="259" fontId="109" fillId="0" borderId="0" xfId="0" applyFont="true" applyBorder="false" applyAlignment="false" applyProtection="true">
      <alignment horizontal="general" vertical="bottom" textRotation="0" wrapText="false" indent="0" shrinkToFit="false"/>
      <protection locked="true" hidden="false"/>
    </xf>
    <xf numFmtId="258" fontId="57" fillId="0" borderId="9" xfId="15" applyFont="true" applyBorder="true" applyAlignment="true" applyProtection="true">
      <alignment horizontal="right" vertical="bottom" textRotation="0" wrapText="false" indent="0" shrinkToFit="false"/>
      <protection locked="true" hidden="false"/>
    </xf>
    <xf numFmtId="258" fontId="57" fillId="0" borderId="5" xfId="15" applyFont="true" applyBorder="true" applyAlignment="true" applyProtection="true">
      <alignment horizontal="right" vertical="bottom" textRotation="0" wrapText="false" indent="0" shrinkToFit="false"/>
      <protection locked="true" hidden="false"/>
    </xf>
    <xf numFmtId="164" fontId="28" fillId="0" borderId="10" xfId="0" applyFont="true" applyBorder="true" applyAlignment="false" applyProtection="false">
      <alignment horizontal="general" vertical="bottom" textRotation="0" wrapText="false" indent="0" shrinkToFit="false"/>
      <protection locked="true" hidden="false"/>
    </xf>
    <xf numFmtId="258" fontId="57" fillId="0" borderId="11" xfId="15" applyFont="true" applyBorder="true" applyAlignment="true" applyProtection="true">
      <alignment horizontal="right" vertical="bottom" textRotation="0" wrapText="false" indent="0" shrinkToFit="false"/>
      <protection locked="true" hidden="false"/>
    </xf>
    <xf numFmtId="170" fontId="57" fillId="0" borderId="0" xfId="0" applyFont="true" applyBorder="true" applyAlignment="false" applyProtection="false">
      <alignment horizontal="general" vertical="bottom" textRotation="0" wrapText="false" indent="0" shrinkToFit="false"/>
      <protection locked="true" hidden="false"/>
    </xf>
    <xf numFmtId="193" fontId="95" fillId="0" borderId="0" xfId="15" applyFont="true" applyBorder="true" applyAlignment="true" applyProtection="true">
      <alignment horizontal="right" vertical="bottom" textRotation="0" wrapText="false" indent="0" shrinkToFit="false"/>
      <protection locked="true" hidden="false"/>
    </xf>
    <xf numFmtId="193" fontId="57" fillId="0" borderId="0" xfId="15" applyFont="true" applyBorder="true" applyAlignment="true" applyProtection="true">
      <alignment horizontal="right" vertical="bottom" textRotation="0" wrapText="false" indent="0" shrinkToFit="false"/>
      <protection locked="true" hidden="false"/>
    </xf>
    <xf numFmtId="193" fontId="57" fillId="0" borderId="11" xfId="15" applyFont="true" applyBorder="true" applyAlignment="true" applyProtection="true">
      <alignment horizontal="right" vertical="bottom" textRotation="0" wrapText="false" indent="0" shrinkToFit="false"/>
      <protection locked="true" hidden="false"/>
    </xf>
    <xf numFmtId="243" fontId="57" fillId="0" borderId="0" xfId="0" applyFont="true" applyBorder="true" applyAlignment="false" applyProtection="false">
      <alignment horizontal="general" vertical="bottom" textRotation="0" wrapText="false" indent="0" shrinkToFit="false"/>
      <protection locked="true" hidden="false"/>
    </xf>
    <xf numFmtId="258" fontId="95" fillId="0" borderId="0" xfId="15" applyFont="true" applyBorder="true" applyAlignment="true" applyProtection="true">
      <alignment horizontal="general" vertical="bottom" textRotation="0" wrapText="false" indent="0" shrinkToFit="false"/>
      <protection locked="true" hidden="false"/>
    </xf>
    <xf numFmtId="258" fontId="57" fillId="0" borderId="0" xfId="15" applyFont="true" applyBorder="true" applyAlignment="true" applyProtection="true">
      <alignment horizontal="general" vertical="bottom" textRotation="0" wrapText="false" indent="0" shrinkToFit="false"/>
      <protection locked="true" hidden="false"/>
    </xf>
    <xf numFmtId="258" fontId="57" fillId="0" borderId="11" xfId="15" applyFont="true" applyBorder="true" applyAlignment="true" applyProtection="true">
      <alignment horizontal="general" vertical="bottom" textRotation="0" wrapText="false" indent="0" shrinkToFit="false"/>
      <protection locked="true" hidden="false"/>
    </xf>
    <xf numFmtId="164" fontId="57" fillId="0" borderId="10" xfId="0" applyFont="true" applyBorder="true" applyAlignment="false" applyProtection="false">
      <alignment horizontal="general" vertical="bottom" textRotation="0" wrapText="false" indent="0" shrinkToFit="false"/>
      <protection locked="true" hidden="false"/>
    </xf>
    <xf numFmtId="244" fontId="95" fillId="0" borderId="0" xfId="15" applyFont="true" applyBorder="true" applyAlignment="true" applyProtection="true">
      <alignment horizontal="general" vertical="bottom" textRotation="0" wrapText="false" indent="0" shrinkToFit="false"/>
      <protection locked="true" hidden="false"/>
    </xf>
    <xf numFmtId="244" fontId="57" fillId="0" borderId="0" xfId="15" applyFont="true" applyBorder="true" applyAlignment="true" applyProtection="true">
      <alignment horizontal="general" vertical="bottom" textRotation="0" wrapText="false" indent="0" shrinkToFit="false"/>
      <protection locked="true" hidden="false"/>
    </xf>
    <xf numFmtId="244" fontId="57" fillId="0" borderId="11" xfId="15" applyFont="true" applyBorder="true" applyAlignment="true" applyProtection="true">
      <alignment horizontal="general" vertical="bottom" textRotation="0" wrapText="false" indent="0" shrinkToFit="false"/>
      <protection locked="true" hidden="false"/>
    </xf>
    <xf numFmtId="164" fontId="75" fillId="0" borderId="10" xfId="0" applyFont="true" applyBorder="true" applyAlignment="false" applyProtection="false">
      <alignment horizontal="general" vertical="bottom" textRotation="0" wrapText="false" indent="0" shrinkToFit="false"/>
      <protection locked="true" hidden="false"/>
    </xf>
    <xf numFmtId="164" fontId="57" fillId="0" borderId="11" xfId="0" applyFont="true" applyBorder="true" applyAlignment="false" applyProtection="false">
      <alignment horizontal="general" vertical="bottom" textRotation="0" wrapText="false" indent="0" shrinkToFit="false"/>
      <protection locked="true" hidden="false"/>
    </xf>
    <xf numFmtId="235" fontId="57" fillId="0" borderId="10" xfId="1237" applyFont="true" applyBorder="true" applyAlignment="true" applyProtection="true">
      <alignment horizontal="left"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180" fontId="57" fillId="0" borderId="0" xfId="404" applyFont="true" applyBorder="true" applyAlignment="true" applyProtection="true">
      <alignment horizontal="general" vertical="bottom" textRotation="0" wrapText="false" indent="0" shrinkToFit="false"/>
      <protection locked="true" hidden="false"/>
    </xf>
    <xf numFmtId="180" fontId="57" fillId="0" borderId="11" xfId="404" applyFont="true" applyBorder="true" applyAlignment="true" applyProtection="true">
      <alignment horizontal="general" vertical="bottom" textRotation="0" wrapText="false" indent="0" shrinkToFit="false"/>
      <protection locked="true" hidden="false"/>
    </xf>
    <xf numFmtId="235" fontId="57" fillId="0" borderId="10" xfId="1237" applyFont="true" applyBorder="true" applyAlignment="true" applyProtection="true">
      <alignment horizontal="general" vertical="bottom" textRotation="0" wrapText="false" indent="0" shrinkToFit="false"/>
      <protection locked="true" hidden="false"/>
    </xf>
    <xf numFmtId="256" fontId="57" fillId="0" borderId="0" xfId="404" applyFont="true" applyBorder="true" applyAlignment="true" applyProtection="true">
      <alignment horizontal="general" vertical="bottom" textRotation="0" wrapText="false" indent="0" shrinkToFit="false"/>
      <protection locked="true" hidden="false"/>
    </xf>
    <xf numFmtId="256" fontId="57" fillId="0" borderId="11" xfId="404" applyFont="true" applyBorder="true" applyAlignment="true" applyProtection="true">
      <alignment horizontal="general" vertical="bottom" textRotation="0" wrapText="false" indent="0" shrinkToFit="false"/>
      <protection locked="true" hidden="false"/>
    </xf>
    <xf numFmtId="256" fontId="110" fillId="0" borderId="0" xfId="404" applyFont="true" applyBorder="true" applyAlignment="true" applyProtection="true">
      <alignment horizontal="general" vertical="bottom" textRotation="0" wrapText="false" indent="0" shrinkToFit="false"/>
      <protection locked="true" hidden="false"/>
    </xf>
    <xf numFmtId="256" fontId="110" fillId="0" borderId="11" xfId="404" applyFont="true" applyBorder="true" applyAlignment="true" applyProtection="true">
      <alignment horizontal="general" vertical="bottom" textRotation="0" wrapText="false" indent="0" shrinkToFit="false"/>
      <protection locked="true" hidden="false"/>
    </xf>
    <xf numFmtId="235" fontId="57" fillId="0" borderId="6" xfId="1237" applyFont="true" applyBorder="true" applyAlignment="true" applyProtection="true">
      <alignment horizontal="left" vertical="bottom" textRotation="0" wrapText="false" indent="0" shrinkToFit="false"/>
      <protection locked="true" hidden="false"/>
    </xf>
    <xf numFmtId="235" fontId="57" fillId="0" borderId="3" xfId="1237" applyFont="true" applyBorder="true" applyAlignment="true" applyProtection="true">
      <alignment horizontal="general" vertical="bottom" textRotation="0" wrapText="false" indent="0" shrinkToFit="false"/>
      <protection locked="true" hidden="false"/>
    </xf>
    <xf numFmtId="256" fontId="57" fillId="0" borderId="3" xfId="404" applyFont="true" applyBorder="true" applyAlignment="true" applyProtection="true">
      <alignment horizontal="general" vertical="bottom" textRotation="0" wrapText="false" indent="0" shrinkToFit="false"/>
      <protection locked="true" hidden="false"/>
    </xf>
    <xf numFmtId="256" fontId="57" fillId="0" borderId="7" xfId="404"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left" vertical="bottom" textRotation="0" wrapText="false" indent="0" shrinkToFit="false"/>
      <protection locked="true" hidden="false"/>
    </xf>
    <xf numFmtId="179" fontId="57" fillId="0" borderId="0" xfId="404" applyFont="true" applyBorder="true" applyAlignment="true" applyProtection="true">
      <alignment horizontal="general" vertical="bottom" textRotation="0" wrapText="false" indent="0" shrinkToFit="false"/>
      <protection locked="true" hidden="false"/>
    </xf>
    <xf numFmtId="164" fontId="75" fillId="0" borderId="4" xfId="0" applyFont="true" applyBorder="true" applyAlignment="false" applyProtection="false">
      <alignment horizontal="general" vertical="bottom" textRotation="0" wrapText="false" indent="0" shrinkToFit="false"/>
      <protection locked="true" hidden="false"/>
    </xf>
    <xf numFmtId="164" fontId="61" fillId="0" borderId="9" xfId="0" applyFont="true" applyBorder="true" applyAlignment="false" applyProtection="false">
      <alignment horizontal="general" vertical="bottom" textRotation="0" wrapText="false" indent="0" shrinkToFit="false"/>
      <protection locked="true" hidden="false"/>
    </xf>
    <xf numFmtId="164" fontId="61" fillId="0" borderId="5" xfId="0" applyFont="true" applyBorder="true" applyAlignment="false" applyProtection="false">
      <alignment horizontal="general" vertical="bottom" textRotation="0" wrapText="false" indent="0" shrinkToFit="false"/>
      <protection locked="true" hidden="false"/>
    </xf>
    <xf numFmtId="164" fontId="61" fillId="0" borderId="10" xfId="0" applyFont="true" applyBorder="true" applyAlignment="false" applyProtection="false">
      <alignment horizontal="general" vertical="bottom" textRotation="0" wrapText="false" indent="0" shrinkToFit="false"/>
      <protection locked="true" hidden="false"/>
    </xf>
    <xf numFmtId="164" fontId="61" fillId="0" borderId="0" xfId="0" applyFont="true" applyBorder="true" applyAlignment="false" applyProtection="false">
      <alignment horizontal="general" vertical="bottom" textRotation="0" wrapText="false" indent="0" shrinkToFit="false"/>
      <protection locked="true" hidden="false"/>
    </xf>
    <xf numFmtId="164" fontId="61" fillId="0" borderId="11" xfId="0" applyFont="true" applyBorder="true" applyAlignment="false" applyProtection="false">
      <alignment horizontal="general" vertical="bottom" textRotation="0" wrapText="false" indent="0" shrinkToFit="false"/>
      <protection locked="true" hidden="false"/>
    </xf>
    <xf numFmtId="185" fontId="57" fillId="0" borderId="24" xfId="0" applyFont="true" applyBorder="true" applyAlignment="false" applyProtection="false">
      <alignment horizontal="general" vertical="bottom" textRotation="0" wrapText="false" indent="0" shrinkToFit="false"/>
      <protection locked="true" hidden="false"/>
    </xf>
    <xf numFmtId="247" fontId="57" fillId="0" borderId="0" xfId="17" applyFont="true" applyBorder="true" applyAlignment="true" applyProtection="true">
      <alignment horizontal="general" vertical="bottom" textRotation="0" wrapText="false" indent="0" shrinkToFit="false"/>
      <protection locked="true" hidden="false"/>
    </xf>
    <xf numFmtId="247" fontId="57" fillId="0" borderId="11" xfId="17" applyFont="true" applyBorder="true" applyAlignment="true" applyProtection="true">
      <alignment horizontal="general" vertical="bottom" textRotation="0" wrapText="false" indent="0" shrinkToFit="false"/>
      <protection locked="true" hidden="false"/>
    </xf>
    <xf numFmtId="185" fontId="57" fillId="0" borderId="25" xfId="0" applyFont="true" applyBorder="true" applyAlignment="false" applyProtection="false">
      <alignment horizontal="general" vertical="bottom" textRotation="0" wrapText="false" indent="0" shrinkToFit="false"/>
      <protection locked="true" hidden="false"/>
    </xf>
    <xf numFmtId="185" fontId="57" fillId="0" borderId="11" xfId="915" applyFont="true" applyBorder="true" applyAlignment="true" applyProtection="true">
      <alignment horizontal="general" vertical="bottom" textRotation="0" wrapText="false" indent="0" shrinkToFit="false"/>
      <protection locked="true" hidden="false"/>
    </xf>
    <xf numFmtId="185" fontId="57" fillId="0" borderId="26" xfId="0" applyFont="true" applyBorder="true" applyAlignment="false" applyProtection="false">
      <alignment horizontal="general" vertical="bottom" textRotation="0" wrapText="false" indent="0" shrinkToFit="false"/>
      <protection locked="true" hidden="false"/>
    </xf>
    <xf numFmtId="247" fontId="110" fillId="0" borderId="0" xfId="17" applyFont="true" applyBorder="true" applyAlignment="true" applyProtection="true">
      <alignment horizontal="general" vertical="bottom" textRotation="0" wrapText="false" indent="0" shrinkToFit="false"/>
      <protection locked="true" hidden="false"/>
    </xf>
    <xf numFmtId="185" fontId="110" fillId="0" borderId="11" xfId="915" applyFont="true" applyBorder="true" applyAlignment="true" applyProtection="true">
      <alignment horizontal="general" vertical="bottom" textRotation="0" wrapText="false" indent="0" shrinkToFit="false"/>
      <protection locked="true" hidden="false"/>
    </xf>
    <xf numFmtId="164" fontId="28" fillId="0" borderId="0" xfId="0" applyFont="true" applyBorder="true" applyAlignment="false" applyProtection="false">
      <alignment horizontal="general" vertical="bottom" textRotation="0" wrapText="false" indent="0" shrinkToFit="false"/>
      <protection locked="true" hidden="false"/>
    </xf>
    <xf numFmtId="164" fontId="109" fillId="0" borderId="10" xfId="0" applyFont="true" applyBorder="true" applyAlignment="false" applyProtection="false">
      <alignment horizontal="general" vertical="bottom" textRotation="0" wrapText="false" indent="0" shrinkToFit="false"/>
      <protection locked="true" hidden="false"/>
    </xf>
    <xf numFmtId="185" fontId="57" fillId="0" borderId="0" xfId="915" applyFont="true" applyBorder="true" applyAlignment="true" applyProtection="true">
      <alignment horizontal="general" vertical="bottom" textRotation="0" wrapText="false" indent="0" shrinkToFit="false"/>
      <protection locked="true" hidden="false"/>
    </xf>
    <xf numFmtId="164" fontId="28" fillId="0" borderId="11" xfId="0" applyFont="true" applyBorder="true" applyAlignment="false" applyProtection="false">
      <alignment horizontal="general" vertical="bottom" textRotation="0" wrapText="false" indent="0" shrinkToFit="false"/>
      <protection locked="true" hidden="false"/>
    </xf>
    <xf numFmtId="193" fontId="57" fillId="0" borderId="24" xfId="15" applyFont="true" applyBorder="true" applyAlignment="true" applyProtection="true">
      <alignment horizontal="general" vertical="bottom" textRotation="0" wrapText="false" indent="0" shrinkToFit="false"/>
      <protection locked="true" hidden="false"/>
    </xf>
    <xf numFmtId="217" fontId="57" fillId="0" borderId="0" xfId="17" applyFont="true" applyBorder="true" applyAlignment="true" applyProtection="true">
      <alignment horizontal="general" vertical="bottom" textRotation="0" wrapText="false" indent="0" shrinkToFit="false"/>
      <protection locked="true" hidden="false"/>
    </xf>
    <xf numFmtId="217" fontId="57" fillId="0" borderId="11" xfId="17" applyFont="true" applyBorder="true" applyAlignment="true" applyProtection="true">
      <alignment horizontal="general" vertical="bottom" textRotation="0" wrapText="false" indent="0" shrinkToFit="false"/>
      <protection locked="true" hidden="false"/>
    </xf>
    <xf numFmtId="193" fontId="57" fillId="0" borderId="25" xfId="15" applyFont="true" applyBorder="true" applyAlignment="true" applyProtection="true">
      <alignment horizontal="general" vertical="bottom" textRotation="0" wrapText="false" indent="0" shrinkToFit="false"/>
      <protection locked="true" hidden="false"/>
    </xf>
    <xf numFmtId="193" fontId="110" fillId="0" borderId="25" xfId="15" applyFont="true" applyBorder="true" applyAlignment="true" applyProtection="true">
      <alignment horizontal="general" vertical="bottom" textRotation="0" wrapText="false" indent="0" shrinkToFit="false"/>
      <protection locked="true" hidden="false"/>
    </xf>
    <xf numFmtId="193" fontId="110" fillId="0" borderId="0" xfId="15" applyFont="true" applyBorder="true" applyAlignment="true" applyProtection="true">
      <alignment horizontal="general" vertical="bottom" textRotation="0" wrapText="false" indent="0" shrinkToFit="false"/>
      <protection locked="true" hidden="false"/>
    </xf>
    <xf numFmtId="193" fontId="110" fillId="0" borderId="11" xfId="15" applyFont="true" applyBorder="true" applyAlignment="true" applyProtection="true">
      <alignment horizontal="general" vertical="bottom" textRotation="0" wrapText="false" indent="0" shrinkToFit="false"/>
      <protection locked="true" hidden="false"/>
    </xf>
    <xf numFmtId="164" fontId="57" fillId="0" borderId="25" xfId="0" applyFont="true" applyBorder="true" applyAlignment="false" applyProtection="false">
      <alignment horizontal="general" vertical="bottom" textRotation="0" wrapText="false" indent="0" shrinkToFit="false"/>
      <protection locked="true" hidden="false"/>
    </xf>
    <xf numFmtId="193" fontId="57" fillId="0" borderId="0" xfId="15" applyFont="true" applyBorder="true" applyAlignment="true" applyProtection="true">
      <alignment horizontal="general" vertical="bottom" textRotation="0" wrapText="false" indent="0" shrinkToFit="false"/>
      <protection locked="true" hidden="false"/>
    </xf>
    <xf numFmtId="193" fontId="57" fillId="0" borderId="11" xfId="15" applyFont="true" applyBorder="true" applyAlignment="true" applyProtection="true">
      <alignment horizontal="general" vertical="bottom" textRotation="0" wrapText="false" indent="0" shrinkToFit="false"/>
      <protection locked="true" hidden="false"/>
    </xf>
    <xf numFmtId="179" fontId="57" fillId="0" borderId="0" xfId="0" applyFont="true" applyBorder="true" applyAlignment="false" applyProtection="false">
      <alignment horizontal="general" vertical="bottom" textRotation="0" wrapText="false" indent="0" shrinkToFit="false"/>
      <protection locked="true" hidden="false"/>
    </xf>
    <xf numFmtId="179" fontId="57" fillId="0" borderId="11" xfId="0" applyFont="true" applyBorder="true" applyAlignment="false" applyProtection="false">
      <alignment horizontal="general" vertical="bottom" textRotation="0" wrapText="false" indent="0" shrinkToFit="false"/>
      <protection locked="true" hidden="false"/>
    </xf>
    <xf numFmtId="193" fontId="57" fillId="0" borderId="26" xfId="15" applyFont="true" applyBorder="true" applyAlignment="true" applyProtection="true">
      <alignment horizontal="general" vertical="bottom" textRotation="0" wrapText="false" indent="0" shrinkToFit="false"/>
      <protection locked="true" hidden="false"/>
    </xf>
    <xf numFmtId="164" fontId="57" fillId="0" borderId="6" xfId="0" applyFont="true" applyBorder="true" applyAlignment="false" applyProtection="false">
      <alignment horizontal="general" vertical="bottom" textRotation="0" wrapText="false" indent="0" shrinkToFit="false"/>
      <protection locked="true" hidden="false"/>
    </xf>
    <xf numFmtId="193" fontId="57" fillId="0" borderId="26" xfId="0" applyFont="true" applyBorder="true" applyAlignment="false" applyProtection="false">
      <alignment horizontal="general" vertical="bottom" textRotation="0" wrapText="false" indent="0" shrinkToFit="false"/>
      <protection locked="true" hidden="false"/>
    </xf>
    <xf numFmtId="217" fontId="57" fillId="0" borderId="3" xfId="17" applyFont="true" applyBorder="true" applyAlignment="true" applyProtection="true">
      <alignment horizontal="general" vertical="bottom" textRotation="0" wrapText="false" indent="0" shrinkToFit="false"/>
      <protection locked="true" hidden="false"/>
    </xf>
    <xf numFmtId="217" fontId="57" fillId="0" borderId="3" xfId="17" applyFont="true" applyBorder="true" applyAlignment="true" applyProtection="true">
      <alignment horizontal="general" vertical="bottom" textRotation="0" wrapText="false" indent="0" shrinkToFit="false"/>
      <protection locked="true" hidden="false"/>
    </xf>
    <xf numFmtId="217" fontId="57" fillId="0" borderId="7" xfId="17" applyFont="true" applyBorder="true" applyAlignment="true" applyProtection="true">
      <alignment horizontal="general" vertical="bottom" textRotation="0" wrapText="false" indent="0" shrinkToFit="false"/>
      <protection locked="true" hidden="false"/>
    </xf>
    <xf numFmtId="217" fontId="57" fillId="0" borderId="0" xfId="17" applyFont="true" applyBorder="true" applyAlignment="true" applyProtection="true">
      <alignment horizontal="general" vertical="bottom" textRotation="0" wrapText="false" indent="0" shrinkToFit="false"/>
      <protection locked="true" hidden="false"/>
    </xf>
    <xf numFmtId="164" fontId="28" fillId="0" borderId="9" xfId="0" applyFont="true" applyBorder="true" applyAlignment="false" applyProtection="false">
      <alignment horizontal="general" vertical="bottom" textRotation="0" wrapText="false" indent="0" shrinkToFit="false"/>
      <protection locked="true" hidden="false"/>
    </xf>
    <xf numFmtId="164" fontId="28" fillId="0" borderId="5" xfId="0" applyFont="true" applyBorder="true" applyAlignment="false" applyProtection="false">
      <alignment horizontal="general" vertical="bottom" textRotation="0" wrapText="false" indent="0" shrinkToFit="false"/>
      <protection locked="true" hidden="false"/>
    </xf>
    <xf numFmtId="258" fontId="57" fillId="0" borderId="24" xfId="0" applyFont="true" applyBorder="true" applyAlignment="false" applyProtection="false">
      <alignment horizontal="general" vertical="bottom" textRotation="0" wrapText="false" indent="0" shrinkToFit="false"/>
      <protection locked="true" hidden="false"/>
    </xf>
    <xf numFmtId="258" fontId="57" fillId="0" borderId="25" xfId="0" applyFont="true" applyBorder="true" applyAlignment="false" applyProtection="false">
      <alignment horizontal="general" vertical="bottom" textRotation="0" wrapText="false" indent="0" shrinkToFit="false"/>
      <protection locked="true" hidden="false"/>
    </xf>
    <xf numFmtId="258" fontId="57" fillId="0" borderId="26" xfId="0" applyFont="true" applyBorder="true" applyAlignment="false" applyProtection="false">
      <alignment horizontal="general" vertical="bottom" textRotation="0" wrapText="false" indent="0" shrinkToFit="false"/>
      <protection locked="true" hidden="false"/>
    </xf>
    <xf numFmtId="164" fontId="95" fillId="0" borderId="10" xfId="0" applyFont="true" applyBorder="true" applyAlignment="false" applyProtection="false">
      <alignment horizontal="general" vertical="bottom" textRotation="0" wrapText="false" indent="0" shrinkToFit="false"/>
      <protection locked="true" hidden="false"/>
    </xf>
    <xf numFmtId="258" fontId="111" fillId="0" borderId="0" xfId="15" applyFont="true" applyBorder="true" applyAlignment="true" applyProtection="true">
      <alignment horizontal="general" vertical="bottom" textRotation="0" wrapText="false" indent="0" shrinkToFit="false"/>
      <protection locked="true" hidden="false"/>
    </xf>
    <xf numFmtId="179" fontId="57" fillId="0" borderId="11" xfId="404" applyFont="true" applyBorder="true" applyAlignment="true" applyProtection="true">
      <alignment horizontal="general" vertical="bottom" textRotation="0" wrapText="false" indent="0" shrinkToFit="false"/>
      <protection locked="true" hidden="false"/>
    </xf>
    <xf numFmtId="243" fontId="57" fillId="0" borderId="0" xfId="19" applyFont="true" applyBorder="true" applyAlignment="true" applyProtection="true">
      <alignment horizontal="general" vertical="bottom" textRotation="0" wrapText="false" indent="0" shrinkToFit="false"/>
      <protection locked="true" hidden="false"/>
    </xf>
    <xf numFmtId="235" fontId="95" fillId="0" borderId="10" xfId="1237" applyFont="true" applyBorder="true" applyAlignment="true" applyProtection="true">
      <alignment horizontal="left" vertical="bottom" textRotation="0" wrapText="false" indent="0" shrinkToFit="false"/>
      <protection locked="true" hidden="false"/>
    </xf>
    <xf numFmtId="179" fontId="95" fillId="0" borderId="0" xfId="404" applyFont="true" applyBorder="true" applyAlignment="true" applyProtection="true">
      <alignment horizontal="general" vertical="bottom" textRotation="0" wrapText="false" indent="0" shrinkToFit="false"/>
      <protection locked="true" hidden="false"/>
    </xf>
    <xf numFmtId="235" fontId="95" fillId="0" borderId="6" xfId="1237" applyFont="true" applyBorder="true" applyAlignment="true" applyProtection="true">
      <alignment horizontal="left" vertical="bottom" textRotation="0" wrapText="false" indent="0" shrinkToFit="false"/>
      <protection locked="true" hidden="false"/>
    </xf>
    <xf numFmtId="164" fontId="57" fillId="0" borderId="3" xfId="0" applyFont="true" applyBorder="true" applyAlignment="false" applyProtection="false">
      <alignment horizontal="general" vertical="bottom" textRotation="0" wrapText="false" indent="0" shrinkToFit="false"/>
      <protection locked="true" hidden="false"/>
    </xf>
    <xf numFmtId="179" fontId="95" fillId="0" borderId="3" xfId="404" applyFont="true" applyBorder="true" applyAlignment="true" applyProtection="true">
      <alignment horizontal="general" vertical="bottom" textRotation="0" wrapText="false" indent="0" shrinkToFit="false"/>
      <protection locked="true" hidden="false"/>
    </xf>
    <xf numFmtId="164" fontId="28" fillId="0" borderId="3" xfId="0" applyFont="true" applyBorder="true" applyAlignment="false" applyProtection="false">
      <alignment horizontal="general" vertical="bottom" textRotation="0" wrapText="false" indent="0" shrinkToFit="false"/>
      <protection locked="true" hidden="false"/>
    </xf>
    <xf numFmtId="164" fontId="28" fillId="0" borderId="7"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235" fontId="91" fillId="0" borderId="0" xfId="1237" applyFont="true" applyBorder="true" applyAlignment="true" applyProtection="true">
      <alignment horizontal="left"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right" vertical="bottom" textRotation="0" wrapText="false" indent="0" shrinkToFit="false"/>
      <protection locked="true" hidden="false"/>
    </xf>
    <xf numFmtId="260" fontId="57" fillId="0" borderId="0" xfId="1237" applyFont="true" applyBorder="true" applyAlignment="true" applyProtection="true">
      <alignment horizontal="general" vertical="bottom" textRotation="0" wrapText="false" indent="0" shrinkToFit="false"/>
      <protection locked="true" hidden="false"/>
    </xf>
    <xf numFmtId="235" fontId="61" fillId="0" borderId="4" xfId="1237" applyFont="true" applyBorder="true" applyAlignment="true" applyProtection="true">
      <alignment horizontal="general" vertical="bottom" textRotation="0" wrapText="false" indent="0" shrinkToFit="false"/>
      <protection locked="true" hidden="false"/>
    </xf>
    <xf numFmtId="235" fontId="57" fillId="0" borderId="9" xfId="1237" applyFont="true" applyBorder="true" applyAlignment="true" applyProtection="true">
      <alignment horizontal="general" vertical="bottom" textRotation="0" wrapText="false" indent="0" shrinkToFit="false"/>
      <protection locked="true" hidden="false"/>
    </xf>
    <xf numFmtId="249" fontId="95" fillId="8" borderId="0" xfId="19" applyFont="true" applyBorder="true" applyAlignment="true" applyProtection="true">
      <alignment horizontal="general" vertical="bottom" textRotation="0" wrapText="false" indent="0" shrinkToFit="false"/>
      <protection locked="true" hidden="false"/>
    </xf>
    <xf numFmtId="249" fontId="95" fillId="8" borderId="11" xfId="19" applyFont="true" applyBorder="true" applyAlignment="true" applyProtection="true">
      <alignment horizontal="general" vertical="bottom" textRotation="0" wrapText="false" indent="0" shrinkToFit="false"/>
      <protection locked="true" hidden="false"/>
    </xf>
    <xf numFmtId="235" fontId="57" fillId="0" borderId="11" xfId="1237" applyFont="true" applyBorder="true" applyAlignment="true" applyProtection="true">
      <alignment horizontal="general" vertical="bottom" textRotation="0" wrapText="false" indent="0" shrinkToFit="false"/>
      <protection locked="true" hidden="false"/>
    </xf>
    <xf numFmtId="185" fontId="110" fillId="0" borderId="0" xfId="915" applyFont="true" applyBorder="true" applyAlignment="true" applyProtection="true">
      <alignment horizontal="general" vertical="bottom" textRotation="0" wrapText="false" indent="0" shrinkToFit="false"/>
      <protection locked="true" hidden="false"/>
    </xf>
    <xf numFmtId="235" fontId="57" fillId="0" borderId="3" xfId="1237" applyFont="true" applyBorder="true" applyAlignment="true" applyProtection="true">
      <alignment horizontal="general" vertical="bottom" textRotation="0" wrapText="false" indent="0" shrinkToFit="false"/>
      <protection locked="true" hidden="false"/>
    </xf>
    <xf numFmtId="185" fontId="57" fillId="0" borderId="3" xfId="915" applyFont="true" applyBorder="true" applyAlignment="true" applyProtection="true">
      <alignment horizontal="general" vertical="bottom" textRotation="0" wrapText="false" indent="0" shrinkToFit="false"/>
      <protection locked="true" hidden="false"/>
    </xf>
    <xf numFmtId="185" fontId="57" fillId="0" borderId="7" xfId="915" applyFont="true" applyBorder="true" applyAlignment="true" applyProtection="true">
      <alignment horizontal="general" vertical="bottom" textRotation="0" wrapText="false" indent="0" shrinkToFit="false"/>
      <protection locked="true" hidden="false"/>
    </xf>
    <xf numFmtId="249" fontId="112" fillId="8" borderId="0" xfId="19" applyFont="true" applyBorder="true" applyAlignment="true" applyProtection="true">
      <alignment horizontal="general" vertical="bottom" textRotation="0" wrapText="false" indent="0" shrinkToFit="false"/>
      <protection locked="true" hidden="false"/>
    </xf>
    <xf numFmtId="249" fontId="112" fillId="8" borderId="11" xfId="19" applyFont="true" applyBorder="true" applyAlignment="true" applyProtection="true">
      <alignment horizontal="general" vertical="bottom" textRotation="0" wrapText="false" indent="0" shrinkToFit="false"/>
      <protection locked="true" hidden="false"/>
    </xf>
    <xf numFmtId="247" fontId="57" fillId="0" borderId="9" xfId="17" applyFont="true" applyBorder="true" applyAlignment="true" applyProtection="true">
      <alignment horizontal="general" vertical="bottom" textRotation="0" wrapText="false" indent="0" shrinkToFit="false"/>
      <protection locked="true" hidden="false"/>
    </xf>
    <xf numFmtId="247" fontId="57" fillId="0" borderId="5" xfId="17" applyFont="true" applyBorder="true" applyAlignment="true" applyProtection="true">
      <alignment horizontal="general" vertical="bottom" textRotation="0" wrapText="false" indent="0" shrinkToFit="false"/>
      <protection locked="true" hidden="false"/>
    </xf>
    <xf numFmtId="169" fontId="95" fillId="0" borderId="0" xfId="0" applyFont="true" applyBorder="false" applyAlignment="false" applyProtection="false">
      <alignment horizontal="general" vertical="bottom" textRotation="0" wrapText="false" indent="0" shrinkToFit="false"/>
      <protection locked="true" hidden="false"/>
    </xf>
    <xf numFmtId="249" fontId="57" fillId="0" borderId="0" xfId="19" applyFont="true" applyBorder="true" applyAlignment="true" applyProtection="true">
      <alignment horizontal="general" vertical="bottom" textRotation="0" wrapText="false" indent="0" shrinkToFit="false"/>
      <protection locked="true" hidden="false"/>
    </xf>
    <xf numFmtId="249" fontId="57" fillId="0" borderId="11" xfId="19" applyFont="true" applyBorder="true" applyAlignment="true" applyProtection="true">
      <alignment horizontal="general" vertical="bottom" textRotation="0" wrapText="false" indent="0" shrinkToFit="false"/>
      <protection locked="true" hidden="false"/>
    </xf>
    <xf numFmtId="249" fontId="110" fillId="0" borderId="0" xfId="19" applyFont="true" applyBorder="true" applyAlignment="true" applyProtection="true">
      <alignment horizontal="general" vertical="bottom" textRotation="0" wrapText="false" indent="0" shrinkToFit="false"/>
      <protection locked="true" hidden="false"/>
    </xf>
    <xf numFmtId="249" fontId="110" fillId="0" borderId="11" xfId="19" applyFont="true" applyBorder="true" applyAlignment="true" applyProtection="true">
      <alignment horizontal="general" vertical="bottom" textRotation="0" wrapText="false" indent="0" shrinkToFit="false"/>
      <protection locked="true" hidden="false"/>
    </xf>
    <xf numFmtId="235" fontId="110" fillId="0" borderId="0" xfId="1237" applyFont="true" applyBorder="true" applyAlignment="true" applyProtection="true">
      <alignment horizontal="general" vertical="bottom" textRotation="0" wrapText="false" indent="0" shrinkToFit="false"/>
      <protection locked="true" hidden="false"/>
    </xf>
    <xf numFmtId="235" fontId="110" fillId="0" borderId="11" xfId="1237" applyFont="true" applyBorder="true" applyAlignment="true" applyProtection="true">
      <alignment horizontal="general" vertical="bottom" textRotation="0" wrapText="false" indent="0" shrinkToFit="false"/>
      <protection locked="true" hidden="false"/>
    </xf>
    <xf numFmtId="248" fontId="110" fillId="0" borderId="0" xfId="15" applyFont="true" applyBorder="true" applyAlignment="true" applyProtection="true">
      <alignment horizontal="general" vertical="bottom" textRotation="0" wrapText="false" indent="0" shrinkToFit="false"/>
      <protection locked="true" hidden="false"/>
    </xf>
    <xf numFmtId="248" fontId="110" fillId="0" borderId="11" xfId="15" applyFont="true" applyBorder="true" applyAlignment="true" applyProtection="true">
      <alignment horizontal="general" vertical="bottom" textRotation="0" wrapText="false" indent="0" shrinkToFit="false"/>
      <protection locked="true" hidden="false"/>
    </xf>
    <xf numFmtId="248" fontId="28" fillId="0" borderId="0" xfId="15" applyFont="true" applyBorder="true" applyAlignment="true" applyProtection="true">
      <alignment horizontal="general" vertical="bottom" textRotation="0" wrapText="false" indent="0" shrinkToFit="false"/>
      <protection locked="true" hidden="false"/>
    </xf>
    <xf numFmtId="164" fontId="28" fillId="0" borderId="6" xfId="0" applyFont="true" applyBorder="true" applyAlignment="false" applyProtection="false">
      <alignment horizontal="general" vertical="bottom" textRotation="0" wrapText="false" indent="0" shrinkToFit="false"/>
      <protection locked="true" hidden="false"/>
    </xf>
    <xf numFmtId="248" fontId="28" fillId="0" borderId="3" xfId="15" applyFont="true" applyBorder="true" applyAlignment="true" applyProtection="true">
      <alignment horizontal="general" vertical="bottom" textRotation="0" wrapText="false" indent="0" shrinkToFit="false"/>
      <protection locked="true" hidden="false"/>
    </xf>
    <xf numFmtId="248" fontId="28" fillId="0" borderId="7" xfId="15" applyFont="true" applyBorder="true" applyAlignment="true" applyProtection="true">
      <alignment horizontal="general" vertical="bottom" textRotation="0" wrapText="false" indent="0" shrinkToFit="false"/>
      <protection locked="true" hidden="false"/>
    </xf>
    <xf numFmtId="164" fontId="57" fillId="0" borderId="5"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80" fontId="95" fillId="14" borderId="0" xfId="915" applyFont="true" applyBorder="true" applyAlignment="true" applyProtection="true">
      <alignment horizontal="general" vertical="bottom" textRotation="0" wrapText="false" indent="0" shrinkToFit="false"/>
      <protection locked="true" hidden="false"/>
    </xf>
    <xf numFmtId="180" fontId="95" fillId="14" borderId="11" xfId="915" applyFont="true" applyBorder="true" applyAlignment="true" applyProtection="true">
      <alignment horizontal="general" vertical="bottom" textRotation="0" wrapText="false" indent="0" shrinkToFit="false"/>
      <protection locked="true" hidden="false"/>
    </xf>
    <xf numFmtId="180" fontId="95" fillId="0" borderId="0" xfId="915" applyFont="true" applyBorder="true" applyAlignment="true" applyProtection="true">
      <alignment horizontal="general" vertical="bottom" textRotation="0" wrapText="false" indent="0" shrinkToFit="false"/>
      <protection locked="true" hidden="false"/>
    </xf>
    <xf numFmtId="180" fontId="95" fillId="0" borderId="11" xfId="915" applyFont="true" applyBorder="true" applyAlignment="true" applyProtection="true">
      <alignment horizontal="general" vertical="bottom" textRotation="0" wrapText="false" indent="0" shrinkToFit="false"/>
      <protection locked="true" hidden="false"/>
    </xf>
    <xf numFmtId="243" fontId="57" fillId="0" borderId="11" xfId="19" applyFont="true" applyBorder="true" applyAlignment="true" applyProtection="true">
      <alignment horizontal="general" vertical="bottom" textRotation="0" wrapText="false" indent="0" shrinkToFit="false"/>
      <protection locked="true" hidden="false"/>
    </xf>
    <xf numFmtId="180" fontId="57" fillId="0" borderId="0" xfId="915" applyFont="true" applyBorder="true" applyAlignment="true" applyProtection="true">
      <alignment horizontal="general" vertical="bottom" textRotation="0" wrapText="false" indent="0" shrinkToFit="false"/>
      <protection locked="true" hidden="false"/>
    </xf>
    <xf numFmtId="250" fontId="57" fillId="0" borderId="0" xfId="915" applyFont="true" applyBorder="true" applyAlignment="true" applyProtection="true">
      <alignment horizontal="general" vertical="bottom" textRotation="0" wrapText="false" indent="0" shrinkToFit="false"/>
      <protection locked="true" hidden="false"/>
    </xf>
    <xf numFmtId="180" fontId="57" fillId="0" borderId="11" xfId="915" applyFont="true" applyBorder="true" applyAlignment="true" applyProtection="true">
      <alignment horizontal="general" vertical="bottom" textRotation="0" wrapText="false" indent="0" shrinkToFit="false"/>
      <protection locked="true" hidden="false"/>
    </xf>
    <xf numFmtId="180" fontId="95" fillId="0" borderId="3" xfId="915" applyFont="true" applyBorder="true" applyAlignment="true" applyProtection="true">
      <alignment horizontal="general" vertical="bottom" textRotation="0" wrapText="false" indent="0" shrinkToFit="false"/>
      <protection locked="true" hidden="false"/>
    </xf>
    <xf numFmtId="180" fontId="95" fillId="0" borderId="7" xfId="915" applyFont="true" applyBorder="true" applyAlignment="true" applyProtection="true">
      <alignment horizontal="general" vertical="bottom" textRotation="0" wrapText="false" indent="0" shrinkToFit="false"/>
      <protection locked="true" hidden="false"/>
    </xf>
    <xf numFmtId="215" fontId="28" fillId="0" borderId="0" xfId="0" applyFont="true" applyBorder="false" applyAlignment="false" applyProtection="false">
      <alignment horizontal="general" vertical="bottom" textRotation="0" wrapText="false" indent="0" shrinkToFit="false"/>
      <protection locked="true" hidden="false"/>
    </xf>
    <xf numFmtId="235" fontId="61" fillId="0" borderId="9" xfId="1237" applyFont="true" applyBorder="true" applyAlignment="true" applyProtection="true">
      <alignment horizontal="general" vertical="bottom" textRotation="0" wrapText="false" indent="0" shrinkToFit="false"/>
      <protection locked="true" hidden="false"/>
    </xf>
    <xf numFmtId="242" fontId="109" fillId="2" borderId="9" xfId="0" applyFont="true" applyBorder="true" applyAlignment="true" applyProtection="true">
      <alignment horizontal="center" vertical="bottom" textRotation="0" wrapText="false" indent="0" shrinkToFit="false"/>
      <protection locked="true" hidden="false"/>
    </xf>
    <xf numFmtId="242" fontId="109" fillId="2" borderId="5" xfId="0" applyFont="true" applyBorder="true" applyAlignment="true" applyProtection="true">
      <alignment horizontal="center" vertical="bottom" textRotation="0" wrapText="false" indent="0" shrinkToFit="false"/>
      <protection locked="true" hidden="false"/>
    </xf>
    <xf numFmtId="235" fontId="28" fillId="0" borderId="0" xfId="1237" applyFont="true" applyBorder="true" applyAlignment="true" applyProtection="true">
      <alignment horizontal="left" vertical="bottom" textRotation="0" wrapText="false" indent="0" shrinkToFit="false"/>
      <protection locked="true" hidden="false"/>
    </xf>
    <xf numFmtId="235" fontId="28" fillId="0" borderId="0" xfId="1237" applyFont="true" applyBorder="true" applyAlignment="true" applyProtection="true">
      <alignment horizontal="general" vertical="bottom" textRotation="0" wrapText="false" indent="0" shrinkToFit="false"/>
      <protection locked="true" hidden="false"/>
    </xf>
    <xf numFmtId="247" fontId="28" fillId="0" borderId="0" xfId="17" applyFont="true" applyBorder="true" applyAlignment="true" applyProtection="true">
      <alignment horizontal="general" vertical="bottom" textRotation="0" wrapText="false" indent="0" shrinkToFit="false"/>
      <protection locked="true" hidden="false"/>
    </xf>
    <xf numFmtId="247" fontId="28" fillId="0" borderId="11" xfId="17" applyFont="true" applyBorder="true" applyAlignment="true" applyProtection="true">
      <alignment horizontal="general" vertical="bottom" textRotation="0" wrapText="false" indent="0" shrinkToFit="false"/>
      <protection locked="true" hidden="false"/>
    </xf>
    <xf numFmtId="206" fontId="57" fillId="0" borderId="0" xfId="1237" applyFont="true" applyBorder="true" applyAlignment="true" applyProtection="true">
      <alignment horizontal="general" vertical="bottom" textRotation="0" wrapText="false" indent="0" shrinkToFit="false"/>
      <protection locked="true" hidden="false"/>
    </xf>
    <xf numFmtId="235" fontId="57" fillId="0" borderId="11" xfId="1237" applyFont="true" applyBorder="true" applyAlignment="true" applyProtection="true">
      <alignment horizontal="general" vertical="bottom" textRotation="0" wrapText="false" indent="0" shrinkToFit="false"/>
      <protection locked="true" hidden="false"/>
    </xf>
    <xf numFmtId="164" fontId="28" fillId="0" borderId="10" xfId="0" applyFont="true" applyBorder="true" applyAlignment="false" applyProtection="false">
      <alignment horizontal="general" vertical="bottom" textRotation="0" wrapText="false" indent="0" shrinkToFit="false"/>
      <protection locked="true" hidden="false"/>
    </xf>
    <xf numFmtId="164" fontId="28" fillId="0" borderId="0" xfId="0" applyFont="true" applyBorder="true" applyAlignment="false" applyProtection="false">
      <alignment horizontal="general" vertical="bottom" textRotation="0" wrapText="false" indent="0" shrinkToFit="false"/>
      <protection locked="true" hidden="false"/>
    </xf>
    <xf numFmtId="193" fontId="28" fillId="0" borderId="0" xfId="15" applyFont="true" applyBorder="true" applyAlignment="true" applyProtection="true">
      <alignment horizontal="general" vertical="bottom" textRotation="0" wrapText="false" indent="0" shrinkToFit="false"/>
      <protection locked="true" hidden="false"/>
    </xf>
    <xf numFmtId="193" fontId="28" fillId="0" borderId="11" xfId="15" applyFont="true" applyBorder="true" applyAlignment="true" applyProtection="true">
      <alignment horizontal="general" vertical="bottom" textRotation="0" wrapText="false" indent="0" shrinkToFit="false"/>
      <protection locked="true" hidden="false"/>
    </xf>
    <xf numFmtId="193" fontId="113" fillId="0" borderId="0" xfId="15" applyFont="true" applyBorder="true" applyAlignment="true" applyProtection="tru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243" fontId="28" fillId="0" borderId="0" xfId="19" applyFont="true" applyBorder="true" applyAlignment="true" applyProtection="true">
      <alignment horizontal="general" vertical="bottom" textRotation="0" wrapText="false" indent="0" shrinkToFit="false"/>
      <protection locked="true" hidden="false"/>
    </xf>
    <xf numFmtId="243" fontId="28" fillId="0" borderId="11" xfId="19" applyFont="true" applyBorder="true" applyAlignment="true" applyProtection="true">
      <alignment horizontal="general" vertical="bottom" textRotation="0" wrapText="false" indent="0" shrinkToFit="false"/>
      <protection locked="true" hidden="false"/>
    </xf>
    <xf numFmtId="164" fontId="28" fillId="0" borderId="11" xfId="0" applyFont="true" applyBorder="true" applyAlignment="false" applyProtection="false">
      <alignment horizontal="general" vertical="bottom" textRotation="0" wrapText="false" indent="0" shrinkToFit="false"/>
      <protection locked="true" hidden="false"/>
    </xf>
    <xf numFmtId="164" fontId="97" fillId="0" borderId="10" xfId="0" applyFont="true" applyBorder="true" applyAlignment="false" applyProtection="false">
      <alignment horizontal="general" vertical="bottom" textRotation="0" wrapText="false" indent="0" shrinkToFit="false"/>
      <protection locked="true" hidden="false"/>
    </xf>
    <xf numFmtId="248" fontId="28" fillId="0" borderId="11" xfId="15" applyFont="true" applyBorder="true" applyAlignment="true" applyProtection="true">
      <alignment horizontal="general" vertical="bottom" textRotation="0" wrapText="false" indent="0" shrinkToFit="false"/>
      <protection locked="true" hidden="false"/>
    </xf>
    <xf numFmtId="224" fontId="109" fillId="0" borderId="0" xfId="0" applyFont="true" applyBorder="true" applyAlignment="false" applyProtection="true">
      <alignment horizontal="general" vertical="bottom" textRotation="0" wrapText="false" indent="0" shrinkToFit="false"/>
      <protection locked="true" hidden="false"/>
    </xf>
    <xf numFmtId="248" fontId="114" fillId="0" borderId="0" xfId="15" applyFont="true" applyBorder="true" applyAlignment="true" applyProtection="true">
      <alignment horizontal="general" vertical="bottom" textRotation="0" wrapText="false" indent="0" shrinkToFit="false"/>
      <protection locked="true" hidden="false"/>
    </xf>
    <xf numFmtId="164" fontId="97" fillId="0" borderId="6" xfId="0" applyFont="true" applyBorder="true" applyAlignment="false" applyProtection="false">
      <alignment horizontal="general" vertical="bottom" textRotation="0" wrapText="false" indent="0" shrinkToFit="false"/>
      <protection locked="true" hidden="false"/>
    </xf>
    <xf numFmtId="247" fontId="97" fillId="0" borderId="3" xfId="17" applyFont="true" applyBorder="true" applyAlignment="true" applyProtection="true">
      <alignment horizontal="general" vertical="bottom" textRotation="0" wrapText="false" indent="0" shrinkToFit="false"/>
      <protection locked="true" hidden="false"/>
    </xf>
    <xf numFmtId="248" fontId="97" fillId="0" borderId="3" xfId="15" applyFont="true" applyBorder="true" applyAlignment="true" applyProtection="true">
      <alignment horizontal="general" vertical="bottom" textRotation="0" wrapText="false" indent="0" shrinkToFit="false"/>
      <protection locked="true" hidden="false"/>
    </xf>
    <xf numFmtId="164" fontId="28" fillId="0" borderId="3" xfId="0" applyFont="true" applyBorder="true" applyAlignment="false" applyProtection="false">
      <alignment horizontal="general" vertical="bottom" textRotation="0" wrapText="false" indent="0" shrinkToFit="false"/>
      <protection locked="true" hidden="false"/>
    </xf>
    <xf numFmtId="248" fontId="28" fillId="0" borderId="3" xfId="0" applyFont="true" applyBorder="true" applyAlignment="false" applyProtection="false">
      <alignment horizontal="general" vertical="bottom" textRotation="0" wrapText="false" indent="0" shrinkToFit="false"/>
      <protection locked="true" hidden="false"/>
    </xf>
    <xf numFmtId="248" fontId="28" fillId="0" borderId="7" xfId="0" applyFont="true" applyBorder="true" applyAlignment="false" applyProtection="false">
      <alignment horizontal="general" vertical="bottom" textRotation="0" wrapText="false" indent="0" shrinkToFit="false"/>
      <protection locked="true" hidden="false"/>
    </xf>
    <xf numFmtId="170" fontId="28" fillId="0" borderId="0" xfId="0" applyFont="true" applyBorder="false" applyAlignment="false" applyProtection="false">
      <alignment horizontal="general" vertical="bottom" textRotation="0" wrapText="false" indent="0" shrinkToFit="false"/>
      <protection locked="true" hidden="false"/>
    </xf>
    <xf numFmtId="248" fontId="28" fillId="0" borderId="0" xfId="0" applyFont="true" applyBorder="false" applyAlignment="false" applyProtection="false">
      <alignment horizontal="general" vertical="bottom" textRotation="0" wrapText="false" indent="0" shrinkToFit="false"/>
      <protection locked="true" hidden="false"/>
    </xf>
    <xf numFmtId="193" fontId="28" fillId="0" borderId="0" xfId="15" applyFont="true" applyBorder="true" applyAlignment="true" applyProtection="true">
      <alignment horizontal="general" vertical="bottom" textRotation="0" wrapText="false" indent="0" shrinkToFit="false"/>
      <protection locked="true" hidden="false"/>
    </xf>
    <xf numFmtId="164" fontId="97" fillId="0" borderId="4" xfId="0" applyFont="true" applyBorder="true" applyAlignment="false" applyProtection="false">
      <alignment horizontal="general" vertical="bottom" textRotation="0" wrapText="false" indent="0" shrinkToFit="false"/>
      <protection locked="true" hidden="false"/>
    </xf>
    <xf numFmtId="169" fontId="113" fillId="0" borderId="9" xfId="0" applyFont="true" applyBorder="true" applyAlignment="false" applyProtection="false">
      <alignment horizontal="general" vertical="bottom" textRotation="0" wrapText="false" indent="0" shrinkToFit="false"/>
      <protection locked="true" hidden="false"/>
    </xf>
    <xf numFmtId="248" fontId="28" fillId="0" borderId="9" xfId="15" applyFont="true" applyBorder="true" applyAlignment="true" applyProtection="true">
      <alignment horizontal="general" vertical="bottom" textRotation="0" wrapText="false" indent="0" shrinkToFit="false"/>
      <protection locked="true" hidden="false"/>
    </xf>
    <xf numFmtId="243" fontId="113" fillId="0" borderId="0" xfId="19" applyFont="true" applyBorder="true" applyAlignment="true" applyProtection="true">
      <alignment horizontal="general" vertical="bottom" textRotation="0" wrapText="false" indent="0" shrinkToFit="false"/>
      <protection locked="true" hidden="false"/>
    </xf>
    <xf numFmtId="193" fontId="28" fillId="0" borderId="3" xfId="15" applyFont="true" applyBorder="true" applyAlignment="true" applyProtection="true">
      <alignment horizontal="general" vertical="bottom" textRotation="0" wrapText="false" indent="0" shrinkToFit="false"/>
      <protection locked="true" hidden="false"/>
    </xf>
    <xf numFmtId="244" fontId="113" fillId="0" borderId="0" xfId="19" applyFont="true" applyBorder="true" applyAlignment="true" applyProtection="true">
      <alignment horizontal="general" vertical="bottom" textRotation="0" wrapText="false" indent="0" shrinkToFit="false"/>
      <protection locked="true" hidden="false"/>
    </xf>
    <xf numFmtId="164" fontId="28" fillId="0" borderId="6" xfId="0" applyFont="true" applyBorder="true" applyAlignment="false" applyProtection="false">
      <alignment horizontal="general" vertical="bottom" textRotation="0" wrapText="false" indent="0" shrinkToFit="false"/>
      <protection locked="true" hidden="false"/>
    </xf>
    <xf numFmtId="243" fontId="57" fillId="0" borderId="3" xfId="19" applyFont="true" applyBorder="true" applyAlignment="true" applyProtection="true">
      <alignment horizontal="general" vertical="bottom" textRotation="0" wrapText="false" indent="0" shrinkToFit="false"/>
      <protection locked="true" hidden="false"/>
    </xf>
    <xf numFmtId="193" fontId="28" fillId="0" borderId="3" xfId="0" applyFont="true" applyBorder="true" applyAlignment="false" applyProtection="false">
      <alignment horizontal="general" vertical="bottom" textRotation="0" wrapText="false" indent="0" shrinkToFit="false"/>
      <protection locked="true" hidden="false"/>
    </xf>
    <xf numFmtId="261" fontId="28" fillId="0" borderId="0" xfId="15" applyFont="true" applyBorder="true" applyAlignment="true" applyProtection="true">
      <alignment horizontal="general" vertical="bottom" textRotation="0" wrapText="false" indent="0" shrinkToFit="false"/>
      <protection locked="true" hidden="false"/>
    </xf>
    <xf numFmtId="164" fontId="97" fillId="0" borderId="4" xfId="0" applyFont="true" applyBorder="true" applyAlignment="false" applyProtection="false">
      <alignment horizontal="general" vertical="bottom" textRotation="0" wrapText="false" indent="0" shrinkToFit="false"/>
      <protection locked="true" hidden="false"/>
    </xf>
    <xf numFmtId="169" fontId="113" fillId="0" borderId="9" xfId="0" applyFont="true" applyBorder="true" applyAlignment="false" applyProtection="false">
      <alignment horizontal="general" vertical="bottom" textRotation="0" wrapText="false" indent="0" shrinkToFit="false"/>
      <protection locked="true" hidden="false"/>
    </xf>
    <xf numFmtId="164" fontId="28" fillId="0" borderId="9" xfId="0" applyFont="true" applyBorder="true" applyAlignment="false" applyProtection="false">
      <alignment horizontal="general" vertical="bottom" textRotation="0" wrapText="false" indent="0" shrinkToFit="false"/>
      <protection locked="true" hidden="false"/>
    </xf>
    <xf numFmtId="262" fontId="28" fillId="0" borderId="9" xfId="15" applyFont="true" applyBorder="true" applyAlignment="true" applyProtection="true">
      <alignment horizontal="general" vertical="bottom" textRotation="0" wrapText="false" indent="0" shrinkToFit="false"/>
      <protection locked="true" hidden="false"/>
    </xf>
    <xf numFmtId="164" fontId="28" fillId="0" borderId="5" xfId="0" applyFont="true" applyBorder="true" applyAlignment="false" applyProtection="false">
      <alignment horizontal="general" vertical="bottom" textRotation="0" wrapText="false" indent="0" shrinkToFit="false"/>
      <protection locked="true" hidden="false"/>
    </xf>
    <xf numFmtId="244" fontId="28" fillId="0" borderId="0" xfId="19" applyFont="true" applyBorder="true" applyAlignment="true" applyProtection="true">
      <alignment horizontal="general" vertical="bottom" textRotation="0" wrapText="false" indent="0" shrinkToFit="false"/>
      <protection locked="true" hidden="false"/>
    </xf>
    <xf numFmtId="248" fontId="28" fillId="0" borderId="0" xfId="0" applyFont="true" applyBorder="true" applyAlignment="false" applyProtection="false">
      <alignment horizontal="general" vertical="bottom" textRotation="0" wrapText="false" indent="0" shrinkToFit="false"/>
      <protection locked="true" hidden="false"/>
    </xf>
    <xf numFmtId="248" fontId="28" fillId="0" borderId="1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93" fontId="28" fillId="0" borderId="0" xfId="0" applyFont="true" applyBorder="false" applyAlignment="false" applyProtection="false">
      <alignment horizontal="general" vertical="bottom" textRotation="0" wrapText="false" indent="0" shrinkToFit="false"/>
      <protection locked="true" hidden="false"/>
    </xf>
    <xf numFmtId="164" fontId="97" fillId="0" borderId="23" xfId="0" applyFont="true" applyBorder="true" applyAlignment="false" applyProtection="false">
      <alignment horizontal="general" vertical="bottom" textRotation="0" wrapText="false" indent="0" shrinkToFit="false"/>
      <protection locked="true" hidden="false"/>
    </xf>
    <xf numFmtId="164" fontId="28" fillId="0" borderId="16" xfId="0" applyFont="true" applyBorder="true" applyAlignment="false" applyProtection="false">
      <alignment horizontal="general" vertical="bottom" textRotation="0" wrapText="false" indent="0" shrinkToFit="false"/>
      <protection locked="true" hidden="false"/>
    </xf>
    <xf numFmtId="248" fontId="28" fillId="0" borderId="16" xfId="15" applyFont="true" applyBorder="true" applyAlignment="true" applyProtection="true">
      <alignment horizontal="general" vertical="bottom" textRotation="0" wrapText="false" indent="0" shrinkToFit="false"/>
      <protection locked="true" hidden="false"/>
    </xf>
    <xf numFmtId="248" fontId="28" fillId="0" borderId="17" xfId="15" applyFont="true" applyBorder="true" applyAlignment="true" applyProtection="true">
      <alignment horizontal="general" vertical="bottom" textRotation="0" wrapText="false" indent="0" shrinkToFit="false"/>
      <protection locked="true" hidden="false"/>
    </xf>
    <xf numFmtId="164" fontId="28" fillId="0" borderId="18" xfId="0" applyFont="true" applyBorder="true" applyAlignment="false" applyProtection="false">
      <alignment horizontal="general" vertical="bottom" textRotation="0" wrapText="false" indent="0" shrinkToFit="false"/>
      <protection locked="true" hidden="false"/>
    </xf>
    <xf numFmtId="247" fontId="28" fillId="0" borderId="19" xfId="17" applyFont="true" applyBorder="true" applyAlignment="true" applyProtection="true">
      <alignment horizontal="general" vertical="bottom" textRotation="0" wrapText="false" indent="0" shrinkToFit="false"/>
      <protection locked="true" hidden="false"/>
    </xf>
    <xf numFmtId="248" fontId="28" fillId="0" borderId="19" xfId="15" applyFont="true" applyBorder="true" applyAlignment="true" applyProtection="true">
      <alignment horizontal="general" vertical="bottom" textRotation="0" wrapText="false" indent="0" shrinkToFit="false"/>
      <protection locked="true" hidden="false"/>
    </xf>
    <xf numFmtId="169" fontId="113" fillId="0" borderId="0" xfId="0" applyFont="true" applyBorder="true" applyAlignment="false" applyProtection="false">
      <alignment horizontal="general" vertical="bottom" textRotation="0" wrapText="false" indent="0" shrinkToFit="false"/>
      <protection locked="true" hidden="false"/>
    </xf>
    <xf numFmtId="229" fontId="28" fillId="0" borderId="0" xfId="15" applyFont="true" applyBorder="true" applyAlignment="true" applyProtection="true">
      <alignment horizontal="general" vertical="bottom" textRotation="0" wrapText="false" indent="0" shrinkToFit="false"/>
      <protection locked="true" hidden="false"/>
    </xf>
    <xf numFmtId="164" fontId="28" fillId="0" borderId="18" xfId="0" applyFont="true" applyBorder="true" applyAlignment="false" applyProtection="false">
      <alignment horizontal="general" vertical="bottom" textRotation="0" wrapText="false" indent="0" shrinkToFit="false"/>
      <protection locked="true" hidden="false"/>
    </xf>
    <xf numFmtId="193" fontId="28" fillId="0" borderId="0" xfId="0" applyFont="true" applyBorder="true" applyAlignment="false" applyProtection="false">
      <alignment horizontal="general" vertical="bottom" textRotation="0" wrapText="false" indent="0" shrinkToFit="false"/>
      <protection locked="true" hidden="false"/>
    </xf>
    <xf numFmtId="193" fontId="28" fillId="0" borderId="19" xfId="0" applyFont="true" applyBorder="true" applyAlignment="false" applyProtection="false">
      <alignment horizontal="general" vertical="bottom" textRotation="0" wrapText="false" indent="0" shrinkToFit="false"/>
      <protection locked="true" hidden="false"/>
    </xf>
    <xf numFmtId="164" fontId="28" fillId="0" borderId="21" xfId="0" applyFont="true" applyBorder="true" applyAlignment="false" applyProtection="false">
      <alignment horizontal="general" vertical="bottom" textRotation="0" wrapText="false" indent="0" shrinkToFit="false"/>
      <protection locked="true" hidden="false"/>
    </xf>
    <xf numFmtId="243" fontId="28" fillId="0" borderId="20" xfId="19" applyFont="true" applyBorder="true" applyAlignment="true" applyProtection="true">
      <alignment horizontal="general" vertical="bottom" textRotation="0" wrapText="false" indent="0" shrinkToFit="false"/>
      <protection locked="true" hidden="false"/>
    </xf>
    <xf numFmtId="164" fontId="28" fillId="0" borderId="20" xfId="0" applyFont="true" applyBorder="true" applyAlignment="false" applyProtection="false">
      <alignment horizontal="general" vertical="bottom" textRotation="0" wrapText="false" indent="0" shrinkToFit="false"/>
      <protection locked="true" hidden="false"/>
    </xf>
    <xf numFmtId="248" fontId="28" fillId="0" borderId="20" xfId="0" applyFont="true" applyBorder="true" applyAlignment="false" applyProtection="false">
      <alignment horizontal="general" vertical="bottom" textRotation="0" wrapText="false" indent="0" shrinkToFit="false"/>
      <protection locked="true" hidden="false"/>
    </xf>
    <xf numFmtId="248" fontId="28" fillId="0" borderId="22" xfId="0" applyFont="true" applyBorder="true" applyAlignment="false" applyProtection="false">
      <alignment horizontal="general" vertical="bottom" textRotation="0" wrapText="false" indent="0" shrinkToFit="false"/>
      <protection locked="true" hidden="false"/>
    </xf>
    <xf numFmtId="164" fontId="91" fillId="0" borderId="0" xfId="0" applyFont="true" applyBorder="false" applyAlignment="false" applyProtection="false">
      <alignment horizontal="general" vertical="bottom" textRotation="0" wrapText="false" indent="0" shrinkToFit="false"/>
      <protection locked="true" hidden="false"/>
    </xf>
    <xf numFmtId="169" fontId="28" fillId="0" borderId="5" xfId="0" applyFont="true" applyBorder="true" applyAlignment="false" applyProtection="false">
      <alignment horizontal="general" vertical="bottom" textRotation="0" wrapText="false" indent="0" shrinkToFit="false"/>
      <protection locked="true" hidden="false"/>
    </xf>
    <xf numFmtId="243" fontId="28" fillId="0" borderId="11" xfId="0" applyFont="true" applyBorder="true" applyAlignment="false" applyProtection="false">
      <alignment horizontal="general" vertical="bottom" textRotation="0" wrapText="false" indent="0" shrinkToFit="false"/>
      <protection locked="true" hidden="false"/>
    </xf>
    <xf numFmtId="235" fontId="97" fillId="0" borderId="0" xfId="0" applyFont="true" applyBorder="false" applyAlignment="false" applyProtection="false">
      <alignment horizontal="general" vertical="bottom" textRotation="0" wrapText="false" indent="0" shrinkToFit="false"/>
      <protection locked="true" hidden="false"/>
    </xf>
    <xf numFmtId="235" fontId="115" fillId="0" borderId="0" xfId="1237" applyFont="true" applyBorder="true" applyAlignment="true" applyProtection="true">
      <alignment horizontal="left" vertical="bottom" textRotation="0" wrapText="false" indent="0" shrinkToFit="false"/>
      <protection locked="true" hidden="false"/>
    </xf>
    <xf numFmtId="235" fontId="115" fillId="0" borderId="0" xfId="1237" applyFont="true" applyBorder="true" applyAlignment="true" applyProtection="true">
      <alignment horizontal="general" vertical="bottom" textRotation="0" wrapText="false" indent="0" shrinkToFit="false"/>
      <protection locked="true" hidden="false"/>
    </xf>
    <xf numFmtId="235" fontId="116" fillId="0" borderId="0" xfId="1237" applyFont="true" applyBorder="true" applyAlignment="true" applyProtection="true">
      <alignment horizontal="general" vertical="bottom" textRotation="0" wrapText="false" indent="0" shrinkToFit="false"/>
      <protection locked="true" hidden="false"/>
    </xf>
    <xf numFmtId="247" fontId="116" fillId="0" borderId="0" xfId="17" applyFont="true" applyBorder="true" applyAlignment="true" applyProtection="true">
      <alignment horizontal="general" vertical="bottom" textRotation="0" wrapText="false" indent="0" shrinkToFit="false"/>
      <protection locked="true" hidden="false"/>
    </xf>
    <xf numFmtId="247" fontId="116" fillId="0" borderId="8" xfId="17" applyFont="true" applyBorder="true" applyAlignment="true" applyProtection="true">
      <alignment horizontal="general" vertical="bottom" textRotation="0" wrapText="false" indent="0" shrinkToFit="false"/>
      <protection locked="true" hidden="false"/>
    </xf>
    <xf numFmtId="243" fontId="116" fillId="0" borderId="0" xfId="19" applyFont="true" applyBorder="true" applyAlignment="true" applyProtection="true">
      <alignment horizontal="general" vertical="bottom" textRotation="0" wrapText="false" indent="0" shrinkToFit="false"/>
      <protection locked="true" hidden="false"/>
    </xf>
    <xf numFmtId="247" fontId="116" fillId="8" borderId="0" xfId="17" applyFont="true" applyBorder="true" applyAlignment="true" applyProtection="true">
      <alignment horizontal="general" vertical="bottom" textRotation="0" wrapText="false" indent="0" shrinkToFit="false"/>
      <protection locked="true" hidden="false"/>
    </xf>
    <xf numFmtId="247" fontId="115" fillId="0" borderId="0" xfId="17" applyFont="true" applyBorder="true" applyAlignment="true" applyProtection="true">
      <alignment horizontal="general" vertical="bottom" textRotation="0" wrapText="false" indent="0" shrinkToFit="false"/>
      <protection locked="true" hidden="false"/>
    </xf>
    <xf numFmtId="193" fontId="116" fillId="0" borderId="0" xfId="15" applyFont="true" applyBorder="true" applyAlignment="true" applyProtection="true">
      <alignment horizontal="general" vertical="bottom" textRotation="0" wrapText="false" indent="0" shrinkToFit="false"/>
      <protection locked="true" hidden="false"/>
    </xf>
    <xf numFmtId="164" fontId="28" fillId="0" borderId="0" xfId="0" applyFont="true" applyBorder="false" applyAlignment="true" applyProtection="false">
      <alignment horizontal="right" vertical="bottom" textRotation="0" wrapText="false" indent="0" shrinkToFit="false"/>
      <protection locked="true" hidden="false"/>
    </xf>
    <xf numFmtId="244" fontId="28" fillId="0" borderId="0" xfId="19" applyFont="true" applyBorder="true" applyAlignment="true" applyProtection="true">
      <alignment horizontal="general" vertical="bottom" textRotation="0" wrapText="false" indent="0" shrinkToFit="false"/>
      <protection locked="true" hidden="false"/>
    </xf>
    <xf numFmtId="193" fontId="116" fillId="0" borderId="0" xfId="15" applyFont="true" applyBorder="true" applyAlignment="true" applyProtection="true">
      <alignment horizontal="general" vertical="bottom" textRotation="0" wrapText="false" indent="0" shrinkToFit="false"/>
      <protection locked="true" hidden="false"/>
    </xf>
    <xf numFmtId="164" fontId="116" fillId="0" borderId="0" xfId="15" applyFont="true" applyBorder="true" applyAlignment="true" applyProtection="true">
      <alignment horizontal="general" vertical="bottom" textRotation="0" wrapText="false" indent="0" shrinkToFit="false"/>
      <protection locked="true" hidden="false"/>
    </xf>
    <xf numFmtId="235" fontId="61" fillId="0" borderId="0" xfId="1237" applyFont="true" applyBorder="true" applyAlignment="true" applyProtection="true">
      <alignment horizontal="general" vertical="bottom" textRotation="0" wrapText="false" indent="0" shrinkToFit="false"/>
      <protection locked="true" hidden="false"/>
    </xf>
    <xf numFmtId="260" fontId="97" fillId="0" borderId="0" xfId="1237" applyFont="true" applyBorder="true" applyAlignment="true" applyProtection="true">
      <alignment horizontal="general" vertical="bottom" textRotation="0" wrapText="false" indent="0" shrinkToFit="false"/>
      <protection locked="true" hidden="false"/>
    </xf>
    <xf numFmtId="193" fontId="28" fillId="0" borderId="0" xfId="0" applyFont="true" applyBorder="false" applyAlignment="false" applyProtection="false">
      <alignment horizontal="general" vertical="bottom" textRotation="0" wrapText="false" indent="0" shrinkToFit="false"/>
      <protection locked="true" hidden="false"/>
    </xf>
    <xf numFmtId="206" fontId="57" fillId="0" borderId="0" xfId="1237" applyFont="true" applyBorder="true" applyAlignment="true" applyProtection="true">
      <alignment horizontal="general" vertical="bottom" textRotation="0" wrapText="false" indent="0" shrinkToFit="false"/>
      <protection locked="true" hidden="false"/>
    </xf>
    <xf numFmtId="235" fontId="98" fillId="0" borderId="0" xfId="1237" applyFont="true" applyBorder="true" applyAlignment="true" applyProtection="true">
      <alignment horizontal="general" vertical="bottom" textRotation="0" wrapText="false" indent="0" shrinkToFit="false"/>
      <protection locked="true" hidden="false"/>
    </xf>
    <xf numFmtId="224" fontId="109" fillId="0" borderId="0" xfId="0" applyFont="true" applyBorder="true" applyAlignment="false" applyProtection="false">
      <alignment horizontal="general" vertical="bottom" textRotation="0" wrapText="false" indent="0" shrinkToFit="false"/>
      <protection locked="true" hidden="false"/>
    </xf>
    <xf numFmtId="224" fontId="109" fillId="0" borderId="11" xfId="0" applyFont="true" applyBorder="true" applyAlignment="false" applyProtection="false">
      <alignment horizontal="general" vertical="bottom" textRotation="0" wrapText="false" indent="0" shrinkToFit="false"/>
      <protection locked="true" hidden="false"/>
    </xf>
    <xf numFmtId="244" fontId="57" fillId="0" borderId="0" xfId="0" applyFont="true" applyBorder="true" applyAlignment="false" applyProtection="false">
      <alignment horizontal="general" vertical="bottom" textRotation="0" wrapText="false" indent="0" shrinkToFit="false"/>
      <protection locked="true" hidden="false"/>
    </xf>
    <xf numFmtId="244" fontId="57" fillId="0" borderId="11" xfId="0" applyFont="true" applyBorder="true" applyAlignment="false" applyProtection="false">
      <alignment horizontal="general" vertical="bottom" textRotation="0" wrapText="false" indent="0" shrinkToFit="false"/>
      <protection locked="true" hidden="false"/>
    </xf>
    <xf numFmtId="200" fontId="57" fillId="0" borderId="0" xfId="0" applyFont="true" applyBorder="true" applyAlignment="false" applyProtection="true">
      <alignment horizontal="general" vertical="bottom" textRotation="0" wrapText="false" indent="0" shrinkToFit="false"/>
      <protection locked="true" hidden="false"/>
    </xf>
    <xf numFmtId="200" fontId="57" fillId="0" borderId="11" xfId="0" applyFont="true" applyBorder="true" applyAlignment="false" applyProtection="true">
      <alignment horizontal="general" vertical="bottom" textRotation="0" wrapText="false" indent="0" shrinkToFit="false"/>
      <protection locked="true" hidden="false"/>
    </xf>
    <xf numFmtId="244" fontId="57" fillId="0" borderId="0" xfId="19" applyFont="true" applyBorder="true" applyAlignment="true" applyProtection="true">
      <alignment horizontal="general" vertical="bottom" textRotation="0" wrapText="false" indent="0" shrinkToFit="false"/>
      <protection locked="true" hidden="false"/>
    </xf>
    <xf numFmtId="170" fontId="28" fillId="0" borderId="0" xfId="0" applyFont="true" applyBorder="true" applyAlignment="false" applyProtection="false">
      <alignment horizontal="general" vertical="bottom" textRotation="0" wrapText="false" indent="0" shrinkToFit="false"/>
      <protection locked="true" hidden="false"/>
    </xf>
    <xf numFmtId="200" fontId="28" fillId="0" borderId="0" xfId="0" applyFont="true" applyBorder="true" applyAlignment="false" applyProtection="false">
      <alignment horizontal="general" vertical="bottom" textRotation="0" wrapText="false" indent="0" shrinkToFit="false"/>
      <protection locked="true" hidden="false"/>
    </xf>
    <xf numFmtId="229" fontId="57" fillId="0" borderId="0" xfId="0" applyFont="true" applyBorder="true" applyAlignment="true" applyProtection="false">
      <alignment horizontal="right" vertical="bottom" textRotation="0" wrapText="false" indent="0" shrinkToFit="false"/>
      <protection locked="true" hidden="false"/>
    </xf>
    <xf numFmtId="229" fontId="57" fillId="0" borderId="11" xfId="0" applyFont="true" applyBorder="true" applyAlignment="true" applyProtection="false">
      <alignment horizontal="right" vertical="bottom" textRotation="0" wrapText="false" indent="0" shrinkToFit="false"/>
      <protection locked="true" hidden="false"/>
    </xf>
    <xf numFmtId="229" fontId="57" fillId="0" borderId="0" xfId="0" applyFont="true" applyBorder="true" applyAlignment="false" applyProtection="false">
      <alignment horizontal="general" vertical="bottom" textRotation="0" wrapText="false" indent="0" shrinkToFit="false"/>
      <protection locked="true" hidden="false"/>
    </xf>
    <xf numFmtId="229" fontId="57" fillId="0" borderId="11" xfId="0" applyFont="true" applyBorder="true" applyAlignment="false" applyProtection="false">
      <alignment horizontal="general" vertical="bottom" textRotation="0" wrapText="false" indent="0" shrinkToFit="false"/>
      <protection locked="true" hidden="false"/>
    </xf>
    <xf numFmtId="193" fontId="57" fillId="0" borderId="0" xfId="0" applyFont="true" applyBorder="true" applyAlignment="true" applyProtection="false">
      <alignment horizontal="right" vertical="bottom" textRotation="0" wrapText="false" indent="0" shrinkToFit="false"/>
      <protection locked="true" hidden="false"/>
    </xf>
    <xf numFmtId="193" fontId="57" fillId="0" borderId="11" xfId="0" applyFont="true" applyBorder="true" applyAlignment="true" applyProtection="false">
      <alignment horizontal="right" vertical="bottom" textRotation="0" wrapText="false" indent="0" shrinkToFit="false"/>
      <protection locked="true" hidden="false"/>
    </xf>
    <xf numFmtId="244" fontId="57" fillId="0" borderId="11" xfId="19" applyFont="true" applyBorder="true" applyAlignment="true" applyProtection="true">
      <alignment horizontal="general" vertical="bottom" textRotation="0" wrapText="false" indent="0" shrinkToFit="false"/>
      <protection locked="true" hidden="false"/>
    </xf>
    <xf numFmtId="244" fontId="57" fillId="0" borderId="3" xfId="19" applyFont="true" applyBorder="true" applyAlignment="true" applyProtection="true">
      <alignment horizontal="general" vertical="bottom" textRotation="0" wrapText="false" indent="0" shrinkToFit="false"/>
      <protection locked="true" hidden="false"/>
    </xf>
    <xf numFmtId="244" fontId="57" fillId="0" borderId="7" xfId="19" applyFont="true" applyBorder="true" applyAlignment="true" applyProtection="true">
      <alignment horizontal="general" vertical="bottom" textRotation="0" wrapText="false" indent="0" shrinkToFit="false"/>
      <protection locked="true" hidden="false"/>
    </xf>
    <xf numFmtId="193" fontId="57" fillId="0" borderId="0" xfId="15" applyFont="true" applyBorder="true" applyAlignment="true" applyProtection="true">
      <alignment horizontal="general" vertical="bottom" textRotation="0" wrapText="false" indent="0" shrinkToFit="false"/>
      <protection locked="true" hidden="false"/>
    </xf>
    <xf numFmtId="258" fontId="28" fillId="0" borderId="0" xfId="0" applyFont="true" applyBorder="false" applyAlignment="false" applyProtection="false">
      <alignment horizontal="general" vertical="bottom" textRotation="0" wrapText="false" indent="0" shrinkToFit="false"/>
      <protection locked="true" hidden="false"/>
    </xf>
    <xf numFmtId="164" fontId="91" fillId="0" borderId="0" xfId="0" applyFont="true" applyBorder="true" applyAlignment="false" applyProtection="false">
      <alignment horizontal="general" vertical="bottom" textRotation="0" wrapText="false" indent="0" shrinkToFit="false"/>
      <protection locked="true" hidden="false"/>
    </xf>
    <xf numFmtId="235" fontId="25" fillId="0" borderId="0" xfId="1237" applyFont="false" applyBorder="true" applyAlignment="true" applyProtection="true">
      <alignment horizontal="general" vertical="bottom" textRotation="0" wrapText="false" indent="0" shrinkToFit="false"/>
      <protection locked="true" hidden="false"/>
    </xf>
    <xf numFmtId="235" fontId="57" fillId="2" borderId="9" xfId="1237" applyFont="true" applyBorder="true" applyAlignment="true" applyProtection="true">
      <alignment horizontal="general" vertical="bottom" textRotation="0" wrapText="false" indent="0" shrinkToFit="false"/>
      <protection locked="true" hidden="false"/>
    </xf>
    <xf numFmtId="235" fontId="57" fillId="2" borderId="5" xfId="1237" applyFont="true" applyBorder="true" applyAlignment="true" applyProtection="true">
      <alignment horizontal="general" vertical="bottom" textRotation="0" wrapText="false" indent="0" shrinkToFit="false"/>
      <protection locked="true" hidden="false"/>
    </xf>
    <xf numFmtId="244" fontId="57" fillId="2" borderId="3" xfId="19" applyFont="true" applyBorder="true" applyAlignment="true" applyProtection="true">
      <alignment horizontal="general" vertical="bottom" textRotation="0" wrapText="false" indent="0" shrinkToFit="false"/>
      <protection locked="true" hidden="false"/>
    </xf>
    <xf numFmtId="244" fontId="57" fillId="2" borderId="7" xfId="19" applyFont="true" applyBorder="true" applyAlignment="true" applyProtection="true">
      <alignment horizontal="general" vertical="bottom" textRotation="0" wrapText="false" indent="0" shrinkToFit="false"/>
      <protection locked="true" hidden="false"/>
    </xf>
    <xf numFmtId="164" fontId="97" fillId="0" borderId="0" xfId="0" applyFont="true" applyBorder="true" applyAlignment="false" applyProtection="false">
      <alignment horizontal="general" vertical="bottom" textRotation="0" wrapText="false" indent="0" shrinkToFit="false"/>
      <protection locked="true" hidden="false"/>
    </xf>
    <xf numFmtId="246" fontId="28" fillId="0" borderId="4" xfId="0" applyFont="true" applyBorder="true" applyAlignment="false" applyProtection="false">
      <alignment horizontal="general" vertical="bottom" textRotation="0" wrapText="false" indent="0" shrinkToFit="false"/>
      <protection locked="true" hidden="false"/>
    </xf>
    <xf numFmtId="235" fontId="57" fillId="0" borderId="5" xfId="1237" applyFont="true" applyBorder="true" applyAlignment="true" applyProtection="true">
      <alignment horizontal="general" vertical="bottom" textRotation="0" wrapText="false" indent="0" shrinkToFit="false"/>
      <protection locked="true" hidden="false"/>
    </xf>
    <xf numFmtId="235" fontId="61" fillId="0" borderId="10" xfId="1237" applyFont="true" applyBorder="true" applyAlignment="true" applyProtection="true">
      <alignment horizontal="general" vertical="bottom" textRotation="0" wrapText="false" indent="0" shrinkToFit="false"/>
      <protection locked="true" hidden="false"/>
    </xf>
    <xf numFmtId="259" fontId="109" fillId="2" borderId="0" xfId="0" applyFont="true" applyBorder="true" applyAlignment="false" applyProtection="true">
      <alignment horizontal="general" vertical="bottom" textRotation="0" wrapText="false" indent="0" shrinkToFit="false"/>
      <protection locked="true" hidden="false"/>
    </xf>
    <xf numFmtId="259" fontId="109" fillId="2" borderId="11" xfId="0" applyFont="true" applyBorder="true" applyAlignment="false" applyProtection="true">
      <alignment horizontal="general" vertical="bottom" textRotation="0" wrapText="false" indent="0" shrinkToFit="false"/>
      <protection locked="true" hidden="false"/>
    </xf>
    <xf numFmtId="259" fontId="117" fillId="0" borderId="0" xfId="0" applyFont="true" applyBorder="false" applyAlignment="false" applyProtection="true">
      <alignment horizontal="general" vertical="bottom" textRotation="0" wrapText="false" indent="0" shrinkToFit="false"/>
      <protection locked="true" hidden="false"/>
    </xf>
    <xf numFmtId="240" fontId="61" fillId="0" borderId="10" xfId="1237" applyFont="true" applyBorder="true" applyAlignment="true" applyProtection="true">
      <alignment horizontal="general" vertical="bottom" textRotation="0" wrapText="false" indent="0" shrinkToFit="false"/>
      <protection locked="true" hidden="false"/>
    </xf>
    <xf numFmtId="235" fontId="25" fillId="0" borderId="0" xfId="1237" applyFont="false" applyBorder="true" applyAlignment="true" applyProtection="true">
      <alignment horizontal="general" vertical="bottom" textRotation="0" wrapText="false" indent="0" shrinkToFit="false"/>
      <protection locked="true" hidden="false"/>
    </xf>
    <xf numFmtId="240" fontId="61" fillId="0" borderId="6" xfId="1237" applyFont="true" applyBorder="true" applyAlignment="true" applyProtection="true">
      <alignment horizontal="general" vertical="bottom" textRotation="0" wrapText="false" indent="0" shrinkToFit="false"/>
      <protection locked="true" hidden="false"/>
    </xf>
    <xf numFmtId="240" fontId="57" fillId="0" borderId="3" xfId="1237" applyFont="true" applyBorder="true" applyAlignment="true" applyProtection="true">
      <alignment horizontal="general" vertical="bottom" textRotation="0" wrapText="false" indent="0" shrinkToFit="false"/>
      <protection locked="true" hidden="false"/>
    </xf>
    <xf numFmtId="240" fontId="57" fillId="0" borderId="7" xfId="1237" applyFont="true" applyBorder="true" applyAlignment="true" applyProtection="true">
      <alignment horizontal="general" vertical="bottom" textRotation="0" wrapText="false" indent="0" shrinkToFit="false"/>
      <protection locked="true" hidden="false"/>
    </xf>
    <xf numFmtId="235" fontId="61" fillId="0" borderId="4" xfId="1237" applyFont="true" applyBorder="true" applyAlignment="true" applyProtection="true">
      <alignment horizontal="left" vertical="bottom" textRotation="0" wrapText="false" indent="0" shrinkToFit="false"/>
      <protection locked="true" hidden="false"/>
    </xf>
    <xf numFmtId="235" fontId="57" fillId="0" borderId="9" xfId="1237" applyFont="true" applyBorder="true" applyAlignment="true" applyProtection="true">
      <alignment horizontal="general" vertical="bottom" textRotation="0" wrapText="false" indent="0" shrinkToFit="false"/>
      <protection locked="true" hidden="false"/>
    </xf>
    <xf numFmtId="252" fontId="95" fillId="0" borderId="9" xfId="15" applyFont="true" applyBorder="true" applyAlignment="true" applyProtection="true">
      <alignment horizontal="general" vertical="bottom" textRotation="0" wrapText="false" indent="0" shrinkToFit="false"/>
      <protection locked="true" hidden="false"/>
    </xf>
    <xf numFmtId="252" fontId="95" fillId="0" borderId="5" xfId="15" applyFont="true" applyBorder="true" applyAlignment="true" applyProtection="true">
      <alignment horizontal="general" vertical="bottom" textRotation="0" wrapText="false" indent="0" shrinkToFit="false"/>
      <protection locked="true" hidden="false"/>
    </xf>
    <xf numFmtId="185" fontId="57" fillId="0" borderId="10" xfId="915" applyFont="true" applyBorder="true" applyAlignment="true" applyProtection="true">
      <alignment horizontal="general" vertical="bottom" textRotation="0" wrapText="false" indent="0" shrinkToFit="false"/>
      <protection locked="true" hidden="false"/>
    </xf>
    <xf numFmtId="258" fontId="57" fillId="0" borderId="0" xfId="915" applyFont="true" applyBorder="true" applyAlignment="true" applyProtection="true">
      <alignment horizontal="general" vertical="bottom" textRotation="0" wrapText="false" indent="0" shrinkToFit="false"/>
      <protection locked="true" hidden="false"/>
    </xf>
    <xf numFmtId="258" fontId="57" fillId="0" borderId="11" xfId="915" applyFont="true" applyBorder="true" applyAlignment="true" applyProtection="true">
      <alignment horizontal="general" vertical="bottom" textRotation="0" wrapText="false" indent="0" shrinkToFit="false"/>
      <protection locked="true" hidden="false"/>
    </xf>
    <xf numFmtId="258" fontId="110" fillId="0" borderId="0" xfId="915" applyFont="true" applyBorder="true" applyAlignment="true" applyProtection="true">
      <alignment horizontal="general" vertical="bottom" textRotation="0" wrapText="false" indent="0" shrinkToFit="false"/>
      <protection locked="true" hidden="false"/>
    </xf>
    <xf numFmtId="258" fontId="110" fillId="0" borderId="11" xfId="915" applyFont="true" applyBorder="true" applyAlignment="true" applyProtection="true">
      <alignment horizontal="general" vertical="bottom" textRotation="0" wrapText="false" indent="0" shrinkToFit="false"/>
      <protection locked="true" hidden="false"/>
    </xf>
    <xf numFmtId="235" fontId="61" fillId="0" borderId="6" xfId="1237" applyFont="true" applyBorder="true" applyAlignment="true" applyProtection="true">
      <alignment horizontal="left" vertical="bottom" textRotation="0" wrapText="false" indent="0" shrinkToFit="false"/>
      <protection locked="true" hidden="false"/>
    </xf>
    <xf numFmtId="247" fontId="57" fillId="0" borderId="3" xfId="17" applyFont="true" applyBorder="true" applyAlignment="true" applyProtection="true">
      <alignment horizontal="general" vertical="bottom" textRotation="0" wrapText="false" indent="0" shrinkToFit="false"/>
      <protection locked="true" hidden="false"/>
    </xf>
    <xf numFmtId="247" fontId="57" fillId="0" borderId="7" xfId="17" applyFont="true" applyBorder="true" applyAlignment="true" applyProtection="true">
      <alignment horizontal="general" vertical="bottom" textRotation="0" wrapText="false" indent="0" shrinkToFit="false"/>
      <protection locked="true" hidden="false"/>
    </xf>
    <xf numFmtId="235" fontId="57" fillId="0" borderId="27" xfId="1237" applyFont="true" applyBorder="true" applyAlignment="true" applyProtection="true">
      <alignment horizontal="left" vertical="bottom" textRotation="0" wrapText="false" indent="0" shrinkToFit="false"/>
      <protection locked="true" hidden="false"/>
    </xf>
    <xf numFmtId="235" fontId="57" fillId="0" borderId="27" xfId="1237" applyFont="true" applyBorder="true" applyAlignment="true" applyProtection="true">
      <alignment horizontal="general" vertical="bottom" textRotation="0" wrapText="false" indent="0" shrinkToFit="false"/>
      <protection locked="true" hidden="false"/>
    </xf>
    <xf numFmtId="244" fontId="57" fillId="0" borderId="27" xfId="19" applyFont="true" applyBorder="true" applyAlignment="true" applyProtection="true">
      <alignment horizontal="general" vertical="bottom" textRotation="0" wrapText="false" indent="0" shrinkToFit="false"/>
      <protection locked="true" hidden="false"/>
    </xf>
    <xf numFmtId="185" fontId="57" fillId="0" borderId="9" xfId="915" applyFont="true" applyBorder="true" applyAlignment="true" applyProtection="true">
      <alignment horizontal="general" vertical="bottom" textRotation="0" wrapText="false" indent="0" shrinkToFit="false"/>
      <protection locked="true" hidden="false"/>
    </xf>
    <xf numFmtId="185" fontId="57" fillId="0" borderId="5" xfId="915" applyFont="true" applyBorder="true" applyAlignment="true" applyProtection="true">
      <alignment horizontal="general" vertical="bottom" textRotation="0" wrapText="false" indent="0" shrinkToFit="false"/>
      <protection locked="true" hidden="false"/>
    </xf>
    <xf numFmtId="235" fontId="61" fillId="0" borderId="10" xfId="1237" applyFont="true" applyBorder="true" applyAlignment="true" applyProtection="true">
      <alignment horizontal="left" vertical="bottom" textRotation="0" wrapText="false" indent="0" shrinkToFit="false"/>
      <protection locked="true" hidden="false"/>
    </xf>
    <xf numFmtId="164" fontId="112" fillId="0" borderId="10" xfId="0" applyFont="true" applyBorder="true" applyAlignment="true" applyProtection="true">
      <alignment horizontal="left" vertical="bottom" textRotation="0" wrapText="false" indent="0" shrinkToFit="false"/>
      <protection locked="true" hidden="false"/>
    </xf>
    <xf numFmtId="247" fontId="110" fillId="0" borderId="11" xfId="17" applyFont="true" applyBorder="true" applyAlignment="true" applyProtection="true">
      <alignment horizontal="general" vertical="bottom" textRotation="0" wrapText="false" indent="0" shrinkToFit="false"/>
      <protection locked="true" hidden="false"/>
    </xf>
    <xf numFmtId="247" fontId="61" fillId="0" borderId="0" xfId="17" applyFont="true" applyBorder="true" applyAlignment="true" applyProtection="true">
      <alignment horizontal="general" vertical="bottom" textRotation="0" wrapText="false" indent="0" shrinkToFit="false"/>
      <protection locked="true" hidden="false"/>
    </xf>
    <xf numFmtId="247" fontId="61" fillId="0" borderId="11" xfId="17" applyFont="true" applyBorder="true" applyAlignment="true" applyProtection="true">
      <alignment horizontal="general" vertical="bottom" textRotation="0" wrapText="false" indent="0" shrinkToFit="false"/>
      <protection locked="true" hidden="false"/>
    </xf>
    <xf numFmtId="235" fontId="57" fillId="0" borderId="10" xfId="1237" applyFont="true" applyBorder="true" applyAlignment="true" applyProtection="true">
      <alignment horizontal="general" vertical="bottom" textRotation="0" wrapText="false" indent="0" shrinkToFit="false"/>
      <protection locked="true" hidden="false"/>
    </xf>
    <xf numFmtId="235" fontId="61" fillId="0" borderId="10" xfId="1237" applyFont="true" applyBorder="true" applyAlignment="true" applyProtection="true">
      <alignment horizontal="general" vertical="bottom" textRotation="0" wrapText="false" indent="0" shrinkToFit="false"/>
      <protection locked="true" hidden="false"/>
    </xf>
    <xf numFmtId="235" fontId="61" fillId="0" borderId="11" xfId="1237" applyFont="true" applyBorder="true" applyAlignment="true" applyProtection="true">
      <alignment horizontal="general" vertical="bottom" textRotation="0" wrapText="false" indent="0" shrinkToFit="false"/>
      <protection locked="true" hidden="false"/>
    </xf>
    <xf numFmtId="235" fontId="110" fillId="0" borderId="0" xfId="1237" applyFont="true" applyBorder="true" applyAlignment="true" applyProtection="true">
      <alignment horizontal="general" vertical="bottom" textRotation="0" wrapText="false" indent="0" shrinkToFit="false"/>
      <protection locked="true" hidden="false"/>
    </xf>
    <xf numFmtId="248" fontId="110" fillId="0" borderId="0" xfId="915" applyFont="true" applyBorder="true" applyAlignment="true" applyProtection="true">
      <alignment horizontal="general" vertical="bottom" textRotation="0" wrapText="false" indent="0" shrinkToFit="false"/>
      <protection locked="true" hidden="false"/>
    </xf>
    <xf numFmtId="248" fontId="110" fillId="0" borderId="11" xfId="915" applyFont="true" applyBorder="true" applyAlignment="true" applyProtection="true">
      <alignment horizontal="general" vertical="bottom" textRotation="0" wrapText="false" indent="0" shrinkToFit="false"/>
      <protection locked="true" hidden="false"/>
    </xf>
    <xf numFmtId="248" fontId="57" fillId="0" borderId="0" xfId="915" applyFont="true" applyBorder="true" applyAlignment="true" applyProtection="true">
      <alignment horizontal="general" vertical="bottom" textRotation="0" wrapText="false" indent="0" shrinkToFit="false"/>
      <protection locked="true" hidden="false"/>
    </xf>
    <xf numFmtId="248" fontId="57" fillId="0" borderId="11" xfId="915" applyFont="true" applyBorder="true" applyAlignment="true" applyProtection="true">
      <alignment horizontal="general" vertical="bottom" textRotation="0" wrapText="false" indent="0" shrinkToFit="false"/>
      <protection locked="true" hidden="false"/>
    </xf>
    <xf numFmtId="185" fontId="61" fillId="0" borderId="0" xfId="915" applyFont="true" applyBorder="true" applyAlignment="true" applyProtection="true">
      <alignment horizontal="general" vertical="bottom" textRotation="0" wrapText="false" indent="0" shrinkToFit="false"/>
      <protection locked="true" hidden="false"/>
    </xf>
    <xf numFmtId="185" fontId="61" fillId="0" borderId="11" xfId="915" applyFont="true" applyBorder="true" applyAlignment="true" applyProtection="true">
      <alignment horizontal="general" vertical="bottom" textRotation="0" wrapText="false" indent="0" shrinkToFit="false"/>
      <protection locked="true" hidden="false"/>
    </xf>
    <xf numFmtId="185" fontId="61" fillId="0" borderId="3" xfId="17" applyFont="true" applyBorder="true" applyAlignment="true" applyProtection="true">
      <alignment horizontal="general" vertical="bottom" textRotation="0" wrapText="false" indent="0" shrinkToFit="false"/>
      <protection locked="true" hidden="false"/>
    </xf>
    <xf numFmtId="235" fontId="61" fillId="0" borderId="27" xfId="1237" applyFont="true" applyBorder="true" applyAlignment="true" applyProtection="true">
      <alignment horizontal="left" vertical="bottom" textRotation="0" wrapText="false" indent="0" shrinkToFit="false"/>
      <protection locked="true" hidden="false"/>
    </xf>
    <xf numFmtId="248" fontId="110" fillId="0" borderId="27" xfId="915" applyFont="true" applyBorder="true" applyAlignment="true" applyProtection="true">
      <alignment horizontal="general" vertical="bottom" textRotation="0" wrapText="false" indent="0" shrinkToFit="false"/>
      <protection locked="true" hidden="false"/>
    </xf>
    <xf numFmtId="235" fontId="61" fillId="0" borderId="0" xfId="1237" applyFont="true" applyBorder="true" applyAlignment="true" applyProtection="true">
      <alignment horizontal="left" vertical="bottom" textRotation="0" wrapText="false" indent="0" shrinkToFit="false"/>
      <protection locked="true" hidden="false"/>
    </xf>
    <xf numFmtId="247" fontId="118" fillId="0" borderId="0" xfId="17" applyFont="true" applyBorder="true" applyAlignment="true" applyProtection="true">
      <alignment horizontal="general" vertical="bottom" textRotation="0" wrapText="false" indent="0" shrinkToFit="false"/>
      <protection locked="true" hidden="false"/>
    </xf>
    <xf numFmtId="200" fontId="119" fillId="0" borderId="3" xfId="915" applyFont="true" applyBorder="true" applyAlignment="true" applyProtection="true">
      <alignment horizontal="general" vertical="bottom" textRotation="0" wrapText="false" indent="0" shrinkToFit="false"/>
      <protection locked="true" hidden="false"/>
    </xf>
    <xf numFmtId="200" fontId="119" fillId="0" borderId="7" xfId="915" applyFont="true" applyBorder="true" applyAlignment="true" applyProtection="true">
      <alignment horizontal="general" vertical="bottom" textRotation="0" wrapText="false" indent="0" shrinkToFit="false"/>
      <protection locked="true" hidden="false"/>
    </xf>
    <xf numFmtId="193" fontId="110" fillId="0" borderId="0" xfId="15" applyFont="true" applyBorder="true" applyAlignment="true" applyProtection="true">
      <alignment horizontal="general" vertical="bottom" textRotation="0" wrapText="false" indent="0" shrinkToFit="false"/>
      <protection locked="true" hidden="false"/>
    </xf>
    <xf numFmtId="200" fontId="57" fillId="0" borderId="0" xfId="915" applyFont="true" applyBorder="true" applyAlignment="true" applyProtection="true">
      <alignment horizontal="general" vertical="bottom" textRotation="0" wrapText="false" indent="0" shrinkToFit="false"/>
      <protection locked="true" hidden="false"/>
    </xf>
    <xf numFmtId="230" fontId="57" fillId="0" borderId="0" xfId="915" applyFont="true" applyBorder="true" applyAlignment="true" applyProtection="true">
      <alignment horizontal="general" vertical="bottom" textRotation="0" wrapText="false" indent="0" shrinkToFit="false"/>
      <protection locked="true" hidden="false"/>
    </xf>
    <xf numFmtId="263" fontId="57" fillId="0" borderId="0" xfId="915" applyFont="true" applyBorder="true" applyAlignment="true" applyProtection="true">
      <alignment horizontal="general" vertical="bottom"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64" fontId="57" fillId="2" borderId="9" xfId="0" applyFont="true" applyBorder="true" applyAlignment="false" applyProtection="false">
      <alignment horizontal="general" vertical="bottom" textRotation="0" wrapText="false" indent="0" shrinkToFit="false"/>
      <protection locked="true" hidden="false"/>
    </xf>
    <xf numFmtId="164" fontId="57" fillId="2" borderId="5" xfId="0" applyFont="true" applyBorder="true" applyAlignment="false" applyProtection="false">
      <alignment horizontal="general" vertical="bottom" textRotation="0" wrapText="false" indent="0" shrinkToFit="false"/>
      <protection locked="true" hidden="false"/>
    </xf>
    <xf numFmtId="164" fontId="57" fillId="2" borderId="3" xfId="0" applyFont="true" applyBorder="true" applyAlignment="false" applyProtection="false">
      <alignment horizontal="general" vertical="bottom" textRotation="0" wrapText="false" indent="0" shrinkToFit="false"/>
      <protection locked="true" hidden="false"/>
    </xf>
    <xf numFmtId="164" fontId="57" fillId="2" borderId="7" xfId="0" applyFont="true" applyBorder="true" applyAlignment="false" applyProtection="false">
      <alignment horizontal="general" vertical="bottom" textRotation="0" wrapText="false" indent="0" shrinkToFit="false"/>
      <protection locked="true" hidden="false"/>
    </xf>
    <xf numFmtId="260" fontId="25" fillId="0" borderId="0" xfId="1237" applyFont="false" applyBorder="true" applyAlignment="true" applyProtection="true">
      <alignment horizontal="general" vertical="bottom" textRotation="0" wrapText="false" indent="0" shrinkToFit="false"/>
      <protection locked="true" hidden="false"/>
    </xf>
    <xf numFmtId="259" fontId="109" fillId="0" borderId="9" xfId="0" applyFont="true" applyBorder="true" applyAlignment="false" applyProtection="true">
      <alignment horizontal="general" vertical="bottom" textRotation="0" wrapText="false" indent="0" shrinkToFit="false"/>
      <protection locked="true" hidden="false"/>
    </xf>
    <xf numFmtId="164" fontId="57" fillId="0" borderId="0" xfId="0" applyFont="true" applyBorder="true" applyAlignment="true" applyProtection="true">
      <alignment horizontal="right" vertical="bottom" textRotation="0" wrapText="false" indent="0" shrinkToFit="false"/>
      <protection locked="true" hidden="false"/>
    </xf>
    <xf numFmtId="164" fontId="57" fillId="0" borderId="11" xfId="0" applyFont="true" applyBorder="true" applyAlignment="true" applyProtection="true">
      <alignment horizontal="right" vertical="bottom" textRotation="0" wrapText="false" indent="0" shrinkToFit="false"/>
      <protection locked="true" hidden="false"/>
    </xf>
    <xf numFmtId="164" fontId="12" fillId="0" borderId="0" xfId="0" applyFont="true" applyBorder="true" applyAlignment="true" applyProtection="true">
      <alignment horizontal="right" vertical="bottom" textRotation="0" wrapText="false" indent="0" shrinkToFit="false"/>
      <protection locked="true" hidden="false"/>
    </xf>
    <xf numFmtId="244" fontId="12" fillId="0" borderId="0" xfId="0" applyFont="true" applyBorder="false" applyAlignment="false" applyProtection="true">
      <alignment horizontal="general" vertical="bottom" textRotation="0" wrapText="false" indent="0" shrinkToFit="false"/>
      <protection locked="true" hidden="false"/>
    </xf>
    <xf numFmtId="164" fontId="61" fillId="0" borderId="10" xfId="0" applyFont="true" applyBorder="true" applyAlignment="true" applyProtection="true">
      <alignment horizontal="left" vertical="bottom" textRotation="0" wrapText="false" indent="0" shrinkToFit="false"/>
      <protection locked="true" hidden="false"/>
    </xf>
    <xf numFmtId="235" fontId="120" fillId="0" borderId="0" xfId="0" applyFont="true" applyBorder="true" applyAlignment="false" applyProtection="false">
      <alignment horizontal="general" vertical="bottom" textRotation="0" wrapText="false" indent="0" shrinkToFit="false"/>
      <protection locked="true" hidden="false"/>
    </xf>
    <xf numFmtId="164" fontId="12" fillId="0" borderId="0" xfId="0" applyFont="true" applyBorder="true" applyAlignment="false" applyProtection="true">
      <alignment horizontal="general" vertical="bottom" textRotation="0" wrapText="false" indent="0" shrinkToFit="false"/>
      <protection locked="true" hidden="false"/>
    </xf>
    <xf numFmtId="185" fontId="57" fillId="0" borderId="0" xfId="0" applyFont="true" applyBorder="true" applyAlignment="false" applyProtection="true">
      <alignment horizontal="general" vertical="bottom" textRotation="0" wrapText="false" indent="0" shrinkToFit="false"/>
      <protection locked="true" hidden="false"/>
    </xf>
    <xf numFmtId="185" fontId="57" fillId="0" borderId="11" xfId="0" applyFont="true" applyBorder="true" applyAlignment="false" applyProtection="true">
      <alignment horizontal="general" vertical="bottom" textRotation="0" wrapText="false" indent="0" shrinkToFit="false"/>
      <protection locked="true" hidden="false"/>
    </xf>
    <xf numFmtId="264" fontId="12" fillId="0" borderId="0" xfId="0" applyFont="true" applyBorder="false" applyAlignment="false" applyProtection="true">
      <alignment horizontal="general" vertical="bottom" textRotation="0" wrapText="false" indent="0" shrinkToFit="false"/>
      <protection locked="true" hidden="false"/>
    </xf>
    <xf numFmtId="248" fontId="57" fillId="0" borderId="0" xfId="15" applyFont="true" applyBorder="true" applyAlignment="true" applyProtection="true">
      <alignment horizontal="general" vertical="bottom" textRotation="0" wrapText="false" indent="0" shrinkToFit="false"/>
      <protection locked="true" hidden="false"/>
    </xf>
    <xf numFmtId="248" fontId="57" fillId="0" borderId="11" xfId="15" applyFont="true" applyBorder="true" applyAlignment="true" applyProtection="true">
      <alignment horizontal="general" vertical="bottom" textRotation="0" wrapText="false" indent="0" shrinkToFit="false"/>
      <protection locked="true" hidden="false"/>
    </xf>
    <xf numFmtId="243" fontId="12" fillId="0" borderId="0" xfId="0" applyFont="true" applyBorder="false" applyAlignment="false" applyProtection="true">
      <alignment horizontal="general" vertical="bottom" textRotation="0" wrapText="false" indent="0" shrinkToFit="false"/>
      <protection locked="true" hidden="false"/>
    </xf>
    <xf numFmtId="235" fontId="57" fillId="0" borderId="0" xfId="0" applyFont="true" applyBorder="true" applyAlignment="false" applyProtection="true">
      <alignment horizontal="general" vertical="bottom" textRotation="0" wrapText="false" indent="0" shrinkToFit="false"/>
      <protection locked="true" hidden="false"/>
    </xf>
    <xf numFmtId="235" fontId="57" fillId="0" borderId="11" xfId="0" applyFont="true" applyBorder="true" applyAlignment="false" applyProtection="true">
      <alignment horizontal="general" vertical="bottom" textRotation="0" wrapText="false" indent="0" shrinkToFit="false"/>
      <protection locked="true" hidden="false"/>
    </xf>
    <xf numFmtId="235" fontId="12" fillId="0" borderId="0" xfId="0" applyFont="true" applyBorder="false" applyAlignment="false" applyProtection="true">
      <alignment horizontal="general" vertical="bottom" textRotation="0" wrapText="false" indent="0" shrinkToFit="false"/>
      <protection locked="true" hidden="false"/>
    </xf>
    <xf numFmtId="235" fontId="110" fillId="0" borderId="0" xfId="0" applyFont="true" applyBorder="true" applyAlignment="false" applyProtection="true">
      <alignment horizontal="general" vertical="bottom" textRotation="0" wrapText="false" indent="0" shrinkToFit="false"/>
      <protection locked="true" hidden="false"/>
    </xf>
    <xf numFmtId="235" fontId="110" fillId="0" borderId="11" xfId="0" applyFont="true" applyBorder="true" applyAlignment="false" applyProtection="true">
      <alignment horizontal="general" vertical="bottom" textRotation="0" wrapText="false" indent="0" shrinkToFit="false"/>
      <protection locked="true" hidden="false"/>
    </xf>
    <xf numFmtId="264" fontId="12" fillId="0" borderId="0" xfId="0" applyFont="true" applyBorder="true" applyAlignment="false" applyProtection="true">
      <alignment horizontal="general" vertical="bottom" textRotation="0" wrapText="false" indent="0" shrinkToFit="false"/>
      <protection locked="true" hidden="false"/>
    </xf>
    <xf numFmtId="235" fontId="57" fillId="0" borderId="0" xfId="0" applyFont="true" applyBorder="true" applyAlignment="false" applyProtection="false">
      <alignment horizontal="general" vertical="bottom" textRotation="0" wrapText="false" indent="0" shrinkToFit="false"/>
      <protection locked="true" hidden="false"/>
    </xf>
    <xf numFmtId="164" fontId="120" fillId="0" borderId="0" xfId="0" applyFont="true" applyBorder="true" applyAlignment="false" applyProtection="false">
      <alignment horizontal="general" vertical="bottom" textRotation="0" wrapText="false" indent="0" shrinkToFit="false"/>
      <protection locked="true" hidden="false"/>
    </xf>
    <xf numFmtId="164" fontId="120" fillId="0" borderId="0" xfId="0" applyFont="true" applyBorder="true" applyAlignment="false" applyProtection="true">
      <alignment horizontal="general" vertical="bottom" textRotation="0" wrapText="false" indent="0" shrinkToFit="false"/>
      <protection locked="true" hidden="false"/>
    </xf>
    <xf numFmtId="248" fontId="120" fillId="0" borderId="0" xfId="15" applyFont="true" applyBorder="true" applyAlignment="true" applyProtection="true">
      <alignment horizontal="general" vertical="bottom" textRotation="0" wrapText="false" indent="0" shrinkToFit="false"/>
      <protection locked="true" hidden="false"/>
    </xf>
    <xf numFmtId="248" fontId="12" fillId="0" borderId="0" xfId="15" applyFont="true" applyBorder="true" applyAlignment="true" applyProtection="true">
      <alignment horizontal="general" vertical="bottom" textRotation="0" wrapText="false" indent="0" shrinkToFit="false"/>
      <protection locked="true" hidden="false"/>
    </xf>
    <xf numFmtId="164" fontId="61" fillId="0" borderId="6" xfId="0" applyFont="true" applyBorder="true" applyAlignment="false" applyProtection="false">
      <alignment horizontal="general" vertical="bottom" textRotation="0" wrapText="false" indent="0" shrinkToFit="false"/>
      <protection locked="true" hidden="false"/>
    </xf>
    <xf numFmtId="247" fontId="120" fillId="0" borderId="3" xfId="17" applyFont="true" applyBorder="true" applyAlignment="true" applyProtection="true">
      <alignment horizontal="general" vertical="bottom" textRotation="0" wrapText="false" indent="0" shrinkToFit="false"/>
      <protection locked="true" hidden="false"/>
    </xf>
    <xf numFmtId="247" fontId="119" fillId="0" borderId="3" xfId="17" applyFont="true" applyBorder="true" applyAlignment="true" applyProtection="true">
      <alignment horizontal="general" vertical="bottom" textRotation="0" wrapText="false" indent="0" shrinkToFit="false"/>
      <protection locked="true" hidden="false"/>
    </xf>
    <xf numFmtId="247" fontId="119" fillId="0" borderId="7" xfId="17" applyFont="true" applyBorder="true" applyAlignment="true" applyProtection="true">
      <alignment horizontal="general" vertical="bottom" textRotation="0" wrapText="false" indent="0" shrinkToFit="false"/>
      <protection locked="true" hidden="false"/>
    </xf>
    <xf numFmtId="247" fontId="12" fillId="0" borderId="0" xfId="17" applyFont="true" applyBorder="true" applyAlignment="true" applyProtection="true">
      <alignment horizontal="general" vertical="bottom" textRotation="0" wrapText="false" indent="0" shrinkToFit="false"/>
      <protection locked="true" hidden="false"/>
    </xf>
    <xf numFmtId="164" fontId="61" fillId="0" borderId="4" xfId="0" applyFont="true" applyBorder="true" applyAlignment="false" applyProtection="false">
      <alignment horizontal="general" vertical="bottom" textRotation="0" wrapText="false" indent="0" shrinkToFit="false"/>
      <protection locked="true" hidden="false"/>
    </xf>
    <xf numFmtId="180" fontId="57" fillId="0" borderId="9" xfId="0" applyFont="true" applyBorder="true" applyAlignment="false" applyProtection="false">
      <alignment horizontal="general" vertical="bottom" textRotation="0" wrapText="false" indent="0" shrinkToFit="false"/>
      <protection locked="true" hidden="false"/>
    </xf>
    <xf numFmtId="180" fontId="57" fillId="0" borderId="0" xfId="0" applyFont="true" applyBorder="true" applyAlignment="false" applyProtection="false">
      <alignment horizontal="general" vertical="bottom" textRotation="0" wrapText="false" indent="0" shrinkToFit="false"/>
      <protection locked="true" hidden="false"/>
    </xf>
    <xf numFmtId="170" fontId="57" fillId="0" borderId="11" xfId="0" applyFont="true" applyBorder="true" applyAlignment="false" applyProtection="false">
      <alignment horizontal="general" vertical="bottom" textRotation="0" wrapText="false" indent="0" shrinkToFit="false"/>
      <protection locked="true" hidden="false"/>
    </xf>
    <xf numFmtId="170" fontId="57" fillId="0" borderId="0" xfId="19" applyFont="true" applyBorder="true" applyAlignment="true" applyProtection="true">
      <alignment horizontal="general" vertical="bottom" textRotation="0" wrapText="false" indent="0" shrinkToFit="false"/>
      <protection locked="true" hidden="false"/>
    </xf>
    <xf numFmtId="185" fontId="57" fillId="0" borderId="0" xfId="0" applyFont="true" applyBorder="true" applyAlignment="false" applyProtection="false">
      <alignment horizontal="general" vertical="bottom" textRotation="0" wrapText="false" indent="0" shrinkToFit="false"/>
      <protection locked="true" hidden="false"/>
    </xf>
    <xf numFmtId="248" fontId="57" fillId="0" borderId="0" xfId="0" applyFont="true" applyBorder="true" applyAlignment="false" applyProtection="false">
      <alignment horizontal="general" vertical="bottom" textRotation="0" wrapText="false" indent="0" shrinkToFit="false"/>
      <protection locked="true" hidden="false"/>
    </xf>
    <xf numFmtId="248" fontId="57" fillId="0" borderId="11" xfId="0" applyFont="true" applyBorder="true" applyAlignment="false" applyProtection="false">
      <alignment horizontal="general" vertical="bottom" textRotation="0" wrapText="false" indent="0" shrinkToFit="false"/>
      <protection locked="true" hidden="false"/>
    </xf>
    <xf numFmtId="248" fontId="57" fillId="0" borderId="3" xfId="15" applyFont="true" applyBorder="true" applyAlignment="true" applyProtection="true">
      <alignment horizontal="general" vertical="bottom" textRotation="0" wrapText="false" indent="0" shrinkToFit="false"/>
      <protection locked="true" hidden="false"/>
    </xf>
    <xf numFmtId="248" fontId="57" fillId="0" borderId="7" xfId="15" applyFont="true" applyBorder="true" applyAlignment="true" applyProtection="true">
      <alignment horizontal="general" vertical="bottom" textRotation="0" wrapText="false" indent="0" shrinkToFit="false"/>
      <protection locked="true" hidden="false"/>
    </xf>
    <xf numFmtId="180" fontId="57" fillId="0" borderId="0" xfId="0" applyFont="true" applyBorder="false" applyAlignment="false" applyProtection="false">
      <alignment horizontal="general" vertical="bottom" textRotation="0" wrapText="false" indent="0" shrinkToFit="false"/>
      <protection locked="true" hidden="false"/>
    </xf>
    <xf numFmtId="164" fontId="109" fillId="2" borderId="9" xfId="0" applyFont="true" applyBorder="true" applyAlignment="false" applyProtection="false">
      <alignment horizontal="general" vertical="bottom" textRotation="0" wrapText="false" indent="0" shrinkToFit="false"/>
      <protection locked="true" hidden="false"/>
    </xf>
    <xf numFmtId="164" fontId="109" fillId="2" borderId="5" xfId="0" applyFont="true" applyBorder="true" applyAlignment="false" applyProtection="false">
      <alignment horizontal="general" vertical="bottom" textRotation="0" wrapText="false" indent="0" shrinkToFit="false"/>
      <protection locked="true" hidden="false"/>
    </xf>
    <xf numFmtId="248" fontId="97" fillId="0" borderId="10" xfId="15" applyFont="true" applyBorder="true" applyAlignment="true" applyProtection="true">
      <alignment horizontal="general" vertical="bottom" textRotation="0" wrapText="false" indent="0" shrinkToFit="false"/>
      <protection locked="true" hidden="false"/>
    </xf>
    <xf numFmtId="235" fontId="28" fillId="0" borderId="0" xfId="0" applyFont="true" applyBorder="true" applyAlignment="false" applyProtection="false">
      <alignment horizontal="general" vertical="bottom" textRotation="0" wrapText="false" indent="0" shrinkToFit="false"/>
      <protection locked="true" hidden="false"/>
    </xf>
    <xf numFmtId="235" fontId="28" fillId="0" borderId="11" xfId="0" applyFont="true" applyBorder="true" applyAlignment="false" applyProtection="false">
      <alignment horizontal="general" vertical="bottom" textRotation="0" wrapText="false" indent="0" shrinkToFit="false"/>
      <protection locked="true" hidden="false"/>
    </xf>
    <xf numFmtId="185" fontId="114" fillId="0" borderId="0" xfId="0" applyFont="true" applyBorder="true" applyAlignment="false" applyProtection="false">
      <alignment horizontal="general" vertical="bottom" textRotation="0" wrapText="false" indent="0" shrinkToFit="false"/>
      <protection locked="true" hidden="false"/>
    </xf>
    <xf numFmtId="185" fontId="114" fillId="0" borderId="11" xfId="0" applyFont="true" applyBorder="true" applyAlignment="false" applyProtection="false">
      <alignment horizontal="general" vertical="bottom" textRotation="0" wrapText="false" indent="0" shrinkToFit="false"/>
      <protection locked="true" hidden="false"/>
    </xf>
    <xf numFmtId="169" fontId="28" fillId="0" borderId="0" xfId="0" applyFont="true" applyBorder="true" applyAlignment="false" applyProtection="false">
      <alignment horizontal="general" vertical="bottom" textRotation="0" wrapText="false" indent="0" shrinkToFit="false"/>
      <protection locked="true" hidden="false"/>
    </xf>
    <xf numFmtId="169" fontId="28" fillId="0" borderId="11" xfId="0" applyFont="true" applyBorder="true" applyAlignment="false" applyProtection="false">
      <alignment horizontal="general" vertical="bottom" textRotation="0" wrapText="false" indent="0" shrinkToFit="false"/>
      <protection locked="true" hidden="false"/>
    </xf>
    <xf numFmtId="248" fontId="57" fillId="0" borderId="10" xfId="15" applyFont="true" applyBorder="true" applyAlignment="true" applyProtection="true">
      <alignment horizontal="general" vertical="bottom" textRotation="0" wrapText="false" indent="0" shrinkToFit="false"/>
      <protection locked="true" hidden="false"/>
    </xf>
    <xf numFmtId="169" fontId="114" fillId="0" borderId="0" xfId="0" applyFont="true" applyBorder="true" applyAlignment="false" applyProtection="false">
      <alignment horizontal="general" vertical="bottom" textRotation="0" wrapText="false" indent="0" shrinkToFit="false"/>
      <protection locked="true" hidden="false"/>
    </xf>
    <xf numFmtId="248" fontId="61" fillId="0" borderId="6" xfId="15" applyFont="true" applyBorder="true" applyAlignment="true" applyProtection="true">
      <alignment horizontal="general" vertical="bottom" textRotation="0" wrapText="false" indent="0" shrinkToFit="false"/>
      <protection locked="true" hidden="false"/>
    </xf>
    <xf numFmtId="169" fontId="28" fillId="0" borderId="3" xfId="0" applyFont="true" applyBorder="true" applyAlignment="false" applyProtection="false">
      <alignment horizontal="general" vertical="bottom" textRotation="0" wrapText="false" indent="0" shrinkToFit="false"/>
      <protection locked="true" hidden="false"/>
    </xf>
    <xf numFmtId="169" fontId="28" fillId="0" borderId="7" xfId="0" applyFont="true" applyBorder="true" applyAlignment="false" applyProtection="false">
      <alignment horizontal="general" vertical="bottom" textRotation="0" wrapText="false" indent="0" shrinkToFit="false"/>
      <protection locked="true" hidden="false"/>
    </xf>
    <xf numFmtId="248" fontId="97" fillId="0" borderId="4" xfId="15" applyFont="true" applyBorder="true" applyAlignment="true" applyProtection="true">
      <alignment horizontal="general" vertical="bottom" textRotation="0" wrapText="false" indent="0" shrinkToFit="false"/>
      <protection locked="true" hidden="false"/>
    </xf>
    <xf numFmtId="185" fontId="28" fillId="0" borderId="0" xfId="0" applyFont="true" applyBorder="true" applyAlignment="false" applyProtection="false">
      <alignment horizontal="general" vertical="bottom" textRotation="0" wrapText="false" indent="0" shrinkToFit="false"/>
      <protection locked="true" hidden="false"/>
    </xf>
    <xf numFmtId="185" fontId="28" fillId="0" borderId="11" xfId="0" applyFont="true" applyBorder="true" applyAlignment="false" applyProtection="false">
      <alignment horizontal="general" vertical="bottom" textRotation="0" wrapText="false" indent="0" shrinkToFit="false"/>
      <protection locked="true" hidden="false"/>
    </xf>
    <xf numFmtId="248" fontId="61" fillId="0" borderId="10" xfId="15" applyFont="true" applyBorder="true" applyAlignment="true" applyProtection="true">
      <alignment horizontal="general" vertical="bottom" textRotation="0" wrapText="false" indent="0" shrinkToFit="false"/>
      <protection locked="true" hidden="false"/>
    </xf>
    <xf numFmtId="200" fontId="28" fillId="0" borderId="11" xfId="0" applyFont="true" applyBorder="true" applyAlignment="false" applyProtection="false">
      <alignment horizontal="general" vertical="bottom" textRotation="0" wrapText="false" indent="0" shrinkToFit="false"/>
      <protection locked="true" hidden="false"/>
    </xf>
    <xf numFmtId="169" fontId="114" fillId="0" borderId="11" xfId="0" applyFont="true" applyBorder="true" applyAlignment="false" applyProtection="false">
      <alignment horizontal="general" vertical="bottom" textRotation="0" wrapText="false" indent="0" shrinkToFit="false"/>
      <protection locked="true" hidden="false"/>
    </xf>
    <xf numFmtId="248" fontId="61" fillId="0" borderId="12" xfId="15" applyFont="true" applyBorder="true" applyAlignment="true" applyProtection="true">
      <alignment horizontal="general" vertical="bottom" textRotation="0" wrapText="false" indent="0" shrinkToFit="false"/>
      <protection locked="true" hidden="false"/>
    </xf>
    <xf numFmtId="164" fontId="28" fillId="0" borderId="14" xfId="0" applyFont="true" applyBorder="true" applyAlignment="false" applyProtection="false">
      <alignment horizontal="general" vertical="bottom" textRotation="0" wrapText="false" indent="0" shrinkToFit="false"/>
      <protection locked="true" hidden="false"/>
    </xf>
    <xf numFmtId="169" fontId="28" fillId="0" borderId="14" xfId="0" applyFont="true" applyBorder="true" applyAlignment="false" applyProtection="false">
      <alignment horizontal="general" vertical="bottom" textRotation="0" wrapText="false" indent="0" shrinkToFit="false"/>
      <protection locked="true" hidden="false"/>
    </xf>
    <xf numFmtId="169" fontId="28" fillId="0" borderId="13" xfId="0" applyFont="true" applyBorder="true" applyAlignment="false" applyProtection="false">
      <alignment horizontal="general" vertical="bottom" textRotation="0" wrapText="false" indent="0" shrinkToFit="false"/>
      <protection locked="true" hidden="false"/>
    </xf>
    <xf numFmtId="164" fontId="113" fillId="14" borderId="4" xfId="0" applyFont="true" applyBorder="true" applyAlignment="false" applyProtection="false">
      <alignment horizontal="general" vertical="bottom" textRotation="0" wrapText="false" indent="0" shrinkToFit="false"/>
      <protection locked="true" hidden="false"/>
    </xf>
    <xf numFmtId="164" fontId="113" fillId="14" borderId="9" xfId="0" applyFont="true" applyBorder="true" applyAlignment="false" applyProtection="false">
      <alignment horizontal="general" vertical="bottom" textRotation="0" wrapText="false" indent="0" shrinkToFit="false"/>
      <protection locked="true" hidden="false"/>
    </xf>
    <xf numFmtId="164" fontId="121" fillId="14" borderId="9" xfId="0" applyFont="true" applyBorder="true" applyAlignment="false" applyProtection="false">
      <alignment horizontal="general" vertical="bottom" textRotation="0" wrapText="false" indent="0" shrinkToFit="false"/>
      <protection locked="true" hidden="false"/>
    </xf>
    <xf numFmtId="164" fontId="113" fillId="14" borderId="5" xfId="0" applyFont="true" applyBorder="true" applyAlignment="false" applyProtection="false">
      <alignment horizontal="general" vertical="bottom" textRotation="0" wrapText="false" indent="0" shrinkToFit="false"/>
      <protection locked="true" hidden="false"/>
    </xf>
    <xf numFmtId="169" fontId="122" fillId="14" borderId="8" xfId="0" applyFont="true" applyBorder="true" applyAlignment="true" applyProtection="false">
      <alignment horizontal="center" vertical="bottom" textRotation="0" wrapText="false" indent="0" shrinkToFit="false"/>
      <protection locked="true" hidden="false"/>
    </xf>
    <xf numFmtId="164" fontId="113" fillId="14" borderId="0" xfId="0" applyFont="true" applyBorder="true" applyAlignment="false" applyProtection="false">
      <alignment horizontal="general" vertical="bottom" textRotation="0" wrapText="false" indent="0" shrinkToFit="false"/>
      <protection locked="true" hidden="false"/>
    </xf>
    <xf numFmtId="164" fontId="113" fillId="14" borderId="11" xfId="0" applyFont="true" applyBorder="true" applyAlignment="false" applyProtection="false">
      <alignment horizontal="general" vertical="bottom" textRotation="0" wrapText="false" indent="0" shrinkToFit="false"/>
      <protection locked="true" hidden="false"/>
    </xf>
    <xf numFmtId="164" fontId="113" fillId="14" borderId="10" xfId="0" applyFont="true" applyBorder="true" applyAlignment="false" applyProtection="false">
      <alignment horizontal="general" vertical="bottom" textRotation="0" wrapText="false" indent="0" shrinkToFit="false"/>
      <protection locked="true" hidden="false"/>
    </xf>
    <xf numFmtId="169" fontId="113" fillId="14" borderId="0" xfId="0" applyFont="true" applyBorder="true" applyAlignment="false" applyProtection="false">
      <alignment horizontal="general" vertical="bottom" textRotation="0" wrapText="false" indent="0" shrinkToFit="false"/>
      <protection locked="true" hidden="false"/>
    </xf>
    <xf numFmtId="169" fontId="113" fillId="14" borderId="11" xfId="0" applyFont="true" applyBorder="true" applyAlignment="false" applyProtection="false">
      <alignment horizontal="general" vertical="bottom" textRotation="0" wrapText="false" indent="0" shrinkToFit="false"/>
      <protection locked="true" hidden="false"/>
    </xf>
    <xf numFmtId="164" fontId="113" fillId="14" borderId="6" xfId="0" applyFont="true" applyBorder="true" applyAlignment="false" applyProtection="false">
      <alignment horizontal="general" vertical="bottom" textRotation="0" wrapText="false" indent="0" shrinkToFit="false"/>
      <protection locked="true" hidden="false"/>
    </xf>
    <xf numFmtId="164" fontId="113" fillId="14" borderId="3" xfId="0" applyFont="true" applyBorder="true" applyAlignment="false" applyProtection="false">
      <alignment horizontal="general" vertical="bottom" textRotation="0" wrapText="false" indent="0" shrinkToFit="false"/>
      <protection locked="true" hidden="false"/>
    </xf>
    <xf numFmtId="169" fontId="113" fillId="14" borderId="3" xfId="0" applyFont="true" applyBorder="true" applyAlignment="false" applyProtection="false">
      <alignment horizontal="general" vertical="bottom" textRotation="0" wrapText="false" indent="0" shrinkToFit="false"/>
      <protection locked="true" hidden="false"/>
    </xf>
    <xf numFmtId="169" fontId="113" fillId="14" borderId="7" xfId="0" applyFont="true" applyBorder="true" applyAlignment="false" applyProtection="false">
      <alignment horizontal="general" vertical="bottom" textRotation="0" wrapText="false" indent="0" shrinkToFit="false"/>
      <protection locked="true" hidden="false"/>
    </xf>
    <xf numFmtId="244" fontId="91" fillId="2" borderId="9" xfId="19" applyFont="true" applyBorder="true" applyAlignment="true" applyProtection="true">
      <alignment horizontal="left" vertical="bottom" textRotation="0" wrapText="false" indent="0" shrinkToFit="false"/>
      <protection locked="true" hidden="false"/>
    </xf>
    <xf numFmtId="235" fontId="61" fillId="0" borderId="4" xfId="1237" applyFont="true" applyBorder="true" applyAlignment="true" applyProtection="true">
      <alignment horizontal="general" vertical="bottom" textRotation="0" wrapText="false" indent="0" shrinkToFit="false"/>
      <protection locked="true" hidden="false"/>
    </xf>
    <xf numFmtId="259" fontId="109" fillId="0" borderId="9" xfId="0" applyFont="true" applyBorder="true" applyAlignment="false" applyProtection="true">
      <alignment horizontal="general" vertical="bottom" textRotation="0" wrapText="false" indent="0" shrinkToFit="false"/>
      <protection locked="true" hidden="false"/>
    </xf>
    <xf numFmtId="164" fontId="109" fillId="0" borderId="10" xfId="0" applyFont="true" applyBorder="true" applyAlignment="true" applyProtection="true">
      <alignment horizontal="left" vertical="bottom" textRotation="0" wrapText="false" indent="0" shrinkToFit="false"/>
      <protection locked="true" hidden="false"/>
    </xf>
    <xf numFmtId="164" fontId="123" fillId="0" borderId="10" xfId="0" applyFont="true" applyBorder="true" applyAlignment="true" applyProtection="true">
      <alignment horizontal="left" vertical="bottom" textRotation="0" wrapText="false" indent="0" shrinkToFit="false"/>
      <protection locked="true" hidden="false"/>
    </xf>
    <xf numFmtId="242" fontId="12" fillId="0" borderId="0" xfId="0" applyFont="true" applyBorder="true" applyAlignment="false" applyProtection="false">
      <alignment horizontal="general" vertical="bottom" textRotation="0" wrapText="false" indent="0" shrinkToFit="false"/>
      <protection locked="true" hidden="false"/>
    </xf>
    <xf numFmtId="243" fontId="110" fillId="0" borderId="0" xfId="0" applyFont="true" applyBorder="true" applyAlignment="false" applyProtection="false">
      <alignment horizontal="general" vertical="bottom" textRotation="0" wrapText="false" indent="0" shrinkToFit="false"/>
      <protection locked="true" hidden="false"/>
    </xf>
    <xf numFmtId="243" fontId="110" fillId="0" borderId="11" xfId="0" applyFont="true" applyBorder="true" applyAlignment="false" applyProtection="false">
      <alignment horizontal="general" vertical="bottom" textRotation="0" wrapText="false" indent="0" shrinkToFit="false"/>
      <protection locked="true" hidden="false"/>
    </xf>
    <xf numFmtId="242" fontId="57"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true">
      <alignment horizontal="left" vertical="bottom" textRotation="0" wrapText="false" indent="0" shrinkToFit="false"/>
      <protection locked="true" hidden="false"/>
    </xf>
    <xf numFmtId="164" fontId="57" fillId="0" borderId="11" xfId="0" applyFont="true" applyBorder="true" applyAlignment="true" applyProtection="true">
      <alignment horizontal="left" vertical="bottom" textRotation="0" wrapText="false" indent="0" shrinkToFit="false"/>
      <protection locked="true" hidden="false"/>
    </xf>
    <xf numFmtId="164" fontId="124" fillId="0" borderId="10" xfId="0" applyFont="true" applyBorder="true" applyAlignment="true" applyProtection="true">
      <alignment horizontal="left" vertical="bottom" textRotation="0" wrapText="false" indent="0" shrinkToFit="false"/>
      <protection locked="true" hidden="false"/>
    </xf>
    <xf numFmtId="185" fontId="57" fillId="0" borderId="1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true">
      <alignment horizontal="general" vertical="bottom" textRotation="0" wrapText="false" indent="0" shrinkToFit="false"/>
      <protection locked="true" hidden="false"/>
    </xf>
    <xf numFmtId="185" fontId="110" fillId="0" borderId="0" xfId="0" applyFont="true" applyBorder="true" applyAlignment="false" applyProtection="false">
      <alignment horizontal="general" vertical="bottom" textRotation="0" wrapText="false" indent="0" shrinkToFit="false"/>
      <protection locked="true" hidden="false"/>
    </xf>
    <xf numFmtId="185" fontId="110" fillId="0" borderId="11" xfId="0" applyFont="true" applyBorder="true" applyAlignment="false" applyProtection="false">
      <alignment horizontal="general" vertical="bottom" textRotation="0" wrapText="false" indent="0" shrinkToFit="false"/>
      <protection locked="true" hidden="false"/>
    </xf>
    <xf numFmtId="185" fontId="61" fillId="0" borderId="0" xfId="0" applyFont="true" applyBorder="true" applyAlignment="false" applyProtection="false">
      <alignment horizontal="general" vertical="bottom" textRotation="0" wrapText="false" indent="0" shrinkToFit="false"/>
      <protection locked="true" hidden="false"/>
    </xf>
    <xf numFmtId="185" fontId="61" fillId="0" borderId="11" xfId="0" applyFont="true" applyBorder="true" applyAlignment="false" applyProtection="false">
      <alignment horizontal="general" vertical="bottom" textRotation="0" wrapText="false" indent="0" shrinkToFit="false"/>
      <protection locked="true" hidden="false"/>
    </xf>
    <xf numFmtId="242" fontId="57" fillId="0" borderId="11" xfId="0" applyFont="true" applyBorder="true" applyAlignment="false" applyProtection="false">
      <alignment horizontal="general" vertical="bottom" textRotation="0" wrapText="false" indent="0" shrinkToFit="false"/>
      <protection locked="true" hidden="false"/>
    </xf>
    <xf numFmtId="169" fontId="57" fillId="0" borderId="0" xfId="17" applyFont="true" applyBorder="true" applyAlignment="true" applyProtection="true">
      <alignment horizontal="general" vertical="bottom" textRotation="0" wrapText="false" indent="0" shrinkToFit="false"/>
      <protection locked="true" hidden="false"/>
    </xf>
    <xf numFmtId="169" fontId="57" fillId="0" borderId="11" xfId="17" applyFont="true" applyBorder="true" applyAlignment="true" applyProtection="true">
      <alignment horizontal="general" vertical="bottom" textRotation="0" wrapText="false" indent="0" shrinkToFit="false"/>
      <protection locked="true" hidden="false"/>
    </xf>
    <xf numFmtId="164" fontId="95" fillId="0" borderId="0" xfId="0" applyFont="true" applyBorder="true" applyAlignment="false" applyProtection="false">
      <alignment horizontal="general" vertical="bottom" textRotation="0" wrapText="false" indent="0" shrinkToFit="false"/>
      <protection locked="true" hidden="false"/>
    </xf>
    <xf numFmtId="248" fontId="95" fillId="0" borderId="0" xfId="15" applyFont="true" applyBorder="true" applyAlignment="true" applyProtection="true">
      <alignment horizontal="general" vertical="bottom" textRotation="0" wrapText="false" indent="0" shrinkToFit="false"/>
      <protection locked="true" hidden="false"/>
    </xf>
    <xf numFmtId="235" fontId="61" fillId="0" borderId="3" xfId="1237" applyFont="true" applyBorder="true" applyAlignment="true" applyProtection="true">
      <alignment horizontal="general" vertical="bottom" textRotation="0" wrapText="false" indent="0" shrinkToFit="false"/>
      <protection locked="true" hidden="false"/>
    </xf>
    <xf numFmtId="248" fontId="61" fillId="0" borderId="3" xfId="15" applyFont="true" applyBorder="true" applyAlignment="true" applyProtection="true">
      <alignment horizontal="general" vertical="bottom" textRotation="0" wrapText="false" indent="0" shrinkToFit="false"/>
      <protection locked="true" hidden="false"/>
    </xf>
    <xf numFmtId="248" fontId="61" fillId="0" borderId="7" xfId="15" applyFont="true" applyBorder="true" applyAlignment="true" applyProtection="true">
      <alignment horizontal="general" vertical="bottom" textRotation="0" wrapText="false" indent="0" shrinkToFit="false"/>
      <protection locked="true" hidden="false"/>
    </xf>
    <xf numFmtId="164" fontId="109" fillId="0" borderId="4" xfId="0" applyFont="true" applyBorder="true" applyAlignment="true" applyProtection="true">
      <alignment horizontal="left" vertical="bottom" textRotation="0" wrapText="false" indent="0" shrinkToFit="false"/>
      <protection locked="true" hidden="false"/>
    </xf>
    <xf numFmtId="247" fontId="57" fillId="0" borderId="0" xfId="0" applyFont="true" applyBorder="true" applyAlignment="false" applyProtection="true">
      <alignment horizontal="general" vertical="bottom" textRotation="0" wrapText="false" indent="0" shrinkToFit="false"/>
      <protection locked="true" hidden="false"/>
    </xf>
    <xf numFmtId="247" fontId="57" fillId="0" borderId="11" xfId="0" applyFont="true" applyBorder="true" applyAlignment="false" applyProtection="true">
      <alignment horizontal="general" vertical="bottom" textRotation="0" wrapText="false" indent="0" shrinkToFit="false"/>
      <protection locked="true" hidden="false"/>
    </xf>
    <xf numFmtId="185" fontId="110" fillId="0" borderId="0" xfId="0" applyFont="true" applyBorder="true" applyAlignment="false" applyProtection="true">
      <alignment horizontal="general" vertical="bottom" textRotation="0" wrapText="false" indent="0" shrinkToFit="false"/>
      <protection locked="true" hidden="false"/>
    </xf>
    <xf numFmtId="185" fontId="110" fillId="0" borderId="11" xfId="0" applyFont="true" applyBorder="true" applyAlignment="false" applyProtection="true">
      <alignment horizontal="general" vertical="bottom" textRotation="0" wrapText="false" indent="0" shrinkToFit="false"/>
      <protection locked="true" hidden="false"/>
    </xf>
    <xf numFmtId="248" fontId="61" fillId="0" borderId="0" xfId="15" applyFont="true" applyBorder="true" applyAlignment="true" applyProtection="true">
      <alignment horizontal="general" vertical="bottom" textRotation="0" wrapText="false" indent="0" shrinkToFit="false"/>
      <protection locked="true" hidden="false"/>
    </xf>
    <xf numFmtId="185" fontId="109" fillId="0" borderId="0" xfId="0" applyFont="true" applyBorder="true" applyAlignment="false" applyProtection="true">
      <alignment horizontal="general" vertical="bottom" textRotation="0" wrapText="false" indent="0" shrinkToFit="false"/>
      <protection locked="true" hidden="false"/>
    </xf>
    <xf numFmtId="185" fontId="109" fillId="0" borderId="11" xfId="0" applyFont="true" applyBorder="true" applyAlignment="false" applyProtection="true">
      <alignment horizontal="general" vertical="bottom" textRotation="0" wrapText="false" indent="0" shrinkToFit="false"/>
      <protection locked="true" hidden="false"/>
    </xf>
    <xf numFmtId="164" fontId="95" fillId="0" borderId="0" xfId="0" applyFont="true" applyBorder="true" applyAlignment="false" applyProtection="true">
      <alignment horizontal="general" vertical="bottom" textRotation="0" wrapText="false" indent="0" shrinkToFit="false"/>
      <protection locked="false" hidden="false"/>
    </xf>
    <xf numFmtId="243" fontId="57" fillId="0" borderId="11" xfId="0" applyFont="true" applyBorder="true" applyAlignment="false" applyProtection="false">
      <alignment horizontal="general" vertical="bottom" textRotation="0" wrapText="false" indent="0" shrinkToFit="false"/>
      <protection locked="true" hidden="false"/>
    </xf>
    <xf numFmtId="248" fontId="119" fillId="0" borderId="0" xfId="0" applyFont="true" applyBorder="true" applyAlignment="false" applyProtection="true">
      <alignment horizontal="general" vertical="bottom" textRotation="0" wrapText="false" indent="0" shrinkToFit="false"/>
      <protection locked="true" hidden="false"/>
    </xf>
    <xf numFmtId="248" fontId="119" fillId="0" borderId="11" xfId="0" applyFont="true" applyBorder="true" applyAlignment="false" applyProtection="tru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61" fillId="0" borderId="12" xfId="0" applyFont="true" applyBorder="true" applyAlignment="false" applyProtection="false">
      <alignment horizontal="general" vertical="bottom" textRotation="0" wrapText="false" indent="0" shrinkToFit="false"/>
      <protection locked="true" hidden="false"/>
    </xf>
    <xf numFmtId="235" fontId="61" fillId="0" borderId="14" xfId="1237" applyFont="true" applyBorder="true" applyAlignment="true" applyProtection="true">
      <alignment horizontal="general" vertical="bottom" textRotation="0" wrapText="false" indent="0" shrinkToFit="false"/>
      <protection locked="true" hidden="false"/>
    </xf>
    <xf numFmtId="164" fontId="61" fillId="0" borderId="14" xfId="0" applyFont="true" applyBorder="true" applyAlignment="false" applyProtection="false">
      <alignment horizontal="general" vertical="bottom" textRotation="0" wrapText="false" indent="0" shrinkToFit="false"/>
      <protection locked="true" hidden="false"/>
    </xf>
    <xf numFmtId="248" fontId="61" fillId="0" borderId="14" xfId="15" applyFont="true" applyBorder="true" applyAlignment="true" applyProtection="true">
      <alignment horizontal="general" vertical="bottom" textRotation="0" wrapText="false" indent="0" shrinkToFit="false"/>
      <protection locked="true" hidden="false"/>
    </xf>
    <xf numFmtId="248" fontId="61" fillId="0" borderId="13" xfId="15" applyFont="true" applyBorder="true" applyAlignment="true" applyProtection="true">
      <alignment horizontal="general" vertical="bottom" textRotation="0" wrapText="false" indent="0" shrinkToFit="false"/>
      <protection locked="true" hidden="false"/>
    </xf>
    <xf numFmtId="164" fontId="82" fillId="0" borderId="4" xfId="0" applyFont="true" applyBorder="true" applyAlignment="false" applyProtection="false">
      <alignment horizontal="general" vertical="bottom" textRotation="0" wrapText="false" indent="0" shrinkToFit="false"/>
      <protection locked="true" hidden="false"/>
    </xf>
    <xf numFmtId="248" fontId="57" fillId="0" borderId="9" xfId="15" applyFont="true" applyBorder="true" applyAlignment="true" applyProtection="true">
      <alignment horizontal="general" vertical="bottom" textRotation="0" wrapText="false" indent="0" shrinkToFit="false"/>
      <protection locked="true" hidden="false"/>
    </xf>
    <xf numFmtId="248" fontId="57" fillId="0" borderId="5" xfId="15" applyFont="true" applyBorder="true" applyAlignment="true" applyProtection="true">
      <alignment horizontal="general" vertical="bottom" textRotation="0" wrapText="false" indent="0" shrinkToFit="false"/>
      <protection locked="true" hidden="false"/>
    </xf>
    <xf numFmtId="169" fontId="110" fillId="0" borderId="0" xfId="0" applyFont="true" applyBorder="true" applyAlignment="false" applyProtection="false">
      <alignment horizontal="general" vertical="bottom" textRotation="0" wrapText="false" indent="0" shrinkToFit="false"/>
      <protection locked="true" hidden="false"/>
    </xf>
    <xf numFmtId="169" fontId="110" fillId="0" borderId="11" xfId="0" applyFont="true" applyBorder="true" applyAlignment="false" applyProtection="false">
      <alignment horizontal="general" vertical="bottom" textRotation="0" wrapText="false" indent="0" shrinkToFit="false"/>
      <protection locked="true" hidden="false"/>
    </xf>
    <xf numFmtId="164" fontId="57" fillId="0" borderId="7" xfId="0" applyFont="true" applyBorder="true" applyAlignment="false" applyProtection="false">
      <alignment horizontal="general" vertical="bottom" textRotation="0" wrapText="false" indent="0" shrinkToFit="false"/>
      <protection locked="true" hidden="false"/>
    </xf>
    <xf numFmtId="235" fontId="125" fillId="2" borderId="9" xfId="1237" applyFont="true" applyBorder="true" applyAlignment="true" applyProtection="true">
      <alignment horizontal="right" vertical="bottom" textRotation="0" wrapText="false" indent="0" shrinkToFit="false"/>
      <protection locked="true" hidden="false"/>
    </xf>
    <xf numFmtId="185" fontId="57" fillId="2" borderId="5" xfId="915" applyFont="true" applyBorder="true" applyAlignment="true" applyProtection="true">
      <alignment horizontal="general" vertical="bottom" textRotation="0" wrapText="false" indent="0" shrinkToFit="false"/>
      <protection locked="true" hidden="false"/>
    </xf>
    <xf numFmtId="235" fontId="57" fillId="2" borderId="3" xfId="1237" applyFont="true" applyBorder="true" applyAlignment="true" applyProtection="true">
      <alignment horizontal="general" vertical="bottom" textRotation="0" wrapText="false" indent="0" shrinkToFit="false"/>
      <protection locked="true" hidden="false"/>
    </xf>
    <xf numFmtId="235" fontId="57" fillId="2" borderId="7" xfId="1237"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164" fontId="126" fillId="0" borderId="4" xfId="0" applyFont="true" applyBorder="true" applyAlignment="true" applyProtection="true">
      <alignment horizontal="left" vertical="bottom" textRotation="0" wrapText="false" indent="0" shrinkToFit="false"/>
      <protection locked="false" hidden="false"/>
    </xf>
    <xf numFmtId="259" fontId="110" fillId="0" borderId="9" xfId="0" applyFont="true" applyBorder="true" applyAlignment="false" applyProtection="true">
      <alignment horizontal="general" vertical="bottom" textRotation="0" wrapText="false" indent="0" shrinkToFit="false"/>
      <protection locked="false" hidden="false"/>
    </xf>
    <xf numFmtId="259" fontId="110" fillId="0" borderId="0" xfId="0" applyFont="true" applyBorder="false" applyAlignment="false" applyProtection="true">
      <alignment horizontal="general" vertical="bottom" textRotation="0" wrapText="false" indent="0" shrinkToFit="false"/>
      <protection locked="false" hidden="false"/>
    </xf>
    <xf numFmtId="236" fontId="95" fillId="0" borderId="0" xfId="0" applyFont="true" applyBorder="true" applyAlignment="false" applyProtection="true">
      <alignment horizontal="general" vertical="bottom" textRotation="0" wrapText="false" indent="0" shrinkToFit="false"/>
      <protection locked="false" hidden="false"/>
    </xf>
    <xf numFmtId="236" fontId="57" fillId="0" borderId="0" xfId="0" applyFont="true" applyBorder="true" applyAlignment="false" applyProtection="true">
      <alignment horizontal="general" vertical="bottom" textRotation="0" wrapText="false" indent="0" shrinkToFit="false"/>
      <protection locked="true" hidden="false"/>
    </xf>
    <xf numFmtId="164" fontId="95" fillId="0" borderId="0" xfId="0" applyFont="true" applyBorder="false" applyAlignment="true" applyProtection="true">
      <alignment horizontal="center" vertical="bottom" textRotation="0" wrapText="false" indent="0" shrinkToFit="false"/>
      <protection locked="false" hidden="false"/>
    </xf>
    <xf numFmtId="240" fontId="95" fillId="0" borderId="0" xfId="0" applyFont="true" applyBorder="true" applyAlignment="false" applyProtection="true">
      <alignment horizontal="general" vertical="bottom" textRotation="0" wrapText="false" indent="0" shrinkToFit="false"/>
      <protection locked="false" hidden="false"/>
    </xf>
    <xf numFmtId="206" fontId="57" fillId="0" borderId="0" xfId="0" applyFont="true" applyBorder="false" applyAlignment="false" applyProtection="true">
      <alignment horizontal="general" vertical="bottom" textRotation="0" wrapText="false" indent="0" shrinkToFit="false"/>
      <protection locked="true" hidden="false"/>
    </xf>
    <xf numFmtId="260" fontId="57" fillId="0" borderId="0" xfId="0" applyFont="true" applyBorder="false" applyAlignment="false" applyProtection="true">
      <alignment horizontal="general" vertical="bottom" textRotation="0" wrapText="false" indent="0" shrinkToFit="false"/>
      <protection locked="true" hidden="false"/>
    </xf>
    <xf numFmtId="240" fontId="57" fillId="0" borderId="0" xfId="0" applyFont="true" applyBorder="true" applyAlignment="false" applyProtection="true">
      <alignment horizontal="general" vertical="bottom" textRotation="0" wrapText="false" indent="0" shrinkToFit="false"/>
      <protection locked="true" hidden="false"/>
    </xf>
    <xf numFmtId="265" fontId="95" fillId="0" borderId="0" xfId="0" applyFont="true" applyBorder="true" applyAlignment="false" applyProtection="true">
      <alignment horizontal="general" vertical="bottom" textRotation="0" wrapText="false" indent="0" shrinkToFit="false"/>
      <protection locked="false" hidden="false"/>
    </xf>
    <xf numFmtId="164" fontId="57" fillId="0" borderId="0" xfId="0" applyFont="true" applyBorder="false" applyAlignment="false" applyProtection="true">
      <alignment horizontal="general" vertical="bottom" textRotation="0" wrapText="false" indent="0" shrinkToFit="false"/>
      <protection locked="true" hidden="false"/>
    </xf>
    <xf numFmtId="235" fontId="57" fillId="0" borderId="0" xfId="0" applyFont="true" applyBorder="false" applyAlignment="false" applyProtection="true">
      <alignment horizontal="general" vertical="bottom" textRotation="0" wrapText="false" indent="0" shrinkToFit="false"/>
      <protection locked="true" hidden="false"/>
    </xf>
    <xf numFmtId="248" fontId="118" fillId="0" borderId="0" xfId="15" applyFont="true" applyBorder="true" applyAlignment="true" applyProtection="true">
      <alignment horizontal="general" vertical="bottom" textRotation="0" wrapText="false" indent="0" shrinkToFit="false"/>
      <protection locked="true" hidden="false"/>
    </xf>
    <xf numFmtId="248" fontId="118" fillId="0" borderId="11" xfId="15" applyFont="true" applyBorder="true" applyAlignment="true" applyProtection="true">
      <alignment horizontal="general" vertical="bottom" textRotation="0" wrapText="false" indent="0" shrinkToFit="false"/>
      <protection locked="true" hidden="false"/>
    </xf>
    <xf numFmtId="164" fontId="57" fillId="0" borderId="6" xfId="0" applyFont="true" applyBorder="true" applyAlignment="true" applyProtection="true">
      <alignment horizontal="left" vertical="bottom" textRotation="0" wrapText="false" indent="0" shrinkToFit="false"/>
      <protection locked="true" hidden="false"/>
    </xf>
    <xf numFmtId="164" fontId="57" fillId="0" borderId="3" xfId="0" applyFont="true" applyBorder="true" applyAlignment="false" applyProtection="true">
      <alignment horizontal="general" vertical="bottom" textRotation="0" wrapText="false" indent="0" shrinkToFit="false"/>
      <protection locked="true" hidden="false"/>
    </xf>
    <xf numFmtId="164" fontId="57" fillId="0" borderId="0" xfId="0" applyFont="true" applyBorder="false" applyAlignment="true" applyProtection="true">
      <alignment horizontal="left" vertical="bottom" textRotation="0" wrapText="false" indent="0" shrinkToFit="false"/>
      <protection locked="true" hidden="false"/>
    </xf>
    <xf numFmtId="164" fontId="126" fillId="0" borderId="10" xfId="0" applyFont="true" applyBorder="true" applyAlignment="true" applyProtection="true">
      <alignment horizontal="left" vertical="bottom" textRotation="0" wrapText="false" indent="0" shrinkToFit="false"/>
      <protection locked="false" hidden="false"/>
    </xf>
    <xf numFmtId="206" fontId="57" fillId="0" borderId="0" xfId="0" applyFont="true" applyBorder="true" applyAlignment="false" applyProtection="true">
      <alignment horizontal="general" vertical="bottom" textRotation="0" wrapText="false" indent="0" shrinkToFit="false"/>
      <protection locked="true" hidden="false"/>
    </xf>
    <xf numFmtId="243" fontId="95" fillId="0" borderId="0" xfId="19" applyFont="true" applyBorder="true" applyAlignment="true" applyProtection="true">
      <alignment horizontal="general" vertical="bottom" textRotation="0" wrapText="false" indent="0" shrinkToFit="false"/>
      <protection locked="true" hidden="false"/>
    </xf>
    <xf numFmtId="243" fontId="95" fillId="0" borderId="11" xfId="19" applyFont="true" applyBorder="true" applyAlignment="true" applyProtection="true">
      <alignment horizontal="general" vertical="bottom" textRotation="0" wrapText="false" indent="0" shrinkToFit="false"/>
      <protection locked="true" hidden="false"/>
    </xf>
    <xf numFmtId="244" fontId="95" fillId="0" borderId="0" xfId="19" applyFont="true" applyBorder="true" applyAlignment="true" applyProtection="true">
      <alignment horizontal="general" vertical="bottom" textRotation="0" wrapText="false" indent="0" shrinkToFit="false"/>
      <protection locked="true" hidden="false"/>
    </xf>
    <xf numFmtId="164" fontId="57" fillId="0" borderId="9" xfId="0" applyFont="true" applyBorder="true" applyAlignment="true" applyProtection="true">
      <alignment horizontal="right" vertical="bottom" textRotation="0" wrapText="false" indent="0" shrinkToFit="false"/>
      <protection locked="true" hidden="false"/>
    </xf>
    <xf numFmtId="235" fontId="57" fillId="0" borderId="9" xfId="1237" applyFont="true" applyBorder="true" applyAlignment="true" applyProtection="true">
      <alignment horizontal="right" vertical="bottom" textRotation="0" wrapText="false" indent="0" shrinkToFit="false"/>
      <protection locked="true" hidden="false"/>
    </xf>
    <xf numFmtId="247" fontId="57" fillId="0" borderId="0" xfId="0" applyFont="true" applyBorder="true" applyAlignment="false" applyProtection="false">
      <alignment horizontal="general" vertical="bottom" textRotation="0" wrapText="false" indent="0" shrinkToFit="false"/>
      <protection locked="true" hidden="false"/>
    </xf>
    <xf numFmtId="244" fontId="95" fillId="0" borderId="0" xfId="19" applyFont="true" applyBorder="true" applyAlignment="true" applyProtection="true">
      <alignment horizontal="general" vertical="bottom" textRotation="0" wrapText="false" indent="0" shrinkToFit="false"/>
      <protection locked="false" hidden="false"/>
    </xf>
    <xf numFmtId="240" fontId="95" fillId="0" borderId="0" xfId="0" applyFont="true" applyBorder="false" applyAlignment="false" applyProtection="true">
      <alignment horizontal="general" vertical="bottom" textRotation="0" wrapText="false" indent="0" shrinkToFit="false"/>
      <protection locked="false" hidden="false"/>
    </xf>
    <xf numFmtId="164" fontId="97" fillId="0" borderId="0" xfId="0" applyFont="true" applyBorder="false" applyAlignment="true" applyProtection="false">
      <alignment horizontal="general" vertical="bottom" textRotation="0" wrapText="false" indent="0" shrinkToFit="false"/>
      <protection locked="true" hidden="false"/>
    </xf>
    <xf numFmtId="164" fontId="28" fillId="0" borderId="0" xfId="0" applyFont="true" applyBorder="false" applyAlignment="true" applyProtection="false">
      <alignment horizontal="center" vertical="bottom" textRotation="0" wrapText="false" indent="0" shrinkToFit="false"/>
      <protection locked="true" hidden="false"/>
    </xf>
    <xf numFmtId="251" fontId="113" fillId="0" borderId="0" xfId="19" applyFont="true" applyBorder="true" applyAlignment="true" applyProtection="true">
      <alignment horizontal="general" vertical="bottom" textRotation="0" wrapText="false" indent="0" shrinkToFit="false"/>
      <protection locked="true" hidden="false"/>
    </xf>
    <xf numFmtId="251" fontId="127" fillId="0" borderId="0" xfId="19" applyFont="true" applyBorder="true" applyAlignment="true" applyProtection="true">
      <alignment horizontal="general" vertical="bottom" textRotation="0" wrapText="false" indent="0" shrinkToFit="false"/>
      <protection locked="true" hidden="false"/>
    </xf>
    <xf numFmtId="251" fontId="57" fillId="0" borderId="0" xfId="0" applyFont="true" applyBorder="false" applyAlignment="false" applyProtection="false">
      <alignment horizontal="general" vertical="bottom" textRotation="0" wrapText="false" indent="0" shrinkToFit="false"/>
      <protection locked="true" hidden="false"/>
    </xf>
    <xf numFmtId="164" fontId="112" fillId="0" borderId="0" xfId="1293" applyFont="true" applyBorder="false" applyAlignment="false" applyProtection="false">
      <alignment horizontal="general" vertical="bottom" textRotation="0" wrapText="false" indent="0" shrinkToFit="false"/>
      <protection locked="true" hidden="false"/>
    </xf>
    <xf numFmtId="164" fontId="128" fillId="2" borderId="9" xfId="1293" applyFont="true" applyBorder="true" applyAlignment="false" applyProtection="false">
      <alignment horizontal="general" vertical="bottom" textRotation="0" wrapText="false" indent="0" shrinkToFit="false"/>
      <protection locked="true" hidden="false"/>
    </xf>
    <xf numFmtId="164" fontId="128" fillId="2" borderId="5" xfId="1293" applyFont="true" applyBorder="true" applyAlignment="false" applyProtection="false">
      <alignment horizontal="general" vertical="bottom" textRotation="0" wrapText="false" indent="0" shrinkToFit="false"/>
      <protection locked="true" hidden="false"/>
    </xf>
    <xf numFmtId="164" fontId="128" fillId="0" borderId="0" xfId="1293" applyFont="true" applyBorder="false" applyAlignment="false" applyProtection="false">
      <alignment horizontal="general" vertical="bottom" textRotation="0" wrapText="false" indent="0" shrinkToFit="false"/>
      <protection locked="true" hidden="false"/>
    </xf>
    <xf numFmtId="164" fontId="128" fillId="0" borderId="0" xfId="1293" applyFont="true" applyBorder="false" applyAlignment="true" applyProtection="false">
      <alignment horizontal="center" vertical="bottom" textRotation="0" wrapText="false" indent="0" shrinkToFit="false"/>
      <protection locked="true" hidden="false"/>
    </xf>
    <xf numFmtId="164" fontId="128" fillId="2" borderId="3" xfId="1293" applyFont="true" applyBorder="true" applyAlignment="false" applyProtection="false">
      <alignment horizontal="general" vertical="bottom" textRotation="0" wrapText="false" indent="0" shrinkToFit="false"/>
      <protection locked="true" hidden="false"/>
    </xf>
    <xf numFmtId="164" fontId="128" fillId="2" borderId="7" xfId="1293" applyFont="true" applyBorder="true" applyAlignment="false" applyProtection="false">
      <alignment horizontal="general" vertical="bottom" textRotation="0" wrapText="false" indent="0" shrinkToFit="false"/>
      <protection locked="true" hidden="false"/>
    </xf>
    <xf numFmtId="164" fontId="97" fillId="0" borderId="0" xfId="0" applyFont="true" applyBorder="true" applyAlignment="false" applyProtection="false">
      <alignment horizontal="general" vertical="bottom" textRotation="0" wrapText="false" indent="0" shrinkToFit="false"/>
      <protection locked="true" hidden="false"/>
    </xf>
    <xf numFmtId="164" fontId="126" fillId="0" borderId="0" xfId="1293" applyFont="true" applyBorder="true" applyAlignment="false" applyProtection="false">
      <alignment horizontal="general" vertical="bottom" textRotation="0" wrapText="false" indent="0" shrinkToFit="false"/>
      <protection locked="true" hidden="false"/>
    </xf>
    <xf numFmtId="164" fontId="128" fillId="0" borderId="0" xfId="1293" applyFont="true" applyBorder="true" applyAlignment="false" applyProtection="false">
      <alignment horizontal="general" vertical="bottom" textRotation="0" wrapText="false" indent="0" shrinkToFit="false"/>
      <protection locked="true" hidden="false"/>
    </xf>
    <xf numFmtId="164" fontId="126" fillId="0" borderId="0" xfId="1293" applyFont="true" applyBorder="false" applyAlignment="true" applyProtection="false">
      <alignment horizontal="center" vertical="bottom" textRotation="0" wrapText="false" indent="0" shrinkToFit="false"/>
      <protection locked="true" hidden="false"/>
    </xf>
    <xf numFmtId="164" fontId="126" fillId="0" borderId="4" xfId="1293" applyFont="true" applyBorder="true" applyAlignment="false" applyProtection="false">
      <alignment horizontal="general" vertical="bottom" textRotation="0" wrapText="false" indent="0" shrinkToFit="false"/>
      <protection locked="true" hidden="false"/>
    </xf>
    <xf numFmtId="164" fontId="112" fillId="0" borderId="9" xfId="1293" applyFont="true" applyBorder="true" applyAlignment="false" applyProtection="false">
      <alignment horizontal="general" vertical="bottom" textRotation="0" wrapText="false" indent="0" shrinkToFit="false"/>
      <protection locked="true" hidden="false"/>
    </xf>
    <xf numFmtId="246" fontId="111" fillId="0" borderId="5" xfId="1293" applyFont="true" applyBorder="true" applyAlignment="false" applyProtection="false">
      <alignment horizontal="general" vertical="bottom" textRotation="0" wrapText="false" indent="0" shrinkToFit="false"/>
      <protection locked="true" hidden="false"/>
    </xf>
    <xf numFmtId="246" fontId="62" fillId="0" borderId="0" xfId="1293" applyFont="true" applyBorder="true" applyAlignment="false" applyProtection="false">
      <alignment horizontal="general" vertical="bottom" textRotation="0" wrapText="false" indent="0" shrinkToFit="false"/>
      <protection locked="true" hidden="false"/>
    </xf>
    <xf numFmtId="164" fontId="126" fillId="0" borderId="10" xfId="1293" applyFont="true" applyBorder="true" applyAlignment="false" applyProtection="false">
      <alignment horizontal="general" vertical="bottom" textRotation="0" wrapText="false" indent="0" shrinkToFit="false"/>
      <protection locked="true" hidden="false"/>
    </xf>
    <xf numFmtId="164" fontId="112" fillId="0" borderId="0" xfId="1293" applyFont="true" applyBorder="true" applyAlignment="false" applyProtection="false">
      <alignment horizontal="general" vertical="bottom" textRotation="0" wrapText="false" indent="0" shrinkToFit="false"/>
      <protection locked="true" hidden="false"/>
    </xf>
    <xf numFmtId="243" fontId="126" fillId="0" borderId="11" xfId="1293" applyFont="true" applyBorder="true" applyAlignment="false" applyProtection="false">
      <alignment horizontal="general" vertical="bottom" textRotation="0" wrapText="false" indent="0" shrinkToFit="false"/>
      <protection locked="true" hidden="false"/>
    </xf>
    <xf numFmtId="243" fontId="126" fillId="0" borderId="0" xfId="1293" applyFont="true" applyBorder="true" applyAlignment="false" applyProtection="false">
      <alignment horizontal="general" vertical="bottom" textRotation="0" wrapText="false" indent="0" shrinkToFit="false"/>
      <protection locked="true" hidden="false"/>
    </xf>
    <xf numFmtId="170" fontId="126" fillId="0" borderId="0" xfId="1080" applyFont="true" applyBorder="true" applyAlignment="true" applyProtection="true">
      <alignment horizontal="general" vertical="bottom" textRotation="0" wrapText="false" indent="0" shrinkToFit="false"/>
      <protection locked="true" hidden="false"/>
    </xf>
    <xf numFmtId="235" fontId="129" fillId="0" borderId="11" xfId="1293" applyFont="true" applyBorder="true" applyAlignment="false" applyProtection="false">
      <alignment horizontal="general" vertical="bottom" textRotation="0" wrapText="false" indent="0" shrinkToFit="false"/>
      <protection locked="true" hidden="false"/>
    </xf>
    <xf numFmtId="235" fontId="126" fillId="0" borderId="0" xfId="1293" applyFont="true" applyBorder="true" applyAlignment="false" applyProtection="false">
      <alignment horizontal="general" vertical="bottom" textRotation="0" wrapText="false" indent="0" shrinkToFit="false"/>
      <protection locked="true" hidden="false"/>
    </xf>
    <xf numFmtId="164" fontId="126" fillId="0" borderId="0" xfId="1293" applyFont="true" applyBorder="false" applyAlignment="false" applyProtection="false">
      <alignment horizontal="general" vertical="bottom" textRotation="0" wrapText="false" indent="0" shrinkToFit="false"/>
      <protection locked="true" hidden="false"/>
    </xf>
    <xf numFmtId="164" fontId="112" fillId="0" borderId="10" xfId="1293" applyFont="true" applyBorder="true" applyAlignment="false" applyProtection="false">
      <alignment horizontal="general" vertical="bottom" textRotation="0" wrapText="false" indent="0" shrinkToFit="false"/>
      <protection locked="true" hidden="false"/>
    </xf>
    <xf numFmtId="164" fontId="112" fillId="0" borderId="11" xfId="1293" applyFont="true" applyBorder="true" applyAlignment="false" applyProtection="false">
      <alignment horizontal="general" vertical="bottom" textRotation="0" wrapText="false" indent="0" shrinkToFit="false"/>
      <protection locked="true" hidden="false"/>
    </xf>
    <xf numFmtId="243" fontId="129" fillId="0" borderId="11" xfId="1293" applyFont="true" applyBorder="true" applyAlignment="false" applyProtection="false">
      <alignment horizontal="general" vertical="bottom" textRotation="0" wrapText="false" indent="0" shrinkToFit="false"/>
      <protection locked="true" hidden="false"/>
    </xf>
    <xf numFmtId="170" fontId="126" fillId="0" borderId="0" xfId="1293" applyFont="true" applyBorder="false" applyAlignment="false" applyProtection="false">
      <alignment horizontal="general" vertical="bottom" textRotation="0" wrapText="false" indent="0" shrinkToFit="false"/>
      <protection locked="true" hidden="false"/>
    </xf>
    <xf numFmtId="235" fontId="129" fillId="0" borderId="11" xfId="1293" applyFont="true" applyBorder="true" applyAlignment="false" applyProtection="false">
      <alignment horizontal="general" vertical="bottom" textRotation="0" wrapText="false" indent="0" shrinkToFit="false"/>
      <protection locked="true" hidden="false"/>
    </xf>
    <xf numFmtId="235" fontId="126" fillId="0" borderId="0" xfId="1293" applyFont="true" applyBorder="true" applyAlignment="false" applyProtection="false">
      <alignment horizontal="general" vertical="bottom" textRotation="0" wrapText="false" indent="0" shrinkToFit="false"/>
      <protection locked="true" hidden="false"/>
    </xf>
    <xf numFmtId="243" fontId="112" fillId="0" borderId="0" xfId="1293" applyFont="true" applyBorder="false" applyAlignment="false" applyProtection="false">
      <alignment horizontal="general" vertical="bottom" textRotation="0" wrapText="false" indent="0" shrinkToFit="false"/>
      <protection locked="true" hidden="false"/>
    </xf>
    <xf numFmtId="164" fontId="112" fillId="0" borderId="6" xfId="1293" applyFont="true" applyBorder="true" applyAlignment="false" applyProtection="false">
      <alignment horizontal="general" vertical="bottom" textRotation="0" wrapText="false" indent="0" shrinkToFit="false"/>
      <protection locked="true" hidden="false"/>
    </xf>
    <xf numFmtId="164" fontId="112" fillId="0" borderId="3" xfId="1293" applyFont="true" applyBorder="true" applyAlignment="false" applyProtection="false">
      <alignment horizontal="general" vertical="bottom" textRotation="0" wrapText="false" indent="0" shrinkToFit="false"/>
      <protection locked="true" hidden="false"/>
    </xf>
    <xf numFmtId="164" fontId="126" fillId="0" borderId="7" xfId="1293" applyFont="true" applyBorder="true" applyAlignment="false" applyProtection="false">
      <alignment horizontal="general" vertical="bottom" textRotation="0" wrapText="false" indent="0" shrinkToFit="false"/>
      <protection locked="true" hidden="false"/>
    </xf>
    <xf numFmtId="164" fontId="126" fillId="0" borderId="6" xfId="1293" applyFont="true" applyBorder="true" applyAlignment="false" applyProtection="false">
      <alignment horizontal="general" vertical="bottom" textRotation="0" wrapText="false" indent="0" shrinkToFit="false"/>
      <protection locked="true" hidden="false"/>
    </xf>
    <xf numFmtId="246" fontId="126" fillId="0" borderId="7" xfId="1293" applyFont="true" applyBorder="true" applyAlignment="false" applyProtection="false">
      <alignment horizontal="general" vertical="bottom" textRotation="0" wrapText="false" indent="0" shrinkToFit="false"/>
      <protection locked="true" hidden="false"/>
    </xf>
    <xf numFmtId="246" fontId="126" fillId="0" borderId="0" xfId="1293" applyFont="true" applyBorder="true" applyAlignment="false" applyProtection="false">
      <alignment horizontal="general" vertical="bottom" textRotation="0" wrapText="false" indent="0" shrinkToFit="false"/>
      <protection locked="true" hidden="false"/>
    </xf>
    <xf numFmtId="231" fontId="112" fillId="0" borderId="0" xfId="1293" applyFont="true" applyBorder="false" applyAlignment="false" applyProtection="false">
      <alignment horizontal="general" vertical="bottom" textRotation="0" wrapText="false" indent="0" shrinkToFit="false"/>
      <protection locked="true" hidden="false"/>
    </xf>
    <xf numFmtId="164" fontId="126" fillId="0" borderId="8" xfId="1293" applyFont="true" applyBorder="true" applyAlignment="true" applyProtection="false">
      <alignment horizontal="center" vertical="bottom" textRotation="0" wrapText="false" indent="0" shrinkToFit="false"/>
      <protection locked="true" hidden="false"/>
    </xf>
    <xf numFmtId="164" fontId="126" fillId="0" borderId="13" xfId="1293" applyFont="true" applyBorder="true" applyAlignment="true" applyProtection="false">
      <alignment horizontal="center" vertical="bottom" textRotation="0" wrapText="false" indent="0" shrinkToFit="false"/>
      <protection locked="true" hidden="false"/>
    </xf>
    <xf numFmtId="164" fontId="112" fillId="0" borderId="25" xfId="1293" applyFont="true" applyBorder="true" applyAlignment="false" applyProtection="false">
      <alignment horizontal="general" vertical="bottom" textRotation="0" wrapText="false" indent="0" shrinkToFit="false"/>
      <protection locked="true" hidden="false"/>
    </xf>
    <xf numFmtId="164" fontId="126" fillId="0" borderId="25" xfId="1293" applyFont="true" applyBorder="true" applyAlignment="false" applyProtection="false">
      <alignment horizontal="general" vertical="bottom" textRotation="0" wrapText="false" indent="0" shrinkToFit="false"/>
      <protection locked="true" hidden="false"/>
    </xf>
    <xf numFmtId="164" fontId="126" fillId="0" borderId="11" xfId="1293" applyFont="true" applyBorder="true" applyAlignment="false" applyProtection="false">
      <alignment horizontal="general" vertical="bottom" textRotation="0" wrapText="false" indent="0" shrinkToFit="false"/>
      <protection locked="true" hidden="false"/>
    </xf>
    <xf numFmtId="246" fontId="126" fillId="0" borderId="25" xfId="1293" applyFont="true" applyBorder="true" applyAlignment="false" applyProtection="false">
      <alignment horizontal="general" vertical="bottom" textRotation="0" wrapText="false" indent="0" shrinkToFit="false"/>
      <protection locked="true" hidden="false"/>
    </xf>
    <xf numFmtId="246" fontId="126" fillId="0" borderId="11" xfId="1293" applyFont="true" applyBorder="true" applyAlignment="false" applyProtection="false">
      <alignment horizontal="general" vertical="bottom" textRotation="0" wrapText="false" indent="0" shrinkToFit="false"/>
      <protection locked="true" hidden="false"/>
    </xf>
    <xf numFmtId="164" fontId="112" fillId="0" borderId="25" xfId="1293" applyFont="true" applyBorder="true" applyAlignment="true" applyProtection="false">
      <alignment horizontal="center" vertical="bottom" textRotation="0" wrapText="false" indent="0" shrinkToFit="false"/>
      <protection locked="true" hidden="false"/>
    </xf>
    <xf numFmtId="249" fontId="112" fillId="0" borderId="25" xfId="1293" applyFont="true" applyBorder="true" applyAlignment="false" applyProtection="false">
      <alignment horizontal="general" vertical="bottom" textRotation="0" wrapText="false" indent="0" shrinkToFit="false"/>
      <protection locked="true" hidden="false"/>
    </xf>
    <xf numFmtId="246" fontId="95" fillId="0" borderId="25" xfId="1293" applyFont="true" applyBorder="true" applyAlignment="false" applyProtection="false">
      <alignment horizontal="general" vertical="bottom" textRotation="0" wrapText="false" indent="0" shrinkToFit="false"/>
      <protection locked="true" hidden="false"/>
    </xf>
    <xf numFmtId="169" fontId="112" fillId="0" borderId="25" xfId="1293" applyFont="true" applyBorder="true" applyAlignment="false" applyProtection="false">
      <alignment horizontal="general" vertical="bottom" textRotation="0" wrapText="false" indent="0" shrinkToFit="false"/>
      <protection locked="true" hidden="false"/>
    </xf>
    <xf numFmtId="246" fontId="112" fillId="0" borderId="11" xfId="1293" applyFont="true" applyBorder="true" applyAlignment="false" applyProtection="false">
      <alignment horizontal="general" vertical="bottom" textRotation="0" wrapText="false" indent="0" shrinkToFit="false"/>
      <protection locked="true" hidden="false"/>
    </xf>
    <xf numFmtId="246" fontId="112" fillId="0" borderId="25" xfId="1293" applyFont="true" applyBorder="true" applyAlignment="false" applyProtection="false">
      <alignment horizontal="general" vertical="bottom" textRotation="0" wrapText="false" indent="0" shrinkToFit="false"/>
      <protection locked="true" hidden="false"/>
    </xf>
    <xf numFmtId="164" fontId="112" fillId="0" borderId="26" xfId="1293" applyFont="true" applyBorder="true" applyAlignment="true" applyProtection="false">
      <alignment horizontal="center" vertical="bottom" textRotation="0" wrapText="false" indent="0" shrinkToFit="false"/>
      <protection locked="true" hidden="false"/>
    </xf>
    <xf numFmtId="249" fontId="112" fillId="0" borderId="26" xfId="1293" applyFont="true" applyBorder="true" applyAlignment="false" applyProtection="false">
      <alignment horizontal="general" vertical="bottom" textRotation="0" wrapText="false" indent="0" shrinkToFit="false"/>
      <protection locked="true" hidden="false"/>
    </xf>
    <xf numFmtId="246" fontId="95" fillId="0" borderId="26" xfId="1293" applyFont="true" applyBorder="true" applyAlignment="false" applyProtection="false">
      <alignment horizontal="general" vertical="bottom" textRotation="0" wrapText="false" indent="0" shrinkToFit="false"/>
      <protection locked="true" hidden="false"/>
    </xf>
    <xf numFmtId="169" fontId="112" fillId="0" borderId="26" xfId="1293" applyFont="true" applyBorder="true" applyAlignment="false" applyProtection="false">
      <alignment horizontal="general" vertical="bottom" textRotation="0" wrapText="false" indent="0" shrinkToFit="false"/>
      <protection locked="true" hidden="false"/>
    </xf>
    <xf numFmtId="246" fontId="112" fillId="0" borderId="26" xfId="1293" applyFont="true" applyBorder="true" applyAlignment="false" applyProtection="false">
      <alignment horizontal="general" vertical="bottom" textRotation="0" wrapText="false" indent="0" shrinkToFit="false"/>
      <protection locked="true" hidden="false"/>
    </xf>
    <xf numFmtId="246" fontId="112" fillId="0" borderId="7" xfId="1293" applyFont="true" applyBorder="true" applyAlignment="false" applyProtection="false">
      <alignment horizontal="general" vertical="bottom" textRotation="0" wrapText="false" indent="0" shrinkToFit="false"/>
      <protection locked="true" hidden="false"/>
    </xf>
    <xf numFmtId="246" fontId="28" fillId="0" borderId="0" xfId="0" applyFont="true" applyBorder="false" applyAlignment="false" applyProtection="false">
      <alignment horizontal="general" vertical="bottom" textRotation="0" wrapText="false" indent="0" shrinkToFit="false"/>
      <protection locked="true" hidden="false"/>
    </xf>
    <xf numFmtId="249" fontId="112" fillId="0" borderId="0" xfId="1293" applyFont="true" applyBorder="true" applyAlignment="false" applyProtection="false">
      <alignment horizontal="general" vertical="bottom" textRotation="0" wrapText="false" indent="0" shrinkToFit="false"/>
      <protection locked="true" hidden="false"/>
    </xf>
    <xf numFmtId="249" fontId="95" fillId="0" borderId="0" xfId="1293" applyFont="true" applyBorder="true" applyAlignment="false" applyProtection="false">
      <alignment horizontal="general" vertical="bottom" textRotation="0" wrapText="false" indent="0" shrinkToFit="false"/>
      <protection locked="true" hidden="false"/>
    </xf>
    <xf numFmtId="246" fontId="112" fillId="0" borderId="0" xfId="1293" applyFont="true" applyBorder="true" applyAlignment="false" applyProtection="false">
      <alignment horizontal="general" vertical="bottom" textRotation="0" wrapText="false" indent="0" shrinkToFit="false"/>
      <protection locked="true" hidden="false"/>
    </xf>
    <xf numFmtId="246" fontId="112" fillId="0" borderId="0" xfId="1293"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259" fontId="84" fillId="0" borderId="0" xfId="0" applyFont="true" applyBorder="false" applyAlignment="false" applyProtection="true">
      <alignment horizontal="general" vertical="bottom" textRotation="0" wrapText="false" indent="0" shrinkToFit="false"/>
      <protection locked="true" hidden="false"/>
    </xf>
    <xf numFmtId="164" fontId="53" fillId="0" borderId="0" xfId="0" applyFont="true" applyBorder="false" applyAlignment="false" applyProtection="false">
      <alignment horizontal="general" vertical="bottom" textRotation="0" wrapText="false" indent="0" shrinkToFit="false"/>
      <protection locked="true" hidden="false"/>
    </xf>
    <xf numFmtId="164" fontId="57" fillId="0" borderId="4" xfId="0" applyFont="true" applyBorder="true" applyAlignment="false" applyProtection="false">
      <alignment horizontal="general" vertical="bottom" textRotation="0" wrapText="false" indent="0" shrinkToFit="false"/>
      <protection locked="true" hidden="false"/>
    </xf>
    <xf numFmtId="206" fontId="57" fillId="0" borderId="0" xfId="0" applyFont="true" applyBorder="true" applyAlignment="false" applyProtection="false">
      <alignment horizontal="general" vertical="bottom" textRotation="0" wrapText="false" indent="0" shrinkToFit="false"/>
      <protection locked="true" hidden="false"/>
    </xf>
    <xf numFmtId="164" fontId="25" fillId="0" borderId="10" xfId="0" applyFont="true" applyBorder="true" applyAlignment="false" applyProtection="false">
      <alignment horizontal="general" vertical="bottom" textRotation="0" wrapText="false" indent="0" shrinkToFit="false"/>
      <protection locked="true" hidden="false"/>
    </xf>
    <xf numFmtId="248" fontId="57" fillId="0" borderId="3" xfId="0" applyFont="true" applyBorder="true" applyAlignment="false" applyProtection="false">
      <alignment horizontal="general" vertical="bottom" textRotation="0" wrapText="false" indent="0" shrinkToFit="false"/>
      <protection locked="true" hidden="false"/>
    </xf>
    <xf numFmtId="248" fontId="57" fillId="0" borderId="7" xfId="0" applyFont="true" applyBorder="true" applyAlignment="false" applyProtection="false">
      <alignment horizontal="general" vertical="bottom" textRotation="0" wrapText="false" indent="0" shrinkToFit="false"/>
      <protection locked="true" hidden="false"/>
    </xf>
    <xf numFmtId="252" fontId="57" fillId="0" borderId="0" xfId="0" applyFont="true" applyBorder="false" applyAlignment="false" applyProtection="false">
      <alignment horizontal="general" vertical="bottom" textRotation="0" wrapText="false" indent="0" shrinkToFit="false"/>
      <protection locked="true" hidden="false"/>
    </xf>
    <xf numFmtId="170" fontId="57" fillId="0" borderId="0" xfId="0" applyFont="true" applyBorder="false" applyAlignment="false" applyProtection="false">
      <alignment horizontal="general" vertical="bottom" textRotation="0" wrapText="false" indent="0" shrinkToFit="false"/>
      <protection locked="true" hidden="false"/>
    </xf>
    <xf numFmtId="242" fontId="57" fillId="0" borderId="0" xfId="0" applyFont="true" applyBorder="false" applyAlignment="false" applyProtection="false">
      <alignment horizontal="general" vertical="bottom" textRotation="0" wrapText="false" indent="0" shrinkToFit="false"/>
      <protection locked="true" hidden="false"/>
    </xf>
    <xf numFmtId="249" fontId="0" fillId="0" borderId="0" xfId="19" applyFont="true" applyBorder="true" applyAlignment="true" applyProtection="true">
      <alignment horizontal="general" vertical="bottom" textRotation="0" wrapText="false" indent="0" shrinkToFit="false"/>
      <protection locked="true" hidden="false"/>
    </xf>
    <xf numFmtId="164" fontId="66" fillId="0" borderId="4" xfId="0" applyFont="true" applyBorder="true" applyAlignment="true" applyProtection="false">
      <alignment horizontal="general" vertical="bottom" textRotation="0" wrapText="true" indent="0" shrinkToFit="false"/>
      <protection locked="true" hidden="false"/>
    </xf>
    <xf numFmtId="243" fontId="0" fillId="0" borderId="5" xfId="19" applyFont="true" applyBorder="true" applyAlignment="true" applyProtection="true">
      <alignment horizontal="general" vertical="bottom" textRotation="0" wrapText="false" indent="0" shrinkToFit="false"/>
      <protection locked="true" hidden="false"/>
    </xf>
    <xf numFmtId="164" fontId="66" fillId="0" borderId="9" xfId="0" applyFont="true" applyBorder="true" applyAlignment="true" applyProtection="false">
      <alignment horizontal="general" vertical="bottom" textRotation="0" wrapText="true" indent="0" shrinkToFit="false"/>
      <protection locked="true" hidden="false"/>
    </xf>
    <xf numFmtId="164" fontId="66" fillId="0" borderId="9" xfId="0" applyFont="true" applyBorder="true" applyAlignment="false" applyProtection="false">
      <alignment horizontal="general" vertical="bottom" textRotation="0" wrapText="false" indent="0" shrinkToFit="false"/>
      <protection locked="true" hidden="false"/>
    </xf>
    <xf numFmtId="164" fontId="66" fillId="0" borderId="5" xfId="0" applyFont="true" applyBorder="true" applyAlignment="false" applyProtection="false">
      <alignment horizontal="general" vertical="bottom" textRotation="0" wrapText="false" indent="0" shrinkToFit="false"/>
      <protection locked="true" hidden="false"/>
    </xf>
    <xf numFmtId="164" fontId="66" fillId="0" borderId="10" xfId="0" applyFont="true" applyBorder="true" applyAlignment="true" applyProtection="false">
      <alignment horizontal="general" vertical="bottom" textRotation="0" wrapText="true" indent="0" shrinkToFit="false"/>
      <protection locked="true" hidden="false"/>
    </xf>
    <xf numFmtId="180" fontId="0" fillId="0" borderId="11" xfId="19" applyFont="true" applyBorder="true" applyAlignment="true" applyProtection="true">
      <alignment horizontal="general" vertical="bottom" textRotation="0" wrapText="false" indent="0" shrinkToFit="false"/>
      <protection locked="true" hidden="false"/>
    </xf>
    <xf numFmtId="243" fontId="0" fillId="0" borderId="0" xfId="19" applyFont="true" applyBorder="true" applyAlignment="true" applyProtection="true">
      <alignment horizontal="general" vertical="bottom" textRotation="0" wrapText="false" indent="0" shrinkToFit="false"/>
      <protection locked="true" hidden="false"/>
    </xf>
    <xf numFmtId="243" fontId="0" fillId="0" borderId="11" xfId="19" applyFont="true" applyBorder="true" applyAlignment="true" applyProtection="true">
      <alignment horizontal="general" vertical="bottom" textRotation="0" wrapText="false" indent="0" shrinkToFit="false"/>
      <protection locked="true" hidden="false"/>
    </xf>
    <xf numFmtId="164" fontId="66" fillId="0" borderId="10" xfId="0" applyFont="tru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9" fontId="0" fillId="0" borderId="3" xfId="0" applyFont="false" applyBorder="true" applyAlignment="false" applyProtection="false">
      <alignment horizontal="general" vertical="bottom" textRotation="0" wrapText="false" indent="0" shrinkToFit="false"/>
      <protection locked="true" hidden="false"/>
    </xf>
    <xf numFmtId="243" fontId="0" fillId="0" borderId="3" xfId="19" applyFont="true" applyBorder="true" applyAlignment="true" applyProtection="true">
      <alignment horizontal="general" vertical="bottom" textRotation="0" wrapText="false" indent="0" shrinkToFit="false"/>
      <protection locked="true" hidden="false"/>
    </xf>
    <xf numFmtId="243" fontId="0" fillId="0" borderId="7" xfId="19" applyFont="true" applyBorder="true" applyAlignment="true" applyProtection="true">
      <alignment horizontal="general" vertical="bottom" textRotation="0" wrapText="false" indent="0" shrinkToFit="false"/>
      <protection locked="true" hidden="false"/>
    </xf>
  </cellXfs>
  <cellStyles count="1658">
    <cellStyle name="Normal" xfId="0" builtinId="0"/>
    <cellStyle name="Comma" xfId="15" builtinId="3"/>
    <cellStyle name="Comma [0]" xfId="16" builtinId="6"/>
    <cellStyle name="Currency" xfId="17" builtinId="4"/>
    <cellStyle name="Currency [0]" xfId="18" builtinId="7"/>
    <cellStyle name="Percent" xfId="19" builtinId="5"/>
    <cellStyle name="?? [0]_94???" xfId="20"/>
    <cellStyle name="?? [0]_94???_demand analysisrevised" xfId="21"/>
    <cellStyle name="?? [0]_??" xfId="22"/>
    <cellStyle name="?? [0]_???" xfId="23"/>
    <cellStyle name="?? [0]_?????" xfId="24"/>
    <cellStyle name="?? [0]_?????_???" xfId="25"/>
    <cellStyle name="?? [0]_?????_???_demand analysisrevised" xfId="26"/>
    <cellStyle name="?? [0]_?????_demand analysisrevised" xfId="27"/>
    <cellStyle name="?? [0]_???_demand analysisrevised" xfId="28"/>
    <cellStyle name="?? [0]_??_demand analysisrevised" xfId="29"/>
    <cellStyle name="?? [0]_dimon" xfId="30"/>
    <cellStyle name="?? [0]_form" xfId="31"/>
    <cellStyle name="?? [0]_form_demand analysisrevised" xfId="32"/>
    <cellStyle name="?? [0]_laroux" xfId="33"/>
    <cellStyle name="?? [0]_laroux_1" xfId="34"/>
    <cellStyle name="?? [0]_laroux_1_demand analysisrevised" xfId="35"/>
    <cellStyle name="?? [0]_laroux_2" xfId="36"/>
    <cellStyle name="?? [0]_laroux_demand analysisrevised" xfId="37"/>
    <cellStyle name="?? [0]_PERSONAL" xfId="38"/>
    <cellStyle name="?? [0]_PERSONAL_1" xfId="39"/>
    <cellStyle name="?? [0]_PERSONAL_1_demand analysisrevised" xfId="40"/>
    <cellStyle name="?? [0]_PERSONAL_2" xfId="41"/>
    <cellStyle name="?? [0]_PERSONAL_2_demand analysisrevised" xfId="42"/>
    <cellStyle name="?? [0]_PERSONAL_3" xfId="43"/>
    <cellStyle name="?? [0]_PERSONAL_demand analysisrevised" xfId="44"/>
    <cellStyle name="?? [0]_Sheet2" xfId="45"/>
    <cellStyle name="??_94???" xfId="46"/>
    <cellStyle name="??_94???_demand analysisrevised" xfId="47"/>
    <cellStyle name="??_970120" xfId="48"/>
    <cellStyle name="??_97???" xfId="49"/>
    <cellStyle name="??_?.????" xfId="50"/>
    <cellStyle name="??_??" xfId="51"/>
    <cellStyle name="??_???" xfId="52"/>
    <cellStyle name="??_????" xfId="53"/>
    <cellStyle name="??_?????" xfId="54"/>
    <cellStyle name="??_?????_1" xfId="55"/>
    <cellStyle name="??_?????_2" xfId="56"/>
    <cellStyle name="??_?????_???" xfId="57"/>
    <cellStyle name="??_?????_???_demand analysisrevised" xfId="58"/>
    <cellStyle name="??_?????_???_demand analysisrevised_1" xfId="59"/>
    <cellStyle name="??_?????_demand analysisrevised" xfId="60"/>
    <cellStyle name="??_?????_demand analysisrevised_1" xfId="61"/>
    <cellStyle name="??_????_1" xfId="62"/>
    <cellStyle name="??_???_demand analysisrevised" xfId="63"/>
    <cellStyle name="??_???_demand analysisrevised_1" xfId="64"/>
    <cellStyle name="??_??_1" xfId="65"/>
    <cellStyle name="??_??_????" xfId="66"/>
    <cellStyle name="??_??_????_demand analysisrevised" xfId="67"/>
    <cellStyle name="??_??_demand analysisrevised" xfId="68"/>
    <cellStyle name="??_??_demand analysisrevised_1" xfId="69"/>
    <cellStyle name="??_??_demand analysisrevised_2" xfId="70"/>
    <cellStyle name="??_BEBU_GI" xfId="71"/>
    <cellStyle name="??_dimon" xfId="72"/>
    <cellStyle name="??_dimon_demand analysisrevised" xfId="73"/>
    <cellStyle name="??_form" xfId="74"/>
    <cellStyle name="??_form_demand analysisrevised" xfId="75"/>
    <cellStyle name="??_form_demand analysisrevised_1" xfId="76"/>
    <cellStyle name="??_ga_PB" xfId="77"/>
    <cellStyle name="??_laroux" xfId="78"/>
    <cellStyle name="??_laroux_1" xfId="79"/>
    <cellStyle name="??_laroux_1_demand analysisrevised" xfId="80"/>
    <cellStyle name="??_laroux_1_demand analysisrevised_1" xfId="81"/>
    <cellStyle name="??_laroux_2" xfId="82"/>
    <cellStyle name="??_laroux_2_demand analysisrevised" xfId="83"/>
    <cellStyle name="??_laroux_3" xfId="84"/>
    <cellStyle name="??_laroux_4" xfId="85"/>
    <cellStyle name="??_laroux_5" xfId="86"/>
    <cellStyle name="??_laroux_6" xfId="87"/>
    <cellStyle name="??_laroux_7" xfId="88"/>
    <cellStyle name="??_laroux_8" xfId="89"/>
    <cellStyle name="??_laroux_demand analysisrevised" xfId="90"/>
    <cellStyle name="??_laroux_demand analysisrevised_1" xfId="91"/>
    <cellStyle name="??_PERSONAL" xfId="92"/>
    <cellStyle name="??_PERSONAL_1" xfId="93"/>
    <cellStyle name="??_PERSONAL_1_demand analysisrevised" xfId="94"/>
    <cellStyle name="??_PERSONAL_1_demand analysisrevised_1" xfId="95"/>
    <cellStyle name="??_PERSONAL_2" xfId="96"/>
    <cellStyle name="??_PERSONAL_2_demand analysisrevised" xfId="97"/>
    <cellStyle name="??_PERSONAL_2_demand analysisrevised_1" xfId="98"/>
    <cellStyle name="??_PERSONAL_3" xfId="99"/>
    <cellStyle name="??_PERSONAL_3_demand analysisrevised" xfId="100"/>
    <cellStyle name="??_PERSONAL_4" xfId="101"/>
    <cellStyle name="??_PERSONAL_demand analysisrevised" xfId="102"/>
    <cellStyle name="??_PERSONAL_demand analysisrevised_1" xfId="103"/>
    <cellStyle name="??_Query11" xfId="104"/>
    <cellStyle name="??_Sheet1" xfId="105"/>
    <cellStyle name="??_Sheet1 (2)" xfId="106"/>
    <cellStyle name="??_Sheet2" xfId="107"/>
    <cellStyle name="??_Sheet2_demand analysisrevised" xfId="108"/>
    <cellStyle name="Actual Date" xfId="109"/>
    <cellStyle name="Comma [0]_12matrix" xfId="110"/>
    <cellStyle name="Comma [0]_1995" xfId="111"/>
    <cellStyle name="Comma [0]_A" xfId="112"/>
    <cellStyle name="Comma [0]_A_dimon" xfId="113"/>
    <cellStyle name="Comma [0]_A_dimon_1" xfId="114"/>
    <cellStyle name="Comma [0]_ACTUAL" xfId="115"/>
    <cellStyle name="Comma [0]_ACTUAL NA -OBU" xfId="116"/>
    <cellStyle name="Comma [0]_Actual vs." xfId="117"/>
    <cellStyle name="Comma [0]_algasdefault" xfId="118"/>
    <cellStyle name="Comma [0]_Alternative1" xfId="119"/>
    <cellStyle name="Comma [0]_Alternative1_1" xfId="120"/>
    <cellStyle name="Comma [0]_App E" xfId="121"/>
    <cellStyle name="Comma [0]_Apr" xfId="122"/>
    <cellStyle name="Comma [0]_Arapahoe" xfId="123"/>
    <cellStyle name="Comma [0]_Assumptions" xfId="124"/>
    <cellStyle name="Comma [0]_Assumptions_dimon" xfId="125"/>
    <cellStyle name="Comma [0]_Assumptions_summary" xfId="126"/>
    <cellStyle name="Comma [0]_B" xfId="127"/>
    <cellStyle name="Comma [0]_bahiadefault" xfId="128"/>
    <cellStyle name="Comma [0]_Book3" xfId="129"/>
    <cellStyle name="Comma [0]_BOP" xfId="130"/>
    <cellStyle name="Comma [0]_BOPBAL1" xfId="131"/>
    <cellStyle name="Comma [0]_BOPCBU" xfId="132"/>
    <cellStyle name="Comma [0]_BOPCBU (2)" xfId="133"/>
    <cellStyle name="Comma [0]_BOPCBU96" xfId="134"/>
    <cellStyle name="Comma [0]_BSAPPE.XLS" xfId="135"/>
    <cellStyle name="Comma [0]_Calculations" xfId="136"/>
    <cellStyle name="Comma [0]_Calculations (2)" xfId="137"/>
    <cellStyle name="Comma [0]_Calculations II" xfId="138"/>
    <cellStyle name="Comma [0]_Calculations III" xfId="139"/>
    <cellStyle name="Comma [0]_Calculations_1" xfId="140"/>
    <cellStyle name="Comma [0]_CAPEX" xfId="141"/>
    <cellStyle name="Comma [0]_CAPEX94" xfId="142"/>
    <cellStyle name="Comma [0]_CapInt" xfId="143"/>
    <cellStyle name="Comma [0]_Cashflow" xfId="144"/>
    <cellStyle name="Comma [0]_CBU BOX CHART V PLAN" xfId="145"/>
    <cellStyle name="Comma [0]_CCA" xfId="146"/>
    <cellStyle name="Comma [0]_CCOCPX" xfId="147"/>
    <cellStyle name="Comma [0]_CFMODEL" xfId="148"/>
    <cellStyle name="Comma [0]_CFTEST49" xfId="149"/>
    <cellStyle name="Comma [0]_CHANGES.XLS" xfId="150"/>
    <cellStyle name="Comma [0]_Charts" xfId="151"/>
    <cellStyle name="Comma [0]_Comm File" xfId="152"/>
    <cellStyle name="Comma [0]_coperdefault" xfId="153"/>
    <cellStyle name="Comma [0]_Corp method" xfId="154"/>
    <cellStyle name="Comma [0]_CTCUR" xfId="155"/>
    <cellStyle name="Comma [0]_CUMPLTCH" xfId="156"/>
    <cellStyle name="Comma [0]_Curve_Economics" xfId="157"/>
    <cellStyle name="Comma [0]_DEFAULT" xfId="158"/>
    <cellStyle name="Comma [0]_DeskCurves" xfId="159"/>
    <cellStyle name="Comma [0]_dimon" xfId="160"/>
    <cellStyle name="Comma [0]_Dowell C1b" xfId="161"/>
    <cellStyle name="Comma [0]_Dowell-C1a" xfId="162"/>
    <cellStyle name="Comma [0]_E&amp;ONW1" xfId="163"/>
    <cellStyle name="Comma [0]_E&amp;ONW2" xfId="164"/>
    <cellStyle name="Comma [0]_E&amp;OOCPX" xfId="165"/>
    <cellStyle name="Comma [0]_emserdefault" xfId="166"/>
    <cellStyle name="Comma [0]_EVER1" xfId="167"/>
    <cellStyle name="Comma [0]_F&amp;COCPX" xfId="168"/>
    <cellStyle name="Comma [0]_FEBRUARY" xfId="169"/>
    <cellStyle name="Comma [0]_FF" xfId="170"/>
    <cellStyle name="Comma [0]_FP 20 A (1)" xfId="171"/>
    <cellStyle name="Comma [0]_FP 20 A (2)" xfId="172"/>
    <cellStyle name="Comma [0]_FP-20 (App. E)" xfId="173"/>
    <cellStyle name="Comma [0]_FP-20 (App.A) " xfId="174"/>
    <cellStyle name="Comma [0]_FP-20 (App.D)" xfId="175"/>
    <cellStyle name="Comma [0]_FP-20(App.B)" xfId="176"/>
    <cellStyle name="Comma [0]_FP-20(C1) (a)" xfId="177"/>
    <cellStyle name="Comma [0]_FP-20(C1) (a) (2)" xfId="178"/>
    <cellStyle name="Comma [0]_FP-20(C1) (b)" xfId="179"/>
    <cellStyle name="Comma [0]_FP-20(C1) (b) " xfId="180"/>
    <cellStyle name="Comma [0]_FP-20(C1) (b) (2)" xfId="181"/>
    <cellStyle name="Comma [0]_GASDATA1" xfId="182"/>
    <cellStyle name="Comma [0]_GASDATA1 (2)" xfId="183"/>
    <cellStyle name="Comma [0]_GCM" xfId="184"/>
    <cellStyle name="Comma [0]_GenAssum" xfId="185"/>
    <cellStyle name="Comma [0]_GenMod" xfId="186"/>
    <cellStyle name="Comma [0]_GP C1a" xfId="187"/>
    <cellStyle name="Comma [0]_GP C1b" xfId="188"/>
    <cellStyle name="Comma [0]_GP_EI_3" xfId="189"/>
    <cellStyle name="Comma [0]_GQ C1A" xfId="190"/>
    <cellStyle name="Comma [0]_GQ C1B" xfId="191"/>
    <cellStyle name="Comma [0]_H" xfId="192"/>
    <cellStyle name="Comma [0]_Inputs" xfId="193"/>
    <cellStyle name="Comma [0]_Int. Data Table" xfId="194"/>
    <cellStyle name="Comma [0]_IPM C1b" xfId="195"/>
    <cellStyle name="Comma [0]_IPMC1a" xfId="196"/>
    <cellStyle name="Comma [0]_IPP" xfId="197"/>
    <cellStyle name="Comma [0]_IS-Hold" xfId="198"/>
    <cellStyle name="Comma [0]_ITOCPX" xfId="199"/>
    <cellStyle name="Comma [0]_jancf" xfId="200"/>
    <cellStyle name="Comma [0]_JUNMTH55" xfId="201"/>
    <cellStyle name="Comma [0]_JUNMTH57" xfId="202"/>
    <cellStyle name="Comma [0]_JUNYTD55" xfId="203"/>
    <cellStyle name="Comma [0]_JUNYTD57" xfId="204"/>
    <cellStyle name="Comma [0]_laroux" xfId="205"/>
    <cellStyle name="Comma [0]_laroux_1" xfId="206"/>
    <cellStyle name="Comma [0]_laroux_1995" xfId="207"/>
    <cellStyle name="Comma [0]_laroux_1_dimon" xfId="208"/>
    <cellStyle name="Comma [0]_laroux_1_dimon_1" xfId="209"/>
    <cellStyle name="Comma [0]_laroux_1_laroux" xfId="210"/>
    <cellStyle name="Comma [0]_laroux_1_pldt" xfId="211"/>
    <cellStyle name="Comma [0]_laroux_1_PLDT_dimon" xfId="212"/>
    <cellStyle name="Comma [0]_laroux_1_VERA" xfId="213"/>
    <cellStyle name="Comma [0]_laroux_1_VIRUS-EDY" xfId="214"/>
    <cellStyle name="Comma [0]_laroux_2" xfId="215"/>
    <cellStyle name="Comma [0]_laroux_2_dimon" xfId="216"/>
    <cellStyle name="Comma [0]_laroux_2_dimon_1" xfId="217"/>
    <cellStyle name="Comma [0]_laroux_2_dimon_2" xfId="218"/>
    <cellStyle name="Comma [0]_laroux_2_laroux" xfId="219"/>
    <cellStyle name="Comma [0]_laroux_2_laroux_dimon" xfId="220"/>
    <cellStyle name="Comma [0]_laroux_2_pldt" xfId="221"/>
    <cellStyle name="Comma [0]_laroux_2_VERA" xfId="222"/>
    <cellStyle name="Comma [0]_laroux_3" xfId="223"/>
    <cellStyle name="Comma [0]_laroux_3_dimon" xfId="224"/>
    <cellStyle name="Comma [0]_laroux_dimon" xfId="225"/>
    <cellStyle name="Comma [0]_laroux_dimon_1" xfId="226"/>
    <cellStyle name="Comma [0]_laroux_laroux" xfId="227"/>
    <cellStyle name="Comma [0]_laroux_laroux_1" xfId="228"/>
    <cellStyle name="Comma [0]_laroux_laroux_dimon" xfId="229"/>
    <cellStyle name="Comma [0]_laroux_MATERAL2" xfId="230"/>
    <cellStyle name="Comma [0]_laroux_MATERAL2_dimon" xfId="231"/>
    <cellStyle name="Comma [0]_laroux_MATERAL2_laroux" xfId="232"/>
    <cellStyle name="Comma [0]_laroux_MATERAL2_laroux_dimon" xfId="233"/>
    <cellStyle name="Comma [0]_laroux_MATERAL2_pldt" xfId="234"/>
    <cellStyle name="Comma [0]_laroux_MATERAL2_VERA" xfId="235"/>
    <cellStyle name="Comma [0]_laroux_MATERAL2_VIRUS-EDY" xfId="236"/>
    <cellStyle name="Comma [0]_laroux_mud plant bolted" xfId="237"/>
    <cellStyle name="Comma [0]_laroux_mud plant bolted_dimon" xfId="238"/>
    <cellStyle name="Comma [0]_laroux_mud plant bolted_dimon_1" xfId="239"/>
    <cellStyle name="Comma [0]_laroux_pldt" xfId="240"/>
    <cellStyle name="Comma [0]_laroux_VERA" xfId="241"/>
    <cellStyle name="Comma [0]_laroux_VERA_1" xfId="242"/>
    <cellStyle name="Comma [0]_laroux_VIRUS-EDY" xfId="243"/>
    <cellStyle name="Comma [0]_MATERAL2" xfId="244"/>
    <cellStyle name="Comma [0]_MATERAL2_dimon" xfId="245"/>
    <cellStyle name="Comma [0]_MATERAL2_dimon_1" xfId="246"/>
    <cellStyle name="Comma [0]_MKGOCPX" xfId="247"/>
    <cellStyle name="Comma [0]_MOBCPX" xfId="248"/>
    <cellStyle name="Comma [0]_Module1" xfId="249"/>
    <cellStyle name="Comma [0]_mud plant bolted" xfId="250"/>
    <cellStyle name="Comma [0]_mud plant bolted_dimon" xfId="251"/>
    <cellStyle name="Comma [0]_mud plant bolted_laroux" xfId="252"/>
    <cellStyle name="Comma [0]_mud plant bolted_laroux_dimon" xfId="253"/>
    <cellStyle name="Comma [0]_mud plant bolted_pldt" xfId="254"/>
    <cellStyle name="Comma [0]_mud plant bolted_VERA" xfId="255"/>
    <cellStyle name="Comma [0]_mud plant bolted_VIRUS-EDY" xfId="256"/>
    <cellStyle name="Comma [0]_NA WITHOUT GOV'T &amp; PNX" xfId="257"/>
    <cellStyle name="Comma [0]_NAOBU10" xfId="258"/>
    <cellStyle name="Comma [0]_NAT ACCT" xfId="259"/>
    <cellStyle name="Comma [0]_NSACTUAL.XLS" xfId="260"/>
    <cellStyle name="Comma [0]_NX00" xfId="261"/>
    <cellStyle name="Comma [0]_Odner" xfId="262"/>
    <cellStyle name="Comma [0]_Odner (2)" xfId="263"/>
    <cellStyle name="Comma [0]_Odner (3)" xfId="264"/>
    <cellStyle name="Comma [0]_OFFDATA1" xfId="265"/>
    <cellStyle name="Comma [0]_OFFDATA1 (2)" xfId="266"/>
    <cellStyle name="Comma [0]_Operations" xfId="267"/>
    <cellStyle name="Comma [0]_opsmacro" xfId="268"/>
    <cellStyle name="Comma [0]_OSMOCPX" xfId="269"/>
    <cellStyle name="Comma [0]_Other Months" xfId="270"/>
    <cellStyle name="Comma [0]_Outlook" xfId="271"/>
    <cellStyle name="Comma [0]_pbdefault" xfId="272"/>
    <cellStyle name="Comma [0]_percentages" xfId="273"/>
    <cellStyle name="Comma [0]_PERSONAL" xfId="274"/>
    <cellStyle name="Comma [0]_PGMKOCPX" xfId="275"/>
    <cellStyle name="Comma [0]_PGNW1" xfId="276"/>
    <cellStyle name="Comma [0]_PGNW2" xfId="277"/>
    <cellStyle name="Comma [0]_PGNWOCPX" xfId="278"/>
    <cellStyle name="Comma [0]_Pink" xfId="279"/>
    <cellStyle name="Comma [0]_PKDATA1" xfId="280"/>
    <cellStyle name="Comma [0]_PKDATA1 (2)" xfId="281"/>
    <cellStyle name="Comma [0]_Plan" xfId="282"/>
    <cellStyle name="Comma [0]_PLANT" xfId="283"/>
    <cellStyle name="Comma [0]_PLDT" xfId="284"/>
    <cellStyle name="Comma [0]_pldt_1" xfId="285"/>
    <cellStyle name="Comma [0]_PLDT_1_dimon" xfId="286"/>
    <cellStyle name="Comma [0]_pldt_Calculations" xfId="287"/>
    <cellStyle name="Comma [0]_PLDT_dimon" xfId="288"/>
    <cellStyle name="Comma [0]_priccurv" xfId="289"/>
    <cellStyle name="Comma [0]_PriceCurve" xfId="290"/>
    <cellStyle name="Comma [0]_PriceCurve_1" xfId="291"/>
    <cellStyle name="Comma [0]_PROCDS&amp;G" xfId="292"/>
    <cellStyle name="Comma [0]_PROFILE4" xfId="293"/>
    <cellStyle name="Comma [0]_Projects" xfId="294"/>
    <cellStyle name="Comma [0]_Quarter End Months" xfId="295"/>
    <cellStyle name="Comma [0]_r1" xfId="296"/>
    <cellStyle name="Comma [0]_RFI" xfId="297"/>
    <cellStyle name="Comma [0]_RFI_1" xfId="298"/>
    <cellStyle name="Comma [0]_Sales Order" xfId="299"/>
    <cellStyle name="Comma [0]_SATOCPX" xfId="300"/>
    <cellStyle name="Comma [0]_ScreeningModel" xfId="301"/>
    <cellStyle name="Comma [0]_SELECT" xfId="302"/>
    <cellStyle name="Comma [0]_Sheet1" xfId="303"/>
    <cellStyle name="Comma [0]_Sheet1_dimon" xfId="304"/>
    <cellStyle name="Comma [0]_SHENREPT" xfId="305"/>
    <cellStyle name="Comma [0]_Snr. CO" xfId="306"/>
    <cellStyle name="Comma [0]_sprint contr" xfId="307"/>
    <cellStyle name="Comma [0]_Subcont File" xfId="308"/>
    <cellStyle name="Comma [0]_SUMMARY" xfId="309"/>
    <cellStyle name="Comma [0]_Summary Info" xfId="310"/>
    <cellStyle name="Comma [0]_SUMPAGE" xfId="311"/>
    <cellStyle name="Comma [0]_Template" xfId="312"/>
    <cellStyle name="Comma [0]_TMSNW1" xfId="313"/>
    <cellStyle name="Comma [0]_TMSNW2" xfId="314"/>
    <cellStyle name="Comma [0]_TMSOCPX" xfId="315"/>
    <cellStyle name="Comma [0]_TOTAL MTH" xfId="316"/>
    <cellStyle name="Comma [0]_TOTAL YTD" xfId="317"/>
    <cellStyle name="Comma [0]_TRANSDSC.XLS" xfId="318"/>
    <cellStyle name="Comma [0]_TRANSFXA.XLS" xfId="319"/>
    <cellStyle name="Comma [0]_TRANSFXA.XLS_1" xfId="320"/>
    <cellStyle name="Comma [0]_TRANSIME.XLS" xfId="321"/>
    <cellStyle name="Comma [0]_TRANSIME.XLS_TRANSDSC.XLS" xfId="322"/>
    <cellStyle name="Comma [0]_TRANSIME.XLS_TRANSFXA.XLS" xfId="323"/>
    <cellStyle name="Comma [0]_VIRUS-EDY" xfId="324"/>
    <cellStyle name="Comma [0]_White" xfId="325"/>
    <cellStyle name="Comma [0]_WO Var. &amp; Tot. Exp." xfId="326"/>
    <cellStyle name="Comma [0]_WSP" xfId="327"/>
    <cellStyle name="Comma [0]_yrcao" xfId="328"/>
    <cellStyle name="Comma [0]_YREND55" xfId="329"/>
    <cellStyle name="Comma [0]_YREND57" xfId="330"/>
    <cellStyle name="Comma [0]_YTDCUR" xfId="331"/>
    <cellStyle name="Comma_12matrix" xfId="332"/>
    <cellStyle name="Comma_1995" xfId="333"/>
    <cellStyle name="Comma_A" xfId="334"/>
    <cellStyle name="Comma_A_dimon" xfId="335"/>
    <cellStyle name="Comma_A_dimon_1" xfId="336"/>
    <cellStyle name="Comma_ACTUAL" xfId="337"/>
    <cellStyle name="Comma_ACTUAL NA -OBU" xfId="338"/>
    <cellStyle name="Comma_Actual vs." xfId="339"/>
    <cellStyle name="Comma_algasdefault" xfId="340"/>
    <cellStyle name="Comma_algasdefault_1" xfId="341"/>
    <cellStyle name="Comma_Alternative1" xfId="342"/>
    <cellStyle name="Comma_Alternative1_1" xfId="343"/>
    <cellStyle name="Comma_App E" xfId="344"/>
    <cellStyle name="Comma_Apr" xfId="345"/>
    <cellStyle name="Comma_Arapahoe" xfId="346"/>
    <cellStyle name="Comma_Assumptions" xfId="347"/>
    <cellStyle name="Comma_Assumptions_dimon" xfId="348"/>
    <cellStyle name="Comma_Assumptions_summary" xfId="349"/>
    <cellStyle name="Comma_B" xfId="350"/>
    <cellStyle name="Comma_bahiadefault" xfId="351"/>
    <cellStyle name="Comma_bahiadefault_1" xfId="352"/>
    <cellStyle name="Comma_Book3" xfId="353"/>
    <cellStyle name="Comma_BOP" xfId="354"/>
    <cellStyle name="Comma_BOPBAL1" xfId="355"/>
    <cellStyle name="Comma_BOPCBU" xfId="356"/>
    <cellStyle name="Comma_BOPCBU (2)" xfId="357"/>
    <cellStyle name="Comma_BOPCBU96" xfId="358"/>
    <cellStyle name="Comma_BSAPPE.XLS" xfId="359"/>
    <cellStyle name="Comma_C-Cap intensity" xfId="360"/>
    <cellStyle name="Comma_C-Capex%rev" xfId="361"/>
    <cellStyle name="Comma_C-Line per Staff" xfId="362"/>
    <cellStyle name="Comma_C-lines distribution" xfId="363"/>
    <cellStyle name="Comma_C-Orig PLDT lines" xfId="364"/>
    <cellStyle name="Comma_C-Ret on Rev" xfId="365"/>
    <cellStyle name="Comma_C-ROACE" xfId="366"/>
    <cellStyle name="Comma_Calculations" xfId="367"/>
    <cellStyle name="Comma_Calculations (2)" xfId="368"/>
    <cellStyle name="Comma_Calculations II" xfId="369"/>
    <cellStyle name="Comma_Calculations III" xfId="370"/>
    <cellStyle name="Comma_Calculations_1" xfId="371"/>
    <cellStyle name="Comma_Capex" xfId="372"/>
    <cellStyle name="Comma_Capex per line" xfId="373"/>
    <cellStyle name="Comma_Capex%rev" xfId="374"/>
    <cellStyle name="Comma_CAPEX94" xfId="375"/>
    <cellStyle name="Comma_CAPEX_dimon" xfId="376"/>
    <cellStyle name="Comma_CapInt" xfId="377"/>
    <cellStyle name="Comma_Cashflow" xfId="378"/>
    <cellStyle name="Comma_CBU BOX CHART V PLAN" xfId="379"/>
    <cellStyle name="Comma_CCA" xfId="380"/>
    <cellStyle name="Comma_CCOCPX" xfId="381"/>
    <cellStyle name="Comma_CFMODEL" xfId="382"/>
    <cellStyle name="Comma_CFMODEL_summary" xfId="383"/>
    <cellStyle name="Comma_CFtest3" xfId="384"/>
    <cellStyle name="Comma_CFTEST49" xfId="385"/>
    <cellStyle name="Comma_CHANGES.XLS" xfId="386"/>
    <cellStyle name="Comma_Charts" xfId="387"/>
    <cellStyle name="Comma_Cht-Capex per line" xfId="388"/>
    <cellStyle name="Comma_Cht-Cum Real Opr Cf" xfId="389"/>
    <cellStyle name="Comma_Cht-Dep%Rev" xfId="390"/>
    <cellStyle name="Comma_Cht-Real Opr Cf" xfId="391"/>
    <cellStyle name="Comma_Cht-Rev dist" xfId="392"/>
    <cellStyle name="Comma_Cht-Rev p line" xfId="393"/>
    <cellStyle name="Comma_Cht-Rev per Staff" xfId="394"/>
    <cellStyle name="Comma_Cht-Staff cost%revenue" xfId="395"/>
    <cellStyle name="Comma_Comm File" xfId="396"/>
    <cellStyle name="Comma_coperdefault" xfId="397"/>
    <cellStyle name="Comma_coperdefault_1" xfId="398"/>
    <cellStyle name="Comma_Corp method" xfId="399"/>
    <cellStyle name="Comma_CROCF" xfId="400"/>
    <cellStyle name="Comma_CTCUR" xfId="401"/>
    <cellStyle name="Comma_Cum Real Opr Cf" xfId="402"/>
    <cellStyle name="Comma_CUMPLTCH" xfId="403"/>
    <cellStyle name="Comma_Curve_Economics" xfId="404"/>
    <cellStyle name="Comma_DEFAULT" xfId="405"/>
    <cellStyle name="Comma_Demand Fcst." xfId="406"/>
    <cellStyle name="Comma_Dep%Rev" xfId="407"/>
    <cellStyle name="Comma_DeskCurves" xfId="408"/>
    <cellStyle name="Comma_dimon" xfId="409"/>
    <cellStyle name="Comma_dimon_1" xfId="410"/>
    <cellStyle name="Comma_Dowell C1b" xfId="411"/>
    <cellStyle name="Comma_Dowell-C1a" xfId="412"/>
    <cellStyle name="Comma_E&amp;ONW1" xfId="413"/>
    <cellStyle name="Comma_E&amp;ONW2" xfId="414"/>
    <cellStyle name="Comma_E&amp;OOCPX" xfId="415"/>
    <cellStyle name="Comma_emserdefault" xfId="416"/>
    <cellStyle name="Comma_emserdefault_1" xfId="417"/>
    <cellStyle name="Comma_EPS" xfId="418"/>
    <cellStyle name="Comma_EVER1" xfId="419"/>
    <cellStyle name="Comma_F&amp;COCPX" xfId="420"/>
    <cellStyle name="Comma_FEBRUARY" xfId="421"/>
    <cellStyle name="Comma_FF" xfId="422"/>
    <cellStyle name="Comma_FP 20 A (1)" xfId="423"/>
    <cellStyle name="Comma_FP 20 A (2)" xfId="424"/>
    <cellStyle name="Comma_FP-20 (App. E)" xfId="425"/>
    <cellStyle name="Comma_FP-20 (App.A) " xfId="426"/>
    <cellStyle name="Comma_FP-20 (App.D)" xfId="427"/>
    <cellStyle name="Comma_FP-20(App.B)" xfId="428"/>
    <cellStyle name="Comma_FP-20(C1) (a)" xfId="429"/>
    <cellStyle name="Comma_FP-20(C1) (a) (2)" xfId="430"/>
    <cellStyle name="Comma_FP-20(C1) (b)" xfId="431"/>
    <cellStyle name="Comma_FP-20(C1) (b) " xfId="432"/>
    <cellStyle name="Comma_FP-20(C1) (b) (2)" xfId="433"/>
    <cellStyle name="Comma_GASDATA1" xfId="434"/>
    <cellStyle name="Comma_GASDATA1 (2)" xfId="435"/>
    <cellStyle name="Comma_GASDATA1_1" xfId="436"/>
    <cellStyle name="Comma_GCM" xfId="437"/>
    <cellStyle name="Comma_GenAssum" xfId="438"/>
    <cellStyle name="Comma_GenMod" xfId="439"/>
    <cellStyle name="Comma_GP C1a" xfId="440"/>
    <cellStyle name="Comma_GP C1b" xfId="441"/>
    <cellStyle name="Comma_GP_EI_3" xfId="442"/>
    <cellStyle name="Comma_GQ C1A" xfId="443"/>
    <cellStyle name="Comma_GQ C1B" xfId="444"/>
    <cellStyle name="Comma_H" xfId="445"/>
    <cellStyle name="Comma_Inputs" xfId="446"/>
    <cellStyle name="Comma_Int. Data Table" xfId="447"/>
    <cellStyle name="Comma_IPM C1b" xfId="448"/>
    <cellStyle name="Comma_IPMC1a" xfId="449"/>
    <cellStyle name="Comma_IPP" xfId="450"/>
    <cellStyle name="Comma_IRR" xfId="451"/>
    <cellStyle name="Comma_IS-Hold" xfId="452"/>
    <cellStyle name="Comma_ITOCPX" xfId="453"/>
    <cellStyle name="Comma_jancf" xfId="454"/>
    <cellStyle name="Comma_JUNMTH55" xfId="455"/>
    <cellStyle name="Comma_JUNMTH57" xfId="456"/>
    <cellStyle name="Comma_JUNYTD55" xfId="457"/>
    <cellStyle name="Comma_JUNYTD57" xfId="458"/>
    <cellStyle name="Comma_laroux" xfId="459"/>
    <cellStyle name="Comma_laroux_1" xfId="460"/>
    <cellStyle name="Comma_laroux_1995" xfId="461"/>
    <cellStyle name="Comma_laroux_1_dimon" xfId="462"/>
    <cellStyle name="Comma_laroux_1_dimon_1" xfId="463"/>
    <cellStyle name="Comma_laroux_1_laroux" xfId="464"/>
    <cellStyle name="Comma_laroux_1_pldt" xfId="465"/>
    <cellStyle name="Comma_laroux_1_pldt_1" xfId="466"/>
    <cellStyle name="Comma_laroux_1_PLDT_dimon" xfId="467"/>
    <cellStyle name="Comma_laroux_1_VERA" xfId="468"/>
    <cellStyle name="Comma_laroux_1_VERA_1" xfId="469"/>
    <cellStyle name="Comma_laroux_1_VIRUS-EDY" xfId="470"/>
    <cellStyle name="Comma_laroux_2" xfId="471"/>
    <cellStyle name="Comma_laroux_2_dimon" xfId="472"/>
    <cellStyle name="Comma_laroux_2_dimon_1" xfId="473"/>
    <cellStyle name="Comma_laroux_2_dimon_2" xfId="474"/>
    <cellStyle name="Comma_laroux_2_laroux" xfId="475"/>
    <cellStyle name="Comma_laroux_2_laroux_dimon" xfId="476"/>
    <cellStyle name="Comma_laroux_2_pldt" xfId="477"/>
    <cellStyle name="Comma_laroux_2_pldt_1" xfId="478"/>
    <cellStyle name="Comma_laroux_2_PLDT_dimon" xfId="479"/>
    <cellStyle name="Comma_laroux_2_VERA" xfId="480"/>
    <cellStyle name="Comma_laroux_2_VERA_1" xfId="481"/>
    <cellStyle name="Comma_laroux_3" xfId="482"/>
    <cellStyle name="Comma_laroux_3_dimon" xfId="483"/>
    <cellStyle name="Comma_laroux_3_dimon_1" xfId="484"/>
    <cellStyle name="Comma_laroux_3_dimon_2" xfId="485"/>
    <cellStyle name="Comma_laroux_dimon" xfId="486"/>
    <cellStyle name="Comma_laroux_dimon_1" xfId="487"/>
    <cellStyle name="Comma_laroux_laroux" xfId="488"/>
    <cellStyle name="Comma_laroux_laroux_1" xfId="489"/>
    <cellStyle name="Comma_laroux_laroux_dimon" xfId="490"/>
    <cellStyle name="Comma_laroux_pldt" xfId="491"/>
    <cellStyle name="Comma_laroux_pldt_1" xfId="492"/>
    <cellStyle name="Comma_laroux_VERA" xfId="493"/>
    <cellStyle name="Comma_laroux_VERA_1" xfId="494"/>
    <cellStyle name="Comma_laroux_VIRUS-EDY" xfId="495"/>
    <cellStyle name="Comma_Line Inst." xfId="496"/>
    <cellStyle name="Comma_MATERAL2" xfId="497"/>
    <cellStyle name="Comma_MATERAL2_dimon" xfId="498"/>
    <cellStyle name="Comma_MATERAL2_dimon_1" xfId="499"/>
    <cellStyle name="Comma_MKGOCPX" xfId="500"/>
    <cellStyle name="Comma_Mkt Shr" xfId="501"/>
    <cellStyle name="Comma_MOBCPX" xfId="502"/>
    <cellStyle name="Comma_Module1" xfId="503"/>
    <cellStyle name="Comma_mud plant bolted" xfId="504"/>
    <cellStyle name="Comma_NA WITHOUT GOV'T &amp; PNX" xfId="505"/>
    <cellStyle name="Comma_NAOBU10" xfId="506"/>
    <cellStyle name="Comma_NAT ACCT" xfId="507"/>
    <cellStyle name="Comma_NCR-C&amp;W Val" xfId="508"/>
    <cellStyle name="Comma_NCR-Cap intensity" xfId="509"/>
    <cellStyle name="Comma_NCR-Line per Staff" xfId="510"/>
    <cellStyle name="Comma_NCR-Rev dist" xfId="511"/>
    <cellStyle name="Comma_NSACTUAL.XLS" xfId="512"/>
    <cellStyle name="Comma_NX00" xfId="513"/>
    <cellStyle name="Comma_Odner" xfId="514"/>
    <cellStyle name="Comma_Odner (2)" xfId="515"/>
    <cellStyle name="Comma_Odner (3)" xfId="516"/>
    <cellStyle name="Comma_OFFDATA1" xfId="517"/>
    <cellStyle name="Comma_OFFDATA1 (2)" xfId="518"/>
    <cellStyle name="Comma_OFFDATA1_1" xfId="519"/>
    <cellStyle name="Comma_Op Cost Break" xfId="520"/>
    <cellStyle name="Comma_Operations" xfId="521"/>
    <cellStyle name="Comma_opsmacro" xfId="522"/>
    <cellStyle name="Comma_OSMOCPX" xfId="523"/>
    <cellStyle name="Comma_Other Months" xfId="524"/>
    <cellStyle name="Comma_Outlook" xfId="525"/>
    <cellStyle name="Comma_pbdefault" xfId="526"/>
    <cellStyle name="Comma_pbdefault_1" xfId="527"/>
    <cellStyle name="Comma_percentages" xfId="528"/>
    <cellStyle name="Comma_PERSONAL" xfId="529"/>
    <cellStyle name="Comma_PGMKOCPX" xfId="530"/>
    <cellStyle name="Comma_PGNW1" xfId="531"/>
    <cellStyle name="Comma_PGNW2" xfId="532"/>
    <cellStyle name="Comma_PGNWOCPX" xfId="533"/>
    <cellStyle name="Comma_Pink" xfId="534"/>
    <cellStyle name="Comma_PKDATA1" xfId="535"/>
    <cellStyle name="Comma_PKDATA1 (2)" xfId="536"/>
    <cellStyle name="Comma_PKDATA1_1" xfId="537"/>
    <cellStyle name="Comma_Plan" xfId="538"/>
    <cellStyle name="Comma_PLANT" xfId="539"/>
    <cellStyle name="Comma_PLDT" xfId="540"/>
    <cellStyle name="Comma_pldt_1" xfId="541"/>
    <cellStyle name="Comma_PLDT_1_dimon" xfId="542"/>
    <cellStyle name="Comma_pldt_2" xfId="543"/>
    <cellStyle name="Comma_pldt_Calculations" xfId="544"/>
    <cellStyle name="Comma_PLDT_dimon" xfId="545"/>
    <cellStyle name="Comma_priccurv" xfId="546"/>
    <cellStyle name="Comma_PriceCurve" xfId="547"/>
    <cellStyle name="Comma_PriceCurve_1" xfId="548"/>
    <cellStyle name="Comma_PROCDS&amp;G" xfId="549"/>
    <cellStyle name="Comma_PROFILE4" xfId="550"/>
    <cellStyle name="Comma_Projects" xfId="551"/>
    <cellStyle name="Comma_Quarter End Months" xfId="552"/>
    <cellStyle name="Comma_r1" xfId="553"/>
    <cellStyle name="Comma_Real Opr Cf" xfId="554"/>
    <cellStyle name="Comma_Real Rev per Staff (1)" xfId="555"/>
    <cellStyle name="Comma_Real Rev per Staff (2)" xfId="556"/>
    <cellStyle name="Comma_Region 2-C&amp;W" xfId="557"/>
    <cellStyle name="Comma_Return on Rev" xfId="558"/>
    <cellStyle name="Comma_Rev p line" xfId="559"/>
    <cellStyle name="Comma_RFI" xfId="560"/>
    <cellStyle name="Comma_RFI_1" xfId="561"/>
    <cellStyle name="Comma_ROACE" xfId="562"/>
    <cellStyle name="Comma_ROCF (Tot)" xfId="563"/>
    <cellStyle name="Comma_Sales Order" xfId="564"/>
    <cellStyle name="Comma_SATOCPX" xfId="565"/>
    <cellStyle name="Comma_ScreeningModel" xfId="566"/>
    <cellStyle name="Comma_SELECT" xfId="567"/>
    <cellStyle name="Comma_Sheet1" xfId="568"/>
    <cellStyle name="Comma_Sheet1_dimon" xfId="569"/>
    <cellStyle name="Comma_SHENREPT" xfId="570"/>
    <cellStyle name="Comma_Snr. CO" xfId="571"/>
    <cellStyle name="Comma_SPC99-03" xfId="572"/>
    <cellStyle name="Comma_sprint contr" xfId="573"/>
    <cellStyle name="Comma_Staff cost%rev" xfId="574"/>
    <cellStyle name="Comma_Subcont File" xfId="575"/>
    <cellStyle name="Comma_SUMMARY" xfId="576"/>
    <cellStyle name="Comma_Summary Info" xfId="577"/>
    <cellStyle name="Comma_SUMPAGE" xfId="578"/>
    <cellStyle name="Comma_Template" xfId="579"/>
    <cellStyle name="Comma_TESTDATA" xfId="580"/>
    <cellStyle name="Comma_TMSNW1" xfId="581"/>
    <cellStyle name="Comma_TMSNW2" xfId="582"/>
    <cellStyle name="Comma_TMSOCPX" xfId="583"/>
    <cellStyle name="Comma_TOTAL MTH" xfId="584"/>
    <cellStyle name="Comma_TOTAL YTD" xfId="585"/>
    <cellStyle name="Comma_Total-Rev dist." xfId="586"/>
    <cellStyle name="Comma_TRANSDSC.XLS" xfId="587"/>
    <cellStyle name="Comma_TRANSFXA.XLS" xfId="588"/>
    <cellStyle name="Comma_TRANSFXA.XLS_1" xfId="589"/>
    <cellStyle name="Comma_TRANSIME.XLS" xfId="590"/>
    <cellStyle name="Comma_TRANSIME.XLS_TRANSDSC.XLS" xfId="591"/>
    <cellStyle name="Comma_TRANSIME.XLS_TRANSFXA.XLS" xfId="592"/>
    <cellStyle name="Comma_VIRUS-EDY" xfId="593"/>
    <cellStyle name="Comma_White" xfId="594"/>
    <cellStyle name="Comma_WO Var. &amp; Tot. Exp." xfId="595"/>
    <cellStyle name="Comma_WSP" xfId="596"/>
    <cellStyle name="Comma_yrcao" xfId="597"/>
    <cellStyle name="Comma_YREND55" xfId="598"/>
    <cellStyle name="Comma_YREND57" xfId="599"/>
    <cellStyle name="Comma_YTDCUR" xfId="600"/>
    <cellStyle name="Currency [0]_12matrix" xfId="601"/>
    <cellStyle name="Currency [0]_1995" xfId="602"/>
    <cellStyle name="Currency [0]_A" xfId="603"/>
    <cellStyle name="Currency [0]_A_dimon" xfId="604"/>
    <cellStyle name="Currency [0]_A_dimon_1" xfId="605"/>
    <cellStyle name="Currency [0]_ACTUAL" xfId="606"/>
    <cellStyle name="Currency [0]_ACTUAL NA -OBU" xfId="607"/>
    <cellStyle name="Currency [0]_Actual vs." xfId="608"/>
    <cellStyle name="Currency [0]_algasdefault" xfId="609"/>
    <cellStyle name="Currency [0]_Alternative1" xfId="610"/>
    <cellStyle name="Currency [0]_Alternative1_1" xfId="611"/>
    <cellStyle name="Currency [0]_App E" xfId="612"/>
    <cellStyle name="Currency [0]_Apr" xfId="613"/>
    <cellStyle name="Currency [0]_Arapahoe" xfId="614"/>
    <cellStyle name="Currency [0]_Assumptions" xfId="615"/>
    <cellStyle name="Currency [0]_Assumptions_dimon" xfId="616"/>
    <cellStyle name="Currency [0]_Assumptions_summary" xfId="617"/>
    <cellStyle name="Currency [0]_B" xfId="618"/>
    <cellStyle name="Currency [0]_bahiadefault" xfId="619"/>
    <cellStyle name="Currency [0]_Book3" xfId="620"/>
    <cellStyle name="Currency [0]_BOP" xfId="621"/>
    <cellStyle name="Currency [0]_BOPBAL1" xfId="622"/>
    <cellStyle name="Currency [0]_BOPCBU" xfId="623"/>
    <cellStyle name="Currency [0]_BOPCBU (2)" xfId="624"/>
    <cellStyle name="Currency [0]_BOPCBU96" xfId="625"/>
    <cellStyle name="Currency [0]_BSAPPE.XLS" xfId="626"/>
    <cellStyle name="Currency [0]_Calculations" xfId="627"/>
    <cellStyle name="Currency [0]_Calculations (2)" xfId="628"/>
    <cellStyle name="Currency [0]_Calculations II" xfId="629"/>
    <cellStyle name="Currency [0]_Calculations III" xfId="630"/>
    <cellStyle name="Currency [0]_Calculations_1" xfId="631"/>
    <cellStyle name="Currency [0]_CAPEX" xfId="632"/>
    <cellStyle name="Currency [0]_CAPEX94" xfId="633"/>
    <cellStyle name="Currency [0]_CapInt" xfId="634"/>
    <cellStyle name="Currency [0]_Cardig GHS" xfId="635"/>
    <cellStyle name="Currency [0]_Cash Flows" xfId="636"/>
    <cellStyle name="Currency [0]_Cashflow" xfId="637"/>
    <cellStyle name="Currency [0]_CBU BOX CHART V PLAN" xfId="638"/>
    <cellStyle name="Currency [0]_CCA" xfId="639"/>
    <cellStyle name="Currency [0]_CCOCPX" xfId="640"/>
    <cellStyle name="Currency [0]_CFMODEL" xfId="641"/>
    <cellStyle name="Currency [0]_CFTEST49" xfId="642"/>
    <cellStyle name="Currency [0]_CHANGES.XLS" xfId="643"/>
    <cellStyle name="Currency [0]_Charts" xfId="644"/>
    <cellStyle name="Currency [0]_Comm File" xfId="645"/>
    <cellStyle name="Currency [0]_coperdefault" xfId="646"/>
    <cellStyle name="Currency [0]_Corp method" xfId="647"/>
    <cellStyle name="Currency [0]_Cost Code" xfId="648"/>
    <cellStyle name="Currency [0]_CTCUR" xfId="649"/>
    <cellStyle name="Currency [0]_CUMPLTCH" xfId="650"/>
    <cellStyle name="Currency [0]_Curve_Economics" xfId="651"/>
    <cellStyle name="Currency [0]_DEFAULT" xfId="652"/>
    <cellStyle name="Currency [0]_DeskCurves" xfId="653"/>
    <cellStyle name="Currency [0]_dimon" xfId="654"/>
    <cellStyle name="Currency [0]_dimon_1" xfId="655"/>
    <cellStyle name="Currency [0]_dimon_2" xfId="656"/>
    <cellStyle name="Currency [0]_Dowell C1b" xfId="657"/>
    <cellStyle name="Currency [0]_Dowell-C1a" xfId="658"/>
    <cellStyle name="Currency [0]_E&amp;ONW1" xfId="659"/>
    <cellStyle name="Currency [0]_E&amp;ONW2" xfId="660"/>
    <cellStyle name="Currency [0]_E&amp;OOCPX" xfId="661"/>
    <cellStyle name="Currency [0]_emserdefault" xfId="662"/>
    <cellStyle name="Currency [0]_EVER1" xfId="663"/>
    <cellStyle name="Currency [0]_F&amp;COCPX" xfId="664"/>
    <cellStyle name="Currency [0]_FEBRUARY" xfId="665"/>
    <cellStyle name="Currency [0]_FF" xfId="666"/>
    <cellStyle name="Currency [0]_FP 20 A (1)" xfId="667"/>
    <cellStyle name="Currency [0]_FP 20 A (2)" xfId="668"/>
    <cellStyle name="Currency [0]_FP-20 (App. E)" xfId="669"/>
    <cellStyle name="Currency [0]_FP-20 (App.A) " xfId="670"/>
    <cellStyle name="Currency [0]_FP-20 (App.D)" xfId="671"/>
    <cellStyle name="Currency [0]_FP-20(App.B)" xfId="672"/>
    <cellStyle name="Currency [0]_FP-20(C1) (a)" xfId="673"/>
    <cellStyle name="Currency [0]_FP-20(C1) (a) (2)" xfId="674"/>
    <cellStyle name="Currency [0]_FP-20(C1) (b)" xfId="675"/>
    <cellStyle name="Currency [0]_FP-20(C1) (b) " xfId="676"/>
    <cellStyle name="Currency [0]_FP-20(C1) (b) (2)" xfId="677"/>
    <cellStyle name="Currency [0]_GASDATA1" xfId="678"/>
    <cellStyle name="Currency [0]_GASDATA1 (2)" xfId="679"/>
    <cellStyle name="Currency [0]_GCM" xfId="680"/>
    <cellStyle name="Currency [0]_GenAssum" xfId="681"/>
    <cellStyle name="Currency [0]_GenMod" xfId="682"/>
    <cellStyle name="Currency [0]_GP C1a" xfId="683"/>
    <cellStyle name="Currency [0]_GP C1b" xfId="684"/>
    <cellStyle name="Currency [0]_GP_EI_3" xfId="685"/>
    <cellStyle name="Currency [0]_GQ C1A" xfId="686"/>
    <cellStyle name="Currency [0]_GQ C1B" xfId="687"/>
    <cellStyle name="Currency [0]_H" xfId="688"/>
    <cellStyle name="Currency [0]_Inputs" xfId="689"/>
    <cellStyle name="Currency [0]_Int. Data Table" xfId="690"/>
    <cellStyle name="Currency [0]_IPM C1b" xfId="691"/>
    <cellStyle name="Currency [0]_IPMC1a" xfId="692"/>
    <cellStyle name="Currency [0]_IPP" xfId="693"/>
    <cellStyle name="Currency [0]_IS-Hold" xfId="694"/>
    <cellStyle name="Currency [0]_ITOCPX" xfId="695"/>
    <cellStyle name="Currency [0]_jancf" xfId="696"/>
    <cellStyle name="Currency [0]_JUNMTH55" xfId="697"/>
    <cellStyle name="Currency [0]_JUNMTH57" xfId="698"/>
    <cellStyle name="Currency [0]_JUNYTD55" xfId="699"/>
    <cellStyle name="Currency [0]_JUNYTD57" xfId="700"/>
    <cellStyle name="Currency [0]_laroux" xfId="701"/>
    <cellStyle name="Currency [0]_laroux_1" xfId="702"/>
    <cellStyle name="Currency [0]_laroux_1995" xfId="703"/>
    <cellStyle name="Currency [0]_laroux_1_dimon" xfId="704"/>
    <cellStyle name="Currency [0]_laroux_1_dimon_1" xfId="705"/>
    <cellStyle name="Currency [0]_laroux_1_dimon_2" xfId="706"/>
    <cellStyle name="Currency [0]_laroux_1_dimon_3" xfId="707"/>
    <cellStyle name="Currency [0]_laroux_1_laroux" xfId="708"/>
    <cellStyle name="Currency [0]_laroux_1_laroux_1" xfId="709"/>
    <cellStyle name="Currency [0]_laroux_1_laroux_dimon" xfId="710"/>
    <cellStyle name="Currency [0]_laroux_1_Locas" xfId="711"/>
    <cellStyle name="Currency [0]_laroux_1_pldt" xfId="712"/>
    <cellStyle name="Currency [0]_laroux_1_PLDT_dimon" xfId="713"/>
    <cellStyle name="Currency [0]_laroux_1_VERA" xfId="714"/>
    <cellStyle name="Currency [0]_laroux_1_VERA_1" xfId="715"/>
    <cellStyle name="Currency [0]_laroux_1_VIRUS-EDY" xfId="716"/>
    <cellStyle name="Currency [0]_laroux_2" xfId="717"/>
    <cellStyle name="Currency [0]_laroux_2_dimon" xfId="718"/>
    <cellStyle name="Currency [0]_laroux_2_dimon_1" xfId="719"/>
    <cellStyle name="Currency [0]_laroux_2_dimon_2" xfId="720"/>
    <cellStyle name="Currency [0]_laroux_2_dimon_3" xfId="721"/>
    <cellStyle name="Currency [0]_laroux_2_laroux" xfId="722"/>
    <cellStyle name="Currency [0]_laroux_2_laroux_dimon" xfId="723"/>
    <cellStyle name="Currency [0]_laroux_2_Locas" xfId="724"/>
    <cellStyle name="Currency [0]_laroux_2_pldt" xfId="725"/>
    <cellStyle name="Currency [0]_laroux_2_PLDT_dimon" xfId="726"/>
    <cellStyle name="Currency [0]_laroux_2_VIRUS-EDY" xfId="727"/>
    <cellStyle name="Currency [0]_laroux_3" xfId="728"/>
    <cellStyle name="Currency [0]_laroux_3_dimon" xfId="729"/>
    <cellStyle name="Currency [0]_laroux_3_dimon_1" xfId="730"/>
    <cellStyle name="Currency [0]_laroux_3_dimon_2" xfId="731"/>
    <cellStyle name="Currency [0]_laroux_3_dimon_3" xfId="732"/>
    <cellStyle name="Currency [0]_laroux_4" xfId="733"/>
    <cellStyle name="Currency [0]_laroux_4_dimon" xfId="734"/>
    <cellStyle name="Currency [0]_laroux_4_dimon_1" xfId="735"/>
    <cellStyle name="Currency [0]_laroux_5" xfId="736"/>
    <cellStyle name="Currency [0]_laroux_6" xfId="737"/>
    <cellStyle name="Currency [0]_laroux_7" xfId="738"/>
    <cellStyle name="Currency [0]_laroux_dimon" xfId="739"/>
    <cellStyle name="Currency [0]_laroux_dimon_1" xfId="740"/>
    <cellStyle name="Currency [0]_laroux_dimon_2" xfId="741"/>
    <cellStyle name="Currency [0]_laroux_dimon_3" xfId="742"/>
    <cellStyle name="Currency [0]_laroux_laroux" xfId="743"/>
    <cellStyle name="Currency [0]_laroux_laroux_1" xfId="744"/>
    <cellStyle name="Currency [0]_laroux_laroux_1_dimon" xfId="745"/>
    <cellStyle name="Currency [0]_laroux_laroux_dimon" xfId="746"/>
    <cellStyle name="Currency [0]_laroux_Locas" xfId="747"/>
    <cellStyle name="Currency [0]_laroux_MATERAL2" xfId="748"/>
    <cellStyle name="Currency [0]_laroux_MATERAL2_dimon" xfId="749"/>
    <cellStyle name="Currency [0]_laroux_MATERAL2_dimon_1" xfId="750"/>
    <cellStyle name="Currency [0]_laroux_MATERAL2_laroux" xfId="751"/>
    <cellStyle name="Currency [0]_laroux_MATERAL2_laroux_dimon" xfId="752"/>
    <cellStyle name="Currency [0]_laroux_MATERAL2_pldt" xfId="753"/>
    <cellStyle name="Currency [0]_laroux_MATERAL2_VERA" xfId="754"/>
    <cellStyle name="Currency [0]_laroux_MATERAL2_VIRUS-EDY" xfId="755"/>
    <cellStyle name="Currency [0]_laroux_mud plant bolted" xfId="756"/>
    <cellStyle name="Currency [0]_laroux_mud plant bolted_dimon" xfId="757"/>
    <cellStyle name="Currency [0]_laroux_mud plant bolted_dimon_1" xfId="758"/>
    <cellStyle name="Currency [0]_laroux_pldt" xfId="759"/>
    <cellStyle name="Currency [0]_laroux_pldt_1" xfId="760"/>
    <cellStyle name="Currency [0]_laroux_VERA" xfId="761"/>
    <cellStyle name="Currency [0]_laroux_VERA_1" xfId="762"/>
    <cellStyle name="Currency [0]_laroux_VIRUS-EDY" xfId="763"/>
    <cellStyle name="Currency [0]_List" xfId="764"/>
    <cellStyle name="Currency [0]_MATERAL2" xfId="765"/>
    <cellStyle name="Currency [0]_MATERAL2_dimon" xfId="766"/>
    <cellStyle name="Currency [0]_MATERAL2_dimon_1" xfId="767"/>
    <cellStyle name="Currency [0]_MKGOCPX" xfId="768"/>
    <cellStyle name="Currency [0]_MOBCPX" xfId="769"/>
    <cellStyle name="Currency [0]_Module1" xfId="770"/>
    <cellStyle name="Currency [0]_mud plant bolted" xfId="771"/>
    <cellStyle name="Currency [0]_mud plant bolted_dimon" xfId="772"/>
    <cellStyle name="Currency [0]_mud plant bolted_dimon_1" xfId="773"/>
    <cellStyle name="Currency [0]_mud plant bolted_laroux" xfId="774"/>
    <cellStyle name="Currency [0]_mud plant bolted_laroux_dimon" xfId="775"/>
    <cellStyle name="Currency [0]_mud plant bolted_pldt" xfId="776"/>
    <cellStyle name="Currency [0]_mud plant bolted_VERA" xfId="777"/>
    <cellStyle name="Currency [0]_mud plant bolted_VIRUS-EDY" xfId="778"/>
    <cellStyle name="Currency [0]_NA WITHOUT GOV'T &amp; PNX" xfId="779"/>
    <cellStyle name="Currency [0]_NAOBU10" xfId="780"/>
    <cellStyle name="Currency [0]_NAT ACCT" xfId="781"/>
    <cellStyle name="Currency [0]_NSACTUAL.XLS" xfId="782"/>
    <cellStyle name="Currency [0]_NX00" xfId="783"/>
    <cellStyle name="Currency [0]_Odner" xfId="784"/>
    <cellStyle name="Currency [0]_Odner (2)" xfId="785"/>
    <cellStyle name="Currency [0]_Odner (3)" xfId="786"/>
    <cellStyle name="Currency [0]_OFFDATA1" xfId="787"/>
    <cellStyle name="Currency [0]_OFFDATA1 (2)" xfId="788"/>
    <cellStyle name="Currency [0]_Operations" xfId="789"/>
    <cellStyle name="Currency [0]_opsmacro" xfId="790"/>
    <cellStyle name="Currency [0]_OSMOCPX" xfId="791"/>
    <cellStyle name="Currency [0]_Other Months" xfId="792"/>
    <cellStyle name="Currency [0]_Outlook" xfId="793"/>
    <cellStyle name="Currency [0]_pbdefault" xfId="794"/>
    <cellStyle name="Currency [0]_percentages" xfId="795"/>
    <cellStyle name="Currency [0]_PERSONAL" xfId="796"/>
    <cellStyle name="Currency [0]_PGMKOCPX" xfId="797"/>
    <cellStyle name="Currency [0]_PGNW1" xfId="798"/>
    <cellStyle name="Currency [0]_PGNW2" xfId="799"/>
    <cellStyle name="Currency [0]_PGNWOCPX" xfId="800"/>
    <cellStyle name="Currency [0]_Pink" xfId="801"/>
    <cellStyle name="Currency [0]_PKDATA1" xfId="802"/>
    <cellStyle name="Currency [0]_PKDATA1 (2)" xfId="803"/>
    <cellStyle name="Currency [0]_Plan" xfId="804"/>
    <cellStyle name="Currency [0]_PLANT" xfId="805"/>
    <cellStyle name="Currency [0]_PLDT" xfId="806"/>
    <cellStyle name="Currency [0]_pldt_1" xfId="807"/>
    <cellStyle name="Currency [0]_PLDT_1_dimon" xfId="808"/>
    <cellStyle name="Currency [0]_pldt_1_dimon_1" xfId="809"/>
    <cellStyle name="Currency [0]_pldt_2" xfId="810"/>
    <cellStyle name="Currency [0]_pldt_Calculations" xfId="811"/>
    <cellStyle name="Currency [0]_PLDT_dimon" xfId="812"/>
    <cellStyle name="Currency [0]_pldt_dimon_1" xfId="813"/>
    <cellStyle name="Currency [0]_priccurv" xfId="814"/>
    <cellStyle name="Currency [0]_PriceCurve" xfId="815"/>
    <cellStyle name="Currency [0]_PriceCurve_1" xfId="816"/>
    <cellStyle name="Currency [0]_PROCDS&amp;G" xfId="817"/>
    <cellStyle name="Currency [0]_PROFILE4" xfId="818"/>
    <cellStyle name="Currency [0]_Projects" xfId="819"/>
    <cellStyle name="Currency [0]_Quarter End Months" xfId="820"/>
    <cellStyle name="Currency [0]_r1" xfId="821"/>
    <cellStyle name="Currency [0]_RFI" xfId="822"/>
    <cellStyle name="Currency [0]_RFI_1" xfId="823"/>
    <cellStyle name="Currency [0]_Sales Order" xfId="824"/>
    <cellStyle name="Currency [0]_SATOCPX" xfId="825"/>
    <cellStyle name="Currency [0]_ScreeningModel" xfId="826"/>
    <cellStyle name="Currency [0]_SELECT" xfId="827"/>
    <cellStyle name="Currency [0]_Sheet1" xfId="828"/>
    <cellStyle name="Currency [0]_Sheet1 (2)" xfId="829"/>
    <cellStyle name="Currency [0]_Sheet1_dimon" xfId="830"/>
    <cellStyle name="Currency [0]_SHENREPT" xfId="831"/>
    <cellStyle name="Currency [0]_Snr. CO" xfId="832"/>
    <cellStyle name="Currency [0]_sprint contr" xfId="833"/>
    <cellStyle name="Currency [0]_Subcont File" xfId="834"/>
    <cellStyle name="Currency [0]_SUMMARY" xfId="835"/>
    <cellStyle name="Currency [0]_Summary Info" xfId="836"/>
    <cellStyle name="Currency [0]_SUMPAGE" xfId="837"/>
    <cellStyle name="Currency [0]_Template" xfId="838"/>
    <cellStyle name="Currency [0]_TMSNW1" xfId="839"/>
    <cellStyle name="Currency [0]_TMSNW2" xfId="840"/>
    <cellStyle name="Currency [0]_TMSOCPX" xfId="841"/>
    <cellStyle name="Currency [0]_TOTAL MTH" xfId="842"/>
    <cellStyle name="Currency [0]_TOTAL YTD" xfId="843"/>
    <cellStyle name="Currency [0]_TRANSDSC.XLS" xfId="844"/>
    <cellStyle name="Currency [0]_TRANSFXA.XLS" xfId="845"/>
    <cellStyle name="Currency [0]_TRANSFXA.XLS_1" xfId="846"/>
    <cellStyle name="Currency [0]_TRANSIME.XLS" xfId="847"/>
    <cellStyle name="Currency [0]_TRANSIME.XLS_TRANSDSC.XLS" xfId="848"/>
    <cellStyle name="Currency [0]_TRANSIME.XLS_TRANSFXA.XLS" xfId="849"/>
    <cellStyle name="Currency [0]_VERA" xfId="850"/>
    <cellStyle name="Currency [0]_VIRUS-EDY" xfId="851"/>
    <cellStyle name="Currency [0]_VIRUS-EDY_1" xfId="852"/>
    <cellStyle name="Currency [0]_White" xfId="853"/>
    <cellStyle name="Currency [0]_WO Var. &amp; Tot. Exp." xfId="854"/>
    <cellStyle name="Currency [0]_WSP" xfId="855"/>
    <cellStyle name="Currency [0]_yrcao" xfId="856"/>
    <cellStyle name="Currency [0]_YREND55" xfId="857"/>
    <cellStyle name="Currency [0]_YREND57" xfId="858"/>
    <cellStyle name="Currency [0]_YTDCUR" xfId="859"/>
    <cellStyle name="Currency_12matrix" xfId="860"/>
    <cellStyle name="Currency_1995" xfId="861"/>
    <cellStyle name="Currency_A" xfId="862"/>
    <cellStyle name="Currency_A_dimon" xfId="863"/>
    <cellStyle name="Currency_A_dimon_1" xfId="864"/>
    <cellStyle name="Currency_ACTUAL" xfId="865"/>
    <cellStyle name="Currency_ACTUAL NA -OBU" xfId="866"/>
    <cellStyle name="Currency_Actual vs." xfId="867"/>
    <cellStyle name="Currency_algasdefault" xfId="868"/>
    <cellStyle name="Currency_algasdefault_1" xfId="869"/>
    <cellStyle name="Currency_Alternative1" xfId="870"/>
    <cellStyle name="Currency_Alternative1_1" xfId="871"/>
    <cellStyle name="Currency_App E" xfId="872"/>
    <cellStyle name="Currency_Apr" xfId="873"/>
    <cellStyle name="Currency_Arapahoe" xfId="874"/>
    <cellStyle name="Currency_Assumptions" xfId="875"/>
    <cellStyle name="Currency_Assumptions_dimon" xfId="876"/>
    <cellStyle name="Currency_Assumptions_summary" xfId="877"/>
    <cellStyle name="Currency_B" xfId="878"/>
    <cellStyle name="Currency_bahiadefault" xfId="879"/>
    <cellStyle name="Currency_bahiadefault_1" xfId="880"/>
    <cellStyle name="Currency_BIGOUT" xfId="881"/>
    <cellStyle name="Currency_Book3" xfId="882"/>
    <cellStyle name="Currency_BOP" xfId="883"/>
    <cellStyle name="Currency_BOPBAL1" xfId="884"/>
    <cellStyle name="Currency_BOPCBU" xfId="885"/>
    <cellStyle name="Currency_BOPCBU (2)" xfId="886"/>
    <cellStyle name="Currency_BOPCBU96" xfId="887"/>
    <cellStyle name="Currency_BSAPPE.XLS" xfId="888"/>
    <cellStyle name="Currency_Calculations" xfId="889"/>
    <cellStyle name="Currency_Calculations (2)" xfId="890"/>
    <cellStyle name="Currency_Calculations II" xfId="891"/>
    <cellStyle name="Currency_Calculations III" xfId="892"/>
    <cellStyle name="Currency_Calculations_1" xfId="893"/>
    <cellStyle name="Currency_CAPEX" xfId="894"/>
    <cellStyle name="Currency_CAPEX94" xfId="895"/>
    <cellStyle name="Currency_CapInt" xfId="896"/>
    <cellStyle name="Currency_Cardig GHS" xfId="897"/>
    <cellStyle name="Currency_Cash Flows" xfId="898"/>
    <cellStyle name="Currency_Cashflow" xfId="899"/>
    <cellStyle name="Currency_CBU BOX CHART V PLAN" xfId="900"/>
    <cellStyle name="Currency_CCA" xfId="901"/>
    <cellStyle name="Currency_CCOCPX" xfId="902"/>
    <cellStyle name="Currency_CFMODEL" xfId="903"/>
    <cellStyle name="Currency_CFtest3" xfId="904"/>
    <cellStyle name="Currency_CFTEST49" xfId="905"/>
    <cellStyle name="Currency_CHANGES.XLS" xfId="906"/>
    <cellStyle name="Currency_Charts" xfId="907"/>
    <cellStyle name="Currency_Comm File" xfId="908"/>
    <cellStyle name="Currency_coperdefault" xfId="909"/>
    <cellStyle name="Currency_coperdefault_1" xfId="910"/>
    <cellStyle name="Currency_Corp method" xfId="911"/>
    <cellStyle name="Currency_Cost Code" xfId="912"/>
    <cellStyle name="Currency_CTCUR" xfId="913"/>
    <cellStyle name="Currency_CUMPLTCH" xfId="914"/>
    <cellStyle name="Currency_Curve_Economics" xfId="915"/>
    <cellStyle name="Currency_DEFAULT" xfId="916"/>
    <cellStyle name="Currency_DeskCurves" xfId="917"/>
    <cellStyle name="Currency_dimon" xfId="918"/>
    <cellStyle name="Currency_dimon_1" xfId="919"/>
    <cellStyle name="Currency_dimon_2" xfId="920"/>
    <cellStyle name="Currency_Dowell C1b" xfId="921"/>
    <cellStyle name="Currency_Dowell-C1a" xfId="922"/>
    <cellStyle name="Currency_E&amp;ONW1" xfId="923"/>
    <cellStyle name="Currency_E&amp;ONW2" xfId="924"/>
    <cellStyle name="Currency_E&amp;OOCPX" xfId="925"/>
    <cellStyle name="Currency_emserdefault" xfId="926"/>
    <cellStyle name="Currency_emserdefault_1" xfId="927"/>
    <cellStyle name="Currency_EVER1" xfId="928"/>
    <cellStyle name="Currency_F&amp;COCPX" xfId="929"/>
    <cellStyle name="Currency_FEBRUARY" xfId="930"/>
    <cellStyle name="Currency_FF" xfId="931"/>
    <cellStyle name="Currency_FP 20 A (1)" xfId="932"/>
    <cellStyle name="Currency_FP 20 A (2)" xfId="933"/>
    <cellStyle name="Currency_FP-20 (App. E)" xfId="934"/>
    <cellStyle name="Currency_FP-20 (App.A) " xfId="935"/>
    <cellStyle name="Currency_FP-20 (App.D)" xfId="936"/>
    <cellStyle name="Currency_FP-20(App.B)" xfId="937"/>
    <cellStyle name="Currency_FP-20(C1) (a)" xfId="938"/>
    <cellStyle name="Currency_FP-20(C1) (a) (2)" xfId="939"/>
    <cellStyle name="Currency_FP-20(C1) (b)" xfId="940"/>
    <cellStyle name="Currency_FP-20(C1) (b) " xfId="941"/>
    <cellStyle name="Currency_FP-20(C1) (b) (2)" xfId="942"/>
    <cellStyle name="Currency_GASDATA1" xfId="943"/>
    <cellStyle name="Currency_GASDATA1 (2)" xfId="944"/>
    <cellStyle name="Currency_GCM" xfId="945"/>
    <cellStyle name="Currency_GenAssum" xfId="946"/>
    <cellStyle name="Currency_GenMod" xfId="947"/>
    <cellStyle name="Currency_GP C1a" xfId="948"/>
    <cellStyle name="Currency_GP C1b" xfId="949"/>
    <cellStyle name="Currency_GP_EI_3" xfId="950"/>
    <cellStyle name="Currency_GQ C1A" xfId="951"/>
    <cellStyle name="Currency_GQ C1B" xfId="952"/>
    <cellStyle name="Currency_H" xfId="953"/>
    <cellStyle name="Currency_Inputs" xfId="954"/>
    <cellStyle name="Currency_Int. Data Table" xfId="955"/>
    <cellStyle name="Currency_IPM C1b" xfId="956"/>
    <cellStyle name="Currency_IPMC1a" xfId="957"/>
    <cellStyle name="Currency_IPP" xfId="958"/>
    <cellStyle name="Currency_IS-Hold" xfId="959"/>
    <cellStyle name="Currency_ITOCPX" xfId="960"/>
    <cellStyle name="Currency_jancf" xfId="961"/>
    <cellStyle name="Currency_JUNMTH55" xfId="962"/>
    <cellStyle name="Currency_JUNMTH57" xfId="963"/>
    <cellStyle name="Currency_JUNYTD55" xfId="964"/>
    <cellStyle name="Currency_JUNYTD57" xfId="965"/>
    <cellStyle name="Currency_laroux" xfId="966"/>
    <cellStyle name="Currency_laroux_1" xfId="967"/>
    <cellStyle name="Currency_laroux_1995" xfId="968"/>
    <cellStyle name="Currency_laroux_1_dimon" xfId="969"/>
    <cellStyle name="Currency_laroux_1_dimon_1" xfId="970"/>
    <cellStyle name="Currency_laroux_1_dimon_2" xfId="971"/>
    <cellStyle name="Currency_laroux_1_dimon_3" xfId="972"/>
    <cellStyle name="Currency_laroux_1_laroux" xfId="973"/>
    <cellStyle name="Currency_laroux_1_laroux_1" xfId="974"/>
    <cellStyle name="Currency_laroux_1_laroux_dimon" xfId="975"/>
    <cellStyle name="Currency_laroux_1_Locas" xfId="976"/>
    <cellStyle name="Currency_laroux_1_pldt" xfId="977"/>
    <cellStyle name="Currency_laroux_1_PLDT_dimon" xfId="978"/>
    <cellStyle name="Currency_laroux_1_VERA" xfId="979"/>
    <cellStyle name="Currency_laroux_1_VERA_1" xfId="980"/>
    <cellStyle name="Currency_laroux_1_VIRUS-EDY" xfId="981"/>
    <cellStyle name="Currency_laroux_2" xfId="982"/>
    <cellStyle name="Currency_laroux_2_dimon" xfId="983"/>
    <cellStyle name="Currency_laroux_2_dimon_1" xfId="984"/>
    <cellStyle name="Currency_laroux_2_dimon_2" xfId="985"/>
    <cellStyle name="Currency_laroux_2_dimon_3" xfId="986"/>
    <cellStyle name="Currency_laroux_2_laroux" xfId="987"/>
    <cellStyle name="Currency_laroux_2_laroux_dimon" xfId="988"/>
    <cellStyle name="Currency_laroux_2_Locas" xfId="989"/>
    <cellStyle name="Currency_laroux_2_pldt" xfId="990"/>
    <cellStyle name="Currency_laroux_2_PLDT_dimon" xfId="991"/>
    <cellStyle name="Currency_laroux_2_VIRUS-EDY" xfId="992"/>
    <cellStyle name="Currency_laroux_3" xfId="993"/>
    <cellStyle name="Currency_laroux_3_dimon" xfId="994"/>
    <cellStyle name="Currency_laroux_3_dimon_1" xfId="995"/>
    <cellStyle name="Currency_laroux_3_dimon_2" xfId="996"/>
    <cellStyle name="Currency_laroux_3_dimon_3" xfId="997"/>
    <cellStyle name="Currency_laroux_4" xfId="998"/>
    <cellStyle name="Currency_laroux_4_dimon" xfId="999"/>
    <cellStyle name="Currency_laroux_4_dimon_1" xfId="1000"/>
    <cellStyle name="Currency_laroux_5" xfId="1001"/>
    <cellStyle name="Currency_laroux_6" xfId="1002"/>
    <cellStyle name="Currency_laroux_7" xfId="1003"/>
    <cellStyle name="Currency_laroux_8" xfId="1004"/>
    <cellStyle name="Currency_laroux_dimon" xfId="1005"/>
    <cellStyle name="Currency_laroux_dimon_1" xfId="1006"/>
    <cellStyle name="Currency_laroux_dimon_2" xfId="1007"/>
    <cellStyle name="Currency_laroux_dimon_3" xfId="1008"/>
    <cellStyle name="Currency_laroux_laroux" xfId="1009"/>
    <cellStyle name="Currency_laroux_laroux_1" xfId="1010"/>
    <cellStyle name="Currency_laroux_laroux_1_dimon" xfId="1011"/>
    <cellStyle name="Currency_laroux_laroux_dimon" xfId="1012"/>
    <cellStyle name="Currency_laroux_Locas" xfId="1013"/>
    <cellStyle name="Currency_laroux_pldt" xfId="1014"/>
    <cellStyle name="Currency_laroux_pldt_1" xfId="1015"/>
    <cellStyle name="Currency_laroux_VERA" xfId="1016"/>
    <cellStyle name="Currency_laroux_VERA_1" xfId="1017"/>
    <cellStyle name="Currency_laroux_VIRUS-EDY" xfId="1018"/>
    <cellStyle name="Currency_List" xfId="1019"/>
    <cellStyle name="Currency_MATERAL2" xfId="1020"/>
    <cellStyle name="Currency_MATERAL2_dimon" xfId="1021"/>
    <cellStyle name="Currency_MATERAL2_dimon_1" xfId="1022"/>
    <cellStyle name="Currency_MKGOCPX" xfId="1023"/>
    <cellStyle name="Currency_MOBCPX" xfId="1024"/>
    <cellStyle name="Currency_Module1" xfId="1025"/>
    <cellStyle name="Currency_mud plant bolted" xfId="1026"/>
    <cellStyle name="Currency_mud plant bolted_dimon" xfId="1027"/>
    <cellStyle name="Currency_mud plant bolted_dimon_1" xfId="1028"/>
    <cellStyle name="Currency_mud plant bolted_PLDT" xfId="1029"/>
    <cellStyle name="Currency_mud plant bolted_VERA" xfId="1030"/>
    <cellStyle name="Currency_mud plant bolted_VERA_1" xfId="1031"/>
    <cellStyle name="Currency_NA WITHOUT GOV'T &amp; PNX" xfId="1032"/>
    <cellStyle name="Currency_NAOBU10" xfId="1033"/>
    <cellStyle name="Currency_NAT ACCT" xfId="1034"/>
    <cellStyle name="Currency_NSACTUAL.XLS" xfId="1035"/>
    <cellStyle name="Currency_NX00" xfId="1036"/>
    <cellStyle name="Currency_Odner" xfId="1037"/>
    <cellStyle name="Currency_Odner (2)" xfId="1038"/>
    <cellStyle name="Currency_Odner (3)" xfId="1039"/>
    <cellStyle name="Currency_OFFDATA1" xfId="1040"/>
    <cellStyle name="Currency_OFFDATA1 (2)" xfId="1041"/>
    <cellStyle name="Currency_Operations" xfId="1042"/>
    <cellStyle name="Currency_opsmacro" xfId="1043"/>
    <cellStyle name="Currency_OSMOCPX" xfId="1044"/>
    <cellStyle name="Currency_Other Months" xfId="1045"/>
    <cellStyle name="Currency_Outlook" xfId="1046"/>
    <cellStyle name="Currency_pbdefault" xfId="1047"/>
    <cellStyle name="Currency_pbdefault_1" xfId="1048"/>
    <cellStyle name="Currency_percentages" xfId="1049"/>
    <cellStyle name="Currency_PERSONAL" xfId="1050"/>
    <cellStyle name="Currency_PGMKOCPX" xfId="1051"/>
    <cellStyle name="Currency_PGNW1" xfId="1052"/>
    <cellStyle name="Currency_PGNW2" xfId="1053"/>
    <cellStyle name="Currency_PGNWOCPX" xfId="1054"/>
    <cellStyle name="Currency_Pink" xfId="1055"/>
    <cellStyle name="Currency_PKDATA1" xfId="1056"/>
    <cellStyle name="Currency_PKDATA1 (2)" xfId="1057"/>
    <cellStyle name="Currency_Plan" xfId="1058"/>
    <cellStyle name="Currency_PLANT" xfId="1059"/>
    <cellStyle name="Currency_PLDT" xfId="1060"/>
    <cellStyle name="Currency_pldt_1" xfId="1061"/>
    <cellStyle name="Currency_PLDT_1_dimon" xfId="1062"/>
    <cellStyle name="Currency_pldt_1_dimon_1" xfId="1063"/>
    <cellStyle name="Currency_pldt_2" xfId="1064"/>
    <cellStyle name="Currency_pldt_Calculations" xfId="1065"/>
    <cellStyle name="Currency_PLDT_dimon" xfId="1066"/>
    <cellStyle name="Currency_pldt_dimon_1" xfId="1067"/>
    <cellStyle name="Currency_priccurv" xfId="1068"/>
    <cellStyle name="Currency_PriceCurve" xfId="1069"/>
    <cellStyle name="Currency_PriceCurve_1" xfId="1070"/>
    <cellStyle name="Currency_PROCDS&amp;G" xfId="1071"/>
    <cellStyle name="Currency_PROFILE4" xfId="1072"/>
    <cellStyle name="Currency_Projects" xfId="1073"/>
    <cellStyle name="Currency_Quarter End Months" xfId="1074"/>
    <cellStyle name="Currency_r1" xfId="1075"/>
    <cellStyle name="Currency_RFI" xfId="1076"/>
    <cellStyle name="Currency_RFI_1" xfId="1077"/>
    <cellStyle name="Currency_Sales Order" xfId="1078"/>
    <cellStyle name="Currency_SATOCPX" xfId="1079"/>
    <cellStyle name="Currency_ScreeningModel" xfId="1080"/>
    <cellStyle name="Currency_SELECT" xfId="1081"/>
    <cellStyle name="Currency_Sheet1" xfId="1082"/>
    <cellStyle name="Currency_Sheet1 (2)" xfId="1083"/>
    <cellStyle name="Currency_Sheet1_dimon" xfId="1084"/>
    <cellStyle name="Currency_SHENREPT" xfId="1085"/>
    <cellStyle name="Currency_Snr. CO" xfId="1086"/>
    <cellStyle name="Currency_sprint contr" xfId="1087"/>
    <cellStyle name="Currency_Subcont File" xfId="1088"/>
    <cellStyle name="Currency_SUMMARY" xfId="1089"/>
    <cellStyle name="Currency_Summary Info" xfId="1090"/>
    <cellStyle name="Currency_SUMPAGE" xfId="1091"/>
    <cellStyle name="Currency_Template" xfId="1092"/>
    <cellStyle name="Currency_TMSNW1" xfId="1093"/>
    <cellStyle name="Currency_TMSNW2" xfId="1094"/>
    <cellStyle name="Currency_TMSOCPX" xfId="1095"/>
    <cellStyle name="Currency_TOTAL MTH" xfId="1096"/>
    <cellStyle name="Currency_TOTAL YTD" xfId="1097"/>
    <cellStyle name="Currency_TRANSDSC.XLS" xfId="1098"/>
    <cellStyle name="Currency_TRANSFXA.XLS" xfId="1099"/>
    <cellStyle name="Currency_TRANSFXA.XLS_1" xfId="1100"/>
    <cellStyle name="Currency_TRANSIME.XLS" xfId="1101"/>
    <cellStyle name="Currency_TRANSIME.XLS_TRANSDSC.XLS" xfId="1102"/>
    <cellStyle name="Currency_TRANSIME.XLS_TRANSFXA.XLS" xfId="1103"/>
    <cellStyle name="Currency_VERA" xfId="1104"/>
    <cellStyle name="Currency_VIRUS-EDY" xfId="1105"/>
    <cellStyle name="Currency_VIRUS-EDY_1" xfId="1106"/>
    <cellStyle name="Currency_White" xfId="1107"/>
    <cellStyle name="Currency_WO Var. &amp; Tot. Exp." xfId="1108"/>
    <cellStyle name="Currency_WSP" xfId="1109"/>
    <cellStyle name="Currency_yrcao" xfId="1110"/>
    <cellStyle name="Currency_YREND55" xfId="1111"/>
    <cellStyle name="Currency_YREND57" xfId="1112"/>
    <cellStyle name="Currency_YTDCUR" xfId="1113"/>
    <cellStyle name="Date" xfId="1114"/>
    <cellStyle name="Dezimal [0]_Compiling Utility Macros" xfId="1115"/>
    <cellStyle name="Dezimal [0]_FixerSetupDlg" xfId="1116"/>
    <cellStyle name="Dezimal [0]_TemplateInformation" xfId="1117"/>
    <cellStyle name="Dezimal_Compiling Utility Macros" xfId="1118"/>
    <cellStyle name="Dezimal_FixerSetupDlg" xfId="1119"/>
    <cellStyle name="Dezimal_TemplateInformation" xfId="1120"/>
    <cellStyle name="Fixed" xfId="1121"/>
    <cellStyle name="Grey" xfId="1122"/>
    <cellStyle name="HEADER" xfId="1123"/>
    <cellStyle name="Heading 1" xfId="1124"/>
    <cellStyle name="Heading2" xfId="1125"/>
    <cellStyle name="HIGHLIGHT" xfId="1126"/>
    <cellStyle name="Hyperlink_dimon" xfId="1127"/>
    <cellStyle name="Input [yellow]" xfId="1128"/>
    <cellStyle name="no dec" xfId="1129"/>
    <cellStyle name="Normal - Style1" xfId="1130"/>
    <cellStyle name="Normal - Style1_dimon" xfId="1131"/>
    <cellStyle name="Normal_03_06_98 list _ecm deals 030998 excel95" xfId="1132"/>
    <cellStyle name="Normal_12matrix" xfId="1133"/>
    <cellStyle name="Normal_20196" xfId="1134"/>
    <cellStyle name="Normal_4018fin" xfId="1135"/>
    <cellStyle name="Normal_4021fin" xfId="1136"/>
    <cellStyle name="Normal_95CHART" xfId="1137"/>
    <cellStyle name="Normal_A" xfId="1138"/>
    <cellStyle name="Normal_A (2)" xfId="1139"/>
    <cellStyle name="Normal_A_dimon" xfId="1140"/>
    <cellStyle name="Normal_A_dimon_1" xfId="1141"/>
    <cellStyle name="Normal_A_PriceCurve" xfId="1142"/>
    <cellStyle name="Normal_A_VERA" xfId="1143"/>
    <cellStyle name="Normal_ACTUAL" xfId="1144"/>
    <cellStyle name="Normal_ACTUAL NA -OBU" xfId="1145"/>
    <cellStyle name="Normal_Actual vs." xfId="1146"/>
    <cellStyle name="Normal_ACTUAL_1" xfId="1147"/>
    <cellStyle name="Normal_ACTUAL_NA WITHOUT GOV'T &amp; PNX" xfId="1148"/>
    <cellStyle name="Normal_algasdefault" xfId="1149"/>
    <cellStyle name="Normal_algasdefault_1" xfId="1150"/>
    <cellStyle name="Normal_Alternative1" xfId="1151"/>
    <cellStyle name="Normal_Alternative1_1" xfId="1152"/>
    <cellStyle name="Normal_AOPS" xfId="1153"/>
    <cellStyle name="Normal_App E" xfId="1154"/>
    <cellStyle name="Normal_APR" xfId="1155"/>
    <cellStyle name="Normal_APR_laroux" xfId="1156"/>
    <cellStyle name="Normal_Apr_pldt" xfId="1157"/>
    <cellStyle name="Normal_Arapahoe" xfId="1158"/>
    <cellStyle name="Normal_Assumptions" xfId="1159"/>
    <cellStyle name="Normal_Assumptions_dimon" xfId="1160"/>
    <cellStyle name="Normal_Assumptions_summary" xfId="1161"/>
    <cellStyle name="Normal_B" xfId="1162"/>
    <cellStyle name="Normal_bahiadefault" xfId="1163"/>
    <cellStyle name="Normal_bahiadefault_1" xfId="1164"/>
    <cellStyle name="Normal_BIGOUT" xfId="1165"/>
    <cellStyle name="Normal_Book3" xfId="1166"/>
    <cellStyle name="Normal_Book3_dimon" xfId="1167"/>
    <cellStyle name="Normal_BOP" xfId="1168"/>
    <cellStyle name="Normal_BOPBAL1" xfId="1169"/>
    <cellStyle name="Normal_BOPCBU" xfId="1170"/>
    <cellStyle name="Normal_BOPCBU (2)" xfId="1171"/>
    <cellStyle name="Normal_BOPCBU96" xfId="1172"/>
    <cellStyle name="Normal_BREPAIR" xfId="1173"/>
    <cellStyle name="Normal_BSAPPE.XLS" xfId="1174"/>
    <cellStyle name="Normal_BUDGET" xfId="1175"/>
    <cellStyle name="Normal_C-Cap intensity" xfId="1176"/>
    <cellStyle name="Normal_C-Capex%rev" xfId="1177"/>
    <cellStyle name="Normal_C-Line per Staff" xfId="1178"/>
    <cellStyle name="Normal_C-lines distribution" xfId="1179"/>
    <cellStyle name="Normal_C-Orig PLDT lines" xfId="1180"/>
    <cellStyle name="Normal_C-Ret on Rev" xfId="1181"/>
    <cellStyle name="Normal_C-ROACE" xfId="1182"/>
    <cellStyle name="Normal_Calculations" xfId="1183"/>
    <cellStyle name="Normal_Calculations (2)" xfId="1184"/>
    <cellStyle name="Normal_Calculations II" xfId="1185"/>
    <cellStyle name="Normal_Calculations II_1" xfId="1186"/>
    <cellStyle name="Normal_Calculations III" xfId="1187"/>
    <cellStyle name="Normal_Calculations_1" xfId="1188"/>
    <cellStyle name="Normal_Calculations_2" xfId="1189"/>
    <cellStyle name="Normal_Capex" xfId="1190"/>
    <cellStyle name="Normal_Capex per line" xfId="1191"/>
    <cellStyle name="Normal_Capex%rev" xfId="1192"/>
    <cellStyle name="Normal_CAPEX2" xfId="1193"/>
    <cellStyle name="Normal_CAPEX94" xfId="1194"/>
    <cellStyle name="Normal_CAPEX_dimon" xfId="1195"/>
    <cellStyle name="Normal_CAPEX_VERA" xfId="1196"/>
    <cellStyle name="Normal_CAPEXPWI.XLS" xfId="1197"/>
    <cellStyle name="Normal_CAPEXPWO.XLS" xfId="1198"/>
    <cellStyle name="Normal_CapInt" xfId="1199"/>
    <cellStyle name="Normal_Cardig GHS" xfId="1200"/>
    <cellStyle name="Normal_Cash Flows" xfId="1201"/>
    <cellStyle name="Normal_Cashflow" xfId="1202"/>
    <cellStyle name="Normal_CBU BOX CHART V PLAN" xfId="1203"/>
    <cellStyle name="Normal_CBU BOX CHART V PLAN_1" xfId="1204"/>
    <cellStyle name="Normal_CCOCPX" xfId="1205"/>
    <cellStyle name="Normal_CEL-C-CO.XLS" xfId="1206"/>
    <cellStyle name="Normal_Certs Q2" xfId="1207"/>
    <cellStyle name="Normal_Certs Q2 (2)" xfId="1208"/>
    <cellStyle name="Normal_CFMACROS.XLM" xfId="1209"/>
    <cellStyle name="Normal_CFMODEL" xfId="1210"/>
    <cellStyle name="Normal_CFMODEL.XLS" xfId="1211"/>
    <cellStyle name="Normal_CFTEST49" xfId="1212"/>
    <cellStyle name="Normal_CHANGES.XLS" xfId="1213"/>
    <cellStyle name="Normal_CHANGES.XLS_1" xfId="1214"/>
    <cellStyle name="Normal_ChgLoan" xfId="1215"/>
    <cellStyle name="Normal_Cht-Capex per line" xfId="1216"/>
    <cellStyle name="Normal_Cht-Cum Real Opr Cf" xfId="1217"/>
    <cellStyle name="Normal_Cht-Dep%Rev" xfId="1218"/>
    <cellStyle name="Normal_Cht-Real Opr Cf" xfId="1219"/>
    <cellStyle name="Normal_Cht-Rev dist" xfId="1220"/>
    <cellStyle name="Normal_Cht-Rev p line" xfId="1221"/>
    <cellStyle name="Normal_Cht-Rev per Staff" xfId="1222"/>
    <cellStyle name="Normal_Cht-Staff cost%revenue" xfId="1223"/>
    <cellStyle name="Normal_Co-wide Monthly" xfId="1224"/>
    <cellStyle name="Normal_Co-wide Monthly_dimon" xfId="1225"/>
    <cellStyle name="Normal_Code" xfId="1226"/>
    <cellStyle name="Normal_COMOTH" xfId="1227"/>
    <cellStyle name="Normal_coperdefault" xfId="1228"/>
    <cellStyle name="Normal_coperdefault_1" xfId="1229"/>
    <cellStyle name="Normal_Corp method" xfId="1230"/>
    <cellStyle name="Normal_Cost Code" xfId="1231"/>
    <cellStyle name="Normal_CROCF" xfId="1232"/>
    <cellStyle name="Normal_CTCUR" xfId="1233"/>
    <cellStyle name="Normal_Cum Real Opr Cf" xfId="1234"/>
    <cellStyle name="Normal_CUMPLTCH" xfId="1235"/>
    <cellStyle name="Normal_CurrencySKorea" xfId="1236"/>
    <cellStyle name="Normal_Curve_Economics" xfId="1237"/>
    <cellStyle name="Normal_Curve_Economics_1" xfId="1238"/>
    <cellStyle name="Normal_DEFAULT" xfId="1239"/>
    <cellStyle name="Normal_Demand Fcst." xfId="1240"/>
    <cellStyle name="Normal_Dep%Rev" xfId="1241"/>
    <cellStyle name="Normal_DeskCurves" xfId="1242"/>
    <cellStyle name="Normal_dimon" xfId="1243"/>
    <cellStyle name="Normal_dimon_1" xfId="1244"/>
    <cellStyle name="Normal_dimon_2" xfId="1245"/>
    <cellStyle name="Normal_dimon_3" xfId="1246"/>
    <cellStyle name="Normal_dimon_4" xfId="1247"/>
    <cellStyle name="Normal_DIV" xfId="1248"/>
    <cellStyle name="Normal_Dowell C1b" xfId="1249"/>
    <cellStyle name="Normal_Dowell-C1a" xfId="1250"/>
    <cellStyle name="Normal_DRAFT Order Summary" xfId="1251"/>
    <cellStyle name="Normal_E&amp;ONW1" xfId="1252"/>
    <cellStyle name="Normal_E&amp;ONW2" xfId="1253"/>
    <cellStyle name="Normal_E&amp;OOCPX" xfId="1254"/>
    <cellStyle name="Normal_emserdefault" xfId="1255"/>
    <cellStyle name="Normal_emserdefault_1" xfId="1256"/>
    <cellStyle name="Normal_EPS" xfId="1257"/>
    <cellStyle name="Normal_EQCON" xfId="1258"/>
    <cellStyle name="Normal_EVER1" xfId="1259"/>
    <cellStyle name="Normal_export 61898" xfId="1260"/>
    <cellStyle name="Normal_export deals 050898" xfId="1261"/>
    <cellStyle name="Normal_EXTEMP1" xfId="1262"/>
    <cellStyle name="Normal_F&amp;COCPX" xfId="1263"/>
    <cellStyle name="Normal_FEBRUARY" xfId="1264"/>
    <cellStyle name="Normal_FF" xfId="1265"/>
    <cellStyle name="Normal_FP 20 A (1)" xfId="1266"/>
    <cellStyle name="Normal_FP 20 A (2)" xfId="1267"/>
    <cellStyle name="Normal_FP-20 (App. E)" xfId="1268"/>
    <cellStyle name="Normal_FP-20 (App.A) " xfId="1269"/>
    <cellStyle name="Normal_FP-20 (App.A) _1" xfId="1270"/>
    <cellStyle name="Normal_FP-20(C1) (a)" xfId="1271"/>
    <cellStyle name="Normal_FP-20(C1) (a) (2)" xfId="1272"/>
    <cellStyle name="Normal_FP-20(C1) (a)_1" xfId="1273"/>
    <cellStyle name="Normal_FP-20(C1) (b)" xfId="1274"/>
    <cellStyle name="Normal_FP-20(C1) (b) " xfId="1275"/>
    <cellStyle name="Normal_FP-20(C1) (b) (2)" xfId="1276"/>
    <cellStyle name="Normal_FP-20(C1) (e)" xfId="1277"/>
    <cellStyle name="Normal_FP20_C1A" xfId="1278"/>
    <cellStyle name="Normal_FP20_C1B" xfId="1279"/>
    <cellStyle name="Normal_GASDATA1" xfId="1280"/>
    <cellStyle name="Normal_GASDATA1 (2)" xfId="1281"/>
    <cellStyle name="Normal_GASDATA1_1" xfId="1282"/>
    <cellStyle name="Normal_GCM" xfId="1283"/>
    <cellStyle name="Normal_GE03" xfId="1284"/>
    <cellStyle name="Normal_GE04" xfId="1285"/>
    <cellStyle name="Normal_GenAssum" xfId="1286"/>
    <cellStyle name="Normal_GenMod" xfId="1287"/>
    <cellStyle name="Normal_GP C1a" xfId="1288"/>
    <cellStyle name="Normal_GP C1b" xfId="1289"/>
    <cellStyle name="Normal_GP_EI_3" xfId="1290"/>
    <cellStyle name="Normal_GQ C1A" xfId="1291"/>
    <cellStyle name="Normal_GQ C1B" xfId="1292"/>
    <cellStyle name="Normal_H" xfId="1293"/>
    <cellStyle name="Normal_HC" xfId="1294"/>
    <cellStyle name="Normal_Igobox" xfId="1295"/>
    <cellStyle name="Normal_Igobox_1" xfId="1296"/>
    <cellStyle name="Normal_Igobox_2" xfId="1297"/>
    <cellStyle name="Normal_Igobox_Imacros" xfId="1298"/>
    <cellStyle name="Normal_Igobox_IPP" xfId="1299"/>
    <cellStyle name="Normal_Igobox_Iprintbox" xfId="1300"/>
    <cellStyle name="Normal_Imacros" xfId="1301"/>
    <cellStyle name="Normal_Imacros_1" xfId="1302"/>
    <cellStyle name="Normal_Imacros_2" xfId="1303"/>
    <cellStyle name="Normal_Input" xfId="1304"/>
    <cellStyle name="Normal_INPUT_1" xfId="1305"/>
    <cellStyle name="Normal_INPUT_GenAssum" xfId="1306"/>
    <cellStyle name="Normal_Inputs" xfId="1307"/>
    <cellStyle name="Normal_Inputs_dimon" xfId="1308"/>
    <cellStyle name="Normal_Int. Data Table" xfId="1309"/>
    <cellStyle name="Normal_Int. Data Table_1" xfId="1310"/>
    <cellStyle name="Normal_INVREV" xfId="1311"/>
    <cellStyle name="Normal_IPM C1b" xfId="1312"/>
    <cellStyle name="Normal_IPMC1a" xfId="1313"/>
    <cellStyle name="Normal_IPP" xfId="1314"/>
    <cellStyle name="Normal_IPP_1" xfId="1315"/>
    <cellStyle name="Normal_IPP_1_Igobox" xfId="1316"/>
    <cellStyle name="Normal_IPP_1_Imacros" xfId="1317"/>
    <cellStyle name="Normal_IPP_1_Iprintbox" xfId="1318"/>
    <cellStyle name="Normal_IPP_2" xfId="1319"/>
    <cellStyle name="Normal_IPP_dimon" xfId="1320"/>
    <cellStyle name="Normal_Iprintbox" xfId="1321"/>
    <cellStyle name="Normal_Iprintbox_1" xfId="1322"/>
    <cellStyle name="Normal_Iprintbox_2" xfId="1323"/>
    <cellStyle name="Normal_IRR" xfId="1324"/>
    <cellStyle name="Normal_IS-Hold" xfId="1325"/>
    <cellStyle name="Normal_Iterbox" xfId="1326"/>
    <cellStyle name="Normal_ITOCPX" xfId="1327"/>
    <cellStyle name="Normal_jancf" xfId="1328"/>
    <cellStyle name="Normal_JUNMTH55" xfId="1329"/>
    <cellStyle name="Normal_JUNMTH57" xfId="1330"/>
    <cellStyle name="Normal_JUNYTD55" xfId="1331"/>
    <cellStyle name="Normal_JUNYTD57" xfId="1332"/>
    <cellStyle name="Normal_laroux" xfId="1333"/>
    <cellStyle name="Normal_laroux_1" xfId="1334"/>
    <cellStyle name="Normal_laroux_1_dimon" xfId="1335"/>
    <cellStyle name="Normal_laroux_1_dimon_1" xfId="1336"/>
    <cellStyle name="Normal_laroux_1_dimon_2" xfId="1337"/>
    <cellStyle name="Normal_laroux_1_laroux" xfId="1338"/>
    <cellStyle name="Normal_laroux_1_laroux_1" xfId="1339"/>
    <cellStyle name="Normal_laroux_1_laroux_2" xfId="1340"/>
    <cellStyle name="Normal_laroux_1_Locas" xfId="1341"/>
    <cellStyle name="Normal_laroux_1_Locas_1" xfId="1342"/>
    <cellStyle name="Normal_laroux_1_pldt" xfId="1343"/>
    <cellStyle name="Normal_laroux_1_pldt_1" xfId="1344"/>
    <cellStyle name="Normal_laroux_1_pldt_2" xfId="1345"/>
    <cellStyle name="Normal_laroux_1_pldt_3" xfId="1346"/>
    <cellStyle name="Normal_laroux_1_PLDT_dimon" xfId="1347"/>
    <cellStyle name="Normal_laroux_1_VERA" xfId="1348"/>
    <cellStyle name="Normal_laroux_1_VERA_1" xfId="1349"/>
    <cellStyle name="Normal_laroux_1_VIRUS-EDY" xfId="1350"/>
    <cellStyle name="Normal_laroux_2" xfId="1351"/>
    <cellStyle name="Normal_laroux_2_dimon" xfId="1352"/>
    <cellStyle name="Normal_laroux_2_dimon_1" xfId="1353"/>
    <cellStyle name="Normal_laroux_2_dimon_2" xfId="1354"/>
    <cellStyle name="Normal_laroux_2_dimon_3" xfId="1355"/>
    <cellStyle name="Normal_laroux_2_laroux" xfId="1356"/>
    <cellStyle name="Normal_laroux_2_laroux_1" xfId="1357"/>
    <cellStyle name="Normal_laroux_2_laroux_2" xfId="1358"/>
    <cellStyle name="Normal_laroux_2_Locas" xfId="1359"/>
    <cellStyle name="Normal_laroux_2_Locas_1" xfId="1360"/>
    <cellStyle name="Normal_laroux_2_pldt" xfId="1361"/>
    <cellStyle name="Normal_laroux_2_pldt_1" xfId="1362"/>
    <cellStyle name="Normal_laroux_2_pldt_2" xfId="1363"/>
    <cellStyle name="Normal_laroux_2_VIRUS-EDY" xfId="1364"/>
    <cellStyle name="Normal_laroux_3" xfId="1365"/>
    <cellStyle name="Normal_laroux_3_dimon" xfId="1366"/>
    <cellStyle name="Normal_laroux_3_dimon_1" xfId="1367"/>
    <cellStyle name="Normal_laroux_3_dimon_2" xfId="1368"/>
    <cellStyle name="Normal_laroux_3_dimon_3" xfId="1369"/>
    <cellStyle name="Normal_laroux_3_dimon_4" xfId="1370"/>
    <cellStyle name="Normal_laroux_3_laroux" xfId="1371"/>
    <cellStyle name="Normal_laroux_3_laroux_1" xfId="1372"/>
    <cellStyle name="Normal_laroux_3_laroux_2" xfId="1373"/>
    <cellStyle name="Normal_laroux_3_laroux_dimon" xfId="1374"/>
    <cellStyle name="Normal_laroux_3_Locas" xfId="1375"/>
    <cellStyle name="Normal_laroux_3_pldt" xfId="1376"/>
    <cellStyle name="Normal_laroux_3_pldt_1" xfId="1377"/>
    <cellStyle name="Normal_laroux_3_PLDT_dimon" xfId="1378"/>
    <cellStyle name="Normal_laroux_3_VERA" xfId="1379"/>
    <cellStyle name="Normal_laroux_3_VERA_1" xfId="1380"/>
    <cellStyle name="Normal_laroux_3_VIRUS-EDY" xfId="1381"/>
    <cellStyle name="Normal_laroux_4" xfId="1382"/>
    <cellStyle name="Normal_laroux_4_dimon" xfId="1383"/>
    <cellStyle name="Normal_laroux_4_dimon_1" xfId="1384"/>
    <cellStyle name="Normal_laroux_4_dimon_2" xfId="1385"/>
    <cellStyle name="Normal_laroux_4_dimon_3" xfId="1386"/>
    <cellStyle name="Normal_laroux_4_laroux" xfId="1387"/>
    <cellStyle name="Normal_laroux_4_laroux_1" xfId="1388"/>
    <cellStyle name="Normal_laroux_4_laroux_2" xfId="1389"/>
    <cellStyle name="Normal_laroux_4_pldt" xfId="1390"/>
    <cellStyle name="Normal_laroux_4_pldt_1" xfId="1391"/>
    <cellStyle name="Normal_laroux_4_pldt_2" xfId="1392"/>
    <cellStyle name="Normal_laroux_4_PLDT_dimon" xfId="1393"/>
    <cellStyle name="Normal_laroux_4_VERA" xfId="1394"/>
    <cellStyle name="Normal_laroux_4_VIRUS-EDY" xfId="1395"/>
    <cellStyle name="Normal_laroux_5" xfId="1396"/>
    <cellStyle name="Normal_laroux_5_dimon" xfId="1397"/>
    <cellStyle name="Normal_laroux_5_dimon_1" xfId="1398"/>
    <cellStyle name="Normal_laroux_5_dimon_2" xfId="1399"/>
    <cellStyle name="Normal_laroux_5_dimon_3" xfId="1400"/>
    <cellStyle name="Normal_laroux_5_laroux" xfId="1401"/>
    <cellStyle name="Normal_laroux_5_laroux_1" xfId="1402"/>
    <cellStyle name="Normal_laroux_5_laroux_2" xfId="1403"/>
    <cellStyle name="Normal_laroux_5_pldt" xfId="1404"/>
    <cellStyle name="Normal_laroux_5_pldt_1" xfId="1405"/>
    <cellStyle name="Normal_laroux_5_pldt_2" xfId="1406"/>
    <cellStyle name="Normal_laroux_5_pldt_3" xfId="1407"/>
    <cellStyle name="Normal_laroux_5_PLDT_dimon" xfId="1408"/>
    <cellStyle name="Normal_laroux_5_VERA" xfId="1409"/>
    <cellStyle name="Normal_laroux_5_VIRUS-EDY" xfId="1410"/>
    <cellStyle name="Normal_laroux_6" xfId="1411"/>
    <cellStyle name="Normal_laroux_6_dimon" xfId="1412"/>
    <cellStyle name="Normal_laroux_6_dimon_1" xfId="1413"/>
    <cellStyle name="Normal_laroux_6_dimon_2" xfId="1414"/>
    <cellStyle name="Normal_laroux_6_dimon_3" xfId="1415"/>
    <cellStyle name="Normal_laroux_6_laroux" xfId="1416"/>
    <cellStyle name="Normal_laroux_6_laroux_1" xfId="1417"/>
    <cellStyle name="Normal_laroux_6_laroux_dimon" xfId="1418"/>
    <cellStyle name="Normal_laroux_6_pldt" xfId="1419"/>
    <cellStyle name="Normal_laroux_6_pldt_1" xfId="1420"/>
    <cellStyle name="Normal_laroux_6_pldt_2" xfId="1421"/>
    <cellStyle name="Normal_laroux_6_PLDT_dimon" xfId="1422"/>
    <cellStyle name="Normal_laroux_6_VERA" xfId="1423"/>
    <cellStyle name="Normal_laroux_6_VIRUS-EDY" xfId="1424"/>
    <cellStyle name="Normal_laroux_7" xfId="1425"/>
    <cellStyle name="Normal_laroux_7_dimon" xfId="1426"/>
    <cellStyle name="Normal_laroux_7_dimon_1" xfId="1427"/>
    <cellStyle name="Normal_laroux_7_dimon_2" xfId="1428"/>
    <cellStyle name="Normal_laroux_7_laroux" xfId="1429"/>
    <cellStyle name="Normal_laroux_7_pldt" xfId="1430"/>
    <cellStyle name="Normal_laroux_7_pldt_1" xfId="1431"/>
    <cellStyle name="Normal_laroux_7_VERA" xfId="1432"/>
    <cellStyle name="Normal_laroux_7_VIRUS-EDY" xfId="1433"/>
    <cellStyle name="Normal_laroux_8" xfId="1434"/>
    <cellStyle name="Normal_laroux_8_dimon" xfId="1435"/>
    <cellStyle name="Normal_laroux_8_dimon_1" xfId="1436"/>
    <cellStyle name="Normal_laroux_8_pldt" xfId="1437"/>
    <cellStyle name="Normal_laroux_8_pldt_1" xfId="1438"/>
    <cellStyle name="Normal_laroux_8_VERA" xfId="1439"/>
    <cellStyle name="Normal_laroux_9" xfId="1440"/>
    <cellStyle name="Normal_laroux_9_dimon" xfId="1441"/>
    <cellStyle name="Normal_laroux_9_dimon_1" xfId="1442"/>
    <cellStyle name="Normal_laroux_A" xfId="1443"/>
    <cellStyle name="Normal_laroux_B" xfId="1444"/>
    <cellStyle name="Normal_laroux_C" xfId="1445"/>
    <cellStyle name="Normal_laroux_D" xfId="1446"/>
    <cellStyle name="Normal_laroux_dimon" xfId="1447"/>
    <cellStyle name="Normal_laroux_dimon_1" xfId="1448"/>
    <cellStyle name="Normal_laroux_dimon_2" xfId="1449"/>
    <cellStyle name="Normal_laroux_dimon_3" xfId="1450"/>
    <cellStyle name="Normal_laroux_dimon_4" xfId="1451"/>
    <cellStyle name="Normal_laroux_dimon_5" xfId="1452"/>
    <cellStyle name="Normal_laroux_laroux" xfId="1453"/>
    <cellStyle name="Normal_laroux_laroux_1" xfId="1454"/>
    <cellStyle name="Normal_laroux_laroux_2" xfId="1455"/>
    <cellStyle name="Normal_laroux_Locas" xfId="1456"/>
    <cellStyle name="Normal_laroux_pldt" xfId="1457"/>
    <cellStyle name="Normal_laroux_pldt_1" xfId="1458"/>
    <cellStyle name="Normal_laroux_pldt_2" xfId="1459"/>
    <cellStyle name="Normal_laroux_pldt_3" xfId="1460"/>
    <cellStyle name="Normal_laroux_PLDT_dimon" xfId="1461"/>
    <cellStyle name="Normal_laroux_VERA" xfId="1462"/>
    <cellStyle name="Normal_laroux_VERA_1" xfId="1463"/>
    <cellStyle name="Normal_laroux_VIRUS-EDY" xfId="1464"/>
    <cellStyle name="Normal_Line Inst." xfId="1465"/>
    <cellStyle name="Normal_List" xfId="1466"/>
    <cellStyle name="Normal_Locas" xfId="1467"/>
    <cellStyle name="Normal_Locas_1" xfId="1468"/>
    <cellStyle name="Normal_Lock" xfId="1469"/>
    <cellStyle name="Normal_MAJREP" xfId="1470"/>
    <cellStyle name="Normal_MATERAL2" xfId="1471"/>
    <cellStyle name="Normal_MATERAL2_dimon" xfId="1472"/>
    <cellStyle name="Normal_MED-A-CO.XLS" xfId="1473"/>
    <cellStyle name="Normal_MID CURVE" xfId="1474"/>
    <cellStyle name="Normal_MKGOCPX" xfId="1475"/>
    <cellStyle name="Normal_Mkt Shr" xfId="1476"/>
    <cellStyle name="Normal_MOBCPX" xfId="1477"/>
    <cellStyle name="Normal_Module1" xfId="1478"/>
    <cellStyle name="Normal_Module1 (2)" xfId="1479"/>
    <cellStyle name="Normal_Module1 (2)_1" xfId="1480"/>
    <cellStyle name="Normal_MONTHLY" xfId="1481"/>
    <cellStyle name="Normal_MOR  - Supp" xfId="1482"/>
    <cellStyle name="Normal_mud plant bolted" xfId="1483"/>
    <cellStyle name="Normal_mud plant bolted_dimon" xfId="1484"/>
    <cellStyle name="Normal_Multikarya" xfId="1485"/>
    <cellStyle name="Normal_NA WITHOUT GOV'T &amp; PNX" xfId="1486"/>
    <cellStyle name="Normal_NAOBU10" xfId="1487"/>
    <cellStyle name="Normal_NAT ACCT" xfId="1488"/>
    <cellStyle name="Normal_NCR-C&amp;W Val" xfId="1489"/>
    <cellStyle name="Normal_NCR-Cap intensity" xfId="1490"/>
    <cellStyle name="Normal_NCR-Line per Staff" xfId="1491"/>
    <cellStyle name="Normal_NCR-Rev dist" xfId="1492"/>
    <cellStyle name="Normal_NEHQ-ACT.XLS" xfId="1493"/>
    <cellStyle name="Normal_NS-A-CO.XLS" xfId="1494"/>
    <cellStyle name="Normal_NS_AT" xfId="1495"/>
    <cellStyle name="Normal_NS_CONS GROUP" xfId="1496"/>
    <cellStyle name="Normal_NSACTUAL.XLS" xfId="1497"/>
    <cellStyle name="Normal_NSACTUAL.XLS_1" xfId="1498"/>
    <cellStyle name="Normal_NX00" xfId="1499"/>
    <cellStyle name="Normal_OFFDATA1" xfId="1500"/>
    <cellStyle name="Normal_OFFDATA1 (2)" xfId="1501"/>
    <cellStyle name="Normal_OFFDATA1_1" xfId="1502"/>
    <cellStyle name="Normal_Op Cost Break" xfId="1503"/>
    <cellStyle name="Normal_Operations" xfId="1504"/>
    <cellStyle name="Normal_opsmacro" xfId="1505"/>
    <cellStyle name="Normal_OPSTAT" xfId="1506"/>
    <cellStyle name="Normal_OS-A-CO.XLS" xfId="1507"/>
    <cellStyle name="Normal_OSMOCPX" xfId="1508"/>
    <cellStyle name="Normal_Other Months" xfId="1509"/>
    <cellStyle name="Normal_Outlook" xfId="1510"/>
    <cellStyle name="Normal_Outlook_1" xfId="1511"/>
    <cellStyle name="Normal_OWN, AR, SNIPS" xfId="1512"/>
    <cellStyle name="Normal_PAGE 1" xfId="1513"/>
    <cellStyle name="Normal_pbdefault" xfId="1514"/>
    <cellStyle name="Normal_pbdefault_1" xfId="1515"/>
    <cellStyle name="Normal_percentages" xfId="1516"/>
    <cellStyle name="Normal_PERSONAL" xfId="1517"/>
    <cellStyle name="Normal_PERSONAL_dimon" xfId="1518"/>
    <cellStyle name="Normal_PERSONAL_Locas" xfId="1519"/>
    <cellStyle name="Normal_PGMKOCPX" xfId="1520"/>
    <cellStyle name="Normal_PGNW1" xfId="1521"/>
    <cellStyle name="Normal_PGNW2" xfId="1522"/>
    <cellStyle name="Normal_PGNWOCPX" xfId="1523"/>
    <cellStyle name="Normal_Picks" xfId="1524"/>
    <cellStyle name="Normal_Pink" xfId="1525"/>
    <cellStyle name="Normal_PKDATA1" xfId="1526"/>
    <cellStyle name="Normal_PKDATA1 (2)" xfId="1527"/>
    <cellStyle name="Normal_PKDATA1_1" xfId="1528"/>
    <cellStyle name="Normal_PLAN" xfId="1529"/>
    <cellStyle name="Normal_PLANT" xfId="1530"/>
    <cellStyle name="Normal_PLANTS" xfId="1531"/>
    <cellStyle name="Normal_PLDT" xfId="1532"/>
    <cellStyle name="Normal_PLDT_1" xfId="1533"/>
    <cellStyle name="Normal_pldt_1_Calculations" xfId="1534"/>
    <cellStyle name="Normal_PLDT_1_dimon" xfId="1535"/>
    <cellStyle name="Normal_pldt_2" xfId="1536"/>
    <cellStyle name="Normal_pldt_2_Calculations" xfId="1537"/>
    <cellStyle name="Normal_PLDT_2_dimon" xfId="1538"/>
    <cellStyle name="Normal_pldt_2_dimon_1" xfId="1539"/>
    <cellStyle name="Normal_pldt_2_pldt" xfId="1540"/>
    <cellStyle name="Normal_pldt_3" xfId="1541"/>
    <cellStyle name="Normal_pldt_3_dimon" xfId="1542"/>
    <cellStyle name="Normal_pldt_4" xfId="1543"/>
    <cellStyle name="Normal_pldt_4_dimon" xfId="1544"/>
    <cellStyle name="Normal_PLDT_4_dimon_1" xfId="1545"/>
    <cellStyle name="Normal_pldt_5" xfId="1546"/>
    <cellStyle name="Normal_pldt_6" xfId="1547"/>
    <cellStyle name="Normal_pldt_Calculations" xfId="1548"/>
    <cellStyle name="Normal_PLDT_dimon" xfId="1549"/>
    <cellStyle name="Normal_PLDT_dimon_1" xfId="1550"/>
    <cellStyle name="Normal_pldt_pldt" xfId="1551"/>
    <cellStyle name="Normal_POW-Provision" xfId="1552"/>
    <cellStyle name="Normal_priccurv" xfId="1553"/>
    <cellStyle name="Normal_priccurv_1" xfId="1554"/>
    <cellStyle name="Normal_priccurv_2" xfId="1555"/>
    <cellStyle name="Normal_PriceCurve" xfId="0"/>
    <cellStyle name="Normal_PriceCurve_1" xfId="0"/>
    <cellStyle name="Normal_PrintBox (2)" xfId="0"/>
    <cellStyle name="Normal_PROCDS&amp;G" xfId="0"/>
    <cellStyle name="Normal_PROD SALES" xfId="0"/>
    <cellStyle name="Normal_PROD SALES by Region Pg 2" xfId="0"/>
    <cellStyle name="Normal_PRODUCT" xfId="0"/>
    <cellStyle name="Normal_Production Payment model" xfId="0"/>
    <cellStyle name="Normal_production tony" xfId="0"/>
    <cellStyle name="Normal_PROFILE4" xfId="0"/>
    <cellStyle name="Normal_PSTNOCFP" xfId="0"/>
    <cellStyle name="Normal_Q08-95.XLS" xfId="0"/>
    <cellStyle name="Normal_QMM-1" xfId="0"/>
    <cellStyle name="Normal_Quarter End Months" xfId="0"/>
    <cellStyle name="Normal_r1" xfId="0"/>
    <cellStyle name="Normal_R2FAC" xfId="0"/>
    <cellStyle name="Normal_Real Opr Cf" xfId="0"/>
    <cellStyle name="Normal_Real Rev per Staff (1)" xfId="0"/>
    <cellStyle name="Normal_Real Rev per Staff (2)" xfId="0"/>
    <cellStyle name="Normal_Region 2-C&amp;W" xfId="0"/>
    <cellStyle name="Normal_REPORT-budget" xfId="0"/>
    <cellStyle name="Normal_REPORT-plan" xfId="0"/>
    <cellStyle name="Normal_Return on Rev" xfId="0"/>
    <cellStyle name="Normal_Rev p line" xfId="0"/>
    <cellStyle name="Normal_ROACE" xfId="0"/>
    <cellStyle name="Normal_ROCF (Tot)" xfId="0"/>
    <cellStyle name="Normal_Sales Order" xfId="0"/>
    <cellStyle name="Normal_SALES, BGP, MOI" xfId="0"/>
    <cellStyle name="Normal_SATOCPX" xfId="0"/>
    <cellStyle name="Normal_SC COP" xfId="0"/>
    <cellStyle name="Normal_ScreeningModel" xfId="0"/>
    <cellStyle name="Normal_SELECT" xfId="0"/>
    <cellStyle name="Normal_Sheet1" xfId="0"/>
    <cellStyle name="Normal_Sheet1 (2)" xfId="0"/>
    <cellStyle name="Normal_Sheet1 (2)_dimon" xfId="0"/>
    <cellStyle name="Normal_Sheet1 (2)_VERA" xfId="0"/>
    <cellStyle name="Normal_Sheet1 (2)_VERA_1" xfId="0"/>
    <cellStyle name="Normal_Sheet1_1" xfId="0"/>
    <cellStyle name="Normal_Sheet1_dimon" xfId="0"/>
    <cellStyle name="Normal_Sheet1_dimon_1" xfId="0"/>
    <cellStyle name="Normal_Sheet1_FUNDS" xfId="0"/>
    <cellStyle name="Normal_Sheet1_FUNDS (2)" xfId="0"/>
    <cellStyle name="Normal_Sheet1_laroux" xfId="0"/>
    <cellStyle name="Normal_Sheet1_List" xfId="0"/>
    <cellStyle name="Normal_Sheet1_PLDT" xfId="0"/>
    <cellStyle name="Normal_Sheet1_VERA" xfId="0"/>
    <cellStyle name="Normal_Sheet1_VERA_1" xfId="0"/>
    <cellStyle name="Normal_Sheet2" xfId="0"/>
    <cellStyle name="Normal_Sheet3" xfId="0"/>
    <cellStyle name="Normal_SHENREPT" xfId="0"/>
    <cellStyle name="Normal_SHENREPT_laroux" xfId="0"/>
    <cellStyle name="Normal_SHENREPT_pldt" xfId="0"/>
    <cellStyle name="Normal_solInv_suppldata_qry" xfId="0"/>
    <cellStyle name="Normal_SOP" xfId="0"/>
    <cellStyle name="Normal_Specifics" xfId="0"/>
    <cellStyle name="Normal_sprint contr" xfId="0"/>
    <cellStyle name="Normal_Staff cost%rev" xfId="0"/>
    <cellStyle name="Normal_SUMMARY" xfId="0"/>
    <cellStyle name="Normal_Summary_dimon" xfId="0"/>
    <cellStyle name="Normal_SUMPAGE" xfId="0"/>
    <cellStyle name="Normal_SWI-C-CO.XLS" xfId="0"/>
    <cellStyle name="Normal_Template" xfId="0"/>
    <cellStyle name="Normal_Template_dimon" xfId="0"/>
    <cellStyle name="Normal_TESTDATA" xfId="0"/>
    <cellStyle name="Normal_TMSNW1" xfId="0"/>
    <cellStyle name="Normal_TMSNW2" xfId="0"/>
    <cellStyle name="Normal_TMSOCPX" xfId="0"/>
    <cellStyle name="Normal_TOTAL MTH" xfId="0"/>
    <cellStyle name="Normal_TOTAL NX CASH FLOW" xfId="0"/>
    <cellStyle name="Normal_TOTAL YTD" xfId="0"/>
    <cellStyle name="Normal_Total-Rev dist." xfId="0"/>
    <cellStyle name="Normal_TRANSDSC.XLS" xfId="0"/>
    <cellStyle name="Normal_TRANSFXA.XLS" xfId="0"/>
    <cellStyle name="Normal_TRANSFXA.XLS_1" xfId="0"/>
    <cellStyle name="Normal_TRANSFXA.XLS_2" xfId="0"/>
    <cellStyle name="Normal_TRANSIME.XLS" xfId="0"/>
    <cellStyle name="Normal_TRANSIME.XLS_1" xfId="0"/>
    <cellStyle name="Normal_TRANSIME.XLS_TRANSDSC.XLS" xfId="0"/>
    <cellStyle name="Normal_TRANSIME.XLS_TRANSFXA.XLS" xfId="0"/>
    <cellStyle name="Normal_TRN-A-CO.XLS" xfId="0"/>
    <cellStyle name="Normal_VDlg" xfId="0"/>
    <cellStyle name="Normal_White" xfId="0"/>
    <cellStyle name="Normal_WO Var. &amp; Tot. Exp." xfId="0"/>
    <cellStyle name="Normal_WSP" xfId="0"/>
    <cellStyle name="Normal_yrcao" xfId="0"/>
    <cellStyle name="Normal_YREND55" xfId="0"/>
    <cellStyle name="Normal_YREND57" xfId="0"/>
    <cellStyle name="Normal_YTDCUR" xfId="0"/>
    <cellStyle name="Percent [2]" xfId="0"/>
    <cellStyle name="Percent_dimon" xfId="0"/>
    <cellStyle name="Percent_SPC99-03" xfId="0"/>
    <cellStyle name="Standard_Anpassen der Amortisation" xfId="0"/>
    <cellStyle name="Standard_ATW" xfId="0"/>
    <cellStyle name="Standard_Compiling Utility Macros" xfId="0"/>
    <cellStyle name="Standard_FixerSetupDlg" xfId="0"/>
    <cellStyle name="Standard_Sperren" xfId="0"/>
    <cellStyle name="Standard_Sperren_1" xfId="0"/>
    <cellStyle name="Standard_TemplateInformation" xfId="0"/>
    <cellStyle name="Standard_TemplateInformation_1" xfId="0"/>
    <cellStyle name="Total" xfId="0"/>
    <cellStyle name="uk" xfId="0"/>
    <cellStyle name="Un" xfId="0"/>
    <cellStyle name="Unprot" xfId="0"/>
    <cellStyle name="Unprot$" xfId="0"/>
    <cellStyle name="Unprot_CurrencySKorea" xfId="0"/>
    <cellStyle name="Unprot_GenMod" xfId="0"/>
    <cellStyle name="Unprot_ScreeningModel" xfId="0"/>
    <cellStyle name="Unprotect" xfId="0"/>
    <cellStyle name="Unprotect_dimon" xfId="0"/>
    <cellStyle name="Unprotect_summary" xfId="0"/>
    <cellStyle name="Währung [0]_Compiling Utility Macros" xfId="0"/>
    <cellStyle name="Währung [0]_FixerSetupDlg" xfId="0"/>
    <cellStyle name="Währung [0]_TemplateInformation" xfId="0"/>
    <cellStyle name="Währung_Compiling Utility Macros" xfId="0"/>
    <cellStyle name="Währung_FixerSetupDlg" xfId="0"/>
    <cellStyle name="Währung_TemplateInformation" xfId="0"/>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externalLink" Target="externalLinks/externalLink3.xml"/><Relationship Id="rId21" Type="http://schemas.openxmlformats.org/officeDocument/2006/relationships/sharedStrings" Target="sharedStrings.xml"/>
</Relationships>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353160</xdr:colOff>
          <xdr:row>1</xdr:row>
          <xdr:rowOff>9000</xdr:rowOff>
        </xdr:from>
        <xdr:to>
          <xdr:col>1</xdr:col>
          <xdr:colOff>-551520</xdr:colOff>
          <xdr:row>3</xdr:row>
          <xdr:rowOff>86400</xdr:rowOff>
        </xdr:to>
        <xdr:sp>
          <xdr:nvSpPr>
            <xdr:cNvPr id="1001" name="Button 502" descr="Print" hidden="0"/>
            <xdr:cNvSpPr/>
          </xdr:nvSpPr>
          <xdr:spPr>
            <a:xfrm>
              <a:off x="0" y="0"/>
              <a:ext cx="0" cy="0"/>
            </a:xfrm>
            <a:prstGeom prst="rect">
              <a:avLst/>
            </a:prstGeom>
          </xdr:spPr>
          <xdr:txBody>
            <a:bodyPr anchor="ctr">
              <a:noAutofit/>
            </a:bodyPr>
            <a:p>
              <a:r>
                <a:t>Print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2094480</xdr:colOff>
          <xdr:row>2</xdr:row>
          <xdr:rowOff>9720</xdr:rowOff>
        </xdr:from>
        <xdr:to>
          <xdr:col>1</xdr:col>
          <xdr:colOff>272520</xdr:colOff>
          <xdr:row>3</xdr:row>
          <xdr:rowOff>86400</xdr:rowOff>
        </xdr:to>
        <xdr:sp>
          <xdr:nvSpPr>
            <xdr:cNvPr id="1002" name="Button 521" descr="Tax Calc." hidden="0"/>
            <xdr:cNvSpPr/>
          </xdr:nvSpPr>
          <xdr:spPr>
            <a:xfrm>
              <a:off x="0" y="0"/>
              <a:ext cx="0" cy="0"/>
            </a:xfrm>
            <a:prstGeom prst="rect">
              <a:avLst/>
            </a:prstGeom>
          </xdr:spPr>
          <xdr:txBody>
            <a:bodyPr anchor="ctr">
              <a:noAutofit/>
            </a:bodyPr>
            <a:p>
              <a:r>
                <a:t>Tax Calc.</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O:/NAES/GenSvcs/Genco/Financing/Control/Brownsvill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O:/NAES/GenSvcs/Genco/Financing/Old%20Files/Brownsville042199bkup.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C:/TEMP/IRRModelOctStart4.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monci"/>
      <sheetName val="Tracking sheet"/>
      <sheetName val="Value"/>
      <sheetName val="Project Assumptions"/>
      <sheetName val="PPA Assumptions &amp;Summary"/>
      <sheetName val="Operations"/>
      <sheetName val="Debt Amortization"/>
      <sheetName val="Returns Summary"/>
      <sheetName val="Book Income Statement"/>
      <sheetName val="Cash Flow Statement"/>
      <sheetName val="BS"/>
      <sheetName val="Tax Calculations"/>
      <sheetName val="Depreciation"/>
      <sheetName val="Interest During Construction"/>
      <sheetName val="Maintenance Reserv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onci"/>
      <sheetName val="Tracking sheet"/>
      <sheetName val="Value"/>
      <sheetName val="Project Assumptions"/>
      <sheetName val="PPA Assumptions &amp;Summary"/>
      <sheetName val="Operations"/>
      <sheetName val="Debt Amortization"/>
      <sheetName val="Returns Summary"/>
      <sheetName val="Book Income Statement"/>
      <sheetName val="Cash Flow Statement"/>
      <sheetName val="BS"/>
      <sheetName val="Tax Calculations"/>
      <sheetName val="Depreciation"/>
      <sheetName val="Interest During Construction"/>
      <sheetName val="Maintenance Reserv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reset Scenarios"/>
      <sheetName val="Assumptions"/>
      <sheetName val="Power Price Assumption"/>
      <sheetName val="IS"/>
      <sheetName val="CF"/>
      <sheetName val="IRR"/>
      <sheetName val="Exposure"/>
      <sheetName val="Debt"/>
      <sheetName val="Depreciation"/>
      <sheetName val="Tax"/>
      <sheetName val="Brownsville"/>
      <sheetName val="Caledonia"/>
      <sheetName val="New Albany"/>
      <sheetName val="Calvert"/>
      <sheetName val="Wheatland"/>
      <sheetName val="Wilton"/>
      <sheetName val="EGC Start Charge Matrix"/>
      <sheetName val="Allo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2">
          <cell r="F32">
            <v>94.8971403274245</v>
          </cell>
          <cell r="G32">
            <v>162.680811989871</v>
          </cell>
          <cell r="H32">
            <v>162.680811989871</v>
          </cell>
          <cell r="I32">
            <v>162.680811989871</v>
          </cell>
          <cell r="J32">
            <v>154.109235461302</v>
          </cell>
          <cell r="K32">
            <v>154.109235461302</v>
          </cell>
          <cell r="L32">
            <v>154.109235461302</v>
          </cell>
          <cell r="M32">
            <v>154.109235461302</v>
          </cell>
          <cell r="N32">
            <v>154.109235461302</v>
          </cell>
          <cell r="O32">
            <v>154.109235461302</v>
          </cell>
          <cell r="P32">
            <v>138.554546360912</v>
          </cell>
          <cell r="Q32">
            <v>132.049505961843</v>
          </cell>
          <cell r="R32">
            <v>125.694327947717</v>
          </cell>
          <cell r="S32">
            <v>119.348368627941</v>
          </cell>
          <cell r="T32">
            <v>116.869350921693</v>
          </cell>
          <cell r="U32">
            <v>114.005417735648</v>
          </cell>
          <cell r="V32">
            <v>107.029524071937</v>
          </cell>
          <cell r="W32">
            <v>84.8521433682806</v>
          </cell>
          <cell r="X32">
            <v>79.1509696323302</v>
          </cell>
          <cell r="Y32">
            <v>63.8818467872532</v>
          </cell>
          <cell r="Z32">
            <v>63.8818467872532</v>
          </cell>
        </row>
      </sheetData>
      <sheetData sheetId="14"/>
      <sheetData sheetId="15">
        <row r="19">
          <cell r="F19">
            <v>193.003565563178</v>
          </cell>
          <cell r="G19">
            <v>327.21566583981</v>
          </cell>
          <cell r="H19">
            <v>326.299135516272</v>
          </cell>
          <cell r="I19">
            <v>450.699847245238</v>
          </cell>
          <cell r="J19">
            <v>546.352748436562</v>
          </cell>
          <cell r="K19">
            <v>563.470473006614</v>
          </cell>
          <cell r="L19">
            <v>560.307343022314</v>
          </cell>
          <cell r="M19">
            <v>566.872241493503</v>
          </cell>
          <cell r="N19">
            <v>573.321171144837</v>
          </cell>
          <cell r="O19">
            <v>580.166448095568</v>
          </cell>
          <cell r="P19">
            <v>586.535743050193</v>
          </cell>
          <cell r="Q19">
            <v>592.636983559279</v>
          </cell>
          <cell r="R19">
            <v>598.564822666245</v>
          </cell>
          <cell r="S19">
            <v>604.830462828304</v>
          </cell>
          <cell r="T19">
            <v>610.319526660379</v>
          </cell>
          <cell r="U19">
            <v>615.592240119059</v>
          </cell>
          <cell r="V19">
            <v>620.676327024542</v>
          </cell>
          <cell r="W19">
            <v>626.214477820257</v>
          </cell>
          <cell r="X19">
            <v>630.746188819784</v>
          </cell>
          <cell r="Y19">
            <v>620.224998383246</v>
          </cell>
          <cell r="Z19">
            <v>622.778833728745</v>
          </cell>
        </row>
        <row r="39">
          <cell r="F39">
            <v>15633.2888106174</v>
          </cell>
          <cell r="G39">
            <v>26504.4689330246</v>
          </cell>
          <cell r="H39">
            <v>26430.229976818</v>
          </cell>
          <cell r="I39">
            <v>36506.6876268643</v>
          </cell>
          <cell r="J39">
            <v>44254.5726233615</v>
          </cell>
          <cell r="K39">
            <v>45641.1083135357</v>
          </cell>
          <cell r="L39">
            <v>45384.8947848074</v>
          </cell>
          <cell r="M39">
            <v>45916.6515609737</v>
          </cell>
          <cell r="N39">
            <v>46439.0148627318</v>
          </cell>
          <cell r="O39">
            <v>46993.482295741</v>
          </cell>
          <cell r="P39">
            <v>47509.3951870657</v>
          </cell>
          <cell r="Q39">
            <v>48003.5956683016</v>
          </cell>
          <cell r="R39">
            <v>48483.7506359658</v>
          </cell>
          <cell r="S39">
            <v>48991.2674890926</v>
          </cell>
          <cell r="T39">
            <v>49435.8816594907</v>
          </cell>
          <cell r="U39">
            <v>49862.9714496438</v>
          </cell>
          <cell r="V39">
            <v>50274.7824889879</v>
          </cell>
          <cell r="W39">
            <v>50723.3727034408</v>
          </cell>
          <cell r="X39">
            <v>51090.4412944025</v>
          </cell>
          <cell r="Y39">
            <v>50238.2248690429</v>
          </cell>
          <cell r="Z39">
            <v>50445.0855320284</v>
          </cell>
        </row>
      </sheetData>
      <sheetData sheetId="16"/>
      <sheetData sheetId="17"/>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vmlDrawing" Target="../drawings/vmlDrawing5.v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6.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vmlDrawing" Target="../drawings/vmlDrawing7.vml"/>
</Relationships>
</file>

<file path=xl/worksheets/_rels/sheet15.xml.rels><?xml version="1.0" encoding="UTF-8"?>
<Relationships xmlns="http://schemas.openxmlformats.org/package/2006/relationships"><Relationship Id="rId1" Type="http://schemas.openxmlformats.org/officeDocument/2006/relationships/comments" Target="../comments15.xml"/><Relationship Id="rId2" Type="http://schemas.openxmlformats.org/officeDocument/2006/relationships/vmlDrawing" Target="../drawings/vmlDrawing8.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2.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3.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vmlDrawing" Target="../drawings/vmlDrawing4.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3"/>
  <sheetViews>
    <sheetView showFormulas="false" showGridLines="true" showRowColHeaders="true" showZeros="true" rightToLeft="false" tabSelected="false" showOutlineSymbols="true" defaultGridColor="true" view="normal" topLeftCell="A2" colorId="64" zoomScale="75" zoomScaleNormal="75" zoomScalePageLayoutView="100" workbookViewId="0">
      <selection pane="topLeft" activeCell="D23" activeCellId="0" sqref="D23:X23"/>
    </sheetView>
  </sheetViews>
  <sheetFormatPr defaultColWidth="9.28125" defaultRowHeight="12.6" customHeight="true" zeroHeight="false" outlineLevelRow="0" outlineLevelCol="0"/>
  <cols>
    <col collapsed="false" customWidth="true" hidden="false" outlineLevel="0" max="1" min="1" style="1" width="24.7"/>
    <col collapsed="false" customWidth="true" hidden="false" outlineLevel="0" max="2" min="2" style="1" width="14.7"/>
    <col collapsed="false" customWidth="true" hidden="false" outlineLevel="0" max="3" min="3" style="1" width="9.7"/>
    <col collapsed="false" customWidth="false" hidden="false" outlineLevel="0" max="28" min="4" style="1" width="9.28"/>
    <col collapsed="false" customWidth="false" hidden="false" outlineLevel="0" max="30" min="29" style="686" width="9.28"/>
    <col collapsed="false" customWidth="false" hidden="false" outlineLevel="0" max="257" min="31" style="4" width="9.28"/>
  </cols>
  <sheetData>
    <row r="1" customFormat="false" ht="20.25" hidden="false" customHeight="true" outlineLevel="0" collapsed="false">
      <c r="A1" s="358" t="str">
        <f aca="false">'Project Assumptions'!$A$2</f>
        <v>WILTON CENTER, Will County, IL</v>
      </c>
      <c r="B1" s="687"/>
      <c r="C1" s="688"/>
    </row>
    <row r="2" customFormat="false" ht="15.6" hidden="false" customHeight="true" outlineLevel="0" collapsed="false">
      <c r="A2" s="362" t="s">
        <v>540</v>
      </c>
      <c r="B2" s="689"/>
      <c r="C2" s="690"/>
    </row>
    <row r="3" customFormat="false" ht="15.6" hidden="false" customHeight="true" outlineLevel="0" collapsed="false">
      <c r="A3" s="383"/>
    </row>
    <row r="4" customFormat="false" ht="12.6" hidden="false" customHeight="true" outlineLevel="0" collapsed="false">
      <c r="A4" s="472"/>
      <c r="B4" s="357"/>
      <c r="C4" s="473"/>
      <c r="D4" s="473" t="n">
        <v>1</v>
      </c>
      <c r="E4" s="473" t="n">
        <f aca="false">D4+1</f>
        <v>2</v>
      </c>
      <c r="F4" s="473" t="n">
        <f aca="false">E4+1</f>
        <v>3</v>
      </c>
      <c r="G4" s="473" t="n">
        <f aca="false">F4+1</f>
        <v>4</v>
      </c>
      <c r="H4" s="473" t="n">
        <f aca="false">G4+1</f>
        <v>5</v>
      </c>
      <c r="I4" s="474" t="n">
        <f aca="false">H4+1</f>
        <v>6</v>
      </c>
      <c r="J4" s="473" t="n">
        <f aca="false">I4+1</f>
        <v>7</v>
      </c>
      <c r="K4" s="473" t="n">
        <f aca="false">J4+1</f>
        <v>8</v>
      </c>
      <c r="L4" s="473" t="n">
        <f aca="false">K4+1</f>
        <v>9</v>
      </c>
      <c r="M4" s="473" t="n">
        <f aca="false">L4+1</f>
        <v>10</v>
      </c>
      <c r="N4" s="473" t="n">
        <f aca="false">M4+1</f>
        <v>11</v>
      </c>
      <c r="O4" s="474" t="n">
        <f aca="false">N4+1</f>
        <v>12</v>
      </c>
      <c r="P4" s="473" t="n">
        <f aca="false">O4+1</f>
        <v>13</v>
      </c>
      <c r="Q4" s="473" t="n">
        <f aca="false">P4+1</f>
        <v>14</v>
      </c>
      <c r="R4" s="473" t="n">
        <f aca="false">Q4+1</f>
        <v>15</v>
      </c>
      <c r="S4" s="473" t="n">
        <f aca="false">R4+1</f>
        <v>16</v>
      </c>
      <c r="T4" s="473" t="n">
        <f aca="false">S4+1</f>
        <v>17</v>
      </c>
      <c r="U4" s="474" t="n">
        <f aca="false">T4+1</f>
        <v>18</v>
      </c>
      <c r="V4" s="473" t="n">
        <f aca="false">U4+1</f>
        <v>19</v>
      </c>
      <c r="W4" s="473" t="n">
        <f aca="false">V4+1</f>
        <v>20</v>
      </c>
      <c r="X4" s="473" t="n">
        <f aca="false">W4+1</f>
        <v>21</v>
      </c>
      <c r="Y4" s="473" t="n">
        <f aca="false">X4+1</f>
        <v>22</v>
      </c>
      <c r="Z4" s="473" t="n">
        <f aca="false">Y4+1</f>
        <v>23</v>
      </c>
      <c r="AA4" s="474" t="n">
        <f aca="false">Z4+1</f>
        <v>24</v>
      </c>
      <c r="AB4" s="473" t="n">
        <f aca="false">AA4+1</f>
        <v>25</v>
      </c>
      <c r="AC4" s="691"/>
      <c r="AD4" s="0"/>
      <c r="AE4" s="626"/>
      <c r="AF4" s="626"/>
      <c r="AG4" s="626"/>
      <c r="AH4" s="626"/>
      <c r="AI4" s="626"/>
      <c r="AJ4" s="626"/>
      <c r="AK4" s="626"/>
      <c r="AL4" s="626"/>
      <c r="AM4" s="626"/>
      <c r="AN4" s="626"/>
      <c r="AO4" s="626"/>
      <c r="AP4" s="626"/>
      <c r="AQ4" s="626"/>
      <c r="AR4" s="626"/>
      <c r="AS4" s="626"/>
      <c r="AT4" s="626"/>
      <c r="AU4" s="626"/>
      <c r="AV4" s="626"/>
      <c r="AW4" s="626"/>
      <c r="AX4" s="626"/>
      <c r="AY4" s="626"/>
      <c r="AZ4" s="626"/>
      <c r="BA4" s="626"/>
      <c r="BB4" s="626"/>
      <c r="BC4" s="626"/>
      <c r="BD4" s="626"/>
      <c r="BE4" s="626"/>
      <c r="BF4" s="626"/>
      <c r="BG4" s="626"/>
      <c r="BH4" s="626"/>
      <c r="BI4" s="626"/>
      <c r="BJ4" s="626"/>
      <c r="BK4" s="626"/>
      <c r="BL4" s="626"/>
      <c r="BM4" s="626"/>
      <c r="BN4" s="626"/>
      <c r="BO4" s="626"/>
      <c r="BP4" s="626"/>
      <c r="BQ4" s="626"/>
      <c r="BR4" s="626"/>
      <c r="BS4" s="626"/>
      <c r="BT4" s="626"/>
      <c r="BU4" s="626"/>
      <c r="BV4" s="626"/>
      <c r="BW4" s="626"/>
      <c r="BX4" s="626"/>
      <c r="BY4" s="626"/>
      <c r="BZ4" s="626"/>
      <c r="CA4" s="626"/>
      <c r="CB4" s="626"/>
      <c r="CC4" s="626"/>
      <c r="CD4" s="626"/>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6"/>
      <c r="ED4" s="626"/>
      <c r="EE4" s="626"/>
      <c r="EF4" s="626"/>
      <c r="EG4" s="626"/>
      <c r="EH4" s="626"/>
      <c r="EI4" s="626"/>
      <c r="EJ4" s="626"/>
      <c r="EK4" s="626"/>
      <c r="EL4" s="626"/>
      <c r="EM4" s="626"/>
      <c r="EN4" s="626"/>
      <c r="EO4" s="626"/>
      <c r="EP4" s="626"/>
      <c r="EQ4" s="626"/>
      <c r="ER4" s="626"/>
      <c r="ES4" s="626"/>
      <c r="ET4" s="626"/>
      <c r="EU4" s="626"/>
      <c r="EV4" s="626"/>
      <c r="EW4" s="626"/>
      <c r="EX4" s="626"/>
      <c r="EY4" s="626"/>
      <c r="EZ4" s="626"/>
      <c r="FA4" s="626"/>
      <c r="FB4" s="626"/>
      <c r="FC4" s="626"/>
      <c r="FD4" s="626"/>
      <c r="FE4" s="626"/>
      <c r="FF4" s="626"/>
      <c r="FG4" s="626"/>
      <c r="FH4" s="626"/>
      <c r="FI4" s="626"/>
      <c r="FJ4" s="626"/>
      <c r="FK4" s="626"/>
      <c r="FL4" s="626"/>
      <c r="FM4" s="626"/>
      <c r="FN4" s="626"/>
      <c r="FO4" s="626"/>
      <c r="FP4" s="626"/>
      <c r="FQ4" s="626"/>
      <c r="FR4" s="626"/>
      <c r="FS4" s="626"/>
      <c r="FT4" s="626"/>
      <c r="FU4" s="626"/>
      <c r="FV4" s="626"/>
      <c r="FW4" s="626"/>
      <c r="FX4" s="626"/>
      <c r="FY4" s="626"/>
      <c r="FZ4" s="626"/>
      <c r="GA4" s="626"/>
      <c r="GB4" s="626"/>
      <c r="GC4" s="626"/>
      <c r="GD4" s="626"/>
      <c r="GE4" s="626"/>
      <c r="GF4" s="626"/>
      <c r="GG4" s="626"/>
      <c r="GH4" s="626"/>
      <c r="GI4" s="626"/>
      <c r="GJ4" s="626"/>
      <c r="GK4" s="626"/>
      <c r="GL4" s="626"/>
      <c r="GM4" s="626"/>
      <c r="GN4" s="626"/>
      <c r="GO4" s="626"/>
      <c r="GP4" s="626"/>
      <c r="GQ4" s="626"/>
      <c r="GR4" s="626"/>
      <c r="GS4" s="626"/>
      <c r="GT4" s="626"/>
      <c r="GU4" s="626"/>
      <c r="GV4" s="626"/>
      <c r="GW4" s="626"/>
      <c r="GX4" s="626"/>
      <c r="GY4" s="626"/>
      <c r="GZ4" s="626"/>
      <c r="HA4" s="626"/>
      <c r="HB4" s="626"/>
      <c r="HC4" s="626"/>
      <c r="HD4" s="626"/>
      <c r="HE4" s="626"/>
      <c r="HF4" s="626"/>
      <c r="HG4" s="626"/>
      <c r="HH4" s="626"/>
      <c r="HI4" s="626"/>
      <c r="HJ4" s="626"/>
      <c r="HK4" s="626"/>
      <c r="HL4" s="626"/>
      <c r="HM4" s="626"/>
      <c r="HN4" s="626"/>
      <c r="HO4" s="626"/>
      <c r="HP4" s="626"/>
      <c r="HQ4" s="626"/>
      <c r="HR4" s="626"/>
      <c r="HS4" s="626"/>
      <c r="HT4" s="626"/>
      <c r="HU4" s="626"/>
      <c r="HV4" s="626"/>
      <c r="HW4" s="626"/>
      <c r="HX4" s="626"/>
      <c r="HY4" s="626"/>
      <c r="HZ4" s="626"/>
      <c r="IA4" s="626"/>
      <c r="IB4" s="626"/>
      <c r="IC4" s="626"/>
      <c r="ID4" s="626"/>
      <c r="IE4" s="626"/>
      <c r="IF4" s="626"/>
      <c r="IG4" s="626"/>
      <c r="IH4" s="626"/>
      <c r="II4" s="626"/>
      <c r="IJ4" s="626"/>
      <c r="IK4" s="626"/>
      <c r="IL4" s="626"/>
      <c r="IM4" s="626"/>
      <c r="IN4" s="626"/>
      <c r="IO4" s="626"/>
      <c r="IP4" s="626"/>
      <c r="IQ4" s="626"/>
      <c r="IR4" s="626"/>
      <c r="IS4" s="626"/>
      <c r="IT4" s="626"/>
      <c r="IU4" s="626"/>
      <c r="IV4" s="626"/>
      <c r="IW4" s="626"/>
    </row>
    <row r="5" customFormat="false" ht="12.6" hidden="false" customHeight="true" outlineLevel="0" collapsed="false">
      <c r="A5" s="476"/>
      <c r="B5" s="477"/>
      <c r="C5" s="692"/>
      <c r="D5" s="368" t="n">
        <f aca="false">YEAR('Project Assumptions'!G16)</f>
        <v>2000</v>
      </c>
      <c r="E5" s="368" t="n">
        <f aca="false">D5+1</f>
        <v>2001</v>
      </c>
      <c r="F5" s="368" t="n">
        <f aca="false">E5+1</f>
        <v>2002</v>
      </c>
      <c r="G5" s="368" t="n">
        <f aca="false">F5+1</f>
        <v>2003</v>
      </c>
      <c r="H5" s="368" t="n">
        <f aca="false">G5+1</f>
        <v>2004</v>
      </c>
      <c r="I5" s="368" t="n">
        <f aca="false">H5+1</f>
        <v>2005</v>
      </c>
      <c r="J5" s="368" t="n">
        <f aca="false">I5+1</f>
        <v>2006</v>
      </c>
      <c r="K5" s="368" t="n">
        <f aca="false">J5+1</f>
        <v>2007</v>
      </c>
      <c r="L5" s="368" t="n">
        <f aca="false">K5+1</f>
        <v>2008</v>
      </c>
      <c r="M5" s="368" t="n">
        <f aca="false">L5+1</f>
        <v>2009</v>
      </c>
      <c r="N5" s="368" t="n">
        <f aca="false">M5+1</f>
        <v>2010</v>
      </c>
      <c r="O5" s="368" t="n">
        <f aca="false">N5+1</f>
        <v>2011</v>
      </c>
      <c r="P5" s="368" t="n">
        <f aca="false">O5+1</f>
        <v>2012</v>
      </c>
      <c r="Q5" s="368" t="n">
        <f aca="false">P5+1</f>
        <v>2013</v>
      </c>
      <c r="R5" s="368" t="n">
        <f aca="false">Q5+1</f>
        <v>2014</v>
      </c>
      <c r="S5" s="368" t="n">
        <f aca="false">R5+1</f>
        <v>2015</v>
      </c>
      <c r="T5" s="368" t="n">
        <f aca="false">S5+1</f>
        <v>2016</v>
      </c>
      <c r="U5" s="368" t="n">
        <f aca="false">T5+1</f>
        <v>2017</v>
      </c>
      <c r="V5" s="368" t="n">
        <f aca="false">U5+1</f>
        <v>2018</v>
      </c>
      <c r="W5" s="368" t="n">
        <f aca="false">V5+1</f>
        <v>2019</v>
      </c>
      <c r="X5" s="368" t="n">
        <f aca="false">W5+1</f>
        <v>2020</v>
      </c>
      <c r="Y5" s="368" t="n">
        <f aca="false">X5+1</f>
        <v>2021</v>
      </c>
      <c r="Z5" s="368" t="n">
        <f aca="false">Y5+1</f>
        <v>2022</v>
      </c>
      <c r="AA5" s="368" t="n">
        <f aca="false">Z5+1</f>
        <v>2023</v>
      </c>
      <c r="AB5" s="369" t="n">
        <f aca="false">AA5+1</f>
        <v>2024</v>
      </c>
      <c r="AC5" s="637"/>
      <c r="AD5" s="0"/>
      <c r="AE5" s="637"/>
      <c r="AF5" s="637"/>
      <c r="AG5" s="637"/>
      <c r="AH5" s="637"/>
      <c r="AI5" s="637"/>
      <c r="AJ5" s="637"/>
      <c r="AK5" s="637"/>
      <c r="AL5" s="637"/>
      <c r="AM5" s="637"/>
      <c r="AN5" s="637"/>
      <c r="AO5" s="637"/>
      <c r="AP5" s="637"/>
      <c r="AQ5" s="637"/>
      <c r="AR5" s="637"/>
      <c r="AS5" s="637"/>
      <c r="AT5" s="637"/>
      <c r="AU5" s="637"/>
      <c r="AV5" s="637"/>
      <c r="AW5" s="637"/>
      <c r="AX5" s="637"/>
      <c r="AY5" s="637"/>
      <c r="AZ5" s="637"/>
      <c r="BA5" s="626"/>
      <c r="BB5" s="626"/>
      <c r="BC5" s="626"/>
      <c r="BD5" s="626"/>
      <c r="BE5" s="626"/>
      <c r="BF5" s="626"/>
      <c r="BG5" s="626"/>
      <c r="BH5" s="626"/>
      <c r="BI5" s="626"/>
      <c r="BJ5" s="626"/>
      <c r="BK5" s="626"/>
      <c r="BL5" s="626"/>
      <c r="BM5" s="626"/>
      <c r="BN5" s="626"/>
      <c r="BO5" s="626"/>
      <c r="BP5" s="626"/>
      <c r="BQ5" s="626"/>
      <c r="BR5" s="626"/>
      <c r="BS5" s="626"/>
      <c r="BT5" s="626"/>
      <c r="BU5" s="626"/>
      <c r="BV5" s="626"/>
      <c r="BW5" s="626"/>
      <c r="BX5" s="626"/>
      <c r="BY5" s="626"/>
      <c r="BZ5" s="626"/>
      <c r="CA5" s="626"/>
      <c r="CB5" s="626"/>
      <c r="CC5" s="626"/>
      <c r="CD5" s="626"/>
      <c r="CE5" s="626"/>
      <c r="CF5" s="626"/>
      <c r="CG5" s="626"/>
      <c r="CH5" s="626"/>
      <c r="CI5" s="626"/>
      <c r="CJ5" s="626"/>
      <c r="CK5" s="626"/>
      <c r="CL5" s="626"/>
      <c r="CM5" s="626"/>
      <c r="CN5" s="626"/>
      <c r="CO5" s="626"/>
      <c r="CP5" s="626"/>
      <c r="CQ5" s="626"/>
      <c r="CR5" s="626"/>
      <c r="CS5" s="626"/>
      <c r="CT5" s="626"/>
      <c r="CU5" s="626"/>
      <c r="CV5" s="626"/>
      <c r="CW5" s="626"/>
      <c r="CX5" s="626"/>
      <c r="CY5" s="626"/>
      <c r="CZ5" s="626"/>
      <c r="DA5" s="626"/>
      <c r="DB5" s="626"/>
      <c r="DC5" s="626"/>
      <c r="DD5" s="626"/>
      <c r="DE5" s="626"/>
      <c r="DF5" s="626"/>
      <c r="DG5" s="626"/>
      <c r="DH5" s="626"/>
      <c r="DI5" s="626"/>
      <c r="DJ5" s="626"/>
      <c r="DK5" s="626"/>
      <c r="DL5" s="626"/>
      <c r="DM5" s="626"/>
      <c r="DN5" s="626"/>
      <c r="DO5" s="626"/>
      <c r="DP5" s="626"/>
      <c r="DQ5" s="626"/>
      <c r="DR5" s="626"/>
      <c r="DS5" s="626"/>
      <c r="DT5" s="626"/>
      <c r="DU5" s="626"/>
      <c r="DV5" s="626"/>
      <c r="DW5" s="626"/>
      <c r="DX5" s="626"/>
      <c r="DY5" s="626"/>
      <c r="DZ5" s="626"/>
      <c r="EA5" s="626"/>
      <c r="EB5" s="626"/>
      <c r="EC5" s="626"/>
      <c r="ED5" s="626"/>
      <c r="EE5" s="626"/>
      <c r="EF5" s="626"/>
      <c r="EG5" s="626"/>
      <c r="EH5" s="626"/>
      <c r="EI5" s="626"/>
      <c r="EJ5" s="626"/>
      <c r="EK5" s="626"/>
      <c r="EL5" s="626"/>
      <c r="EM5" s="626"/>
      <c r="EN5" s="626"/>
      <c r="EO5" s="626"/>
      <c r="EP5" s="626"/>
      <c r="EQ5" s="626"/>
      <c r="ER5" s="626"/>
      <c r="ES5" s="626"/>
      <c r="ET5" s="626"/>
      <c r="EU5" s="626"/>
      <c r="EV5" s="626"/>
      <c r="EW5" s="626"/>
      <c r="EX5" s="626"/>
      <c r="EY5" s="626"/>
      <c r="EZ5" s="626"/>
      <c r="FA5" s="626"/>
      <c r="FB5" s="626"/>
      <c r="FC5" s="626"/>
      <c r="FD5" s="626"/>
      <c r="FE5" s="626"/>
      <c r="FF5" s="626"/>
      <c r="FG5" s="626"/>
      <c r="FH5" s="626"/>
      <c r="FI5" s="626"/>
      <c r="FJ5" s="626"/>
      <c r="FK5" s="626"/>
      <c r="FL5" s="626"/>
      <c r="FM5" s="626"/>
      <c r="FN5" s="626"/>
      <c r="FO5" s="626"/>
      <c r="FP5" s="626"/>
      <c r="FQ5" s="626"/>
      <c r="FR5" s="626"/>
      <c r="FS5" s="626"/>
      <c r="FT5" s="626"/>
      <c r="FU5" s="626"/>
      <c r="FV5" s="626"/>
      <c r="FW5" s="626"/>
      <c r="FX5" s="626"/>
      <c r="FY5" s="626"/>
      <c r="FZ5" s="626"/>
      <c r="GA5" s="626"/>
      <c r="GB5" s="626"/>
      <c r="GC5" s="626"/>
      <c r="GD5" s="626"/>
      <c r="GE5" s="626"/>
      <c r="GF5" s="626"/>
      <c r="GG5" s="626"/>
      <c r="GH5" s="626"/>
      <c r="GI5" s="626"/>
      <c r="GJ5" s="626"/>
      <c r="GK5" s="626"/>
      <c r="GL5" s="626"/>
      <c r="GM5" s="626"/>
      <c r="GN5" s="626"/>
      <c r="GO5" s="626"/>
      <c r="GP5" s="626"/>
      <c r="GQ5" s="626"/>
      <c r="GR5" s="626"/>
      <c r="GS5" s="626"/>
      <c r="GT5" s="626"/>
      <c r="GU5" s="626"/>
      <c r="GV5" s="626"/>
      <c r="GW5" s="626"/>
      <c r="GX5" s="626"/>
      <c r="GY5" s="626"/>
      <c r="GZ5" s="626"/>
      <c r="HA5" s="626"/>
      <c r="HB5" s="626"/>
      <c r="HC5" s="626"/>
      <c r="HD5" s="626"/>
      <c r="HE5" s="626"/>
      <c r="HF5" s="626"/>
      <c r="HG5" s="626"/>
      <c r="HH5" s="626"/>
      <c r="HI5" s="626"/>
      <c r="HJ5" s="626"/>
      <c r="HK5" s="626"/>
      <c r="HL5" s="626"/>
      <c r="HM5" s="626"/>
      <c r="HN5" s="626"/>
      <c r="HO5" s="626"/>
      <c r="HP5" s="626"/>
      <c r="HQ5" s="626"/>
      <c r="HR5" s="626"/>
      <c r="HS5" s="626"/>
      <c r="HT5" s="626"/>
      <c r="HU5" s="626"/>
      <c r="HV5" s="626"/>
      <c r="HW5" s="626"/>
      <c r="HX5" s="626"/>
      <c r="HY5" s="626"/>
      <c r="HZ5" s="626"/>
      <c r="IA5" s="626"/>
      <c r="IB5" s="626"/>
      <c r="IC5" s="626"/>
      <c r="ID5" s="626"/>
      <c r="IE5" s="626"/>
      <c r="IF5" s="626"/>
      <c r="IG5" s="626"/>
      <c r="IH5" s="626"/>
      <c r="II5" s="626"/>
      <c r="IJ5" s="626"/>
      <c r="IK5" s="626"/>
      <c r="IL5" s="626"/>
      <c r="IM5" s="626"/>
      <c r="IN5" s="626"/>
      <c r="IO5" s="626"/>
      <c r="IP5" s="626"/>
      <c r="IQ5" s="626"/>
      <c r="IR5" s="626"/>
      <c r="IS5" s="626"/>
      <c r="IT5" s="626"/>
      <c r="IU5" s="626"/>
      <c r="IV5" s="626"/>
      <c r="IW5" s="626"/>
    </row>
    <row r="6" customFormat="false" ht="12.6" hidden="false" customHeight="true" outlineLevel="0" collapsed="false">
      <c r="A6" s="397"/>
      <c r="B6" s="371"/>
      <c r="C6" s="693"/>
      <c r="D6" s="693"/>
      <c r="E6" s="693"/>
      <c r="F6" s="693"/>
      <c r="G6" s="693"/>
      <c r="H6" s="693"/>
      <c r="I6" s="693"/>
      <c r="J6" s="693"/>
      <c r="K6" s="693"/>
      <c r="L6" s="693"/>
      <c r="M6" s="693"/>
      <c r="N6" s="693"/>
      <c r="O6" s="693"/>
      <c r="P6" s="693"/>
      <c r="Q6" s="693"/>
      <c r="R6" s="693"/>
      <c r="S6" s="693"/>
      <c r="T6" s="693"/>
      <c r="U6" s="693"/>
      <c r="V6" s="693"/>
      <c r="W6" s="693"/>
      <c r="X6" s="693"/>
      <c r="Y6" s="693"/>
      <c r="Z6" s="693"/>
      <c r="AA6" s="693"/>
      <c r="AB6" s="694"/>
      <c r="AC6" s="695"/>
      <c r="AD6" s="695"/>
      <c r="AI6" s="696"/>
      <c r="AM6" s="696"/>
      <c r="AX6" s="696"/>
      <c r="BB6" s="696"/>
    </row>
    <row r="7" customFormat="false" ht="12.6" hidden="false" customHeight="true" outlineLevel="0" collapsed="false">
      <c r="A7" s="697" t="s">
        <v>541</v>
      </c>
      <c r="B7" s="371"/>
      <c r="C7" s="698" t="n">
        <f aca="false">SUM(D7:AD7)</f>
        <v>578370.261634108</v>
      </c>
      <c r="D7" s="609" t="n">
        <f aca="false">IF(D4&gt;'Project Assumptions'!$I$15+1,0,'Book Income Statement'!D74)</f>
        <v>-3999.82115044211</v>
      </c>
      <c r="E7" s="609" t="n">
        <f aca="false">IF(E4&gt;'Project Assumptions'!$I$15+1,0,'Book Income Statement'!E74)</f>
        <v>5109.85399263144</v>
      </c>
      <c r="F7" s="609" t="n">
        <f aca="false">IF(F4&gt;'Project Assumptions'!$I$15+1,0,'Book Income Statement'!F74)</f>
        <v>5533.18076142484</v>
      </c>
      <c r="G7" s="609" t="n">
        <f aca="false">IF(G4&gt;'Project Assumptions'!$I$15+1,0,'Book Income Statement'!G74)</f>
        <v>16270.2396344389</v>
      </c>
      <c r="H7" s="609" t="n">
        <f aca="false">IF(H4&gt;'Project Assumptions'!$I$15+1,0,'Book Income Statement'!H74)</f>
        <v>24961.9294988477</v>
      </c>
      <c r="I7" s="609" t="n">
        <f aca="false">IF(I4&gt;'Project Assumptions'!$I$15+1,0,'Book Income Statement'!I74)</f>
        <v>27102.1101671864</v>
      </c>
      <c r="J7" s="609" t="n">
        <f aca="false">IF(J4&gt;'Project Assumptions'!$I$15+1,0,'Book Income Statement'!J74)</f>
        <v>27548.1059591247</v>
      </c>
      <c r="K7" s="609" t="n">
        <f aca="false">IF(K4&gt;'Project Assumptions'!$I$15+1,0,'Book Income Statement'!K74)</f>
        <v>28734.235991291</v>
      </c>
      <c r="L7" s="609" t="n">
        <f aca="false">IF(L4&gt;'Project Assumptions'!$I$15+1,0,'Book Income Statement'!L74)</f>
        <v>29910.9725490491</v>
      </c>
      <c r="M7" s="609" t="n">
        <f aca="false">IF(M4&gt;'Project Assumptions'!$I$15+1,0,'Book Income Statement'!M74)</f>
        <v>31531.6662288894</v>
      </c>
      <c r="N7" s="609" t="n">
        <f aca="false">IF(N4&gt;'Project Assumptions'!$I$15+1,0,'Book Income Statement'!N74)</f>
        <v>33385.0905938952</v>
      </c>
      <c r="O7" s="609" t="n">
        <f aca="false">IF(O4&gt;'Project Assumptions'!$I$15+1,0,'Book Income Statement'!O74)</f>
        <v>34196.1211273991</v>
      </c>
      <c r="P7" s="609" t="n">
        <f aca="false">IF(P4&gt;'Project Assumptions'!$I$15+1,0,'Book Income Statement'!P74)</f>
        <v>35074.0855003746</v>
      </c>
      <c r="Q7" s="609" t="n">
        <f aca="false">IF(Q4&gt;'Project Assumptions'!$I$15+1,0,'Book Income Statement'!Q74)</f>
        <v>35979.3902461105</v>
      </c>
      <c r="R7" s="609" t="n">
        <f aca="false">IF(R4&gt;'Project Assumptions'!$I$15+1,0,'Book Income Statement'!R74)</f>
        <v>36825.6806361006</v>
      </c>
      <c r="S7" s="609" t="n">
        <f aca="false">IF(S4&gt;'Project Assumptions'!$I$15+1,0,'Book Income Statement'!S74)</f>
        <v>37654.0626584573</v>
      </c>
      <c r="T7" s="609" t="n">
        <f aca="false">IF(T4&gt;'Project Assumptions'!$I$15+1,0,'Book Income Statement'!T74)</f>
        <v>38463.0638841054</v>
      </c>
      <c r="U7" s="609" t="n">
        <f aca="false">IF(U4&gt;'Project Assumptions'!$I$15+1,0,'Book Income Statement'!U74)</f>
        <v>39697.7980018097</v>
      </c>
      <c r="V7" s="609" t="n">
        <f aca="false">IF(V4&gt;'Project Assumptions'!$I$15+1,0,'Book Income Statement'!V74)</f>
        <v>41029.1373894545</v>
      </c>
      <c r="W7" s="609" t="n">
        <f aca="false">IF(W4&gt;'Project Assumptions'!$I$15+1,0,'Book Income Statement'!W74)</f>
        <v>41374.1364374866</v>
      </c>
      <c r="X7" s="609" t="n">
        <f aca="false">IF(X4&gt;'Project Assumptions'!$I$15+1,0,'Book Income Statement'!X74)</f>
        <v>11989.2215264735</v>
      </c>
      <c r="Y7" s="609" t="n">
        <f aca="false">IF(Y4&gt;'Project Assumptions'!$I$15+1,0,'Book Income Statement'!Y74)</f>
        <v>0</v>
      </c>
      <c r="Z7" s="609" t="n">
        <f aca="false">IF(Z4&gt;'Project Assumptions'!$I$15+1,0,'Book Income Statement'!Z74)</f>
        <v>0</v>
      </c>
      <c r="AA7" s="609" t="n">
        <f aca="false">IF(AA4&gt;'Project Assumptions'!$I$15+1,0,'Book Income Statement'!AA74)</f>
        <v>0</v>
      </c>
      <c r="AB7" s="610" t="n">
        <f aca="false">IF(AB4&gt;'Project Assumptions'!$I$15+1,0,'Book Income Statement'!AB74)</f>
        <v>0</v>
      </c>
      <c r="AC7" s="699"/>
      <c r="AD7" s="699"/>
    </row>
    <row r="8" customFormat="false" ht="12.6" hidden="false" customHeight="true" outlineLevel="0" collapsed="false">
      <c r="A8" s="76" t="s">
        <v>542</v>
      </c>
      <c r="B8" s="371"/>
      <c r="C8" s="698" t="n">
        <f aca="false">SUM(D8:AD8)</f>
        <v>156612.168095</v>
      </c>
      <c r="D8" s="700" t="n">
        <f aca="false">IF(D4&gt;'Project Assumptions'!$I$15+1,0,'Book Income Statement'!D67)</f>
        <v>4574.77697833333</v>
      </c>
      <c r="E8" s="700" t="n">
        <f aca="false">IF(E4&gt;'Project Assumptions'!$I$15+1,0,'Book Income Statement'!E67)</f>
        <v>7842.47482</v>
      </c>
      <c r="F8" s="700" t="n">
        <f aca="false">IF(F4&gt;'Project Assumptions'!$I$15+1,0,'Book Income Statement'!F67)</f>
        <v>7842.47482</v>
      </c>
      <c r="G8" s="700" t="n">
        <f aca="false">IF(G4&gt;'Project Assumptions'!$I$15+1,0,'Book Income Statement'!G67)</f>
        <v>7842.47482</v>
      </c>
      <c r="H8" s="700" t="n">
        <f aca="false">IF(H4&gt;'Project Assumptions'!$I$15+1,0,'Book Income Statement'!H67)</f>
        <v>7842.47482</v>
      </c>
      <c r="I8" s="700" t="n">
        <f aca="false">IF(I4&gt;'Project Assumptions'!$I$15+1,0,'Book Income Statement'!I67)</f>
        <v>7662.34253666667</v>
      </c>
      <c r="J8" s="700" t="n">
        <f aca="false">IF(J4&gt;'Project Assumptions'!$I$15+1,0,'Book Income Statement'!J67)</f>
        <v>7533.67662</v>
      </c>
      <c r="K8" s="700" t="n">
        <f aca="false">IF(K4&gt;'Project Assumptions'!$I$15+1,0,'Book Income Statement'!K67)</f>
        <v>7533.67662</v>
      </c>
      <c r="L8" s="700" t="n">
        <f aca="false">IF(L4&gt;'Project Assumptions'!$I$15+1,0,'Book Income Statement'!L67)</f>
        <v>7533.67662</v>
      </c>
      <c r="M8" s="700" t="n">
        <f aca="false">IF(M4&gt;'Project Assumptions'!$I$15+1,0,'Book Income Statement'!M67)</f>
        <v>7533.67662</v>
      </c>
      <c r="N8" s="700" t="n">
        <f aca="false">IF(N4&gt;'Project Assumptions'!$I$15+1,0,'Book Income Statement'!N67)</f>
        <v>7533.67662</v>
      </c>
      <c r="O8" s="700" t="n">
        <f aca="false">IF(O4&gt;'Project Assumptions'!$I$15+1,0,'Book Income Statement'!O67)</f>
        <v>7533.67662</v>
      </c>
      <c r="P8" s="700" t="n">
        <f aca="false">IF(P4&gt;'Project Assumptions'!$I$15+1,0,'Book Income Statement'!P67)</f>
        <v>7533.67662</v>
      </c>
      <c r="Q8" s="700" t="n">
        <f aca="false">IF(Q4&gt;'Project Assumptions'!$I$15+1,0,'Book Income Statement'!Q67)</f>
        <v>7533.67662</v>
      </c>
      <c r="R8" s="700" t="n">
        <f aca="false">IF(R4&gt;'Project Assumptions'!$I$15+1,0,'Book Income Statement'!R67)</f>
        <v>7533.67662</v>
      </c>
      <c r="S8" s="700" t="n">
        <f aca="false">IF(S4&gt;'Project Assumptions'!$I$15+1,0,'Book Income Statement'!S67)</f>
        <v>7533.67662</v>
      </c>
      <c r="T8" s="700" t="n">
        <f aca="false">IF(T4&gt;'Project Assumptions'!$I$15+1,0,'Book Income Statement'!T67)</f>
        <v>7533.67662</v>
      </c>
      <c r="U8" s="700" t="n">
        <f aca="false">IF(U4&gt;'Project Assumptions'!$I$15+1,0,'Book Income Statement'!U67)</f>
        <v>7533.67662</v>
      </c>
      <c r="V8" s="700" t="n">
        <f aca="false">IF(V4&gt;'Project Assumptions'!$I$15+1,0,'Book Income Statement'!V67)</f>
        <v>7533.67662</v>
      </c>
      <c r="W8" s="700" t="n">
        <f aca="false">IF(W4&gt;'Project Assumptions'!$I$15+1,0,'Book Income Statement'!W67)</f>
        <v>7533.67662</v>
      </c>
      <c r="X8" s="700" t="n">
        <f aca="false">IF(X4&gt;'Project Assumptions'!$I$15+1,0,'Book Income Statement'!X67)</f>
        <v>7533.67662</v>
      </c>
      <c r="Y8" s="700" t="n">
        <f aca="false">IF(Y4&gt;'Project Assumptions'!$I$15+1,0,'Book Income Statement'!Y67)</f>
        <v>0</v>
      </c>
      <c r="Z8" s="700" t="n">
        <f aca="false">IF(Z4&gt;'Project Assumptions'!$I$15+1,0,'Book Income Statement'!Z67)</f>
        <v>0</v>
      </c>
      <c r="AA8" s="700" t="n">
        <f aca="false">IF(AA4&gt;'Project Assumptions'!$I$15+1,0,'Book Income Statement'!AA67)</f>
        <v>0</v>
      </c>
      <c r="AB8" s="701" t="n">
        <f aca="false">IF(AB4&gt;'Project Assumptions'!$I$15+1,0,'Book Income Statement'!AB67)</f>
        <v>0</v>
      </c>
      <c r="AC8" s="699"/>
      <c r="AD8" s="699"/>
      <c r="AF8" s="702"/>
      <c r="AH8" s="702"/>
      <c r="AL8" s="702"/>
      <c r="AU8" s="702"/>
    </row>
    <row r="9" customFormat="false" ht="12.6" hidden="false" customHeight="true" outlineLevel="0" collapsed="false">
      <c r="A9" s="76" t="s">
        <v>543</v>
      </c>
      <c r="B9" s="371"/>
      <c r="C9" s="698"/>
      <c r="D9" s="703" t="n">
        <f aca="false">IF(D4&gt;'Project Assumptions'!$I$15+1,0,'Book Income Statement'!D55)</f>
        <v>349.8690210156</v>
      </c>
      <c r="E9" s="703" t="n">
        <f aca="false">IF(E4&gt;'Project Assumptions'!$I$15+1,0,'Book Income Statement'!E55)</f>
        <v>349.8690210156</v>
      </c>
      <c r="F9" s="703" t="n">
        <f aca="false">IF(F4&gt;'Project Assumptions'!$I$15+1,0,'Book Income Statement'!F55)</f>
        <v>349.8690210156</v>
      </c>
      <c r="G9" s="703" t="n">
        <f aca="false">IF(G4&gt;'Project Assumptions'!$I$15+1,0,'Book Income Statement'!G55)</f>
        <v>349.8690210156</v>
      </c>
      <c r="H9" s="703" t="n">
        <f aca="false">IF(H4&gt;'Project Assumptions'!$I$15+1,0,'Book Income Statement'!H55)</f>
        <v>349.8690210156</v>
      </c>
      <c r="I9" s="703" t="n">
        <f aca="false">IF(I4&gt;'Project Assumptions'!$I$15+1,0,'Book Income Statement'!I55)</f>
        <v>307.884738493728</v>
      </c>
      <c r="J9" s="703" t="n">
        <f aca="false">IF(J4&gt;'Project Assumptions'!$I$15+1,0,'Book Income Statement'!J55)</f>
        <v>307.884738493728</v>
      </c>
      <c r="K9" s="703" t="n">
        <f aca="false">IF(K4&gt;'Project Assumptions'!$I$15+1,0,'Book Income Statement'!K55)</f>
        <v>307.884738493728</v>
      </c>
      <c r="L9" s="703" t="n">
        <f aca="false">IF(L4&gt;'Project Assumptions'!$I$15+1,0,'Book Income Statement'!L55)</f>
        <v>307.884738493728</v>
      </c>
      <c r="M9" s="703" t="n">
        <f aca="false">IF(M4&gt;'Project Assumptions'!$I$15+1,0,'Book Income Statement'!M55)</f>
        <v>265.900455971856</v>
      </c>
      <c r="N9" s="703" t="n">
        <f aca="false">IF(N4&gt;'Project Assumptions'!$I$15+1,0,'Book Income Statement'!N55)</f>
        <v>265.900455971856</v>
      </c>
      <c r="O9" s="703" t="n">
        <f aca="false">IF(O4&gt;'Project Assumptions'!$I$15+1,0,'Book Income Statement'!O55)</f>
        <v>265.900455971856</v>
      </c>
      <c r="P9" s="703" t="n">
        <f aca="false">IF(P4&gt;'Project Assumptions'!$I$15+1,0,'Book Income Statement'!P55)</f>
        <v>265.900455971856</v>
      </c>
      <c r="Q9" s="703" t="n">
        <f aca="false">IF(Q4&gt;'Project Assumptions'!$I$15+1,0,'Book Income Statement'!Q55)</f>
        <v>223.916173449984</v>
      </c>
      <c r="R9" s="703" t="n">
        <f aca="false">IF(R4&gt;'Project Assumptions'!$I$15+1,0,'Book Income Statement'!R55)</f>
        <v>223.916173449984</v>
      </c>
      <c r="S9" s="703" t="n">
        <f aca="false">IF(S4&gt;'Project Assumptions'!$I$15+1,0,'Book Income Statement'!S55)</f>
        <v>223.916173449984</v>
      </c>
      <c r="T9" s="703" t="n">
        <f aca="false">IF(T4&gt;'Project Assumptions'!$I$15+1,0,'Book Income Statement'!T55)</f>
        <v>223.916173449984</v>
      </c>
      <c r="U9" s="703" t="n">
        <f aca="false">IF(U4&gt;'Project Assumptions'!$I$15+1,0,'Book Income Statement'!U55)</f>
        <v>181.931890928112</v>
      </c>
      <c r="V9" s="703" t="n">
        <f aca="false">IF(V4&gt;'Project Assumptions'!$I$15+1,0,'Book Income Statement'!V55)</f>
        <v>181.931890928112</v>
      </c>
      <c r="W9" s="703" t="n">
        <f aca="false">IF(W4&gt;'Project Assumptions'!$I$15+1,0,'Book Income Statement'!W55)</f>
        <v>181.931890928112</v>
      </c>
      <c r="X9" s="703" t="n">
        <f aca="false">IF(X4&gt;'Project Assumptions'!$I$15+1,0,'Book Income Statement'!X55)</f>
        <v>181.931890928112</v>
      </c>
      <c r="Y9" s="703" t="n">
        <f aca="false">IF(Y4&gt;'Project Assumptions'!$I$15+1,0,'Book Income Statement'!Y55)</f>
        <v>0</v>
      </c>
      <c r="Z9" s="703" t="n">
        <f aca="false">IF(Z4&gt;'Project Assumptions'!$I$15+1,0,'Book Income Statement'!Z55)</f>
        <v>0</v>
      </c>
      <c r="AA9" s="703" t="n">
        <f aca="false">IF(AA4&gt;'Project Assumptions'!$I$15+1,0,'Book Income Statement'!AA55)</f>
        <v>0</v>
      </c>
      <c r="AB9" s="704" t="n">
        <f aca="false">IF(AB4&gt;'Project Assumptions'!$I$15+1,0,'Book Income Statement'!AB55)</f>
        <v>0</v>
      </c>
      <c r="AC9" s="699"/>
      <c r="AD9" s="699"/>
      <c r="AF9" s="702"/>
      <c r="AH9" s="702"/>
      <c r="AL9" s="702"/>
      <c r="AU9" s="702"/>
    </row>
    <row r="10" customFormat="false" ht="12.6" hidden="false" customHeight="true" outlineLevel="0" collapsed="false">
      <c r="A10" s="76" t="s">
        <v>544</v>
      </c>
      <c r="B10" s="371"/>
      <c r="C10" s="698"/>
      <c r="D10" s="703" t="n">
        <f aca="false">IF(D4&gt;'Project Assumptions'!$I$15+1,0,0)</f>
        <v>0</v>
      </c>
      <c r="E10" s="703" t="n">
        <f aca="false">IF(E4&gt;'Project Assumptions'!$I$15+1,0,Depreciation!D51)</f>
        <v>349.8690210156</v>
      </c>
      <c r="F10" s="703" t="n">
        <f aca="false">IF(F4&gt;'Project Assumptions'!$I$15+1,0,Depreciation!E51)</f>
        <v>349.8690210156</v>
      </c>
      <c r="G10" s="703" t="n">
        <f aca="false">IF(G4&gt;'Project Assumptions'!$I$15+1,0,Depreciation!F51)</f>
        <v>349.8690210156</v>
      </c>
      <c r="H10" s="703" t="n">
        <f aca="false">IF(H4&gt;'Project Assumptions'!$I$15+1,0,Depreciation!G51)</f>
        <v>349.8690210156</v>
      </c>
      <c r="I10" s="703" t="n">
        <f aca="false">IF(I4&gt;'Project Assumptions'!$I$15+1,0,Depreciation!H51)</f>
        <v>349.8690210156</v>
      </c>
      <c r="J10" s="703" t="n">
        <f aca="false">IF(J4&gt;'Project Assumptions'!$I$15+1,0,Depreciation!I51)</f>
        <v>307.884738493728</v>
      </c>
      <c r="K10" s="703" t="n">
        <f aca="false">IF(K4&gt;'Project Assumptions'!$I$15+1,0,Depreciation!J51)</f>
        <v>307.884738493728</v>
      </c>
      <c r="L10" s="703" t="n">
        <f aca="false">IF(L4&gt;'Project Assumptions'!$I$15+1,0,Depreciation!K51)</f>
        <v>307.884738493728</v>
      </c>
      <c r="M10" s="703" t="n">
        <f aca="false">IF(M4&gt;'Project Assumptions'!$I$15+1,0,Depreciation!L51)</f>
        <v>307.884738493728</v>
      </c>
      <c r="N10" s="703" t="n">
        <f aca="false">IF(N4&gt;'Project Assumptions'!$I$15+1,0,Depreciation!M51)</f>
        <v>265.900455971856</v>
      </c>
      <c r="O10" s="703" t="n">
        <f aca="false">IF(O4&gt;'Project Assumptions'!$I$15+1,0,Depreciation!N51)</f>
        <v>265.900455971856</v>
      </c>
      <c r="P10" s="703" t="n">
        <f aca="false">IF(P4&gt;'Project Assumptions'!$I$15+1,0,Depreciation!O51)</f>
        <v>265.900455971856</v>
      </c>
      <c r="Q10" s="703" t="n">
        <f aca="false">IF(Q4&gt;'Project Assumptions'!$I$15+1,0,Depreciation!P51)</f>
        <v>265.900455971856</v>
      </c>
      <c r="R10" s="703" t="n">
        <f aca="false">IF(R4&gt;'Project Assumptions'!$I$15+1,0,Depreciation!Q51)</f>
        <v>223.916173449984</v>
      </c>
      <c r="S10" s="703" t="n">
        <f aca="false">IF(S4&gt;'Project Assumptions'!$I$15+1,0,Depreciation!R51)</f>
        <v>223.916173449984</v>
      </c>
      <c r="T10" s="703" t="n">
        <f aca="false">IF(T4&gt;'Project Assumptions'!$I$15+1,0,Depreciation!S51)</f>
        <v>223.916173449984</v>
      </c>
      <c r="U10" s="703" t="n">
        <f aca="false">IF(U4&gt;'Project Assumptions'!$I$15+1,0,Depreciation!T51)</f>
        <v>223.916173449984</v>
      </c>
      <c r="V10" s="703" t="n">
        <f aca="false">IF(V4&gt;'Project Assumptions'!$I$15+1,0,Depreciation!U51)</f>
        <v>181.931890928112</v>
      </c>
      <c r="W10" s="703" t="n">
        <f aca="false">IF(W4&gt;'Project Assumptions'!$I$15+1,0,Depreciation!V51)</f>
        <v>181.931890928112</v>
      </c>
      <c r="X10" s="703" t="n">
        <f aca="false">IF(X4&gt;'Project Assumptions'!$I$15+1,0,Depreciation!W51)</f>
        <v>181.931890928112</v>
      </c>
      <c r="Y10" s="703" t="n">
        <f aca="false">IF(Y4&gt;'Project Assumptions'!$I$15+1,0,Depreciation!X51)</f>
        <v>0</v>
      </c>
      <c r="Z10" s="703" t="n">
        <f aca="false">IF(Z4&gt;'Project Assumptions'!$I$15+1,0,Depreciation!Y51)</f>
        <v>0</v>
      </c>
      <c r="AA10" s="703" t="n">
        <f aca="false">IF(AA4&gt;'Project Assumptions'!$I$15+1,0,Depreciation!Z51)</f>
        <v>0</v>
      </c>
      <c r="AB10" s="704" t="n">
        <f aca="false">IF(AB4&gt;'Project Assumptions'!$I$15+1,0,Depreciation!AA51)</f>
        <v>0</v>
      </c>
      <c r="AC10" s="699"/>
      <c r="AD10" s="699"/>
      <c r="AF10" s="702"/>
      <c r="AP10" s="705"/>
      <c r="AQ10" s="705"/>
      <c r="AR10" s="705"/>
      <c r="AS10" s="705"/>
      <c r="AU10" s="702"/>
    </row>
    <row r="11" customFormat="false" ht="12.6" hidden="false" customHeight="true" outlineLevel="0" collapsed="false">
      <c r="A11" s="76" t="s">
        <v>545</v>
      </c>
      <c r="B11" s="371"/>
      <c r="C11" s="698" t="n">
        <f aca="false">SUM(D11:AD11)</f>
        <v>160058.135128</v>
      </c>
      <c r="D11" s="706" t="n">
        <f aca="false">IF(D4&gt;'Project Assumptions'!$I$15+1,0,'Book Income Statement'!D71)</f>
        <v>14192.0851</v>
      </c>
      <c r="E11" s="706" t="n">
        <f aca="false">IF(E4&gt;'Project Assumptions'!$I$15+1,0,'Book Income Statement'!E71)</f>
        <v>13694.519375</v>
      </c>
      <c r="F11" s="706" t="n">
        <f aca="false">IF(F4&gt;'Project Assumptions'!$I$15+1,0,'Book Income Statement'!F71)</f>
        <v>13196.95365</v>
      </c>
      <c r="G11" s="706" t="n">
        <f aca="false">IF(G4&gt;'Project Assumptions'!$I$15+1,0,'Book Income Statement'!G71)</f>
        <v>12493.446075</v>
      </c>
      <c r="H11" s="706" t="n">
        <f aca="false">IF(H4&gt;'Project Assumptions'!$I$15+1,0,'Book Income Statement'!H71)</f>
        <v>11583.99665</v>
      </c>
      <c r="I11" s="706" t="n">
        <f aca="false">IF(I4&gt;'Project Assumptions'!$I$15+1,0,'Book Income Statement'!I71)</f>
        <v>11010.453246</v>
      </c>
      <c r="J11" s="706" t="n">
        <f aca="false">IF(J4&gt;'Project Assumptions'!$I$15+1,0,'Book Income Statement'!J71)</f>
        <v>10436.909842</v>
      </c>
      <c r="K11" s="706" t="n">
        <f aca="false">IF(K4&gt;'Project Assumptions'!$I$15+1,0,'Book Income Statement'!K71)</f>
        <v>9782.536586</v>
      </c>
      <c r="L11" s="706" t="n">
        <f aca="false">IF(L4&gt;'Project Assumptions'!$I$15+1,0,'Book Income Statement'!L71)</f>
        <v>9128.16333</v>
      </c>
      <c r="M11" s="706" t="n">
        <f aca="false">IF(M4&gt;'Project Assumptions'!$I$15+1,0,'Book Income Statement'!M71)</f>
        <v>8061.906374</v>
      </c>
      <c r="N11" s="706" t="n">
        <f aca="false">IF(N4&gt;'Project Assumptions'!$I$15+1,0,'Book Income Statement'!N71)</f>
        <v>6708.877716</v>
      </c>
      <c r="O11" s="706" t="n">
        <f aca="false">IF(O4&gt;'Project Assumptions'!$I$15+1,0,'Book Income Statement'!O71)</f>
        <v>6385.558308</v>
      </c>
      <c r="P11" s="706" t="n">
        <f aca="false">IF(P4&gt;'Project Assumptions'!$I$15+1,0,'Book Income Statement'!P71)</f>
        <v>5981.409048</v>
      </c>
      <c r="Q11" s="706" t="n">
        <f aca="false">IF(Q4&gt;'Project Assumptions'!$I$15+1,0,'Book Income Statement'!Q71)</f>
        <v>5577.259788</v>
      </c>
      <c r="R11" s="706" t="n">
        <f aca="false">IF(R4&gt;'Project Assumptions'!$I$15+1,0,'Book Income Statement'!R71)</f>
        <v>5173.110528</v>
      </c>
      <c r="S11" s="706" t="n">
        <f aca="false">IF(S4&gt;'Project Assumptions'!$I$15+1,0,'Book Income Statement'!S71)</f>
        <v>4768.961268</v>
      </c>
      <c r="T11" s="706" t="n">
        <f aca="false">IF(T4&gt;'Project Assumptions'!$I$15+1,0,'Book Income Statement'!T71)</f>
        <v>4364.812008</v>
      </c>
      <c r="U11" s="706" t="n">
        <f aca="false">IF(U4&gt;'Project Assumptions'!$I$15+1,0,'Book Income Statement'!U71)</f>
        <v>3556.513488</v>
      </c>
      <c r="V11" s="706" t="n">
        <f aca="false">IF(V4&gt;'Project Assumptions'!$I$15+1,0,'Book Income Statement'!V71)</f>
        <v>2586.555264</v>
      </c>
      <c r="W11" s="706" t="n">
        <f aca="false">IF(W4&gt;'Project Assumptions'!$I$15+1,0,'Book Income Statement'!W71)</f>
        <v>1374.107484</v>
      </c>
      <c r="X11" s="706" t="n">
        <f aca="false">IF(X4&gt;'Project Assumptions'!$I$15+1,0,'Book Income Statement'!X71)</f>
        <v>0</v>
      </c>
      <c r="Y11" s="706" t="n">
        <f aca="false">IF(Y4&gt;'Project Assumptions'!$I$15+1,0,'Book Income Statement'!Y71)</f>
        <v>0</v>
      </c>
      <c r="Z11" s="706" t="n">
        <f aca="false">IF(Z4&gt;'Project Assumptions'!$I$15+1,0,'Book Income Statement'!Z71)</f>
        <v>0</v>
      </c>
      <c r="AA11" s="706" t="n">
        <f aca="false">IF(AA4&gt;'Project Assumptions'!$I$15+1,0,'Book Income Statement'!AA71)</f>
        <v>0</v>
      </c>
      <c r="AB11" s="707" t="n">
        <f aca="false">IF(AB4&gt;'Project Assumptions'!$I$15+1,0,'Book Income Statement'!AB71)</f>
        <v>0</v>
      </c>
      <c r="AC11" s="699"/>
      <c r="AD11" s="699"/>
      <c r="AF11" s="702"/>
      <c r="AU11" s="702"/>
    </row>
    <row r="12" customFormat="false" ht="12.6" hidden="false" customHeight="true" outlineLevel="0" collapsed="false">
      <c r="A12" s="76"/>
      <c r="B12" s="371"/>
      <c r="C12" s="698"/>
      <c r="D12" s="706"/>
      <c r="E12" s="706"/>
      <c r="F12" s="706"/>
      <c r="G12" s="706"/>
      <c r="H12" s="706"/>
      <c r="I12" s="706"/>
      <c r="J12" s="706"/>
      <c r="K12" s="706"/>
      <c r="L12" s="706"/>
      <c r="M12" s="706"/>
      <c r="N12" s="706"/>
      <c r="O12" s="706"/>
      <c r="P12" s="706"/>
      <c r="Q12" s="706"/>
      <c r="R12" s="706"/>
      <c r="S12" s="706"/>
      <c r="T12" s="706"/>
      <c r="U12" s="706"/>
      <c r="V12" s="706"/>
      <c r="W12" s="706"/>
      <c r="X12" s="706"/>
      <c r="Y12" s="706"/>
      <c r="Z12" s="706"/>
      <c r="AA12" s="706"/>
      <c r="AB12" s="707"/>
      <c r="AC12" s="708"/>
      <c r="AD12" s="708"/>
      <c r="AE12" s="708"/>
      <c r="AF12" s="708"/>
      <c r="AU12" s="702"/>
    </row>
    <row r="13" customFormat="false" ht="12.6" hidden="false" customHeight="true" outlineLevel="0" collapsed="false">
      <c r="A13" s="76" t="s">
        <v>546</v>
      </c>
      <c r="B13" s="371"/>
      <c r="C13" s="698" t="n">
        <f aca="false">SUM(D13:AD13)</f>
        <v>160058.135128</v>
      </c>
      <c r="D13" s="706" t="n">
        <f aca="false">IF(D4&gt;'Project Assumptions'!$I$15+1,0,'Debt Amortization'!E$52)</f>
        <v>14192.0851</v>
      </c>
      <c r="E13" s="706" t="n">
        <f aca="false">IF(E4&gt;'Project Assumptions'!$I$15+1,0,'Debt Amortization'!F$52)</f>
        <v>13694.519375</v>
      </c>
      <c r="F13" s="706" t="n">
        <f aca="false">IF(F4&gt;'Project Assumptions'!$I$15+1,0,'Debt Amortization'!G$52)</f>
        <v>13196.95365</v>
      </c>
      <c r="G13" s="706" t="n">
        <f aca="false">IF(G4&gt;'Project Assumptions'!$I$15+1,0,'Debt Amortization'!H$52)</f>
        <v>12493.446075</v>
      </c>
      <c r="H13" s="706" t="n">
        <f aca="false">IF(H4&gt;'Project Assumptions'!$I$15+1,0,'Debt Amortization'!I$52)</f>
        <v>11583.99665</v>
      </c>
      <c r="I13" s="706" t="n">
        <f aca="false">IF(I4&gt;'Project Assumptions'!$I$15+1,0,'Debt Amortization'!J$52)</f>
        <v>11010.453246</v>
      </c>
      <c r="J13" s="706" t="n">
        <f aca="false">IF(J4&gt;'Project Assumptions'!$I$15+1,0,'Debt Amortization'!K$52)</f>
        <v>10436.909842</v>
      </c>
      <c r="K13" s="706" t="n">
        <f aca="false">IF(K4&gt;'Project Assumptions'!$I$15+1,0,'Debt Amortization'!L$52)</f>
        <v>9782.536586</v>
      </c>
      <c r="L13" s="706" t="n">
        <f aca="false">IF(L4&gt;'Project Assumptions'!$I$15+1,0,'Debt Amortization'!M$52)</f>
        <v>9128.16333</v>
      </c>
      <c r="M13" s="706" t="n">
        <f aca="false">IF(M4&gt;'Project Assumptions'!$I$15+1,0,'Debt Amortization'!N$52)</f>
        <v>8061.906374</v>
      </c>
      <c r="N13" s="706" t="n">
        <f aca="false">IF(N4&gt;'Project Assumptions'!$I$15+1,0,'Debt Amortization'!O$52)</f>
        <v>6708.877716</v>
      </c>
      <c r="O13" s="706" t="n">
        <f aca="false">IF(O4&gt;'Project Assumptions'!$I$15+1,0,'Debt Amortization'!P$52)</f>
        <v>6385.558308</v>
      </c>
      <c r="P13" s="706" t="n">
        <f aca="false">IF(P4&gt;'Project Assumptions'!$I$15+1,0,'Debt Amortization'!Q$52)</f>
        <v>5981.409048</v>
      </c>
      <c r="Q13" s="706" t="n">
        <f aca="false">IF(Q4&gt;'Project Assumptions'!$I$15+1,0,'Debt Amortization'!R$52)</f>
        <v>5577.259788</v>
      </c>
      <c r="R13" s="706" t="n">
        <f aca="false">IF(R4&gt;'Project Assumptions'!$I$15+1,0,'Debt Amortization'!S$52)</f>
        <v>5173.110528</v>
      </c>
      <c r="S13" s="706" t="n">
        <f aca="false">IF(S4&gt;'Project Assumptions'!$I$15+1,0,'Debt Amortization'!T$52)</f>
        <v>4768.961268</v>
      </c>
      <c r="T13" s="706" t="n">
        <f aca="false">IF(T4&gt;'Project Assumptions'!$I$15+1,0,'Debt Amortization'!U$52)</f>
        <v>4364.812008</v>
      </c>
      <c r="U13" s="706" t="n">
        <f aca="false">IF(U4&gt;'Project Assumptions'!$I$15+1,0,'Debt Amortization'!V$52)</f>
        <v>3556.513488</v>
      </c>
      <c r="V13" s="706" t="n">
        <f aca="false">IF(V4&gt;'Project Assumptions'!$I$15+1,0,'Debt Amortization'!W$52)</f>
        <v>2586.555264</v>
      </c>
      <c r="W13" s="706" t="n">
        <f aca="false">IF(W4&gt;'Project Assumptions'!$I$15+1,0,'Debt Amortization'!X$52)</f>
        <v>1374.107484</v>
      </c>
      <c r="X13" s="706" t="n">
        <f aca="false">IF(X4&gt;'Project Assumptions'!$I$15+1,0,'Debt Amortization'!Y$52)</f>
        <v>0</v>
      </c>
      <c r="Y13" s="706" t="n">
        <f aca="false">IF(Y4&gt;'Project Assumptions'!$I$15+1,0,'Debt Amortization'!Z$52)</f>
        <v>0</v>
      </c>
      <c r="Z13" s="706" t="n">
        <f aca="false">IF(Z4&gt;'Project Assumptions'!$I$15+1,0,'Debt Amortization'!AA$52)</f>
        <v>0</v>
      </c>
      <c r="AA13" s="706" t="n">
        <f aca="false">IF(AA4&gt;'Project Assumptions'!$I$15+1,0,'Debt Amortization'!AB$52)</f>
        <v>0</v>
      </c>
      <c r="AB13" s="706" t="n">
        <f aca="false">IF(AB4&gt;'Project Assumptions'!$I$15+1,0,'Debt Amortization'!AC$52)</f>
        <v>0</v>
      </c>
      <c r="AC13" s="699"/>
      <c r="AD13" s="699"/>
      <c r="AF13" s="702"/>
      <c r="AP13" s="705"/>
      <c r="AQ13" s="705"/>
      <c r="AR13" s="705"/>
      <c r="AS13" s="705"/>
      <c r="AU13" s="702"/>
    </row>
    <row r="14" customFormat="false" ht="12.6" hidden="false" customHeight="true" outlineLevel="0" collapsed="false">
      <c r="A14" s="397" t="s">
        <v>547</v>
      </c>
      <c r="B14" s="371"/>
      <c r="C14" s="609" t="n">
        <f aca="false">SUM(D14:AB14)</f>
        <v>182797</v>
      </c>
      <c r="D14" s="709" t="n">
        <f aca="false">IF(D4&gt;'Project Assumptions'!$I$15+1,0,'Debt Amortization'!E$53)</f>
        <v>7393.25</v>
      </c>
      <c r="E14" s="709" t="n">
        <f aca="false">IF(E4&gt;'Project Assumptions'!$I$15+1,0,'Debt Amortization'!F$53)</f>
        <v>7393.25</v>
      </c>
      <c r="F14" s="709" t="n">
        <f aca="false">IF(F4&gt;'Project Assumptions'!$I$15+1,0,'Debt Amortization'!G$53)</f>
        <v>10113.75</v>
      </c>
      <c r="G14" s="709" t="n">
        <f aca="false">IF(G4&gt;'Project Assumptions'!$I$15+1,0,'Debt Amortization'!H$53)</f>
        <v>12834.25</v>
      </c>
      <c r="H14" s="709" t="n">
        <f aca="false">IF(H4&gt;'Project Assumptions'!$I$15+1,0,'Debt Amortization'!I$53)</f>
        <v>7417.28</v>
      </c>
      <c r="I14" s="709" t="n">
        <f aca="false">IF(I4&gt;'Project Assumptions'!$I$15+1,0,'Debt Amortization'!J$53)</f>
        <v>7417.28</v>
      </c>
      <c r="J14" s="709" t="n">
        <f aca="false">IF(J4&gt;'Project Assumptions'!$I$15+1,0,'Debt Amortization'!K$53)</f>
        <v>8405.42</v>
      </c>
      <c r="K14" s="709" t="n">
        <f aca="false">IF(K4&gt;'Project Assumptions'!$I$15+1,0,'Debt Amortization'!L$53)</f>
        <v>8405.42</v>
      </c>
      <c r="L14" s="709" t="n">
        <f aca="false">IF(L4&gt;'Project Assumptions'!$I$15+1,0,'Debt Amortization'!M$53)</f>
        <v>13846.42</v>
      </c>
      <c r="M14" s="709" t="n">
        <f aca="false">IF(M4&gt;'Project Assumptions'!$I$15+1,0,'Debt Amortization'!N$53)</f>
        <v>17555.06</v>
      </c>
      <c r="N14" s="709" t="n">
        <f aca="false">IF(N4&gt;'Project Assumptions'!$I$15+1,0,'Debt Amortization'!O$53)</f>
        <v>3952.56</v>
      </c>
      <c r="O14" s="709" t="n">
        <f aca="false">IF(O4&gt;'Project Assumptions'!$I$15+1,0,'Debt Amortization'!P$53)</f>
        <v>4940.7</v>
      </c>
      <c r="P14" s="709" t="n">
        <f aca="false">IF(P4&gt;'Project Assumptions'!$I$15+1,0,'Debt Amortization'!Q$53)</f>
        <v>4940.7</v>
      </c>
      <c r="Q14" s="709" t="n">
        <f aca="false">IF(Q4&gt;'Project Assumptions'!$I$15+1,0,'Debt Amortization'!R$53)</f>
        <v>4940.7</v>
      </c>
      <c r="R14" s="709" t="n">
        <f aca="false">IF(R4&gt;'Project Assumptions'!$I$15+1,0,'Debt Amortization'!S$53)</f>
        <v>4940.7</v>
      </c>
      <c r="S14" s="709" t="n">
        <f aca="false">IF(S4&gt;'Project Assumptions'!$I$15+1,0,'Debt Amortization'!T$53)</f>
        <v>4940.7</v>
      </c>
      <c r="T14" s="709" t="n">
        <f aca="false">IF(T4&gt;'Project Assumptions'!$I$15+1,0,'Debt Amortization'!U$53)</f>
        <v>9881.4</v>
      </c>
      <c r="U14" s="709" t="n">
        <f aca="false">IF(U4&gt;'Project Assumptions'!$I$15+1,0,'Debt Amortization'!V$53)</f>
        <v>11857.68</v>
      </c>
      <c r="V14" s="709" t="n">
        <f aca="false">IF(V4&gt;'Project Assumptions'!$I$15+1,0,'Debt Amortization'!W$53)</f>
        <v>14822.1</v>
      </c>
      <c r="W14" s="709" t="n">
        <f aca="false">IF(W4&gt;'Project Assumptions'!$I$15+1,0,'Debt Amortization'!X$53)</f>
        <v>16798.38</v>
      </c>
      <c r="X14" s="709" t="n">
        <f aca="false">IF(X4&gt;'Project Assumptions'!$I$15+1,0,'Debt Amortization'!Y$53)</f>
        <v>0</v>
      </c>
      <c r="Y14" s="709" t="n">
        <f aca="false">IF(Y4&gt;'Project Assumptions'!$I$15+1,0,'Debt Amortization'!Z$53)</f>
        <v>0</v>
      </c>
      <c r="Z14" s="709" t="n">
        <f aca="false">IF(Z4&gt;'Project Assumptions'!$I$15+1,0,'Debt Amortization'!AA$53)</f>
        <v>0</v>
      </c>
      <c r="AA14" s="709" t="n">
        <f aca="false">IF(AA4&gt;'Project Assumptions'!$I$15+1,0,'Debt Amortization'!AB$53)</f>
        <v>0</v>
      </c>
      <c r="AB14" s="710" t="n">
        <f aca="false">IF(AB4&gt;'Project Assumptions'!$I$15+1,0,'Debt Amortization'!AC$53)</f>
        <v>0</v>
      </c>
      <c r="AF14" s="702"/>
      <c r="AU14" s="702"/>
    </row>
    <row r="15" customFormat="false" ht="12.6" hidden="false" customHeight="true" outlineLevel="0" collapsed="false">
      <c r="A15" s="421" t="s">
        <v>548</v>
      </c>
      <c r="B15" s="371"/>
      <c r="C15" s="609"/>
      <c r="D15" s="706" t="n">
        <f aca="false">IF(D4&gt;'Project Assumptions'!$I$15+1,0,D7+D8+D9-D10+D11+D12-D13-D14)</f>
        <v>-6468.42515109317</v>
      </c>
      <c r="E15" s="706" t="n">
        <f aca="false">IF(E4&gt;'Project Assumptions'!$I$15+1,0,E7+E8+E9-E10+E11+E12-E13-E14)</f>
        <v>5559.07881263144</v>
      </c>
      <c r="F15" s="706" t="n">
        <f aca="false">IF(F4&gt;'Project Assumptions'!$I$15+1,0,F7+F8+F9-F10+F11+F12-F13-F14)</f>
        <v>3261.90558142484</v>
      </c>
      <c r="G15" s="706" t="n">
        <f aca="false">IF(G4&gt;'Project Assumptions'!$I$15+1,0,G7+G8+G9-G10+G11+G12-G13-G14)</f>
        <v>11278.4644544389</v>
      </c>
      <c r="H15" s="706" t="n">
        <f aca="false">IF(H4&gt;'Project Assumptions'!$I$15+1,0,H7+H8+H9-H10+H11+H12-H13-H14)</f>
        <v>25387.1243188477</v>
      </c>
      <c r="I15" s="706" t="n">
        <f aca="false">IF(I4&gt;'Project Assumptions'!$I$15+1,0,I7+I8+I9-I10+I11+I12-I13-I14)</f>
        <v>27305.1884213312</v>
      </c>
      <c r="J15" s="706" t="n">
        <f aca="false">IF(J4&gt;'Project Assumptions'!$I$15+1,0,J7+J8+J9-J10+J11+J12-J13-J14)</f>
        <v>26676.3625791247</v>
      </c>
      <c r="K15" s="706" t="n">
        <f aca="false">IF(K4&gt;'Project Assumptions'!$I$15+1,0,K7+K8+K9-K10+K11+K12-K13-K14)</f>
        <v>27862.492611291</v>
      </c>
      <c r="L15" s="706" t="n">
        <f aca="false">IF(L4&gt;'Project Assumptions'!$I$15+1,0,L7+L8+L9-L10+L11+L12-L13-L14)</f>
        <v>23598.2291690491</v>
      </c>
      <c r="M15" s="706" t="n">
        <f aca="false">IF(M4&gt;'Project Assumptions'!$I$15+1,0,M7+M8+M9-M10+M11+M12-M13-M14)</f>
        <v>21468.2985663675</v>
      </c>
      <c r="N15" s="706" t="n">
        <f aca="false">IF(N4&gt;'Project Assumptions'!$I$15+1,0,N7+N8+N9-N10+N11+N12-N13-N14)</f>
        <v>36966.2072138952</v>
      </c>
      <c r="O15" s="706" t="n">
        <f aca="false">IF(O4&gt;'Project Assumptions'!$I$15+1,0,O7+O8+O9-O10+O11+O12-O13-O14)</f>
        <v>36789.0977473991</v>
      </c>
      <c r="P15" s="706" t="n">
        <f aca="false">IF(P4&gt;'Project Assumptions'!$I$15+1,0,P7+P8+P9-P10+P11+P12-P13-P14)</f>
        <v>37667.0621203746</v>
      </c>
      <c r="Q15" s="706" t="n">
        <f aca="false">IF(Q4&gt;'Project Assumptions'!$I$15+1,0,Q7+Q8+Q9-Q10+Q11+Q12-Q13-Q14)</f>
        <v>38530.3825835886</v>
      </c>
      <c r="R15" s="706" t="n">
        <f aca="false">IF(R4&gt;'Project Assumptions'!$I$15+1,0,R7+R8+R9-R10+R11+R12-R13-R14)</f>
        <v>39418.6572561006</v>
      </c>
      <c r="S15" s="706" t="n">
        <f aca="false">IF(S4&gt;'Project Assumptions'!$I$15+1,0,S7+S8+S9-S10+S11+S12-S13-S14)</f>
        <v>40247.0392784573</v>
      </c>
      <c r="T15" s="706" t="n">
        <f aca="false">IF(T4&gt;'Project Assumptions'!$I$15+1,0,T7+T8+T9-T10+T11+T12-T13-T14)</f>
        <v>36115.3405041054</v>
      </c>
      <c r="U15" s="706" t="n">
        <f aca="false">IF(U4&gt;'Project Assumptions'!$I$15+1,0,U7+U8+U9-U10+U11+U12-U13-U14)</f>
        <v>35331.8103392878</v>
      </c>
      <c r="V15" s="706" t="n">
        <f aca="false">IF(V4&gt;'Project Assumptions'!$I$15+1,0,V7+V8+V9-V10+V11+V12-V13-V14)</f>
        <v>33740.7140094545</v>
      </c>
      <c r="W15" s="706" t="n">
        <f aca="false">IF(W4&gt;'Project Assumptions'!$I$15+1,0,W7+W8+W9-W10+W11+W12-W13-W14)</f>
        <v>32109.4330574866</v>
      </c>
      <c r="X15" s="706" t="n">
        <f aca="false">IF(X4&gt;'Project Assumptions'!$I$15+1,0,X7+X8+X9-X10+X11+X12-X13-X14)</f>
        <v>19522.8981464735</v>
      </c>
      <c r="Y15" s="706" t="n">
        <f aca="false">IF(Y4&gt;'Project Assumptions'!$I$15+1,0,Y7+Y8+Y9-Y10+Y11+Y12-Y13-Y14)</f>
        <v>0</v>
      </c>
      <c r="Z15" s="706" t="n">
        <f aca="false">IF(Z4&gt;'Project Assumptions'!$I$15+1,0,Z7+Z8+Z9-Z10+Z11+Z12-Z13-Z14)</f>
        <v>0</v>
      </c>
      <c r="AA15" s="706" t="n">
        <f aca="false">IF(AA4&gt;'Project Assumptions'!$I$15+1,0,AA7+AA8+AA9-AA10+AA11+AA12-AA13-AA14)</f>
        <v>0</v>
      </c>
      <c r="AB15" s="707" t="n">
        <f aca="false">IF(AB4&gt;'Project Assumptions'!$I$15+1,0,AB7+AB8+AB9-AB10+AB11+AB12-AB13-AB14)</f>
        <v>0</v>
      </c>
      <c r="AC15" s="0"/>
      <c r="AD15" s="0"/>
      <c r="AE15" s="0"/>
      <c r="AF15" s="0"/>
      <c r="AG15" s="0"/>
      <c r="AU15" s="702"/>
    </row>
    <row r="16" customFormat="false" ht="12.6" hidden="false" customHeight="true" outlineLevel="0" collapsed="false">
      <c r="A16" s="397"/>
      <c r="B16" s="371"/>
      <c r="C16" s="609"/>
      <c r="D16" s="706"/>
      <c r="E16" s="706"/>
      <c r="F16" s="706"/>
      <c r="G16" s="706"/>
      <c r="H16" s="706"/>
      <c r="I16" s="706"/>
      <c r="J16" s="706"/>
      <c r="K16" s="706"/>
      <c r="L16" s="706"/>
      <c r="M16" s="706"/>
      <c r="N16" s="706"/>
      <c r="O16" s="706"/>
      <c r="P16" s="706"/>
      <c r="Q16" s="706"/>
      <c r="R16" s="706"/>
      <c r="S16" s="706"/>
      <c r="T16" s="706"/>
      <c r="U16" s="706"/>
      <c r="V16" s="706"/>
      <c r="W16" s="706"/>
      <c r="X16" s="706"/>
      <c r="Y16" s="706"/>
      <c r="Z16" s="706"/>
      <c r="AA16" s="706"/>
      <c r="AB16" s="707"/>
      <c r="AF16" s="702"/>
      <c r="AU16" s="702"/>
    </row>
    <row r="17" customFormat="false" ht="12.6" hidden="false" customHeight="true" outlineLevel="0" collapsed="false">
      <c r="A17" s="397" t="s">
        <v>549</v>
      </c>
      <c r="B17" s="371"/>
      <c r="C17" s="609"/>
      <c r="D17" s="706" t="n">
        <v>0</v>
      </c>
      <c r="E17" s="706" t="n">
        <v>0</v>
      </c>
      <c r="F17" s="706" t="n">
        <v>0</v>
      </c>
      <c r="G17" s="706" t="n">
        <v>0</v>
      </c>
      <c r="H17" s="706" t="n">
        <v>0</v>
      </c>
      <c r="I17" s="706" t="n">
        <v>0</v>
      </c>
      <c r="J17" s="706" t="n">
        <v>0</v>
      </c>
      <c r="K17" s="706" t="n">
        <v>0</v>
      </c>
      <c r="L17" s="706" t="n">
        <v>0</v>
      </c>
      <c r="M17" s="706" t="n">
        <v>0</v>
      </c>
      <c r="N17" s="706" t="n">
        <v>0</v>
      </c>
      <c r="O17" s="706" t="n">
        <v>0</v>
      </c>
      <c r="P17" s="706" t="n">
        <v>0</v>
      </c>
      <c r="Q17" s="706" t="n">
        <v>0</v>
      </c>
      <c r="R17" s="706" t="n">
        <v>0</v>
      </c>
      <c r="S17" s="706" t="n">
        <v>0</v>
      </c>
      <c r="T17" s="706" t="n">
        <v>0</v>
      </c>
      <c r="U17" s="706" t="n">
        <v>0</v>
      </c>
      <c r="V17" s="706" t="n">
        <v>0</v>
      </c>
      <c r="W17" s="706" t="n">
        <v>0</v>
      </c>
      <c r="X17" s="706" t="n">
        <v>0</v>
      </c>
      <c r="Y17" s="706" t="n">
        <v>0</v>
      </c>
      <c r="Z17" s="706" t="n">
        <v>0</v>
      </c>
      <c r="AA17" s="706" t="n">
        <v>0</v>
      </c>
      <c r="AB17" s="706" t="n">
        <v>0</v>
      </c>
      <c r="AF17" s="702"/>
      <c r="AU17" s="702"/>
    </row>
    <row r="18" customFormat="false" ht="12.6" hidden="false" customHeight="true" outlineLevel="0" collapsed="false">
      <c r="A18" s="397" t="s">
        <v>550</v>
      </c>
      <c r="B18" s="371"/>
      <c r="C18" s="698" t="n">
        <f aca="false">SUM(D18:AD18)</f>
        <v>0</v>
      </c>
      <c r="D18" s="706" t="n">
        <v>0</v>
      </c>
      <c r="E18" s="706" t="n">
        <v>0</v>
      </c>
      <c r="F18" s="706" t="n">
        <v>0</v>
      </c>
      <c r="G18" s="706" t="n">
        <v>0</v>
      </c>
      <c r="H18" s="706" t="n">
        <v>0</v>
      </c>
      <c r="I18" s="706" t="n">
        <v>0</v>
      </c>
      <c r="J18" s="706" t="n">
        <v>0</v>
      </c>
      <c r="K18" s="706" t="n">
        <v>0</v>
      </c>
      <c r="L18" s="706" t="n">
        <v>0</v>
      </c>
      <c r="M18" s="706" t="n">
        <v>0</v>
      </c>
      <c r="N18" s="706" t="n">
        <v>0</v>
      </c>
      <c r="O18" s="706" t="n">
        <v>0</v>
      </c>
      <c r="P18" s="706" t="n">
        <v>0</v>
      </c>
      <c r="Q18" s="706" t="n">
        <v>0</v>
      </c>
      <c r="R18" s="706" t="n">
        <v>0</v>
      </c>
      <c r="S18" s="706" t="n">
        <v>0</v>
      </c>
      <c r="T18" s="706" t="n">
        <v>0</v>
      </c>
      <c r="U18" s="706" t="n">
        <v>0</v>
      </c>
      <c r="V18" s="706" t="n">
        <v>0</v>
      </c>
      <c r="W18" s="706" t="n">
        <v>0</v>
      </c>
      <c r="X18" s="706" t="n">
        <v>0</v>
      </c>
      <c r="Y18" s="706" t="n">
        <v>0</v>
      </c>
      <c r="Z18" s="706" t="n">
        <v>0</v>
      </c>
      <c r="AA18" s="706" t="n">
        <v>0</v>
      </c>
      <c r="AB18" s="706" t="n">
        <v>0</v>
      </c>
      <c r="AE18" s="686"/>
      <c r="AF18" s="711"/>
      <c r="AG18" s="686"/>
      <c r="AH18" s="686"/>
      <c r="AI18" s="686"/>
      <c r="AJ18" s="686"/>
      <c r="AK18" s="686"/>
      <c r="AL18" s="686"/>
      <c r="AM18" s="686"/>
      <c r="AN18" s="686"/>
      <c r="AO18" s="686"/>
      <c r="AP18" s="686"/>
      <c r="AQ18" s="686"/>
      <c r="AR18" s="686"/>
      <c r="AS18" s="686"/>
      <c r="AT18" s="686"/>
      <c r="AU18" s="711"/>
      <c r="AV18" s="686"/>
      <c r="AW18" s="686"/>
      <c r="AX18" s="686"/>
      <c r="AY18" s="686"/>
      <c r="AZ18" s="686"/>
      <c r="BA18" s="686"/>
      <c r="BB18" s="686"/>
      <c r="BC18" s="686"/>
      <c r="BD18" s="686"/>
      <c r="BE18" s="686"/>
      <c r="BF18" s="686"/>
      <c r="BG18" s="686"/>
      <c r="BH18" s="686"/>
      <c r="BI18" s="686"/>
      <c r="BJ18" s="686"/>
      <c r="BK18" s="686"/>
      <c r="BL18" s="686"/>
      <c r="BM18" s="686"/>
      <c r="BN18" s="686"/>
      <c r="BO18" s="686"/>
      <c r="BP18" s="686"/>
      <c r="BQ18" s="686"/>
      <c r="BR18" s="686"/>
      <c r="BS18" s="686"/>
      <c r="BT18" s="686"/>
      <c r="BU18" s="686"/>
      <c r="BV18" s="686"/>
      <c r="BW18" s="686"/>
      <c r="BX18" s="686"/>
      <c r="BY18" s="686"/>
      <c r="BZ18" s="686"/>
      <c r="CA18" s="686"/>
      <c r="CB18" s="686"/>
      <c r="CC18" s="686"/>
      <c r="CD18" s="686"/>
      <c r="CE18" s="686"/>
      <c r="CF18" s="686"/>
      <c r="CG18" s="686"/>
      <c r="CH18" s="686"/>
      <c r="CI18" s="686"/>
      <c r="CJ18" s="686"/>
      <c r="CK18" s="686"/>
      <c r="CL18" s="686"/>
      <c r="CM18" s="686"/>
      <c r="CN18" s="686"/>
      <c r="CO18" s="686"/>
      <c r="CP18" s="686"/>
      <c r="CQ18" s="686"/>
      <c r="CR18" s="686"/>
      <c r="CS18" s="686"/>
      <c r="CT18" s="686"/>
      <c r="CU18" s="686"/>
      <c r="CV18" s="686"/>
      <c r="CW18" s="686"/>
      <c r="CX18" s="686"/>
      <c r="CY18" s="686"/>
      <c r="CZ18" s="686"/>
      <c r="DA18" s="686"/>
      <c r="DB18" s="686"/>
      <c r="DC18" s="686"/>
      <c r="DD18" s="686"/>
      <c r="DE18" s="686"/>
      <c r="DF18" s="686"/>
      <c r="DG18" s="686"/>
      <c r="DH18" s="686"/>
      <c r="DI18" s="686"/>
      <c r="DJ18" s="686"/>
      <c r="DK18" s="686"/>
      <c r="DL18" s="686"/>
      <c r="DM18" s="686"/>
      <c r="DN18" s="686"/>
      <c r="DO18" s="686"/>
      <c r="DP18" s="686"/>
      <c r="DQ18" s="686"/>
      <c r="DR18" s="686"/>
      <c r="DS18" s="686"/>
      <c r="DT18" s="686"/>
      <c r="DU18" s="686"/>
      <c r="DV18" s="686"/>
      <c r="DW18" s="686"/>
      <c r="DX18" s="686"/>
      <c r="DY18" s="686"/>
      <c r="DZ18" s="686"/>
      <c r="EA18" s="686"/>
      <c r="EB18" s="686"/>
      <c r="EC18" s="686"/>
      <c r="ED18" s="686"/>
      <c r="EE18" s="686"/>
      <c r="EF18" s="686"/>
      <c r="EG18" s="686"/>
      <c r="EH18" s="686"/>
      <c r="EI18" s="686"/>
      <c r="EJ18" s="686"/>
      <c r="EK18" s="686"/>
      <c r="EL18" s="686"/>
      <c r="EM18" s="686"/>
      <c r="EN18" s="686"/>
      <c r="EO18" s="686"/>
      <c r="EP18" s="686"/>
      <c r="EQ18" s="686"/>
      <c r="ER18" s="686"/>
      <c r="ES18" s="686"/>
      <c r="ET18" s="686"/>
      <c r="EU18" s="686"/>
      <c r="EV18" s="686"/>
      <c r="EW18" s="686"/>
      <c r="EX18" s="686"/>
      <c r="EY18" s="686"/>
      <c r="EZ18" s="686"/>
      <c r="FA18" s="686"/>
      <c r="FB18" s="686"/>
      <c r="FC18" s="686"/>
      <c r="FD18" s="686"/>
      <c r="FE18" s="686"/>
      <c r="FF18" s="686"/>
      <c r="FG18" s="686"/>
      <c r="FH18" s="686"/>
      <c r="FI18" s="686"/>
      <c r="FJ18" s="686"/>
      <c r="FK18" s="686"/>
      <c r="FL18" s="686"/>
      <c r="FM18" s="686"/>
      <c r="FN18" s="686"/>
      <c r="FO18" s="686"/>
      <c r="FP18" s="686"/>
      <c r="FQ18" s="686"/>
      <c r="FR18" s="686"/>
      <c r="FS18" s="686"/>
      <c r="FT18" s="686"/>
      <c r="FU18" s="686"/>
      <c r="FV18" s="686"/>
      <c r="FW18" s="686"/>
      <c r="FX18" s="686"/>
      <c r="FY18" s="686"/>
      <c r="FZ18" s="686"/>
      <c r="GA18" s="686"/>
      <c r="GB18" s="686"/>
      <c r="GC18" s="686"/>
      <c r="GD18" s="686"/>
      <c r="GE18" s="686"/>
      <c r="GF18" s="686"/>
      <c r="GG18" s="686"/>
      <c r="GH18" s="686"/>
      <c r="GI18" s="686"/>
      <c r="GJ18" s="686"/>
      <c r="GK18" s="686"/>
      <c r="GL18" s="686"/>
      <c r="GM18" s="686"/>
      <c r="GN18" s="686"/>
      <c r="GO18" s="686"/>
      <c r="GP18" s="686"/>
      <c r="GQ18" s="686"/>
      <c r="GR18" s="686"/>
      <c r="GS18" s="686"/>
      <c r="GT18" s="686"/>
      <c r="GU18" s="686"/>
      <c r="GV18" s="686"/>
      <c r="GW18" s="686"/>
      <c r="GX18" s="686"/>
      <c r="GY18" s="686"/>
      <c r="GZ18" s="686"/>
      <c r="HA18" s="686"/>
      <c r="HB18" s="686"/>
      <c r="HC18" s="686"/>
      <c r="HD18" s="686"/>
      <c r="HE18" s="686"/>
      <c r="HF18" s="686"/>
      <c r="HG18" s="686"/>
      <c r="HH18" s="686"/>
      <c r="HI18" s="686"/>
      <c r="HJ18" s="686"/>
      <c r="HK18" s="686"/>
      <c r="HL18" s="686"/>
      <c r="HM18" s="686"/>
      <c r="HN18" s="686"/>
      <c r="HO18" s="686"/>
      <c r="HP18" s="686"/>
      <c r="HQ18" s="686"/>
      <c r="HR18" s="686"/>
      <c r="HS18" s="686"/>
      <c r="HT18" s="686"/>
      <c r="HU18" s="686"/>
      <c r="HV18" s="686"/>
      <c r="HW18" s="686"/>
      <c r="HX18" s="686"/>
      <c r="HY18" s="686"/>
      <c r="HZ18" s="686"/>
      <c r="IA18" s="686"/>
      <c r="IB18" s="686"/>
      <c r="IC18" s="686"/>
      <c r="ID18" s="686"/>
      <c r="IE18" s="686"/>
      <c r="IF18" s="686"/>
      <c r="IG18" s="686"/>
      <c r="IH18" s="686"/>
      <c r="II18" s="686"/>
      <c r="IJ18" s="686"/>
      <c r="IK18" s="686"/>
      <c r="IL18" s="686"/>
      <c r="IM18" s="686"/>
      <c r="IN18" s="686"/>
      <c r="IO18" s="686"/>
      <c r="IP18" s="686"/>
      <c r="IQ18" s="686"/>
      <c r="IR18" s="686"/>
      <c r="IS18" s="686"/>
      <c r="IT18" s="686"/>
      <c r="IU18" s="686"/>
      <c r="IV18" s="686"/>
      <c r="IW18" s="686"/>
    </row>
    <row r="19" customFormat="false" ht="12.6" hidden="false" customHeight="true" outlineLevel="0" collapsed="false">
      <c r="A19" s="397" t="s">
        <v>551</v>
      </c>
      <c r="B19" s="371"/>
      <c r="C19" s="698"/>
      <c r="D19" s="706" t="n">
        <v>0</v>
      </c>
      <c r="E19" s="706" t="n">
        <v>0</v>
      </c>
      <c r="F19" s="706" t="n">
        <v>0</v>
      </c>
      <c r="G19" s="706" t="n">
        <v>0</v>
      </c>
      <c r="H19" s="706" t="n">
        <v>0</v>
      </c>
      <c r="I19" s="706" t="n">
        <v>0</v>
      </c>
      <c r="J19" s="706" t="n">
        <v>0</v>
      </c>
      <c r="K19" s="706" t="n">
        <v>0</v>
      </c>
      <c r="L19" s="706" t="n">
        <v>0</v>
      </c>
      <c r="M19" s="706" t="n">
        <v>0</v>
      </c>
      <c r="N19" s="706" t="n">
        <v>0</v>
      </c>
      <c r="O19" s="706" t="n">
        <v>0</v>
      </c>
      <c r="P19" s="706" t="n">
        <v>0</v>
      </c>
      <c r="Q19" s="706" t="n">
        <v>0</v>
      </c>
      <c r="R19" s="706" t="n">
        <v>0</v>
      </c>
      <c r="S19" s="706" t="n">
        <v>0</v>
      </c>
      <c r="T19" s="706" t="n">
        <v>0</v>
      </c>
      <c r="U19" s="706" t="n">
        <v>0</v>
      </c>
      <c r="V19" s="706" t="n">
        <v>0</v>
      </c>
      <c r="W19" s="706" t="n">
        <v>0</v>
      </c>
      <c r="X19" s="706" t="n">
        <v>0</v>
      </c>
      <c r="Y19" s="706" t="n">
        <v>0</v>
      </c>
      <c r="Z19" s="706" t="n">
        <v>0</v>
      </c>
      <c r="AA19" s="706" t="n">
        <v>0</v>
      </c>
      <c r="AB19" s="707" t="n">
        <v>0</v>
      </c>
      <c r="AE19" s="686"/>
      <c r="AF19" s="711"/>
      <c r="AG19" s="686"/>
      <c r="AH19" s="686"/>
      <c r="AI19" s="686"/>
      <c r="AJ19" s="686"/>
      <c r="AK19" s="686"/>
      <c r="AL19" s="686"/>
      <c r="AM19" s="686"/>
      <c r="AN19" s="686"/>
      <c r="AO19" s="686"/>
      <c r="AP19" s="686"/>
      <c r="AQ19" s="686"/>
      <c r="AR19" s="686"/>
      <c r="AS19" s="686"/>
      <c r="AT19" s="686"/>
      <c r="AU19" s="711"/>
      <c r="AV19" s="686"/>
      <c r="AW19" s="686"/>
      <c r="AX19" s="686"/>
      <c r="AY19" s="686"/>
      <c r="AZ19" s="686"/>
      <c r="BA19" s="686"/>
      <c r="BB19" s="686"/>
      <c r="BC19" s="686"/>
      <c r="BD19" s="686"/>
      <c r="BE19" s="686"/>
      <c r="BF19" s="686"/>
      <c r="BG19" s="686"/>
      <c r="BH19" s="686"/>
      <c r="BI19" s="686"/>
      <c r="BJ19" s="686"/>
      <c r="BK19" s="686"/>
      <c r="BL19" s="686"/>
      <c r="BM19" s="686"/>
      <c r="BN19" s="686"/>
      <c r="BO19" s="686"/>
      <c r="BP19" s="686"/>
      <c r="BQ19" s="686"/>
      <c r="BR19" s="686"/>
      <c r="BS19" s="686"/>
      <c r="BT19" s="686"/>
      <c r="BU19" s="686"/>
      <c r="BV19" s="686"/>
      <c r="BW19" s="686"/>
      <c r="BX19" s="686"/>
      <c r="BY19" s="686"/>
      <c r="BZ19" s="686"/>
      <c r="CA19" s="686"/>
      <c r="CB19" s="686"/>
      <c r="CC19" s="686"/>
      <c r="CD19" s="686"/>
      <c r="CE19" s="686"/>
      <c r="CF19" s="686"/>
      <c r="CG19" s="686"/>
      <c r="CH19" s="686"/>
      <c r="CI19" s="686"/>
      <c r="CJ19" s="686"/>
      <c r="CK19" s="686"/>
      <c r="CL19" s="686"/>
      <c r="CM19" s="686"/>
      <c r="CN19" s="686"/>
      <c r="CO19" s="686"/>
      <c r="CP19" s="686"/>
      <c r="CQ19" s="686"/>
      <c r="CR19" s="686"/>
      <c r="CS19" s="686"/>
      <c r="CT19" s="686"/>
      <c r="CU19" s="686"/>
      <c r="CV19" s="686"/>
      <c r="CW19" s="686"/>
      <c r="CX19" s="686"/>
      <c r="CY19" s="686"/>
      <c r="CZ19" s="686"/>
      <c r="DA19" s="686"/>
      <c r="DB19" s="686"/>
      <c r="DC19" s="686"/>
      <c r="DD19" s="686"/>
      <c r="DE19" s="686"/>
      <c r="DF19" s="686"/>
      <c r="DG19" s="686"/>
      <c r="DH19" s="686"/>
      <c r="DI19" s="686"/>
      <c r="DJ19" s="686"/>
      <c r="DK19" s="686"/>
      <c r="DL19" s="686"/>
      <c r="DM19" s="686"/>
      <c r="DN19" s="686"/>
      <c r="DO19" s="686"/>
      <c r="DP19" s="686"/>
      <c r="DQ19" s="686"/>
      <c r="DR19" s="686"/>
      <c r="DS19" s="686"/>
      <c r="DT19" s="686"/>
      <c r="DU19" s="686"/>
      <c r="DV19" s="686"/>
      <c r="DW19" s="686"/>
      <c r="DX19" s="686"/>
      <c r="DY19" s="686"/>
      <c r="DZ19" s="686"/>
      <c r="EA19" s="686"/>
      <c r="EB19" s="686"/>
      <c r="EC19" s="686"/>
      <c r="ED19" s="686"/>
      <c r="EE19" s="686"/>
      <c r="EF19" s="686"/>
      <c r="EG19" s="686"/>
      <c r="EH19" s="686"/>
      <c r="EI19" s="686"/>
      <c r="EJ19" s="686"/>
      <c r="EK19" s="686"/>
      <c r="EL19" s="686"/>
      <c r="EM19" s="686"/>
      <c r="EN19" s="686"/>
      <c r="EO19" s="686"/>
      <c r="EP19" s="686"/>
      <c r="EQ19" s="686"/>
      <c r="ER19" s="686"/>
      <c r="ES19" s="686"/>
      <c r="ET19" s="686"/>
      <c r="EU19" s="686"/>
      <c r="EV19" s="686"/>
      <c r="EW19" s="686"/>
      <c r="EX19" s="686"/>
      <c r="EY19" s="686"/>
      <c r="EZ19" s="686"/>
      <c r="FA19" s="686"/>
      <c r="FB19" s="686"/>
      <c r="FC19" s="686"/>
      <c r="FD19" s="686"/>
      <c r="FE19" s="686"/>
      <c r="FF19" s="686"/>
      <c r="FG19" s="686"/>
      <c r="FH19" s="686"/>
      <c r="FI19" s="686"/>
      <c r="FJ19" s="686"/>
      <c r="FK19" s="686"/>
      <c r="FL19" s="686"/>
      <c r="FM19" s="686"/>
      <c r="FN19" s="686"/>
      <c r="FO19" s="686"/>
      <c r="FP19" s="686"/>
      <c r="FQ19" s="686"/>
      <c r="FR19" s="686"/>
      <c r="FS19" s="686"/>
      <c r="FT19" s="686"/>
      <c r="FU19" s="686"/>
      <c r="FV19" s="686"/>
      <c r="FW19" s="686"/>
      <c r="FX19" s="686"/>
      <c r="FY19" s="686"/>
      <c r="FZ19" s="686"/>
      <c r="GA19" s="686"/>
      <c r="GB19" s="686"/>
      <c r="GC19" s="686"/>
      <c r="GD19" s="686"/>
      <c r="GE19" s="686"/>
      <c r="GF19" s="686"/>
      <c r="GG19" s="686"/>
      <c r="GH19" s="686"/>
      <c r="GI19" s="686"/>
      <c r="GJ19" s="686"/>
      <c r="GK19" s="686"/>
      <c r="GL19" s="686"/>
      <c r="GM19" s="686"/>
      <c r="GN19" s="686"/>
      <c r="GO19" s="686"/>
      <c r="GP19" s="686"/>
      <c r="GQ19" s="686"/>
      <c r="GR19" s="686"/>
      <c r="GS19" s="686"/>
      <c r="GT19" s="686"/>
      <c r="GU19" s="686"/>
      <c r="GV19" s="686"/>
      <c r="GW19" s="686"/>
      <c r="GX19" s="686"/>
      <c r="GY19" s="686"/>
      <c r="GZ19" s="686"/>
      <c r="HA19" s="686"/>
      <c r="HB19" s="686"/>
      <c r="HC19" s="686"/>
      <c r="HD19" s="686"/>
      <c r="HE19" s="686"/>
      <c r="HF19" s="686"/>
      <c r="HG19" s="686"/>
      <c r="HH19" s="686"/>
      <c r="HI19" s="686"/>
      <c r="HJ19" s="686"/>
      <c r="HK19" s="686"/>
      <c r="HL19" s="686"/>
      <c r="HM19" s="686"/>
      <c r="HN19" s="686"/>
      <c r="HO19" s="686"/>
      <c r="HP19" s="686"/>
      <c r="HQ19" s="686"/>
      <c r="HR19" s="686"/>
      <c r="HS19" s="686"/>
      <c r="HT19" s="686"/>
      <c r="HU19" s="686"/>
      <c r="HV19" s="686"/>
      <c r="HW19" s="686"/>
      <c r="HX19" s="686"/>
      <c r="HY19" s="686"/>
      <c r="HZ19" s="686"/>
      <c r="IA19" s="686"/>
      <c r="IB19" s="686"/>
      <c r="IC19" s="686"/>
      <c r="ID19" s="686"/>
      <c r="IE19" s="686"/>
      <c r="IF19" s="686"/>
      <c r="IG19" s="686"/>
      <c r="IH19" s="686"/>
      <c r="II19" s="686"/>
      <c r="IJ19" s="686"/>
      <c r="IK19" s="686"/>
      <c r="IL19" s="686"/>
      <c r="IM19" s="686"/>
      <c r="IN19" s="686"/>
      <c r="IO19" s="686"/>
      <c r="IP19" s="686"/>
      <c r="IQ19" s="686"/>
      <c r="IR19" s="686"/>
      <c r="IS19" s="686"/>
      <c r="IT19" s="686"/>
      <c r="IU19" s="686"/>
      <c r="IV19" s="686"/>
      <c r="IW19" s="686"/>
    </row>
    <row r="20" customFormat="false" ht="12.6" hidden="false" customHeight="true" outlineLevel="0" collapsed="false">
      <c r="A20" s="397"/>
      <c r="B20" s="371"/>
      <c r="C20" s="698"/>
      <c r="D20" s="712"/>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402"/>
      <c r="AF20" s="702"/>
      <c r="AU20" s="702"/>
    </row>
    <row r="21" customFormat="false" ht="12.6" hidden="false" customHeight="true" outlineLevel="0" collapsed="false">
      <c r="A21" s="697" t="s">
        <v>552</v>
      </c>
      <c r="B21" s="713"/>
      <c r="C21" s="714" t="n">
        <f aca="false">SUM(C7:C14)</f>
        <v>1237895.69998511</v>
      </c>
      <c r="D21" s="700" t="n">
        <f aca="false">IF(D4&gt;'Project Assumptions'!$I$15+1,0,D7+D8+D9-D10+D11+D12-D13-D14-D18-D19-D17)</f>
        <v>-6468.42515109317</v>
      </c>
      <c r="E21" s="700" t="n">
        <f aca="false">IF(E4&gt;'Project Assumptions'!$I$15+1,0,E7+E8+E9-E10+E11+E12-E13-E14-E18-E19-E17)</f>
        <v>5559.07881263144</v>
      </c>
      <c r="F21" s="700" t="n">
        <f aca="false">IF(F4&gt;'Project Assumptions'!$I$15+1,0,F7+F8+F9-F10+F11+F12-F13-F14-F18-F19-F17)</f>
        <v>3261.90558142484</v>
      </c>
      <c r="G21" s="700" t="n">
        <f aca="false">IF(G4&gt;'Project Assumptions'!$I$15+1,0,G7+G8+G9-G10+G11+G12-G13-G14-G18-G19-G17)</f>
        <v>11278.4644544389</v>
      </c>
      <c r="H21" s="700" t="n">
        <f aca="false">IF(H4&gt;'Project Assumptions'!$I$15+1,0,H7+H8+H9-H10+H11+H12-H13-H14-H18-H19-H17)</f>
        <v>25387.1243188477</v>
      </c>
      <c r="I21" s="700" t="n">
        <f aca="false">IF(I4&gt;'Project Assumptions'!$I$15+1,0,I7+I8+I9-I10+I11+I12-I13-I14-I18-I19-I17)</f>
        <v>27305.1884213312</v>
      </c>
      <c r="J21" s="700" t="n">
        <f aca="false">IF(J4&gt;'Project Assumptions'!$I$15+1,0,J7+J8+J9-J10+J11+J12-J13-J14-J18-J19-J17)</f>
        <v>26676.3625791247</v>
      </c>
      <c r="K21" s="700" t="n">
        <f aca="false">IF(K4&gt;'Project Assumptions'!$I$15+1,0,K7+K8+K9-K10+K11+K12-K13-K14-K18-K19-K17)</f>
        <v>27862.492611291</v>
      </c>
      <c r="L21" s="700" t="n">
        <f aca="false">IF(L4&gt;'Project Assumptions'!$I$15+1,0,L7+L8+L9-L10+L11+L12-L13-L14-L18-L19-L17)</f>
        <v>23598.2291690491</v>
      </c>
      <c r="M21" s="700" t="n">
        <f aca="false">IF(M4&gt;'Project Assumptions'!$I$15+1,0,M7+M8+M9-M10+M11+M12-M13-M14-M18-M19-M17)</f>
        <v>21468.2985663675</v>
      </c>
      <c r="N21" s="700" t="n">
        <f aca="false">IF(N4&gt;'Project Assumptions'!$I$15+1,0,N7+N8+N9-N10+N11+N12-N13-N14-N18-N19-N17)</f>
        <v>36966.2072138952</v>
      </c>
      <c r="O21" s="700" t="n">
        <f aca="false">IF(O4&gt;'Project Assumptions'!$I$15+1,0,O7+O8+O9-O10+O11+O12-O13-O14-O18-O19-O17)</f>
        <v>36789.0977473991</v>
      </c>
      <c r="P21" s="700" t="n">
        <f aca="false">IF(P4&gt;'Project Assumptions'!$I$15+1,0,P7+P8+P9-P10+P11+P12-P13-P14-P18-P19-P17)</f>
        <v>37667.0621203746</v>
      </c>
      <c r="Q21" s="700" t="n">
        <f aca="false">IF(Q4&gt;'Project Assumptions'!$I$15+1,0,Q7+Q8+Q9-Q10+Q11+Q12-Q13-Q14-Q18-Q19-Q17)</f>
        <v>38530.3825835886</v>
      </c>
      <c r="R21" s="700" t="n">
        <f aca="false">IF(R4&gt;'Project Assumptions'!$I$15+1,0,R7+R8+R9-R10+R11+R12-R13-R14-R18-R19-R17)</f>
        <v>39418.6572561006</v>
      </c>
      <c r="S21" s="700" t="n">
        <f aca="false">IF(S4&gt;'Project Assumptions'!$I$15+1,0,S7+S8+S9-S10+S11+S12-S13-S14-S18-S19-S17)</f>
        <v>40247.0392784573</v>
      </c>
      <c r="T21" s="700" t="n">
        <f aca="false">IF(T4&gt;'Project Assumptions'!$I$15+1,0,T7+T8+T9-T10+T11+T12-T13-T14-T18-T19-T17)</f>
        <v>36115.3405041054</v>
      </c>
      <c r="U21" s="700" t="n">
        <f aca="false">IF(U4&gt;'Project Assumptions'!$I$15+1,0,U7+U8+U9-U10+U11+U12-U13-U14-U18-U19-U17)</f>
        <v>35331.8103392878</v>
      </c>
      <c r="V21" s="700" t="n">
        <f aca="false">IF(V4&gt;'Project Assumptions'!$I$15+1,0,V7+V8+V9-V10+V11+V12-V13-V14-V18-V19-V17)</f>
        <v>33740.7140094545</v>
      </c>
      <c r="W21" s="700" t="n">
        <f aca="false">IF(W4&gt;'Project Assumptions'!$I$15+1,0,W7+W8+W9-W10+W11+W12-W13-W14-W18-W19-W17)</f>
        <v>32109.4330574866</v>
      </c>
      <c r="X21" s="700" t="n">
        <f aca="false">IF(X4&gt;'Project Assumptions'!$I$15+1,0,X7+X8+X9-X10+X11+X12-X13-X14-X18-X19-X17)</f>
        <v>19522.8981464735</v>
      </c>
      <c r="Y21" s="700" t="n">
        <f aca="false">IF(Y4&gt;'Project Assumptions'!$I$15+1,0,Y7+Y8+Y9-Y10+Y11+Y12-Y13-Y14-Y18-Y19-Y17)</f>
        <v>0</v>
      </c>
      <c r="Z21" s="700" t="n">
        <f aca="false">IF(Z4&gt;'Project Assumptions'!$I$15+1,0,Z7+Z8+Z9-Z10+Z11+Z12-Z13-Z14-Z18-Z19-Z17)</f>
        <v>0</v>
      </c>
      <c r="AA21" s="700" t="n">
        <f aca="false">IF(AA4&gt;'Project Assumptions'!$I$15+1,0,AA7+AA8+AA9-AA10+AA11+AA12-AA13-AA14-AA18-AA19-AA17)</f>
        <v>0</v>
      </c>
      <c r="AB21" s="701" t="n">
        <f aca="false">IF(AB4&gt;'Project Assumptions'!$I$15+1,0,AB7+AB8+AB9-AB10+AB11+AB12-AB13-AB14-AB18-AB19-AB17)</f>
        <v>0</v>
      </c>
      <c r="AC21" s="699"/>
      <c r="AD21" s="699"/>
      <c r="AF21" s="702"/>
      <c r="AP21" s="705"/>
      <c r="AQ21" s="705"/>
      <c r="AR21" s="705"/>
      <c r="AS21" s="705"/>
      <c r="AU21" s="702"/>
    </row>
    <row r="22" customFormat="false" ht="12.6" hidden="false" customHeight="true" outlineLevel="0" collapsed="false">
      <c r="A22" s="397" t="s">
        <v>553</v>
      </c>
      <c r="B22" s="703"/>
      <c r="C22" s="715"/>
      <c r="D22" s="496" t="n">
        <f aca="false">'Tax Calculations'!D36+'Tax Calculations'!D52</f>
        <v>0</v>
      </c>
      <c r="E22" s="496" t="n">
        <f aca="false">'Tax Calculations'!E36+'Tax Calculations'!E52</f>
        <v>0</v>
      </c>
      <c r="F22" s="496" t="n">
        <f aca="false">'Tax Calculations'!F36+'Tax Calculations'!F52</f>
        <v>0</v>
      </c>
      <c r="G22" s="496" t="n">
        <f aca="false">'Tax Calculations'!G36+'Tax Calculations'!G52</f>
        <v>0</v>
      </c>
      <c r="H22" s="496" t="n">
        <f aca="false">'Tax Calculations'!H36+'Tax Calculations'!H52</f>
        <v>0</v>
      </c>
      <c r="I22" s="496" t="n">
        <f aca="false">'Tax Calculations'!I36+'Tax Calculations'!I52</f>
        <v>2686.49011297339</v>
      </c>
      <c r="J22" s="496" t="n">
        <f aca="false">'Tax Calculations'!J36+'Tax Calculations'!J52</f>
        <v>8038.73646944578</v>
      </c>
      <c r="K22" s="496" t="n">
        <f aca="false">'Tax Calculations'!K36+'Tax Calculations'!K52</f>
        <v>8499.27739095567</v>
      </c>
      <c r="L22" s="496" t="n">
        <f aca="false">'Tax Calculations'!L36+'Tax Calculations'!L52</f>
        <v>8976.0147596711</v>
      </c>
      <c r="M22" s="496" t="n">
        <f aca="false">'Tax Calculations'!M36+'Tax Calculations'!M52</f>
        <v>9608.93404330383</v>
      </c>
      <c r="N22" s="496" t="n">
        <f aca="false">'Tax Calculations'!N36+'Tax Calculations'!N52</f>
        <v>10354.0931645202</v>
      </c>
      <c r="O22" s="496" t="n">
        <f aca="false">'Tax Calculations'!O36+'Tax Calculations'!O52</f>
        <v>10665.8433678957</v>
      </c>
      <c r="P22" s="496" t="n">
        <f aca="false">'Tax Calculations'!P36+'Tax Calculations'!P52</f>
        <v>11024.0667740734</v>
      </c>
      <c r="Q22" s="496" t="n">
        <f aca="false">'Tax Calculations'!Q36+'Tax Calculations'!Q52</f>
        <v>11373.2127292149</v>
      </c>
      <c r="R22" s="496" t="n">
        <f aca="false">'Tax Calculations'!R36+'Tax Calculations'!R52</f>
        <v>11718.8720165618</v>
      </c>
      <c r="S22" s="496" t="n">
        <f aca="false">'Tax Calculations'!S36+'Tax Calculations'!S52</f>
        <v>14986.0434264778</v>
      </c>
      <c r="T22" s="496" t="n">
        <f aca="false">'Tax Calculations'!T36+'Tax Calculations'!T52</f>
        <v>18245.5270557635</v>
      </c>
      <c r="U22" s="496" t="n">
        <f aca="false">'Tax Calculations'!U36+'Tax Calculations'!U52</f>
        <v>18735.3090382332</v>
      </c>
      <c r="V22" s="496" t="n">
        <f aca="false">'Tax Calculations'!V36+'Tax Calculations'!V52</f>
        <v>19263.4114331303</v>
      </c>
      <c r="W22" s="496" t="n">
        <f aca="false">'Tax Calculations'!W36+'Tax Calculations'!W52</f>
        <v>19400.2622055132</v>
      </c>
      <c r="X22" s="496" t="n">
        <f aca="false">'Tax Calculations'!X36+'Tax Calculations'!X52</f>
        <v>7744.14800776163</v>
      </c>
      <c r="Y22" s="496" t="n">
        <f aca="false">'Tax Calculations'!Y36+'Tax Calculations'!Y52</f>
        <v>0</v>
      </c>
      <c r="Z22" s="496" t="n">
        <f aca="false">'Tax Calculations'!Z36+'Tax Calculations'!Z52</f>
        <v>0</v>
      </c>
      <c r="AA22" s="496" t="n">
        <f aca="false">'Tax Calculations'!AA36+'Tax Calculations'!AA52</f>
        <v>0</v>
      </c>
      <c r="AB22" s="497" t="n">
        <f aca="false">'Tax Calculations'!AB36+'Tax Calculations'!AB52</f>
        <v>0</v>
      </c>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16"/>
      <c r="AY22" s="716"/>
      <c r="AZ22" s="716"/>
      <c r="BA22" s="716"/>
      <c r="BB22" s="716"/>
      <c r="BC22" s="716"/>
      <c r="BD22" s="716"/>
      <c r="BE22" s="716"/>
      <c r="BF22" s="716"/>
      <c r="BG22" s="716"/>
      <c r="BH22" s="716"/>
      <c r="BI22" s="716"/>
      <c r="BJ22" s="716"/>
      <c r="BK22" s="716"/>
      <c r="BL22" s="716"/>
      <c r="BM22" s="716"/>
      <c r="BN22" s="716"/>
      <c r="BO22" s="716"/>
      <c r="BP22" s="716"/>
      <c r="BQ22" s="716"/>
      <c r="BR22" s="716"/>
      <c r="BS22" s="716"/>
      <c r="BT22" s="716"/>
      <c r="BU22" s="716"/>
      <c r="BV22" s="716"/>
      <c r="BW22" s="716"/>
      <c r="BX22" s="716"/>
      <c r="BY22" s="716"/>
      <c r="BZ22" s="716"/>
      <c r="CA22" s="716"/>
      <c r="CB22" s="716"/>
      <c r="CC22" s="716"/>
      <c r="CD22" s="716"/>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6"/>
      <c r="ED22" s="716"/>
      <c r="EE22" s="716"/>
      <c r="EF22" s="716"/>
      <c r="EG22" s="716"/>
      <c r="EH22" s="716"/>
      <c r="EI22" s="716"/>
      <c r="EJ22" s="716"/>
      <c r="EK22" s="716"/>
      <c r="EL22" s="716"/>
      <c r="EM22" s="716"/>
      <c r="EN22" s="716"/>
      <c r="EO22" s="716"/>
      <c r="EP22" s="716"/>
      <c r="EQ22" s="716"/>
      <c r="ER22" s="716"/>
      <c r="ES22" s="716"/>
      <c r="ET22" s="716"/>
      <c r="EU22" s="716"/>
      <c r="EV22" s="716"/>
      <c r="EW22" s="716"/>
      <c r="EX22" s="716"/>
      <c r="EY22" s="716"/>
      <c r="EZ22" s="716"/>
      <c r="FA22" s="716"/>
      <c r="FB22" s="716"/>
      <c r="FC22" s="716"/>
      <c r="FD22" s="716"/>
      <c r="FE22" s="716"/>
      <c r="FF22" s="716"/>
      <c r="FG22" s="716"/>
      <c r="FH22" s="716"/>
      <c r="FI22" s="716"/>
      <c r="FJ22" s="716"/>
      <c r="FK22" s="716"/>
      <c r="FL22" s="716"/>
      <c r="FM22" s="716"/>
      <c r="FN22" s="716"/>
      <c r="FO22" s="716"/>
      <c r="FP22" s="716"/>
      <c r="FQ22" s="716"/>
      <c r="FR22" s="716"/>
      <c r="FS22" s="716"/>
      <c r="FT22" s="716"/>
      <c r="FU22" s="716"/>
      <c r="FV22" s="716"/>
      <c r="FW22" s="716"/>
      <c r="FX22" s="716"/>
      <c r="FY22" s="716"/>
      <c r="FZ22" s="716"/>
      <c r="GA22" s="716"/>
      <c r="GB22" s="716"/>
      <c r="GC22" s="716"/>
      <c r="GD22" s="716"/>
      <c r="GE22" s="716"/>
      <c r="GF22" s="716"/>
      <c r="GG22" s="716"/>
      <c r="GH22" s="716"/>
      <c r="GI22" s="716"/>
      <c r="GJ22" s="716"/>
      <c r="GK22" s="716"/>
      <c r="GL22" s="716"/>
      <c r="GM22" s="716"/>
      <c r="GN22" s="716"/>
      <c r="GO22" s="716"/>
      <c r="GP22" s="716"/>
      <c r="GQ22" s="716"/>
      <c r="GR22" s="716"/>
      <c r="GS22" s="716"/>
      <c r="GT22" s="716"/>
      <c r="GU22" s="716"/>
      <c r="GV22" s="716"/>
      <c r="GW22" s="716"/>
      <c r="GX22" s="716"/>
      <c r="GY22" s="716"/>
      <c r="GZ22" s="716"/>
      <c r="HA22" s="716"/>
      <c r="HB22" s="716"/>
      <c r="HC22" s="716"/>
      <c r="HD22" s="716"/>
      <c r="HE22" s="716"/>
      <c r="HF22" s="716"/>
      <c r="HG22" s="716"/>
      <c r="HH22" s="716"/>
      <c r="HI22" s="716"/>
      <c r="HJ22" s="716"/>
      <c r="HK22" s="716"/>
      <c r="HL22" s="716"/>
      <c r="HM22" s="716"/>
      <c r="HN22" s="716"/>
      <c r="HO22" s="716"/>
      <c r="HP22" s="716"/>
      <c r="HQ22" s="716"/>
      <c r="HR22" s="716"/>
      <c r="HS22" s="716"/>
      <c r="HT22" s="716"/>
      <c r="HU22" s="716"/>
      <c r="HV22" s="716"/>
      <c r="HW22" s="716"/>
      <c r="HX22" s="716"/>
      <c r="HY22" s="716"/>
      <c r="HZ22" s="716"/>
      <c r="IA22" s="716"/>
      <c r="IB22" s="716"/>
      <c r="IC22" s="716"/>
      <c r="ID22" s="716"/>
      <c r="IE22" s="716"/>
      <c r="IF22" s="716"/>
      <c r="IG22" s="716"/>
      <c r="IH22" s="716"/>
      <c r="II22" s="716"/>
      <c r="IJ22" s="716"/>
      <c r="IK22" s="716"/>
      <c r="IL22" s="716"/>
      <c r="IM22" s="716"/>
      <c r="IN22" s="716"/>
      <c r="IO22" s="716"/>
      <c r="IP22" s="716"/>
      <c r="IQ22" s="716"/>
      <c r="IR22" s="716"/>
      <c r="IS22" s="716"/>
      <c r="IT22" s="716"/>
      <c r="IU22" s="716"/>
      <c r="IV22" s="716"/>
      <c r="IW22" s="716"/>
    </row>
    <row r="23" customFormat="false" ht="12.6" hidden="false" customHeight="true" outlineLevel="0" collapsed="false">
      <c r="A23" s="717" t="s">
        <v>10</v>
      </c>
      <c r="B23" s="653"/>
      <c r="C23" s="718" t="n">
        <f aca="false">C21-C22</f>
        <v>1237895.69998511</v>
      </c>
      <c r="D23" s="719" t="n">
        <f aca="false">IF(D4&gt;'Project Assumptions'!$I$15+1,0,D21-D22)</f>
        <v>-6468.42515109317</v>
      </c>
      <c r="E23" s="719" t="n">
        <f aca="false">IF(E4&gt;'Project Assumptions'!$I$15+1,0,E21-E22)</f>
        <v>5559.07881263144</v>
      </c>
      <c r="F23" s="719" t="n">
        <f aca="false">IF(F4&gt;'Project Assumptions'!$I$15+1,0,F21-F22)</f>
        <v>3261.90558142484</v>
      </c>
      <c r="G23" s="719" t="n">
        <f aca="false">IF(G4&gt;'Project Assumptions'!$I$15+1,0,G21-G22)</f>
        <v>11278.4644544389</v>
      </c>
      <c r="H23" s="719" t="n">
        <f aca="false">IF(H4&gt;'Project Assumptions'!$I$15+1,0,H21-H22)</f>
        <v>25387.1243188477</v>
      </c>
      <c r="I23" s="719" t="n">
        <f aca="false">IF(I4&gt;'Project Assumptions'!$I$15+1,0,I21-I22)</f>
        <v>24618.6983083578</v>
      </c>
      <c r="J23" s="719" t="n">
        <f aca="false">IF(J4&gt;'Project Assumptions'!$I$15+1,0,J21-J22)</f>
        <v>18637.6261096789</v>
      </c>
      <c r="K23" s="719" t="n">
        <f aca="false">IF(K4&gt;'Project Assumptions'!$I$15+1,0,K21-K22)</f>
        <v>19363.2152203354</v>
      </c>
      <c r="L23" s="719" t="n">
        <f aca="false">IF(L4&gt;'Project Assumptions'!$I$15+1,0,L21-L22)</f>
        <v>14622.214409378</v>
      </c>
      <c r="M23" s="719" t="n">
        <f aca="false">IF(M4&gt;'Project Assumptions'!$I$15+1,0,M21-M22)</f>
        <v>11859.3645230637</v>
      </c>
      <c r="N23" s="719" t="n">
        <f aca="false">IF(N4&gt;'Project Assumptions'!$I$15+1,0,N21-N22)</f>
        <v>26612.114049375</v>
      </c>
      <c r="O23" s="719" t="n">
        <f aca="false">IF(O4&gt;'Project Assumptions'!$I$15+1,0,O21-O22)</f>
        <v>26123.2543795034</v>
      </c>
      <c r="P23" s="719" t="n">
        <f aca="false">IF(P4&gt;'Project Assumptions'!$I$15+1,0,P21-P22)</f>
        <v>26642.9953463012</v>
      </c>
      <c r="Q23" s="719" t="n">
        <f aca="false">IF(Q4&gt;'Project Assumptions'!$I$15+1,0,Q21-Q22)</f>
        <v>27157.1698543737</v>
      </c>
      <c r="R23" s="719" t="n">
        <f aca="false">IF(R4&gt;'Project Assumptions'!$I$15+1,0,R21-R22)</f>
        <v>27699.7852395388</v>
      </c>
      <c r="S23" s="719" t="n">
        <f aca="false">IF(S4&gt;'Project Assumptions'!$I$15+1,0,S21-S22)</f>
        <v>25260.9958519794</v>
      </c>
      <c r="T23" s="719" t="n">
        <f aca="false">IF(T4&gt;'Project Assumptions'!$I$15+1,0,T21-T22)</f>
        <v>17869.8134483419</v>
      </c>
      <c r="U23" s="719" t="n">
        <f aca="false">IF(U4&gt;'Project Assumptions'!$I$15+1,0,U21-U22)</f>
        <v>16596.5013010546</v>
      </c>
      <c r="V23" s="719" t="n">
        <f aca="false">IF(V4&gt;'Project Assumptions'!$I$15+1,0,V21-V22)</f>
        <v>14477.3025763242</v>
      </c>
      <c r="W23" s="719" t="n">
        <f aca="false">IF(W4&gt;'Project Assumptions'!$I$15+1,0,W21-W22)</f>
        <v>12709.1708519734</v>
      </c>
      <c r="X23" s="719" t="n">
        <f aca="false">IF(X4&gt;'Project Assumptions'!$I$15+1,0,X21-X22)</f>
        <v>11778.7501387118</v>
      </c>
      <c r="Y23" s="719" t="n">
        <f aca="false">IF(Y4&gt;'Project Assumptions'!$I$15+1,0,Y21-Y22)</f>
        <v>0</v>
      </c>
      <c r="Z23" s="719" t="n">
        <f aca="false">IF(Z4&gt;'Project Assumptions'!$I$15+1,0,Z21-Z22)</f>
        <v>0</v>
      </c>
      <c r="AA23" s="719" t="n">
        <f aca="false">IF(AA4&gt;'Project Assumptions'!$I$15+1,0,AA21-AA22)</f>
        <v>0</v>
      </c>
      <c r="AB23" s="720" t="n">
        <f aca="false">IF(AB4&gt;'Project Assumptions'!$I$15+1,0,AB21-AB22)</f>
        <v>0</v>
      </c>
      <c r="AC23" s="721"/>
      <c r="AD23" s="721"/>
      <c r="AE23" s="721"/>
      <c r="AF23" s="721"/>
      <c r="AG23" s="721"/>
      <c r="AH23" s="721"/>
      <c r="AI23" s="721"/>
      <c r="AJ23" s="721"/>
      <c r="AK23" s="721"/>
      <c r="AL23" s="721"/>
      <c r="AM23" s="721"/>
      <c r="AN23" s="721"/>
      <c r="AO23" s="721"/>
      <c r="AP23" s="721"/>
      <c r="AQ23" s="721"/>
      <c r="AR23" s="721"/>
      <c r="AS23" s="721"/>
      <c r="AT23" s="721"/>
      <c r="AU23" s="721"/>
      <c r="AV23" s="721"/>
      <c r="AW23" s="721"/>
      <c r="AX23" s="721"/>
      <c r="AY23" s="721"/>
      <c r="AZ23" s="721"/>
      <c r="BA23" s="721"/>
      <c r="BB23" s="721"/>
      <c r="BC23" s="721"/>
      <c r="BD23" s="721"/>
      <c r="BE23" s="721"/>
      <c r="BF23" s="721"/>
      <c r="BG23" s="721"/>
      <c r="BH23" s="721"/>
      <c r="BI23" s="721"/>
      <c r="BJ23" s="721"/>
      <c r="BK23" s="721"/>
      <c r="BL23" s="721"/>
      <c r="BM23" s="721"/>
      <c r="BN23" s="721"/>
      <c r="BO23" s="721"/>
      <c r="BP23" s="721"/>
      <c r="BQ23" s="721"/>
      <c r="BR23" s="721"/>
      <c r="BS23" s="721"/>
      <c r="BT23" s="721"/>
      <c r="BU23" s="721"/>
      <c r="BV23" s="721"/>
      <c r="BW23" s="721"/>
      <c r="BX23" s="721"/>
      <c r="BY23" s="721"/>
      <c r="BZ23" s="721"/>
      <c r="CA23" s="721"/>
      <c r="CB23" s="721"/>
      <c r="CC23" s="721"/>
      <c r="CD23" s="721"/>
      <c r="CE23" s="721"/>
      <c r="CF23" s="721"/>
      <c r="CG23" s="721"/>
      <c r="CH23" s="721"/>
      <c r="CI23" s="721"/>
      <c r="CJ23" s="721"/>
      <c r="CK23" s="721"/>
      <c r="CL23" s="721"/>
      <c r="CM23" s="721"/>
      <c r="CN23" s="721"/>
      <c r="CO23" s="721"/>
      <c r="CP23" s="721"/>
      <c r="CQ23" s="721"/>
      <c r="CR23" s="721"/>
      <c r="CS23" s="721"/>
      <c r="CT23" s="721"/>
      <c r="CU23" s="721"/>
      <c r="CV23" s="721"/>
      <c r="CW23" s="721"/>
      <c r="CX23" s="721"/>
      <c r="CY23" s="721"/>
      <c r="CZ23" s="721"/>
      <c r="DA23" s="721"/>
      <c r="DB23" s="721"/>
      <c r="DC23" s="721"/>
      <c r="DD23" s="721"/>
      <c r="DE23" s="721"/>
      <c r="DF23" s="721"/>
      <c r="DG23" s="721"/>
      <c r="DH23" s="721"/>
      <c r="DI23" s="721"/>
      <c r="DJ23" s="721"/>
      <c r="DK23" s="721"/>
      <c r="DL23" s="721"/>
      <c r="DM23" s="721"/>
      <c r="DN23" s="721"/>
      <c r="DO23" s="721"/>
      <c r="DP23" s="721"/>
      <c r="DQ23" s="721"/>
      <c r="DR23" s="721"/>
      <c r="DS23" s="721"/>
      <c r="DT23" s="721"/>
      <c r="DU23" s="721"/>
      <c r="DV23" s="721"/>
      <c r="DW23" s="721"/>
      <c r="DX23" s="721"/>
      <c r="DY23" s="721"/>
      <c r="DZ23" s="721"/>
      <c r="EA23" s="721"/>
      <c r="EB23" s="721"/>
      <c r="EC23" s="721"/>
      <c r="ED23" s="721"/>
      <c r="EE23" s="721"/>
      <c r="EF23" s="721"/>
      <c r="EG23" s="721"/>
      <c r="EH23" s="721"/>
      <c r="EI23" s="721"/>
      <c r="EJ23" s="721"/>
      <c r="EK23" s="721"/>
      <c r="EL23" s="721"/>
      <c r="EM23" s="721"/>
      <c r="EN23" s="721"/>
      <c r="EO23" s="721"/>
      <c r="EP23" s="721"/>
      <c r="EQ23" s="721"/>
      <c r="ER23" s="721"/>
      <c r="ES23" s="721"/>
      <c r="ET23" s="721"/>
      <c r="EU23" s="721"/>
      <c r="EV23" s="721"/>
      <c r="EW23" s="721"/>
      <c r="EX23" s="721"/>
      <c r="EY23" s="721"/>
      <c r="EZ23" s="721"/>
      <c r="FA23" s="721"/>
      <c r="FB23" s="721"/>
      <c r="FC23" s="721"/>
      <c r="FD23" s="721"/>
      <c r="FE23" s="721"/>
      <c r="FF23" s="721"/>
      <c r="FG23" s="721"/>
      <c r="FH23" s="721"/>
      <c r="FI23" s="721"/>
      <c r="FJ23" s="721"/>
      <c r="FK23" s="721"/>
      <c r="FL23" s="721"/>
      <c r="FM23" s="721"/>
      <c r="FN23" s="721"/>
      <c r="FO23" s="721"/>
      <c r="FP23" s="721"/>
      <c r="FQ23" s="721"/>
      <c r="FR23" s="721"/>
      <c r="FS23" s="721"/>
      <c r="FT23" s="721"/>
      <c r="FU23" s="721"/>
      <c r="FV23" s="721"/>
      <c r="FW23" s="721"/>
      <c r="FX23" s="721"/>
      <c r="FY23" s="721"/>
      <c r="FZ23" s="721"/>
      <c r="GA23" s="721"/>
      <c r="GB23" s="721"/>
      <c r="GC23" s="721"/>
      <c r="GD23" s="721"/>
      <c r="GE23" s="721"/>
      <c r="GF23" s="721"/>
      <c r="GG23" s="721"/>
      <c r="GH23" s="721"/>
      <c r="GI23" s="721"/>
      <c r="GJ23" s="721"/>
      <c r="GK23" s="721"/>
      <c r="GL23" s="721"/>
      <c r="GM23" s="721"/>
      <c r="GN23" s="721"/>
      <c r="GO23" s="721"/>
      <c r="GP23" s="721"/>
      <c r="GQ23" s="721"/>
      <c r="GR23" s="721"/>
      <c r="GS23" s="721"/>
      <c r="GT23" s="721"/>
      <c r="GU23" s="721"/>
      <c r="GV23" s="721"/>
      <c r="GW23" s="721"/>
      <c r="GX23" s="721"/>
      <c r="GY23" s="721"/>
      <c r="GZ23" s="721"/>
      <c r="HA23" s="721"/>
      <c r="HB23" s="721"/>
      <c r="HC23" s="721"/>
      <c r="HD23" s="721"/>
      <c r="HE23" s="721"/>
      <c r="HF23" s="721"/>
      <c r="HG23" s="721"/>
      <c r="HH23" s="721"/>
      <c r="HI23" s="721"/>
      <c r="HJ23" s="721"/>
      <c r="HK23" s="721"/>
      <c r="HL23" s="721"/>
      <c r="HM23" s="721"/>
      <c r="HN23" s="721"/>
      <c r="HO23" s="721"/>
      <c r="HP23" s="721"/>
      <c r="HQ23" s="721"/>
      <c r="HR23" s="721"/>
      <c r="HS23" s="721"/>
      <c r="HT23" s="721"/>
      <c r="HU23" s="721"/>
      <c r="HV23" s="721"/>
      <c r="HW23" s="721"/>
      <c r="HX23" s="721"/>
      <c r="HY23" s="721"/>
      <c r="HZ23" s="721"/>
      <c r="IA23" s="721"/>
      <c r="IB23" s="721"/>
      <c r="IC23" s="721"/>
      <c r="ID23" s="721"/>
      <c r="IE23" s="721"/>
      <c r="IF23" s="721"/>
      <c r="IG23" s="721"/>
      <c r="IH23" s="721"/>
      <c r="II23" s="721"/>
      <c r="IJ23" s="721"/>
      <c r="IK23" s="721"/>
      <c r="IL23" s="721"/>
      <c r="IM23" s="721"/>
      <c r="IN23" s="721"/>
      <c r="IO23" s="721"/>
      <c r="IP23" s="721"/>
      <c r="IQ23" s="721"/>
      <c r="IR23" s="721"/>
      <c r="IS23" s="721"/>
      <c r="IT23" s="721"/>
      <c r="IU23" s="721"/>
      <c r="IV23" s="721"/>
      <c r="IW23" s="721"/>
    </row>
    <row r="24" customFormat="false" ht="12.6" hidden="false" customHeight="true" outlineLevel="0" collapsed="false">
      <c r="A24" s="703"/>
      <c r="B24" s="703"/>
      <c r="C24" s="703"/>
      <c r="D24" s="703"/>
      <c r="E24" s="703"/>
      <c r="F24" s="703"/>
      <c r="G24" s="703"/>
      <c r="H24" s="703"/>
      <c r="I24" s="703"/>
      <c r="J24" s="703"/>
      <c r="K24" s="703"/>
      <c r="L24" s="703"/>
      <c r="M24" s="703"/>
      <c r="N24" s="703"/>
      <c r="O24" s="703"/>
      <c r="P24" s="703"/>
      <c r="Q24" s="703"/>
      <c r="R24" s="703"/>
      <c r="S24" s="703"/>
      <c r="T24" s="703"/>
      <c r="U24" s="703"/>
      <c r="V24" s="703"/>
      <c r="W24" s="703"/>
      <c r="X24" s="703"/>
      <c r="Y24" s="703"/>
      <c r="Z24" s="703"/>
      <c r="AA24" s="703"/>
      <c r="AB24" s="703"/>
      <c r="AC24" s="716"/>
      <c r="AD24" s="716"/>
      <c r="AE24" s="716"/>
      <c r="AF24" s="716"/>
      <c r="AG24" s="716"/>
      <c r="AH24" s="716"/>
      <c r="AI24" s="716"/>
      <c r="AJ24" s="716"/>
      <c r="AK24" s="716"/>
      <c r="AL24" s="716"/>
      <c r="AM24" s="716"/>
      <c r="AN24" s="716"/>
      <c r="AO24" s="716"/>
      <c r="AP24" s="716"/>
      <c r="AQ24" s="716"/>
      <c r="AR24" s="716"/>
      <c r="AS24" s="716"/>
      <c r="AT24" s="716"/>
      <c r="AU24" s="716"/>
      <c r="AV24" s="716"/>
      <c r="AW24" s="716"/>
      <c r="AX24" s="716"/>
      <c r="AY24" s="716"/>
      <c r="AZ24" s="716"/>
      <c r="BA24" s="716"/>
      <c r="BB24" s="716"/>
      <c r="BC24" s="716"/>
      <c r="BD24" s="716"/>
      <c r="BE24" s="716"/>
      <c r="BF24" s="716"/>
      <c r="BG24" s="716"/>
      <c r="BH24" s="716"/>
      <c r="BI24" s="716"/>
      <c r="BJ24" s="716"/>
      <c r="BK24" s="716"/>
      <c r="BL24" s="716"/>
      <c r="BM24" s="716"/>
      <c r="BN24" s="716"/>
      <c r="BO24" s="716"/>
      <c r="BP24" s="716"/>
      <c r="BQ24" s="716"/>
      <c r="BR24" s="716"/>
      <c r="BS24" s="716"/>
      <c r="BT24" s="716"/>
      <c r="BU24" s="716"/>
      <c r="BV24" s="716"/>
      <c r="BW24" s="716"/>
      <c r="BX24" s="716"/>
      <c r="BY24" s="716"/>
      <c r="BZ24" s="716"/>
      <c r="CA24" s="716"/>
      <c r="CB24" s="716"/>
      <c r="CC24" s="716"/>
      <c r="CD24" s="716"/>
      <c r="CE24" s="716"/>
      <c r="CF24" s="716"/>
      <c r="CG24" s="716"/>
      <c r="CH24" s="716"/>
      <c r="CI24" s="716"/>
      <c r="CJ24" s="716"/>
      <c r="CK24" s="716"/>
      <c r="CL24" s="716"/>
      <c r="CM24" s="716"/>
      <c r="CN24" s="716"/>
      <c r="CO24" s="716"/>
      <c r="CP24" s="716"/>
      <c r="CQ24" s="716"/>
      <c r="CR24" s="716"/>
      <c r="CS24" s="716"/>
      <c r="CT24" s="716"/>
      <c r="CU24" s="716"/>
      <c r="CV24" s="716"/>
      <c r="CW24" s="716"/>
      <c r="CX24" s="716"/>
      <c r="CY24" s="716"/>
      <c r="CZ24" s="716"/>
      <c r="DA24" s="716"/>
      <c r="DB24" s="716"/>
      <c r="DC24" s="716"/>
      <c r="DD24" s="716"/>
      <c r="DE24" s="716"/>
      <c r="DF24" s="716"/>
      <c r="DG24" s="716"/>
      <c r="DH24" s="716"/>
      <c r="DI24" s="716"/>
      <c r="DJ24" s="716"/>
      <c r="DK24" s="716"/>
      <c r="DL24" s="716"/>
      <c r="DM24" s="716"/>
      <c r="DN24" s="716"/>
      <c r="DO24" s="716"/>
      <c r="DP24" s="716"/>
      <c r="DQ24" s="716"/>
      <c r="DR24" s="716"/>
      <c r="DS24" s="716"/>
      <c r="DT24" s="716"/>
      <c r="DU24" s="716"/>
      <c r="DV24" s="716"/>
      <c r="DW24" s="716"/>
      <c r="DX24" s="716"/>
      <c r="DY24" s="716"/>
      <c r="DZ24" s="716"/>
      <c r="EA24" s="716"/>
      <c r="EB24" s="716"/>
      <c r="EC24" s="716"/>
      <c r="ED24" s="716"/>
      <c r="EE24" s="716"/>
      <c r="EF24" s="716"/>
      <c r="EG24" s="716"/>
      <c r="EH24" s="716"/>
      <c r="EI24" s="716"/>
      <c r="EJ24" s="716"/>
      <c r="EK24" s="716"/>
      <c r="EL24" s="716"/>
      <c r="EM24" s="716"/>
      <c r="EN24" s="716"/>
      <c r="EO24" s="716"/>
      <c r="EP24" s="716"/>
      <c r="EQ24" s="716"/>
      <c r="ER24" s="716"/>
      <c r="ES24" s="716"/>
      <c r="ET24" s="716"/>
      <c r="EU24" s="716"/>
      <c r="EV24" s="716"/>
      <c r="EW24" s="716"/>
      <c r="EX24" s="716"/>
      <c r="EY24" s="716"/>
      <c r="EZ24" s="716"/>
      <c r="FA24" s="716"/>
      <c r="FB24" s="716"/>
      <c r="FC24" s="716"/>
      <c r="FD24" s="716"/>
      <c r="FE24" s="716"/>
      <c r="FF24" s="716"/>
      <c r="FG24" s="716"/>
      <c r="FH24" s="716"/>
      <c r="FI24" s="716"/>
      <c r="FJ24" s="716"/>
      <c r="FK24" s="716"/>
      <c r="FL24" s="716"/>
      <c r="FM24" s="716"/>
      <c r="FN24" s="716"/>
      <c r="FO24" s="716"/>
      <c r="FP24" s="716"/>
      <c r="FQ24" s="716"/>
      <c r="FR24" s="716"/>
      <c r="FS24" s="716"/>
      <c r="FT24" s="716"/>
      <c r="FU24" s="716"/>
      <c r="FV24" s="716"/>
      <c r="FW24" s="716"/>
      <c r="FX24" s="716"/>
      <c r="FY24" s="716"/>
      <c r="FZ24" s="716"/>
      <c r="GA24" s="716"/>
      <c r="GB24" s="716"/>
      <c r="GC24" s="716"/>
      <c r="GD24" s="716"/>
      <c r="GE24" s="716"/>
      <c r="GF24" s="716"/>
      <c r="GG24" s="716"/>
      <c r="GH24" s="716"/>
      <c r="GI24" s="716"/>
      <c r="GJ24" s="716"/>
      <c r="GK24" s="716"/>
      <c r="GL24" s="716"/>
      <c r="GM24" s="716"/>
      <c r="GN24" s="716"/>
      <c r="GO24" s="716"/>
      <c r="GP24" s="716"/>
      <c r="GQ24" s="716"/>
      <c r="GR24" s="716"/>
      <c r="GS24" s="716"/>
      <c r="GT24" s="716"/>
      <c r="GU24" s="716"/>
      <c r="GV24" s="716"/>
      <c r="GW24" s="716"/>
      <c r="GX24" s="716"/>
      <c r="GY24" s="716"/>
      <c r="GZ24" s="716"/>
      <c r="HA24" s="716"/>
      <c r="HB24" s="716"/>
      <c r="HC24" s="716"/>
      <c r="HD24" s="716"/>
      <c r="HE24" s="716"/>
      <c r="HF24" s="716"/>
      <c r="HG24" s="716"/>
      <c r="HH24" s="716"/>
      <c r="HI24" s="716"/>
      <c r="HJ24" s="716"/>
      <c r="HK24" s="716"/>
      <c r="HL24" s="716"/>
      <c r="HM24" s="716"/>
      <c r="HN24" s="716"/>
      <c r="HO24" s="716"/>
      <c r="HP24" s="716"/>
      <c r="HQ24" s="716"/>
      <c r="HR24" s="716"/>
      <c r="HS24" s="716"/>
      <c r="HT24" s="716"/>
      <c r="HU24" s="716"/>
      <c r="HV24" s="716"/>
      <c r="HW24" s="716"/>
      <c r="HX24" s="716"/>
      <c r="HY24" s="716"/>
      <c r="HZ24" s="716"/>
      <c r="IA24" s="716"/>
      <c r="IB24" s="716"/>
      <c r="IC24" s="716"/>
      <c r="ID24" s="716"/>
      <c r="IE24" s="716"/>
      <c r="IF24" s="716"/>
      <c r="IG24" s="716"/>
      <c r="IH24" s="716"/>
      <c r="II24" s="716"/>
      <c r="IJ24" s="716"/>
      <c r="IK24" s="716"/>
      <c r="IL24" s="716"/>
      <c r="IM24" s="716"/>
      <c r="IN24" s="716"/>
      <c r="IO24" s="716"/>
      <c r="IP24" s="716"/>
      <c r="IQ24" s="716"/>
      <c r="IR24" s="716"/>
      <c r="IS24" s="716"/>
      <c r="IT24" s="716"/>
      <c r="IU24" s="716"/>
      <c r="IV24" s="716"/>
      <c r="IW24" s="716"/>
    </row>
    <row r="26" customFormat="false" ht="12.6" hidden="false" customHeight="true" outlineLevel="0" collapsed="false">
      <c r="A26" s="722" t="s">
        <v>272</v>
      </c>
      <c r="B26" s="367"/>
      <c r="C26" s="367"/>
      <c r="D26" s="723"/>
      <c r="E26" s="367"/>
      <c r="F26" s="367"/>
      <c r="G26" s="367"/>
      <c r="H26" s="367"/>
      <c r="I26" s="367"/>
      <c r="J26" s="367"/>
      <c r="K26" s="367"/>
      <c r="L26" s="367"/>
      <c r="M26" s="367"/>
      <c r="N26" s="367"/>
      <c r="O26" s="367"/>
      <c r="P26" s="367"/>
      <c r="Q26" s="367"/>
      <c r="R26" s="367"/>
      <c r="S26" s="367"/>
      <c r="T26" s="367"/>
      <c r="U26" s="367"/>
      <c r="V26" s="367"/>
      <c r="W26" s="367"/>
      <c r="X26" s="367"/>
      <c r="Y26" s="367"/>
      <c r="Z26" s="367"/>
      <c r="AA26" s="367"/>
      <c r="AB26" s="502"/>
    </row>
    <row r="27" customFormat="false" ht="12.6" hidden="false" customHeight="true" outlineLevel="0" collapsed="false">
      <c r="A27" s="397"/>
      <c r="B27" s="611"/>
      <c r="C27" s="371"/>
      <c r="D27" s="724"/>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402"/>
    </row>
    <row r="28" customFormat="false" ht="12.6" hidden="false" customHeight="true" outlineLevel="0" collapsed="false">
      <c r="A28" s="397" t="s">
        <v>554</v>
      </c>
      <c r="B28" s="611"/>
      <c r="C28" s="371"/>
      <c r="D28" s="389" t="n">
        <f aca="false">+IF(OR(AND(D4&gt;'Project Assumptions'!$I$51,D31=0),'Project Assumptions'!$I$51=0),0,IF(D23&gt;0,D23,0))</f>
        <v>0</v>
      </c>
      <c r="E28" s="389" t="n">
        <f aca="false">+IF(OR(AND(E4&gt;'Project Assumptions'!$I$51,E31=0),'Project Assumptions'!$I$51=0),0,IF(E23&gt;0,E23,0))</f>
        <v>0</v>
      </c>
      <c r="F28" s="389" t="n">
        <f aca="false">+IF(OR(AND(F4&gt;'Project Assumptions'!$I$51,F31=0),'Project Assumptions'!$I$51=0),0,IF(F23&gt;0,F23,0))</f>
        <v>0</v>
      </c>
      <c r="G28" s="389" t="n">
        <f aca="false">+IF(OR(AND(G4&gt;'Project Assumptions'!$I$51,G31=0),'Project Assumptions'!$I$51=0),0,IF(G23&gt;0,G23,0))</f>
        <v>0</v>
      </c>
      <c r="H28" s="389" t="n">
        <f aca="false">+IF(OR(AND(H4&gt;'Project Assumptions'!$I$51,H31=0),'Project Assumptions'!$I$51=0),0,IF(H23&gt;0,H23,0))</f>
        <v>0</v>
      </c>
      <c r="I28" s="389" t="n">
        <f aca="false">+IF(OR(AND(I4&gt;'Project Assumptions'!$I$51,I31=0),'Project Assumptions'!$I$51=0),0,IF(I23&gt;0,I23,0))</f>
        <v>0</v>
      </c>
      <c r="J28" s="389" t="n">
        <f aca="false">+IF(OR(AND(J4&gt;'Project Assumptions'!$I$51,J31=0),'Project Assumptions'!$I$51=0),0,IF(J23&gt;0,J23,0))</f>
        <v>0</v>
      </c>
      <c r="K28" s="389" t="n">
        <f aca="false">+IF(OR(AND(K4&gt;'Project Assumptions'!$I$51,K31=0),'Project Assumptions'!$I$51=0),0,IF(K23&gt;0,K23,0))</f>
        <v>0</v>
      </c>
      <c r="L28" s="389" t="n">
        <f aca="false">+IF(OR(AND(L4&gt;'Project Assumptions'!$I$51,L31=0),'Project Assumptions'!$I$51=0),0,IF(L23&gt;0,L23,0))</f>
        <v>0</v>
      </c>
      <c r="M28" s="389" t="n">
        <f aca="false">+IF(OR(AND(M4&gt;'Project Assumptions'!$I$51,M31=0),'Project Assumptions'!$I$51=0),0,IF(M23&gt;0,M23,0))</f>
        <v>0</v>
      </c>
      <c r="N28" s="389" t="n">
        <f aca="false">+IF(OR(AND(N4&gt;'Project Assumptions'!$I$51,N31=0),'Project Assumptions'!$I$51=0),0,IF(N23&gt;0,N23,0))</f>
        <v>0</v>
      </c>
      <c r="O28" s="389" t="n">
        <f aca="false">+IF(OR(AND(O4&gt;'Project Assumptions'!$I$51,O31=0),'Project Assumptions'!$I$51=0),0,IF(O23&gt;0,O23,0))</f>
        <v>0</v>
      </c>
      <c r="P28" s="389" t="n">
        <f aca="false">+IF(OR(AND(P4&gt;'Project Assumptions'!$I$51,P31=0),'Project Assumptions'!$I$51=0),0,IF(P23&gt;0,P23,0))</f>
        <v>0</v>
      </c>
      <c r="Q28" s="389" t="n">
        <f aca="false">+IF(OR(AND(Q4&gt;'Project Assumptions'!$I$51,Q31=0),'Project Assumptions'!$I$51=0),0,IF(Q23&gt;0,Q23,0))</f>
        <v>0</v>
      </c>
      <c r="R28" s="389" t="n">
        <f aca="false">+IF(OR(AND(R4&gt;'Project Assumptions'!$I$51,R31=0),'Project Assumptions'!$I$51=0),0,IF(R23&gt;0,R23,0))</f>
        <v>0</v>
      </c>
      <c r="S28" s="389" t="n">
        <f aca="false">+IF(OR(AND(S4&gt;'Project Assumptions'!$I$51,S31=0),'Project Assumptions'!$I$51=0),0,IF(S23&gt;0,S23,0))</f>
        <v>0</v>
      </c>
      <c r="T28" s="389" t="n">
        <f aca="false">+IF(OR(AND(T4&gt;'Project Assumptions'!$I$51,T31=0),'Project Assumptions'!$I$51=0),0,IF(T23&gt;0,T23,0))</f>
        <v>0</v>
      </c>
      <c r="U28" s="389" t="n">
        <f aca="false">+IF(OR(AND(U4&gt;'Project Assumptions'!$I$51,U31=0),'Project Assumptions'!$I$51=0),0,IF(U23&gt;0,U23,0))</f>
        <v>0</v>
      </c>
      <c r="V28" s="389" t="n">
        <f aca="false">+IF(OR(AND(V4&gt;'Project Assumptions'!$I$51,V31=0),'Project Assumptions'!$I$51=0),0,IF(V23&gt;0,V23,0))</f>
        <v>0</v>
      </c>
      <c r="W28" s="389" t="n">
        <f aca="false">+IF(OR(AND(W4&gt;'Project Assumptions'!$I$51,W31=0),'Project Assumptions'!$I$51=0),0,IF(W23&gt;0,W23,0))</f>
        <v>0</v>
      </c>
      <c r="X28" s="389" t="n">
        <f aca="false">+IF(OR(AND(X4&gt;'Project Assumptions'!$I$51,X31=0),'Project Assumptions'!$I$51=0),0,IF(X23&gt;0,X23,0))</f>
        <v>0</v>
      </c>
      <c r="Y28" s="389" t="n">
        <f aca="false">+IF(OR(AND(Y4&gt;'Project Assumptions'!$I$51,Y31=0),'Project Assumptions'!$I$51=0),0,IF(Y23&gt;0,Y23,0))</f>
        <v>0</v>
      </c>
      <c r="Z28" s="389" t="n">
        <f aca="false">+IF(OR(AND(Z4&gt;'Project Assumptions'!$I$51,Z31=0),'Project Assumptions'!$I$51=0),0,IF(Z23&gt;0,Z23,0))</f>
        <v>0</v>
      </c>
      <c r="AA28" s="389" t="n">
        <f aca="false">+IF(OR(AND(AA4&gt;'Project Assumptions'!$I$51,AA31=0),'Project Assumptions'!$I$51=0),0,IF(AA23&gt;0,AA23,0))</f>
        <v>0</v>
      </c>
      <c r="AB28" s="725" t="n">
        <f aca="false">+IF(OR(AND(AB4&gt;'Project Assumptions'!$I$51,AB31=0),'Project Assumptions'!$I$51=0),0,IF(AB23&gt;0,AB23,0))</f>
        <v>0</v>
      </c>
    </row>
    <row r="29" customFormat="false" ht="12.6" hidden="false" customHeight="true" outlineLevel="0" collapsed="false">
      <c r="A29" s="397" t="s">
        <v>446</v>
      </c>
      <c r="B29" s="726"/>
      <c r="C29" s="371"/>
      <c r="D29" s="727" t="n">
        <f aca="false">IF('Project Assumptions'!$I$51=0,0,+'Project Assumptions'!$I$53)</f>
        <v>0</v>
      </c>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402"/>
    </row>
    <row r="30" customFormat="false" ht="12.6" hidden="false" customHeight="true" outlineLevel="0" collapsed="false">
      <c r="A30" s="397" t="s">
        <v>555</v>
      </c>
      <c r="B30" s="611"/>
      <c r="C30" s="371"/>
      <c r="D30" s="700" t="n">
        <f aca="false">D29*'Project Assumptions'!$I$52</f>
        <v>0</v>
      </c>
      <c r="E30" s="700" t="n">
        <f aca="false">+D33*'Project Assumptions'!$I$52</f>
        <v>0</v>
      </c>
      <c r="F30" s="700" t="n">
        <f aca="false">+E33*'Project Assumptions'!$I$52</f>
        <v>0</v>
      </c>
      <c r="G30" s="700" t="n">
        <f aca="false">+F33*'Project Assumptions'!$I$52</f>
        <v>0</v>
      </c>
      <c r="H30" s="700" t="n">
        <f aca="false">+G33*'Project Assumptions'!$I$52</f>
        <v>0</v>
      </c>
      <c r="I30" s="700" t="n">
        <f aca="false">+H33*'Project Assumptions'!$I$52</f>
        <v>0</v>
      </c>
      <c r="J30" s="700" t="n">
        <f aca="false">+I33*'Project Assumptions'!$I$52</f>
        <v>0</v>
      </c>
      <c r="K30" s="700" t="n">
        <f aca="false">+J33*'Project Assumptions'!$I$52</f>
        <v>0</v>
      </c>
      <c r="L30" s="700" t="n">
        <f aca="false">+K33*'Project Assumptions'!$I$52</f>
        <v>0</v>
      </c>
      <c r="M30" s="700" t="n">
        <f aca="false">+L33*'Project Assumptions'!$I$52</f>
        <v>0</v>
      </c>
      <c r="N30" s="700" t="n">
        <f aca="false">+M33*'Project Assumptions'!$I$52</f>
        <v>0</v>
      </c>
      <c r="O30" s="700" t="n">
        <f aca="false">+N33*'Project Assumptions'!$I$52</f>
        <v>0</v>
      </c>
      <c r="P30" s="700" t="n">
        <f aca="false">+O33*'Project Assumptions'!$I$52</f>
        <v>0</v>
      </c>
      <c r="Q30" s="700" t="n">
        <f aca="false">+P33*'Project Assumptions'!$I$52</f>
        <v>0</v>
      </c>
      <c r="R30" s="700" t="n">
        <f aca="false">+Q33*'Project Assumptions'!$I$52</f>
        <v>0</v>
      </c>
      <c r="S30" s="700" t="n">
        <f aca="false">+R33*'Project Assumptions'!$I$52</f>
        <v>0</v>
      </c>
      <c r="T30" s="700" t="n">
        <f aca="false">+S33*'Project Assumptions'!$I$52</f>
        <v>0</v>
      </c>
      <c r="U30" s="700" t="n">
        <f aca="false">+T33*'Project Assumptions'!$I$52</f>
        <v>0</v>
      </c>
      <c r="V30" s="700" t="n">
        <f aca="false">+U33*'Project Assumptions'!$I$52</f>
        <v>0</v>
      </c>
      <c r="W30" s="700" t="n">
        <f aca="false">+V33*'Project Assumptions'!$I$52</f>
        <v>0</v>
      </c>
      <c r="X30" s="700" t="n">
        <f aca="false">+W33*'Project Assumptions'!$I$52</f>
        <v>0</v>
      </c>
      <c r="Y30" s="700" t="n">
        <f aca="false">+X33*'Project Assumptions'!$I$52</f>
        <v>0</v>
      </c>
      <c r="Z30" s="700" t="n">
        <f aca="false">+Y33*'Project Assumptions'!$I$52</f>
        <v>0</v>
      </c>
      <c r="AA30" s="700" t="n">
        <f aca="false">+Z33*'Project Assumptions'!$I$52</f>
        <v>0</v>
      </c>
      <c r="AB30" s="701" t="n">
        <f aca="false">+AA33*'Project Assumptions'!$I$52</f>
        <v>0</v>
      </c>
    </row>
    <row r="31" customFormat="false" ht="12.6" hidden="false" customHeight="true" outlineLevel="0" collapsed="false">
      <c r="A31" s="397" t="s">
        <v>556</v>
      </c>
      <c r="B31" s="611"/>
      <c r="C31" s="623" t="n">
        <v>0</v>
      </c>
      <c r="D31" s="727" t="n">
        <f aca="false">+C31+D30</f>
        <v>0</v>
      </c>
      <c r="E31" s="728" t="n">
        <f aca="false">+D31-D32+E30</f>
        <v>0</v>
      </c>
      <c r="F31" s="728" t="n">
        <f aca="false">+E31-E32+F30</f>
        <v>0</v>
      </c>
      <c r="G31" s="728" t="n">
        <f aca="false">+F31-F32+G30</f>
        <v>0</v>
      </c>
      <c r="H31" s="728" t="n">
        <f aca="false">+G31-G32+H30</f>
        <v>0</v>
      </c>
      <c r="I31" s="728" t="n">
        <f aca="false">+H31-H32+I30</f>
        <v>0</v>
      </c>
      <c r="J31" s="728" t="n">
        <f aca="false">+I31-I32+J30</f>
        <v>0</v>
      </c>
      <c r="K31" s="728" t="n">
        <f aca="false">+J31-J32+K30</f>
        <v>0</v>
      </c>
      <c r="L31" s="728" t="n">
        <f aca="false">+K31-K32+L30</f>
        <v>0</v>
      </c>
      <c r="M31" s="728" t="n">
        <f aca="false">+L31-L32+M30</f>
        <v>0</v>
      </c>
      <c r="N31" s="728" t="n">
        <f aca="false">+M31-M32+N30</f>
        <v>0</v>
      </c>
      <c r="O31" s="728" t="n">
        <f aca="false">+N31-N32+O30</f>
        <v>0</v>
      </c>
      <c r="P31" s="728" t="n">
        <f aca="false">+O31-O32+P30</f>
        <v>0</v>
      </c>
      <c r="Q31" s="728" t="n">
        <f aca="false">+P31-P32+Q30</f>
        <v>0</v>
      </c>
      <c r="R31" s="728" t="n">
        <f aca="false">+Q31-Q32+R30</f>
        <v>0</v>
      </c>
      <c r="S31" s="728" t="n">
        <f aca="false">+R31-R32+S30</f>
        <v>0</v>
      </c>
      <c r="T31" s="728" t="n">
        <f aca="false">+S31-S32+T30</f>
        <v>0</v>
      </c>
      <c r="U31" s="728" t="n">
        <f aca="false">+T31-T32+U30</f>
        <v>0</v>
      </c>
      <c r="V31" s="728" t="n">
        <f aca="false">+U31-U32+V30</f>
        <v>0</v>
      </c>
      <c r="W31" s="728" t="n">
        <f aca="false">+V31-V32+W30</f>
        <v>0</v>
      </c>
      <c r="X31" s="728" t="n">
        <f aca="false">+W31-W32+X30</f>
        <v>0</v>
      </c>
      <c r="Y31" s="728" t="n">
        <f aca="false">+X31-X32+Y30</f>
        <v>0</v>
      </c>
      <c r="Z31" s="728" t="n">
        <f aca="false">+Y31-Y32+Z30</f>
        <v>0</v>
      </c>
      <c r="AA31" s="728" t="n">
        <f aca="false">+Z31-Z32+AA30</f>
        <v>0</v>
      </c>
      <c r="AB31" s="729" t="n">
        <f aca="false">+AA31-AA32+AB30</f>
        <v>0</v>
      </c>
    </row>
    <row r="32" customFormat="false" ht="12.6" hidden="false" customHeight="true" outlineLevel="0" collapsed="false">
      <c r="A32" s="397" t="s">
        <v>557</v>
      </c>
      <c r="B32" s="371"/>
      <c r="C32" s="371"/>
      <c r="D32" s="703" t="n">
        <f aca="false">+IF(D28&gt;D31,D31,D28)</f>
        <v>0</v>
      </c>
      <c r="E32" s="703" t="n">
        <f aca="false">+IF(E28&gt;E31,E31,E28)</f>
        <v>0</v>
      </c>
      <c r="F32" s="703" t="n">
        <f aca="false">+IF(F28&gt;F31,F31,F28)</f>
        <v>0</v>
      </c>
      <c r="G32" s="703" t="n">
        <f aca="false">+IF(G28&gt;G31,G31,G28)</f>
        <v>0</v>
      </c>
      <c r="H32" s="703" t="n">
        <f aca="false">+IF(H28&gt;H31,H31,H28)</f>
        <v>0</v>
      </c>
      <c r="I32" s="703" t="n">
        <f aca="false">+IF(I28&gt;I31,I31,I28)</f>
        <v>0</v>
      </c>
      <c r="J32" s="703" t="n">
        <f aca="false">+IF(J28&gt;J31,J31,J28)</f>
        <v>0</v>
      </c>
      <c r="K32" s="703" t="n">
        <f aca="false">+IF(K28&gt;K31,K31,K28)</f>
        <v>0</v>
      </c>
      <c r="L32" s="703" t="n">
        <f aca="false">+IF(L28&gt;L31,L31,L28)</f>
        <v>0</v>
      </c>
      <c r="M32" s="703" t="n">
        <f aca="false">+IF(M28&gt;M31,M31,M28)</f>
        <v>0</v>
      </c>
      <c r="N32" s="703" t="n">
        <f aca="false">+IF(N28&gt;N31,N31,N28)</f>
        <v>0</v>
      </c>
      <c r="O32" s="703" t="n">
        <f aca="false">+IF(O28&gt;O31,O31,O28)</f>
        <v>0</v>
      </c>
      <c r="P32" s="703" t="n">
        <f aca="false">+IF(P28&gt;P31,P31,P28)</f>
        <v>0</v>
      </c>
      <c r="Q32" s="703" t="n">
        <f aca="false">+IF(Q28&gt;Q31,Q31,Q28)</f>
        <v>0</v>
      </c>
      <c r="R32" s="703" t="n">
        <f aca="false">+IF(R28&gt;R31,R31,R28)</f>
        <v>0</v>
      </c>
      <c r="S32" s="703" t="n">
        <f aca="false">+IF(S28&gt;S31,S31,S28)</f>
        <v>0</v>
      </c>
      <c r="T32" s="703" t="n">
        <f aca="false">+IF(T28&gt;T31,T31,T28)</f>
        <v>0</v>
      </c>
      <c r="U32" s="703" t="n">
        <f aca="false">+IF(U28&gt;U31,U31,U28)</f>
        <v>0</v>
      </c>
      <c r="V32" s="703" t="n">
        <f aca="false">+IF(V28&gt;V31,V31,V28)</f>
        <v>0</v>
      </c>
      <c r="W32" s="703" t="n">
        <f aca="false">+IF(W28&gt;W31,W31,W28)</f>
        <v>0</v>
      </c>
      <c r="X32" s="703" t="n">
        <f aca="false">+IF(X28&gt;X31,X31,X28)</f>
        <v>0</v>
      </c>
      <c r="Y32" s="703" t="n">
        <f aca="false">+IF(Y28&gt;Y31,Y31,Y28)</f>
        <v>0</v>
      </c>
      <c r="Z32" s="703" t="n">
        <f aca="false">+IF(Z28&gt;Z31,Z31,Z28)</f>
        <v>0</v>
      </c>
      <c r="AA32" s="703" t="n">
        <f aca="false">+IF(AA28&gt;AA31,AA31,AA28)</f>
        <v>0</v>
      </c>
      <c r="AB32" s="704" t="n">
        <f aca="false">+IF(AB28&gt;AB31,AB31,AB28)</f>
        <v>0</v>
      </c>
    </row>
    <row r="33" customFormat="false" ht="12.6" hidden="false" customHeight="true" outlineLevel="0" collapsed="false">
      <c r="A33" s="397" t="s">
        <v>558</v>
      </c>
      <c r="B33" s="371"/>
      <c r="C33" s="371"/>
      <c r="D33" s="728" t="n">
        <f aca="false">+IF(D4&lt;'Project Assumptions'!$I$51,'Project Assumptions'!$I$53,0)</f>
        <v>0</v>
      </c>
      <c r="E33" s="728" t="n">
        <f aca="false">+IF(E4&lt;'Project Assumptions'!$I$51,D33,0)</f>
        <v>0</v>
      </c>
      <c r="F33" s="728" t="n">
        <f aca="false">+IF(F4&lt;'Project Assumptions'!$I$51,E33,0)</f>
        <v>0</v>
      </c>
      <c r="G33" s="728" t="n">
        <f aca="false">+IF(G4&lt;'Project Assumptions'!$I$51,F33,0)</f>
        <v>0</v>
      </c>
      <c r="H33" s="728" t="n">
        <f aca="false">+IF(H4&lt;'Project Assumptions'!$I$51,G33,0)</f>
        <v>0</v>
      </c>
      <c r="I33" s="728" t="n">
        <f aca="false">+IF(I4&lt;'Project Assumptions'!$I$51,H33,0)</f>
        <v>0</v>
      </c>
      <c r="J33" s="728" t="n">
        <f aca="false">+IF(J4&lt;'Project Assumptions'!$I$51,I33,0)</f>
        <v>0</v>
      </c>
      <c r="K33" s="728" t="n">
        <f aca="false">+IF(K4&lt;'Project Assumptions'!$I$51,J33,0)</f>
        <v>0</v>
      </c>
      <c r="L33" s="728" t="n">
        <f aca="false">+IF(L4&lt;'Project Assumptions'!$I$51,K33,0)</f>
        <v>0</v>
      </c>
      <c r="M33" s="728" t="n">
        <f aca="false">+IF(M4&lt;'Project Assumptions'!$I$51,L33,0)</f>
        <v>0</v>
      </c>
      <c r="N33" s="728" t="n">
        <f aca="false">+IF(N4&lt;'Project Assumptions'!$I$51,M33,0)</f>
        <v>0</v>
      </c>
      <c r="O33" s="728" t="n">
        <f aca="false">+IF(O4&lt;'Project Assumptions'!$I$51,N33,0)</f>
        <v>0</v>
      </c>
      <c r="P33" s="728" t="n">
        <f aca="false">+IF(P4&lt;'Project Assumptions'!$I$51,O33,0)</f>
        <v>0</v>
      </c>
      <c r="Q33" s="728" t="n">
        <f aca="false">+IF(Q4&lt;'Project Assumptions'!$I$51,P33,0)</f>
        <v>0</v>
      </c>
      <c r="R33" s="728" t="n">
        <f aca="false">+IF(R4&lt;'Project Assumptions'!$I$51,Q33,0)</f>
        <v>0</v>
      </c>
      <c r="S33" s="728" t="n">
        <f aca="false">+IF(S4&lt;'Project Assumptions'!$I$51,R33,0)</f>
        <v>0</v>
      </c>
      <c r="T33" s="728" t="n">
        <f aca="false">+IF(T4&lt;'Project Assumptions'!$I$51,S33,0)</f>
        <v>0</v>
      </c>
      <c r="U33" s="728" t="n">
        <f aca="false">+IF(U4&lt;'Project Assumptions'!$I$51,T33,0)</f>
        <v>0</v>
      </c>
      <c r="V33" s="728" t="n">
        <f aca="false">+IF(V4&lt;'Project Assumptions'!$I$51,U33,0)</f>
        <v>0</v>
      </c>
      <c r="W33" s="728" t="n">
        <f aca="false">+IF(W4&lt;'Project Assumptions'!$I$51,V33,0)</f>
        <v>0</v>
      </c>
      <c r="X33" s="728" t="n">
        <f aca="false">+IF(X4&lt;'Project Assumptions'!$I$51,W33,0)</f>
        <v>0</v>
      </c>
      <c r="Y33" s="728" t="n">
        <f aca="false">+IF(Y4&lt;'Project Assumptions'!$I$51,X33,0)</f>
        <v>0</v>
      </c>
      <c r="Z33" s="728" t="n">
        <f aca="false">+IF(Z4&lt;'Project Assumptions'!$I$51,Y33,0)</f>
        <v>0</v>
      </c>
      <c r="AA33" s="728" t="n">
        <f aca="false">+IF(AA4&lt;'Project Assumptions'!$I$51,Z33,0)</f>
        <v>0</v>
      </c>
      <c r="AB33" s="729" t="n">
        <f aca="false">+IF(AB4&lt;'Project Assumptions'!$I$51,AA33,0)</f>
        <v>0</v>
      </c>
    </row>
    <row r="34" customFormat="false" ht="12.6" hidden="false" customHeight="true" outlineLevel="0" collapsed="false">
      <c r="A34" s="397"/>
      <c r="B34" s="371"/>
      <c r="C34" s="371"/>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402"/>
    </row>
    <row r="35" customFormat="false" ht="12.6" hidden="false" customHeight="true" outlineLevel="0" collapsed="false">
      <c r="A35" s="421" t="s">
        <v>559</v>
      </c>
      <c r="B35" s="371"/>
      <c r="C35" s="371"/>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402"/>
    </row>
    <row r="36" customFormat="false" ht="12.6" hidden="false" customHeight="true" outlineLevel="0" collapsed="false">
      <c r="A36" s="397"/>
      <c r="B36" s="371"/>
      <c r="C36" s="371"/>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402"/>
    </row>
    <row r="37" customFormat="false" ht="12.6" hidden="false" customHeight="true" outlineLevel="0" collapsed="false">
      <c r="A37" s="397" t="s">
        <v>560</v>
      </c>
      <c r="B37" s="371"/>
      <c r="C37" s="371"/>
      <c r="D37" s="703" t="n">
        <f aca="false">+D23-D32+(D33-'Project Assumptions'!$I$53)</f>
        <v>-6468.42515109317</v>
      </c>
      <c r="E37" s="728" t="n">
        <f aca="false">+E23-E32+(E33-D33)</f>
        <v>5559.07881263144</v>
      </c>
      <c r="F37" s="728" t="n">
        <f aca="false">+F23-F32+(F33-E33)</f>
        <v>3261.90558142484</v>
      </c>
      <c r="G37" s="728" t="n">
        <f aca="false">+G23-G32+(G33-F33)</f>
        <v>11278.4644544389</v>
      </c>
      <c r="H37" s="728" t="n">
        <f aca="false">+H23-H32+(H33-G33)</f>
        <v>25387.1243188477</v>
      </c>
      <c r="I37" s="728" t="n">
        <f aca="false">+I23-I32+(I33-H33)</f>
        <v>24618.6983083578</v>
      </c>
      <c r="J37" s="728" t="n">
        <f aca="false">+J23-J32+(J33-I33)</f>
        <v>18637.6261096789</v>
      </c>
      <c r="K37" s="728" t="n">
        <f aca="false">+K23-K32+(K33-J33)</f>
        <v>19363.2152203354</v>
      </c>
      <c r="L37" s="728" t="n">
        <f aca="false">+L23-L32+(L33-K33)</f>
        <v>14622.214409378</v>
      </c>
      <c r="M37" s="728" t="n">
        <f aca="false">+M23-M32+(M33-L33)</f>
        <v>11859.3645230637</v>
      </c>
      <c r="N37" s="728" t="n">
        <f aca="false">+N23-N32+(N33-M33)</f>
        <v>26612.114049375</v>
      </c>
      <c r="O37" s="728" t="n">
        <f aca="false">+O23-O32+(O33-N33)</f>
        <v>26123.2543795034</v>
      </c>
      <c r="P37" s="728" t="n">
        <f aca="false">+P23-P32+(P33-O33)</f>
        <v>26642.9953463012</v>
      </c>
      <c r="Q37" s="728" t="n">
        <f aca="false">+Q23-Q32+(Q33-P33)</f>
        <v>27157.1698543737</v>
      </c>
      <c r="R37" s="728" t="n">
        <f aca="false">+R23-R32+(R33-Q33)</f>
        <v>27699.7852395388</v>
      </c>
      <c r="S37" s="728" t="n">
        <f aca="false">+S23-S32+(S33-R33)</f>
        <v>25260.9958519794</v>
      </c>
      <c r="T37" s="728" t="n">
        <f aca="false">+T23-T32+(T33-S33)</f>
        <v>17869.8134483419</v>
      </c>
      <c r="U37" s="728" t="n">
        <f aca="false">+U23-U32+(U33-T33)</f>
        <v>16596.5013010546</v>
      </c>
      <c r="V37" s="728" t="n">
        <f aca="false">+V23-V32+(V33-U33)</f>
        <v>14477.3025763242</v>
      </c>
      <c r="W37" s="728" t="n">
        <f aca="false">+W23-W32+(W33-V33)</f>
        <v>12709.1708519734</v>
      </c>
      <c r="X37" s="728" t="n">
        <f aca="false">+X23-X32+(X33-W33)</f>
        <v>11778.7501387118</v>
      </c>
      <c r="Y37" s="728" t="n">
        <f aca="false">+Y23-Y32+(Y33-X33)</f>
        <v>0</v>
      </c>
      <c r="Z37" s="728" t="n">
        <f aca="false">+Z23-Z32+(Z33-Y33)</f>
        <v>0</v>
      </c>
      <c r="AA37" s="728" t="n">
        <f aca="false">+AA23-AA32+(AA33-Z33)</f>
        <v>0</v>
      </c>
      <c r="AB37" s="729" t="n">
        <f aca="false">+AB23-AB32+(AB33-AA33)</f>
        <v>0</v>
      </c>
    </row>
    <row r="38" customFormat="false" ht="12.6" hidden="false" customHeight="true" outlineLevel="0" collapsed="false">
      <c r="A38" s="397" t="s">
        <v>557</v>
      </c>
      <c r="B38" s="371"/>
      <c r="C38" s="371"/>
      <c r="D38" s="728" t="n">
        <f aca="false">D37</f>
        <v>-6468.42515109317</v>
      </c>
      <c r="E38" s="728" t="n">
        <f aca="false">E37</f>
        <v>5559.07881263144</v>
      </c>
      <c r="F38" s="728" t="n">
        <f aca="false">F37</f>
        <v>3261.90558142484</v>
      </c>
      <c r="G38" s="728" t="n">
        <f aca="false">G37</f>
        <v>11278.4644544389</v>
      </c>
      <c r="H38" s="728" t="n">
        <f aca="false">H37</f>
        <v>25387.1243188477</v>
      </c>
      <c r="I38" s="728" t="n">
        <f aca="false">I37</f>
        <v>24618.6983083578</v>
      </c>
      <c r="J38" s="728" t="n">
        <f aca="false">J37</f>
        <v>18637.6261096789</v>
      </c>
      <c r="K38" s="728" t="n">
        <f aca="false">K37</f>
        <v>19363.2152203354</v>
      </c>
      <c r="L38" s="728" t="n">
        <f aca="false">L37</f>
        <v>14622.214409378</v>
      </c>
      <c r="M38" s="728" t="n">
        <f aca="false">M37</f>
        <v>11859.3645230637</v>
      </c>
      <c r="N38" s="728" t="n">
        <f aca="false">N37</f>
        <v>26612.114049375</v>
      </c>
      <c r="O38" s="728" t="n">
        <f aca="false">O37</f>
        <v>26123.2543795034</v>
      </c>
      <c r="P38" s="728" t="n">
        <f aca="false">P37</f>
        <v>26642.9953463012</v>
      </c>
      <c r="Q38" s="728" t="n">
        <f aca="false">Q37</f>
        <v>27157.1698543737</v>
      </c>
      <c r="R38" s="728" t="n">
        <f aca="false">R37</f>
        <v>27699.7852395388</v>
      </c>
      <c r="S38" s="728" t="n">
        <f aca="false">S37</f>
        <v>25260.9958519794</v>
      </c>
      <c r="T38" s="728" t="n">
        <f aca="false">T37</f>
        <v>17869.8134483419</v>
      </c>
      <c r="U38" s="728" t="n">
        <f aca="false">U37</f>
        <v>16596.5013010546</v>
      </c>
      <c r="V38" s="728" t="n">
        <f aca="false">V37</f>
        <v>14477.3025763242</v>
      </c>
      <c r="W38" s="728" t="n">
        <f aca="false">W37</f>
        <v>12709.1708519734</v>
      </c>
      <c r="X38" s="728" t="n">
        <f aca="false">X37</f>
        <v>11778.7501387118</v>
      </c>
      <c r="Y38" s="728" t="n">
        <f aca="false">Y37</f>
        <v>0</v>
      </c>
      <c r="Z38" s="728" t="n">
        <f aca="false">Z37</f>
        <v>0</v>
      </c>
      <c r="AA38" s="728" t="n">
        <f aca="false">AA37</f>
        <v>0</v>
      </c>
      <c r="AB38" s="729" t="n">
        <f aca="false">AB37</f>
        <v>0</v>
      </c>
    </row>
    <row r="39" customFormat="false" ht="12.6" hidden="false" customHeight="true" outlineLevel="0" collapsed="false">
      <c r="A39" s="449" t="s">
        <v>561</v>
      </c>
      <c r="B39" s="467"/>
      <c r="C39" s="467"/>
      <c r="D39" s="730" t="n">
        <f aca="false">D37-D38</f>
        <v>0</v>
      </c>
      <c r="E39" s="730" t="n">
        <f aca="false">E37-E38</f>
        <v>0</v>
      </c>
      <c r="F39" s="730" t="n">
        <f aca="false">F37-F38</f>
        <v>0</v>
      </c>
      <c r="G39" s="730" t="n">
        <f aca="false">G37-G38</f>
        <v>0</v>
      </c>
      <c r="H39" s="730" t="n">
        <f aca="false">H37-H38</f>
        <v>0</v>
      </c>
      <c r="I39" s="730" t="n">
        <f aca="false">I37-I38</f>
        <v>0</v>
      </c>
      <c r="J39" s="730" t="n">
        <f aca="false">J37-J38</f>
        <v>0</v>
      </c>
      <c r="K39" s="730" t="n">
        <f aca="false">K37-K38</f>
        <v>0</v>
      </c>
      <c r="L39" s="730" t="n">
        <f aca="false">L37-L38</f>
        <v>0</v>
      </c>
      <c r="M39" s="730" t="n">
        <f aca="false">M37-M38</f>
        <v>0</v>
      </c>
      <c r="N39" s="730" t="n">
        <f aca="false">N37-N38</f>
        <v>0</v>
      </c>
      <c r="O39" s="730" t="n">
        <f aca="false">O37-O38</f>
        <v>0</v>
      </c>
      <c r="P39" s="730" t="n">
        <f aca="false">P37-P38</f>
        <v>0</v>
      </c>
      <c r="Q39" s="730" t="n">
        <f aca="false">Q37-Q38</f>
        <v>0</v>
      </c>
      <c r="R39" s="730" t="n">
        <f aca="false">R37-R38</f>
        <v>0</v>
      </c>
      <c r="S39" s="730" t="n">
        <f aca="false">S37-S38</f>
        <v>0</v>
      </c>
      <c r="T39" s="730" t="n">
        <f aca="false">T37-T38</f>
        <v>0</v>
      </c>
      <c r="U39" s="730" t="n">
        <f aca="false">U37-U38</f>
        <v>0</v>
      </c>
      <c r="V39" s="730" t="n">
        <f aca="false">V37-V38</f>
        <v>0</v>
      </c>
      <c r="W39" s="730" t="n">
        <f aca="false">W37-W38</f>
        <v>0</v>
      </c>
      <c r="X39" s="730" t="n">
        <f aca="false">X37-X38</f>
        <v>0</v>
      </c>
      <c r="Y39" s="730" t="n">
        <f aca="false">Y37-Y38</f>
        <v>0</v>
      </c>
      <c r="Z39" s="730" t="n">
        <f aca="false">Z37-Z38</f>
        <v>0</v>
      </c>
      <c r="AA39" s="730" t="n">
        <f aca="false">AA37-AA38</f>
        <v>0</v>
      </c>
      <c r="AB39" s="731" t="n">
        <f aca="false">AB37-AB38</f>
        <v>0</v>
      </c>
    </row>
    <row r="40" customFormat="false" ht="12.6" hidden="false" customHeight="true" outlineLevel="0" collapsed="false">
      <c r="D40" s="732"/>
    </row>
    <row r="43" customFormat="false" ht="12.6" hidden="false" customHeight="true" outlineLevel="0" collapsed="false">
      <c r="AF43" s="702"/>
      <c r="AU43" s="702"/>
    </row>
    <row r="44" customFormat="false" ht="12.6" hidden="false" customHeight="true" outlineLevel="0" collapsed="false">
      <c r="A44" s="357"/>
      <c r="B44" s="357"/>
      <c r="C44" s="357"/>
      <c r="D44" s="357"/>
      <c r="E44" s="357"/>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6" hidden="false" customHeight="true" outlineLevel="0" collapsed="false">
      <c r="A45" s="357"/>
      <c r="B45" s="357"/>
      <c r="C45" s="357"/>
      <c r="D45" s="357"/>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6" hidden="false" customHeight="true" outlineLevel="0" collapsed="false">
      <c r="A46" s="357"/>
      <c r="B46" s="357"/>
      <c r="C46" s="357"/>
      <c r="D46" s="357"/>
      <c r="E46" s="357"/>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6" hidden="false" customHeight="true" outlineLevel="0" collapsed="false">
      <c r="A47" s="357"/>
      <c r="B47" s="357"/>
      <c r="C47" s="357"/>
      <c r="D47" s="357"/>
      <c r="E47" s="357"/>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6" hidden="false" customHeight="true" outlineLevel="0" collapsed="false">
      <c r="A48" s="357"/>
      <c r="B48" s="357"/>
      <c r="C48" s="357"/>
      <c r="D48" s="357"/>
      <c r="E48" s="357"/>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6" hidden="false" customHeight="true" outlineLevel="0" collapsed="false">
      <c r="A49" s="357"/>
      <c r="B49" s="357"/>
      <c r="C49" s="357"/>
      <c r="D49" s="357"/>
      <c r="E49" s="357"/>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6" hidden="false" customHeight="true" outlineLevel="0" collapsed="false">
      <c r="A50" s="357"/>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6" hidden="false" customHeight="true" outlineLevel="0" collapsed="false">
      <c r="A51" s="357"/>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6" hidden="false" customHeight="true" outlineLevel="0" collapsed="false">
      <c r="A52" s="357"/>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row>
    <row r="53" customFormat="false" ht="12.6" hidden="false" customHeight="true" outlineLevel="0" collapsed="false">
      <c r="A53" s="357"/>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46"/>
  <sheetViews>
    <sheetView showFormulas="false" showGridLines="true" showRowColHeaders="true" showZeros="true" rightToLeft="false" tabSelected="false" showOutlineSymbols="true" defaultGridColor="true" view="normal" topLeftCell="D17" colorId="64" zoomScale="100" zoomScaleNormal="100" zoomScalePageLayoutView="100" workbookViewId="0">
      <selection pane="topLeft" activeCell="D46" activeCellId="0" sqref="D46:X46"/>
    </sheetView>
  </sheetViews>
  <sheetFormatPr defaultColWidth="9.0546875" defaultRowHeight="12.75" customHeight="true" zeroHeight="false" outlineLevelRow="0" outlineLevelCol="0"/>
  <cols>
    <col collapsed="false" customWidth="true" hidden="false" outlineLevel="0" max="1" min="1" style="357" width="9.14"/>
    <col collapsed="false" customWidth="true" hidden="false" outlineLevel="0" max="2" min="2" style="357" width="11.7"/>
    <col collapsed="false" customWidth="true" hidden="false" outlineLevel="0" max="24" min="3" style="357" width="9.14"/>
  </cols>
  <sheetData>
    <row r="1" customFormat="false" ht="20.25" hidden="false" customHeight="false" outlineLevel="0" collapsed="false">
      <c r="A1" s="358" t="str">
        <f aca="false">'Project Assumptions'!$A$2</f>
        <v>WILTON CENTER, Will County, IL</v>
      </c>
      <c r="B1" s="359"/>
      <c r="C1" s="359"/>
      <c r="D1" s="359"/>
      <c r="E1" s="360"/>
    </row>
    <row r="2" customFormat="false" ht="12.75" hidden="false" customHeight="false" outlineLevel="0" collapsed="false">
      <c r="A2" s="362" t="s">
        <v>562</v>
      </c>
      <c r="B2" s="363"/>
      <c r="C2" s="363"/>
      <c r="D2" s="363"/>
      <c r="E2" s="364"/>
    </row>
    <row r="3" customFormat="false" ht="12.75" hidden="false" customHeight="false" outlineLevel="0" collapsed="false">
      <c r="A3" s="383"/>
    </row>
    <row r="4" customFormat="false" ht="12.75" hidden="false" customHeight="false" outlineLevel="0" collapsed="false">
      <c r="A4" s="432"/>
      <c r="B4" s="432"/>
      <c r="C4" s="432"/>
      <c r="D4" s="712" t="n">
        <f aca="false">'PPA Assumptions &amp;Summary'!C3</f>
        <v>1</v>
      </c>
      <c r="E4" s="712" t="n">
        <f aca="false">'PPA Assumptions &amp;Summary'!D3</f>
        <v>2</v>
      </c>
      <c r="F4" s="712" t="n">
        <f aca="false">'PPA Assumptions &amp;Summary'!E3</f>
        <v>3</v>
      </c>
      <c r="G4" s="712" t="n">
        <f aca="false">'PPA Assumptions &amp;Summary'!F3</f>
        <v>4</v>
      </c>
      <c r="H4" s="712" t="n">
        <f aca="false">'PPA Assumptions &amp;Summary'!G3</f>
        <v>5</v>
      </c>
      <c r="I4" s="712" t="n">
        <f aca="false">'PPA Assumptions &amp;Summary'!H3</f>
        <v>6</v>
      </c>
      <c r="J4" s="712" t="n">
        <f aca="false">'PPA Assumptions &amp;Summary'!I3</f>
        <v>7</v>
      </c>
      <c r="K4" s="712" t="n">
        <f aca="false">'PPA Assumptions &amp;Summary'!J3</f>
        <v>8</v>
      </c>
      <c r="L4" s="712" t="n">
        <f aca="false">'PPA Assumptions &amp;Summary'!K3</f>
        <v>9</v>
      </c>
      <c r="M4" s="712" t="n">
        <f aca="false">'PPA Assumptions &amp;Summary'!L3</f>
        <v>10</v>
      </c>
      <c r="N4" s="712" t="n">
        <f aca="false">'PPA Assumptions &amp;Summary'!M3</f>
        <v>11</v>
      </c>
      <c r="O4" s="712" t="n">
        <f aca="false">'PPA Assumptions &amp;Summary'!N3</f>
        <v>12</v>
      </c>
      <c r="P4" s="712" t="n">
        <f aca="false">'PPA Assumptions &amp;Summary'!O3</f>
        <v>13</v>
      </c>
      <c r="Q4" s="712" t="n">
        <f aca="false">'PPA Assumptions &amp;Summary'!P3</f>
        <v>14</v>
      </c>
      <c r="R4" s="712" t="n">
        <f aca="false">'PPA Assumptions &amp;Summary'!Q3</f>
        <v>15</v>
      </c>
      <c r="S4" s="712" t="n">
        <f aca="false">'PPA Assumptions &amp;Summary'!R3</f>
        <v>16</v>
      </c>
      <c r="T4" s="712" t="n">
        <f aca="false">'PPA Assumptions &amp;Summary'!S3</f>
        <v>17</v>
      </c>
      <c r="U4" s="712" t="n">
        <f aca="false">'PPA Assumptions &amp;Summary'!T3</f>
        <v>18</v>
      </c>
      <c r="V4" s="712" t="n">
        <f aca="false">'PPA Assumptions &amp;Summary'!U3</f>
        <v>19</v>
      </c>
      <c r="W4" s="712" t="n">
        <f aca="false">'PPA Assumptions &amp;Summary'!V3</f>
        <v>20</v>
      </c>
      <c r="X4" s="712" t="n">
        <f aca="false">'PPA Assumptions &amp;Summary'!W3</f>
        <v>21</v>
      </c>
    </row>
    <row r="5" customFormat="false" ht="12.75" hidden="false" customHeight="false" outlineLevel="0" collapsed="false">
      <c r="A5" s="366"/>
      <c r="B5" s="455"/>
      <c r="C5" s="455"/>
      <c r="D5" s="733" t="n">
        <f aca="false">'PPA Assumptions &amp;Summary'!C4</f>
        <v>2000</v>
      </c>
      <c r="E5" s="733" t="n">
        <f aca="false">'PPA Assumptions &amp;Summary'!D4</f>
        <v>2001</v>
      </c>
      <c r="F5" s="733" t="n">
        <f aca="false">'PPA Assumptions &amp;Summary'!E4</f>
        <v>2002</v>
      </c>
      <c r="G5" s="733" t="n">
        <f aca="false">'PPA Assumptions &amp;Summary'!F4</f>
        <v>2003</v>
      </c>
      <c r="H5" s="733" t="n">
        <f aca="false">'PPA Assumptions &amp;Summary'!G4</f>
        <v>2004</v>
      </c>
      <c r="I5" s="733" t="n">
        <f aca="false">'PPA Assumptions &amp;Summary'!H4</f>
        <v>2005</v>
      </c>
      <c r="J5" s="733" t="n">
        <f aca="false">'PPA Assumptions &amp;Summary'!I4</f>
        <v>2006</v>
      </c>
      <c r="K5" s="733" t="n">
        <f aca="false">'PPA Assumptions &amp;Summary'!J4</f>
        <v>2007</v>
      </c>
      <c r="L5" s="733" t="n">
        <f aca="false">'PPA Assumptions &amp;Summary'!K4</f>
        <v>2008</v>
      </c>
      <c r="M5" s="733" t="n">
        <f aca="false">'PPA Assumptions &amp;Summary'!L4</f>
        <v>2009</v>
      </c>
      <c r="N5" s="733" t="n">
        <f aca="false">'PPA Assumptions &amp;Summary'!M4</f>
        <v>2010</v>
      </c>
      <c r="O5" s="733" t="n">
        <f aca="false">'PPA Assumptions &amp;Summary'!N4</f>
        <v>2011</v>
      </c>
      <c r="P5" s="733" t="n">
        <f aca="false">'PPA Assumptions &amp;Summary'!O4</f>
        <v>2012</v>
      </c>
      <c r="Q5" s="733" t="n">
        <f aca="false">'PPA Assumptions &amp;Summary'!P4</f>
        <v>2013</v>
      </c>
      <c r="R5" s="733" t="n">
        <f aca="false">'PPA Assumptions &amp;Summary'!Q4</f>
        <v>2014</v>
      </c>
      <c r="S5" s="733" t="n">
        <f aca="false">'PPA Assumptions &amp;Summary'!R4</f>
        <v>2015</v>
      </c>
      <c r="T5" s="733" t="n">
        <f aca="false">'PPA Assumptions &amp;Summary'!S4</f>
        <v>2016</v>
      </c>
      <c r="U5" s="733" t="n">
        <f aca="false">'PPA Assumptions &amp;Summary'!T4</f>
        <v>2017</v>
      </c>
      <c r="V5" s="733" t="n">
        <f aca="false">'PPA Assumptions &amp;Summary'!U4</f>
        <v>2018</v>
      </c>
      <c r="W5" s="733" t="n">
        <f aca="false">'PPA Assumptions &amp;Summary'!V4</f>
        <v>2019</v>
      </c>
      <c r="X5" s="734" t="n">
        <f aca="false">'PPA Assumptions &amp;Summary'!W4</f>
        <v>2020</v>
      </c>
    </row>
    <row r="6" customFormat="false" ht="12.75" hidden="false" customHeight="false" outlineLevel="0" collapsed="false">
      <c r="A6" s="735" t="s">
        <v>563</v>
      </c>
      <c r="B6" s="432"/>
      <c r="C6" s="432"/>
      <c r="D6" s="432"/>
      <c r="E6" s="432"/>
      <c r="F6" s="432"/>
      <c r="G6" s="432"/>
      <c r="H6" s="432"/>
      <c r="I6" s="432"/>
      <c r="J6" s="432"/>
      <c r="K6" s="432"/>
      <c r="L6" s="432"/>
      <c r="M6" s="432"/>
      <c r="N6" s="432"/>
      <c r="O6" s="432"/>
      <c r="P6" s="432"/>
      <c r="Q6" s="432"/>
      <c r="R6" s="432"/>
      <c r="S6" s="432"/>
      <c r="T6" s="432"/>
      <c r="U6" s="432"/>
      <c r="V6" s="432"/>
      <c r="W6" s="432"/>
      <c r="X6" s="435"/>
    </row>
    <row r="7" customFormat="false" ht="12.75" hidden="false" customHeight="false" outlineLevel="0" collapsed="false">
      <c r="A7" s="387"/>
      <c r="B7" s="703" t="s">
        <v>564</v>
      </c>
      <c r="C7" s="432"/>
      <c r="D7" s="432"/>
      <c r="E7" s="432"/>
      <c r="F7" s="432"/>
      <c r="G7" s="432"/>
      <c r="H7" s="432"/>
      <c r="I7" s="432"/>
      <c r="J7" s="432"/>
      <c r="K7" s="432"/>
      <c r="L7" s="432"/>
      <c r="M7" s="432"/>
      <c r="N7" s="432"/>
      <c r="O7" s="432"/>
      <c r="P7" s="432"/>
      <c r="Q7" s="432"/>
      <c r="R7" s="432"/>
      <c r="S7" s="432"/>
      <c r="T7" s="432"/>
      <c r="U7" s="432"/>
      <c r="V7" s="432"/>
      <c r="W7" s="432"/>
      <c r="X7" s="435"/>
    </row>
    <row r="8" customFormat="false" ht="12.75" hidden="false" customHeight="false" outlineLevel="0" collapsed="false">
      <c r="A8" s="387"/>
      <c r="B8" s="703" t="s">
        <v>565</v>
      </c>
      <c r="C8" s="432"/>
      <c r="D8" s="432"/>
      <c r="E8" s="432"/>
      <c r="F8" s="432"/>
      <c r="G8" s="432"/>
      <c r="H8" s="432"/>
      <c r="I8" s="432"/>
      <c r="J8" s="432"/>
      <c r="K8" s="432"/>
      <c r="L8" s="432"/>
      <c r="M8" s="432"/>
      <c r="N8" s="432"/>
      <c r="O8" s="432"/>
      <c r="P8" s="432"/>
      <c r="Q8" s="432"/>
      <c r="R8" s="432"/>
      <c r="S8" s="432"/>
      <c r="T8" s="432"/>
      <c r="U8" s="432"/>
      <c r="V8" s="432"/>
      <c r="W8" s="432"/>
      <c r="X8" s="435"/>
    </row>
    <row r="9" customFormat="false" ht="12.75" hidden="false" customHeight="false" outlineLevel="0" collapsed="false">
      <c r="A9" s="387"/>
      <c r="B9" s="703" t="s">
        <v>566</v>
      </c>
      <c r="C9" s="432"/>
      <c r="D9" s="432"/>
      <c r="E9" s="432"/>
      <c r="F9" s="432"/>
      <c r="G9" s="432"/>
      <c r="H9" s="432"/>
      <c r="I9" s="432"/>
      <c r="J9" s="432"/>
      <c r="K9" s="432"/>
      <c r="L9" s="432"/>
      <c r="M9" s="432"/>
      <c r="N9" s="432"/>
      <c r="O9" s="432"/>
      <c r="P9" s="432"/>
      <c r="Q9" s="432"/>
      <c r="R9" s="432"/>
      <c r="S9" s="432"/>
      <c r="T9" s="432"/>
      <c r="U9" s="432"/>
      <c r="V9" s="432"/>
      <c r="W9" s="432"/>
      <c r="X9" s="435"/>
    </row>
    <row r="10" customFormat="false" ht="12.75" hidden="false" customHeight="false" outlineLevel="0" collapsed="false">
      <c r="A10" s="387"/>
      <c r="B10" s="703" t="s">
        <v>567</v>
      </c>
      <c r="C10" s="432"/>
      <c r="D10" s="432"/>
      <c r="E10" s="432"/>
      <c r="F10" s="432"/>
      <c r="G10" s="432"/>
      <c r="H10" s="432"/>
      <c r="I10" s="432"/>
      <c r="J10" s="432"/>
      <c r="K10" s="432"/>
      <c r="L10" s="432"/>
      <c r="M10" s="432"/>
      <c r="N10" s="432"/>
      <c r="O10" s="432"/>
      <c r="P10" s="432"/>
      <c r="Q10" s="432"/>
      <c r="R10" s="432"/>
      <c r="S10" s="432"/>
      <c r="T10" s="432"/>
      <c r="U10" s="432"/>
      <c r="V10" s="432"/>
      <c r="W10" s="432"/>
      <c r="X10" s="435"/>
    </row>
    <row r="11" customFormat="false" ht="12.75" hidden="false" customHeight="false" outlineLevel="0" collapsed="false">
      <c r="A11" s="387"/>
      <c r="B11" s="703" t="s">
        <v>568</v>
      </c>
      <c r="C11" s="432"/>
      <c r="D11" s="736" t="n">
        <f aca="false">IF(D4&gt;ProjectLife+1,0,'Project Assumptions'!$C$48+'Cash Flow Statement'!D18-'Cash Flow Statement'!D17)</f>
        <v>0</v>
      </c>
      <c r="E11" s="736" t="n">
        <f aca="false">IF(E4&gt;ProjectLife+1,0,'Project Assumptions'!$C$48+'Cash Flow Statement'!E18-'Cash Flow Statement'!E17)</f>
        <v>0</v>
      </c>
      <c r="F11" s="736" t="n">
        <f aca="false">IF(F4&gt;ProjectLife+1,0,'Project Assumptions'!$C$48+'Cash Flow Statement'!F18-'Cash Flow Statement'!F17)</f>
        <v>0</v>
      </c>
      <c r="G11" s="736" t="n">
        <f aca="false">IF(G4&gt;ProjectLife+1,0,'Project Assumptions'!$C$48+'Cash Flow Statement'!G18-'Cash Flow Statement'!G17)</f>
        <v>0</v>
      </c>
      <c r="H11" s="736" t="n">
        <f aca="false">IF(H4&gt;ProjectLife+1,0,'Project Assumptions'!$C$48+'Cash Flow Statement'!H18-'Cash Flow Statement'!H17)</f>
        <v>0</v>
      </c>
      <c r="I11" s="736" t="n">
        <f aca="false">IF(I4&gt;ProjectLife+1,0,'Project Assumptions'!$C$48+'Cash Flow Statement'!I18-'Cash Flow Statement'!I17)</f>
        <v>0</v>
      </c>
      <c r="J11" s="736" t="n">
        <f aca="false">IF(J4&gt;ProjectLife+1,0,'Project Assumptions'!$C$48+'Cash Flow Statement'!J18-'Cash Flow Statement'!J17)</f>
        <v>0</v>
      </c>
      <c r="K11" s="736" t="n">
        <f aca="false">IF(K4&gt;ProjectLife+1,0,'Project Assumptions'!$C$48+'Cash Flow Statement'!K18-'Cash Flow Statement'!K17)</f>
        <v>0</v>
      </c>
      <c r="L11" s="736" t="n">
        <f aca="false">IF(L4&gt;ProjectLife+1,0,'Project Assumptions'!$C$48+'Cash Flow Statement'!L18-'Cash Flow Statement'!L17)</f>
        <v>0</v>
      </c>
      <c r="M11" s="736" t="n">
        <f aca="false">IF(M4&gt;ProjectLife+1,0,'Project Assumptions'!$C$48+'Cash Flow Statement'!M18-'Cash Flow Statement'!M17)</f>
        <v>0</v>
      </c>
      <c r="N11" s="736" t="n">
        <f aca="false">IF(N4&gt;ProjectLife+1,0,'Project Assumptions'!$C$48+'Cash Flow Statement'!N18-'Cash Flow Statement'!N17)</f>
        <v>0</v>
      </c>
      <c r="O11" s="736" t="n">
        <f aca="false">IF(O4&gt;ProjectLife+1,0,'Project Assumptions'!$C$48+'Cash Flow Statement'!O18-'Cash Flow Statement'!O17)</f>
        <v>0</v>
      </c>
      <c r="P11" s="736" t="n">
        <f aca="false">IF(P4&gt;ProjectLife+1,0,'Project Assumptions'!$C$48+'Cash Flow Statement'!P18-'Cash Flow Statement'!P17)</f>
        <v>0</v>
      </c>
      <c r="Q11" s="736" t="n">
        <f aca="false">IF(Q4&gt;ProjectLife+1,0,'Project Assumptions'!$C$48+'Cash Flow Statement'!Q18-'Cash Flow Statement'!Q17)</f>
        <v>0</v>
      </c>
      <c r="R11" s="736" t="n">
        <f aca="false">IF(R4&gt;ProjectLife+1,0,'Project Assumptions'!$C$48+'Cash Flow Statement'!R18-'Cash Flow Statement'!R17)</f>
        <v>0</v>
      </c>
      <c r="S11" s="736" t="n">
        <f aca="false">IF(S4&gt;ProjectLife+1,0,'Project Assumptions'!$C$48+'Cash Flow Statement'!S18-'Cash Flow Statement'!S17)</f>
        <v>0</v>
      </c>
      <c r="T11" s="736" t="n">
        <f aca="false">IF(T4&gt;ProjectLife+1,0,'Project Assumptions'!$C$48+'Cash Flow Statement'!T18-'Cash Flow Statement'!T17)</f>
        <v>0</v>
      </c>
      <c r="U11" s="736" t="n">
        <f aca="false">IF(U4&gt;ProjectLife+1,0,'Project Assumptions'!$C$48+'Cash Flow Statement'!U18-'Cash Flow Statement'!U17)</f>
        <v>0</v>
      </c>
      <c r="V11" s="736" t="n">
        <f aca="false">IF(V4&gt;ProjectLife+1,0,'Project Assumptions'!$C$48+'Cash Flow Statement'!V18-'Cash Flow Statement'!V17)</f>
        <v>0</v>
      </c>
      <c r="W11" s="736" t="n">
        <f aca="false">IF(W4&gt;ProjectLife+1,0,'Project Assumptions'!$C$48+'Cash Flow Statement'!W18-'Cash Flow Statement'!W17)</f>
        <v>0</v>
      </c>
      <c r="X11" s="737" t="n">
        <f aca="false">IF(X4&gt;ProjectLife+1,0,'Project Assumptions'!$C$48+'Cash Flow Statement'!X18-'Cash Flow Statement'!X17)</f>
        <v>0</v>
      </c>
    </row>
    <row r="12" customFormat="false" ht="12.75" hidden="false" customHeight="false" outlineLevel="0" collapsed="false">
      <c r="A12" s="387"/>
      <c r="B12" s="703" t="s">
        <v>569</v>
      </c>
      <c r="C12" s="432"/>
      <c r="D12" s="738" t="n">
        <f aca="false">'Maintenance Reserves'!D13</f>
        <v>1853.0112</v>
      </c>
      <c r="E12" s="738" t="n">
        <f aca="false">'Maintenance Reserves'!E13</f>
        <v>3761.612736</v>
      </c>
      <c r="F12" s="738" t="n">
        <f aca="false">'Maintenance Reserves'!F13</f>
        <v>5727.47231808</v>
      </c>
      <c r="G12" s="738" t="n">
        <f aca="false">'Maintenance Reserves'!G13</f>
        <v>5852.4488163424</v>
      </c>
      <c r="H12" s="738" t="n">
        <f aca="false">'Maintenance Reserves'!H13</f>
        <v>7938.02924697107</v>
      </c>
      <c r="I12" s="738" t="n">
        <f aca="false">'Maintenance Reserves'!I13</f>
        <v>10086.1770905186</v>
      </c>
      <c r="J12" s="738" t="n">
        <f aca="false">'Maintenance Reserves'!J13</f>
        <v>10222.7422845354</v>
      </c>
      <c r="K12" s="738" t="n">
        <f aca="false">'Maintenance Reserves'!K13</f>
        <v>12501.712331755</v>
      </c>
      <c r="L12" s="738" t="n">
        <f aca="false">'Maintenance Reserves'!L13</f>
        <v>14849.0514803911</v>
      </c>
      <c r="M12" s="738" t="n">
        <f aca="false">'Maintenance Reserves'!M13</f>
        <v>5105.40135225237</v>
      </c>
      <c r="N12" s="738" t="n">
        <f aca="false">'Maintenance Reserves'!N13</f>
        <v>7595.69345504048</v>
      </c>
      <c r="O12" s="738" t="n">
        <f aca="false">'Maintenance Reserves'!O13</f>
        <v>10160.6943209122</v>
      </c>
      <c r="P12" s="738" t="n">
        <f aca="false">'Maintenance Reserves'!P13</f>
        <v>12802.6452127601</v>
      </c>
      <c r="Q12" s="738" t="n">
        <f aca="false">'Maintenance Reserves'!Q13</f>
        <v>12970.603175808</v>
      </c>
      <c r="R12" s="738" t="n">
        <f aca="false">'Maintenance Reserves'!R13</f>
        <v>15773.4488769695</v>
      </c>
      <c r="S12" s="738" t="n">
        <f aca="false">'Maintenance Reserves'!S13</f>
        <v>18660.3799491658</v>
      </c>
      <c r="T12" s="738" t="n">
        <f aca="false">'Maintenance Reserves'!T13</f>
        <v>3783.16452499306</v>
      </c>
      <c r="U12" s="738" t="n">
        <f aca="false">'Maintenance Reserves'!U13</f>
        <v>6845.9096994861</v>
      </c>
      <c r="V12" s="738" t="n">
        <f aca="false">'Maintenance Reserves'!V13</f>
        <v>10000.5372292139</v>
      </c>
      <c r="W12" s="738" t="n">
        <f aca="false">'Maintenance Reserves'!W13</f>
        <v>-16408.2955644292</v>
      </c>
      <c r="X12" s="739" t="n">
        <f aca="false">'Maintenance Reserves'!X13</f>
        <v>-13061.551218141</v>
      </c>
    </row>
    <row r="13" customFormat="false" ht="12.75" hidden="false" customHeight="false" outlineLevel="0" collapsed="false">
      <c r="A13" s="387"/>
      <c r="B13" s="703" t="s">
        <v>570</v>
      </c>
      <c r="C13" s="432"/>
      <c r="D13" s="740" t="n">
        <f aca="false">SUM(D7:D12)</f>
        <v>1853.0112</v>
      </c>
      <c r="E13" s="740" t="n">
        <f aca="false">SUM(E7:E12)</f>
        <v>3761.612736</v>
      </c>
      <c r="F13" s="740" t="n">
        <f aca="false">SUM(F7:F12)</f>
        <v>5727.47231808</v>
      </c>
      <c r="G13" s="740" t="n">
        <f aca="false">SUM(G7:G12)</f>
        <v>5852.4488163424</v>
      </c>
      <c r="H13" s="740" t="n">
        <f aca="false">SUM(H7:H12)</f>
        <v>7938.02924697107</v>
      </c>
      <c r="I13" s="740" t="n">
        <f aca="false">SUM(I7:I12)</f>
        <v>10086.1770905186</v>
      </c>
      <c r="J13" s="740" t="n">
        <f aca="false">SUM(J7:J12)</f>
        <v>10222.7422845354</v>
      </c>
      <c r="K13" s="740" t="n">
        <f aca="false">SUM(K7:K12)</f>
        <v>12501.712331755</v>
      </c>
      <c r="L13" s="740" t="n">
        <f aca="false">SUM(L7:L12)</f>
        <v>14849.0514803911</v>
      </c>
      <c r="M13" s="740" t="n">
        <f aca="false">SUM(M7:M12)</f>
        <v>5105.40135225237</v>
      </c>
      <c r="N13" s="740" t="n">
        <f aca="false">SUM(N7:N12)</f>
        <v>7595.69345504048</v>
      </c>
      <c r="O13" s="740" t="n">
        <f aca="false">SUM(O7:O12)</f>
        <v>10160.6943209122</v>
      </c>
      <c r="P13" s="740" t="n">
        <f aca="false">SUM(P7:P12)</f>
        <v>12802.6452127601</v>
      </c>
      <c r="Q13" s="740" t="n">
        <f aca="false">SUM(Q7:Q12)</f>
        <v>12970.603175808</v>
      </c>
      <c r="R13" s="740" t="n">
        <f aca="false">SUM(R7:R12)</f>
        <v>15773.4488769695</v>
      </c>
      <c r="S13" s="740" t="n">
        <f aca="false">SUM(S7:S12)</f>
        <v>18660.3799491658</v>
      </c>
      <c r="T13" s="740" t="n">
        <f aca="false">SUM(T7:T12)</f>
        <v>3783.16452499306</v>
      </c>
      <c r="U13" s="740" t="n">
        <f aca="false">SUM(U7:U12)</f>
        <v>6845.9096994861</v>
      </c>
      <c r="V13" s="740" t="n">
        <f aca="false">SUM(V7:V12)</f>
        <v>10000.5372292139</v>
      </c>
      <c r="W13" s="740" t="n">
        <f aca="false">SUM(W7:W12)</f>
        <v>-16408.2955644292</v>
      </c>
      <c r="X13" s="741" t="n">
        <f aca="false">SUM(X7:X12)</f>
        <v>-13061.551218141</v>
      </c>
    </row>
    <row r="14" customFormat="false" ht="12.75" hidden="false" customHeight="false" outlineLevel="0" collapsed="false">
      <c r="A14" s="742"/>
      <c r="B14" s="432"/>
      <c r="C14" s="432"/>
      <c r="D14" s="432"/>
      <c r="E14" s="432"/>
      <c r="F14" s="432"/>
      <c r="G14" s="432"/>
      <c r="H14" s="432"/>
      <c r="I14" s="432"/>
      <c r="J14" s="432"/>
      <c r="K14" s="432"/>
      <c r="L14" s="432"/>
      <c r="M14" s="432"/>
      <c r="N14" s="432"/>
      <c r="O14" s="432"/>
      <c r="P14" s="432"/>
      <c r="Q14" s="432"/>
      <c r="R14" s="432"/>
      <c r="S14" s="432"/>
      <c r="T14" s="432"/>
      <c r="U14" s="432"/>
      <c r="V14" s="432"/>
      <c r="W14" s="432"/>
      <c r="X14" s="435"/>
    </row>
    <row r="15" customFormat="false" ht="12.75" hidden="false" customHeight="false" outlineLevel="0" collapsed="false">
      <c r="A15" s="742"/>
      <c r="B15" s="432"/>
      <c r="C15" s="432"/>
      <c r="D15" s="432"/>
      <c r="E15" s="432"/>
      <c r="F15" s="432"/>
      <c r="G15" s="432"/>
      <c r="H15" s="432"/>
      <c r="I15" s="432"/>
      <c r="J15" s="432"/>
      <c r="K15" s="432"/>
      <c r="L15" s="432"/>
      <c r="M15" s="432"/>
      <c r="N15" s="432"/>
      <c r="O15" s="432"/>
      <c r="P15" s="432"/>
      <c r="Q15" s="432"/>
      <c r="R15" s="432"/>
      <c r="S15" s="432"/>
      <c r="T15" s="432"/>
      <c r="U15" s="432"/>
      <c r="V15" s="432"/>
      <c r="W15" s="432"/>
      <c r="X15" s="435"/>
    </row>
    <row r="16" customFormat="false" ht="12.75" hidden="false" customHeight="false" outlineLevel="0" collapsed="false">
      <c r="A16" s="387"/>
      <c r="B16" s="703" t="s">
        <v>571</v>
      </c>
      <c r="C16" s="432"/>
      <c r="D16" s="740" t="n">
        <f aca="false">Depreciation!$B$40</f>
        <v>252666.545</v>
      </c>
      <c r="E16" s="740" t="n">
        <f aca="false">Depreciation!$B$40</f>
        <v>252666.545</v>
      </c>
      <c r="F16" s="740" t="n">
        <f aca="false">Depreciation!$B$40</f>
        <v>252666.545</v>
      </c>
      <c r="G16" s="740" t="n">
        <f aca="false">Depreciation!$B$40</f>
        <v>252666.545</v>
      </c>
      <c r="H16" s="740" t="n">
        <f aca="false">Depreciation!$B$40</f>
        <v>252666.545</v>
      </c>
      <c r="I16" s="740" t="n">
        <f aca="false">Depreciation!$B$40</f>
        <v>252666.545</v>
      </c>
      <c r="J16" s="740" t="n">
        <f aca="false">Depreciation!$B$40</f>
        <v>252666.545</v>
      </c>
      <c r="K16" s="740" t="n">
        <f aca="false">Depreciation!$B$40</f>
        <v>252666.545</v>
      </c>
      <c r="L16" s="740" t="n">
        <f aca="false">Depreciation!$B$40</f>
        <v>252666.545</v>
      </c>
      <c r="M16" s="740" t="n">
        <f aca="false">Depreciation!$B$40</f>
        <v>252666.545</v>
      </c>
      <c r="N16" s="740" t="n">
        <f aca="false">Depreciation!$B$40</f>
        <v>252666.545</v>
      </c>
      <c r="O16" s="740" t="n">
        <f aca="false">Depreciation!$B$40</f>
        <v>252666.545</v>
      </c>
      <c r="P16" s="740" t="n">
        <f aca="false">Depreciation!$B$40</f>
        <v>252666.545</v>
      </c>
      <c r="Q16" s="740" t="n">
        <f aca="false">Depreciation!$B$40</f>
        <v>252666.545</v>
      </c>
      <c r="R16" s="740" t="n">
        <f aca="false">Depreciation!$B$40</f>
        <v>252666.545</v>
      </c>
      <c r="S16" s="740" t="n">
        <f aca="false">Depreciation!$B$40</f>
        <v>252666.545</v>
      </c>
      <c r="T16" s="740" t="n">
        <f aca="false">Depreciation!$B$40</f>
        <v>252666.545</v>
      </c>
      <c r="U16" s="740" t="n">
        <f aca="false">Depreciation!$B$40</f>
        <v>252666.545</v>
      </c>
      <c r="V16" s="740" t="n">
        <f aca="false">Depreciation!$B$40</f>
        <v>252666.545</v>
      </c>
      <c r="W16" s="740" t="n">
        <f aca="false">Depreciation!$B$40</f>
        <v>252666.545</v>
      </c>
      <c r="X16" s="741" t="n">
        <f aca="false">Depreciation!$B$40</f>
        <v>252666.545</v>
      </c>
    </row>
    <row r="17" customFormat="false" ht="12.75" hidden="false" customHeight="false" outlineLevel="0" collapsed="false">
      <c r="A17" s="387"/>
      <c r="B17" s="703" t="s">
        <v>572</v>
      </c>
      <c r="C17" s="432"/>
      <c r="D17" s="743" t="n">
        <f aca="false">SUM(Depreciation!$D$40:D40)</f>
        <v>4574.77697833333</v>
      </c>
      <c r="E17" s="743" t="n">
        <f aca="false">SUM(Depreciation!$D$40:E40)</f>
        <v>12417.2517983333</v>
      </c>
      <c r="F17" s="743" t="n">
        <f aca="false">SUM(Depreciation!$D$40:F40)</f>
        <v>20259.7266183333</v>
      </c>
      <c r="G17" s="743" t="n">
        <f aca="false">SUM(Depreciation!$D$40:G40)</f>
        <v>28102.2014383333</v>
      </c>
      <c r="H17" s="743" t="n">
        <f aca="false">SUM(Depreciation!$D$40:H40)</f>
        <v>35944.6762583333</v>
      </c>
      <c r="I17" s="743" t="n">
        <f aca="false">SUM(Depreciation!$D$40:I40)</f>
        <v>43607.018795</v>
      </c>
      <c r="J17" s="743" t="n">
        <f aca="false">SUM(Depreciation!$D$40:J40)</f>
        <v>51140.695415</v>
      </c>
      <c r="K17" s="743" t="n">
        <f aca="false">SUM(Depreciation!$D$40:K40)</f>
        <v>58674.372035</v>
      </c>
      <c r="L17" s="743" t="n">
        <f aca="false">SUM(Depreciation!$D$40:L40)</f>
        <v>66208.048655</v>
      </c>
      <c r="M17" s="743" t="n">
        <f aca="false">SUM(Depreciation!$D$40:M40)</f>
        <v>73741.725275</v>
      </c>
      <c r="N17" s="743" t="n">
        <f aca="false">SUM(Depreciation!$D$40:N40)</f>
        <v>81275.401895</v>
      </c>
      <c r="O17" s="743" t="n">
        <f aca="false">SUM(Depreciation!$D$40:O40)</f>
        <v>88809.078515</v>
      </c>
      <c r="P17" s="743" t="n">
        <f aca="false">SUM(Depreciation!$D$40:P40)</f>
        <v>96342.755135</v>
      </c>
      <c r="Q17" s="743" t="n">
        <f aca="false">SUM(Depreciation!$D$40:Q40)</f>
        <v>103876.431755</v>
      </c>
      <c r="R17" s="743" t="n">
        <f aca="false">SUM(Depreciation!$D$40:R40)</f>
        <v>111410.108375</v>
      </c>
      <c r="S17" s="743" t="n">
        <f aca="false">SUM(Depreciation!$D$40:S40)</f>
        <v>118943.784995</v>
      </c>
      <c r="T17" s="743" t="n">
        <f aca="false">SUM(Depreciation!$D$40:T40)</f>
        <v>126477.461615</v>
      </c>
      <c r="U17" s="743" t="n">
        <f aca="false">SUM(Depreciation!$D$40:U40)</f>
        <v>134011.138235</v>
      </c>
      <c r="V17" s="743" t="n">
        <f aca="false">SUM(Depreciation!$D$40:V40)</f>
        <v>141544.814855</v>
      </c>
      <c r="W17" s="743" t="n">
        <f aca="false">SUM(Depreciation!$D$40:W40)</f>
        <v>149078.491475</v>
      </c>
      <c r="X17" s="743" t="n">
        <f aca="false">SUM(Depreciation!$D$40:X40)</f>
        <v>156612.168095</v>
      </c>
    </row>
    <row r="18" customFormat="false" ht="12.75" hidden="false" customHeight="false" outlineLevel="0" collapsed="false">
      <c r="A18" s="387"/>
      <c r="B18" s="703" t="s">
        <v>573</v>
      </c>
      <c r="C18" s="432"/>
      <c r="D18" s="740" t="n">
        <f aca="false">D16-D17</f>
        <v>248091.768021667</v>
      </c>
      <c r="E18" s="740" t="n">
        <f aca="false">E16-E17</f>
        <v>240249.293201667</v>
      </c>
      <c r="F18" s="740" t="n">
        <f aca="false">F16-F17</f>
        <v>232406.818381667</v>
      </c>
      <c r="G18" s="740" t="n">
        <f aca="false">G16-G17</f>
        <v>224564.343561667</v>
      </c>
      <c r="H18" s="740" t="n">
        <f aca="false">H16-H17</f>
        <v>216721.868741667</v>
      </c>
      <c r="I18" s="740" t="n">
        <f aca="false">I16-I17</f>
        <v>209059.526205</v>
      </c>
      <c r="J18" s="740" t="n">
        <f aca="false">J16-J17</f>
        <v>201525.849585</v>
      </c>
      <c r="K18" s="740" t="n">
        <f aca="false">K16-K17</f>
        <v>193992.172965</v>
      </c>
      <c r="L18" s="740" t="n">
        <f aca="false">L16-L17</f>
        <v>186458.496345</v>
      </c>
      <c r="M18" s="740" t="n">
        <f aca="false">M16-M17</f>
        <v>178924.819725</v>
      </c>
      <c r="N18" s="740" t="n">
        <f aca="false">N16-N17</f>
        <v>171391.143105</v>
      </c>
      <c r="O18" s="740" t="n">
        <f aca="false">O16-O17</f>
        <v>163857.466485</v>
      </c>
      <c r="P18" s="740" t="n">
        <f aca="false">P16-P17</f>
        <v>156323.789865</v>
      </c>
      <c r="Q18" s="740" t="n">
        <f aca="false">Q16-Q17</f>
        <v>148790.113245</v>
      </c>
      <c r="R18" s="740" t="n">
        <f aca="false">R16-R17</f>
        <v>141256.436625</v>
      </c>
      <c r="S18" s="740" t="n">
        <f aca="false">S16-S17</f>
        <v>133722.760005</v>
      </c>
      <c r="T18" s="740" t="n">
        <f aca="false">T16-T17</f>
        <v>126189.083385</v>
      </c>
      <c r="U18" s="740" t="n">
        <f aca="false">U16-U17</f>
        <v>118655.406765</v>
      </c>
      <c r="V18" s="740" t="n">
        <f aca="false">V16-V17</f>
        <v>111121.730145</v>
      </c>
      <c r="W18" s="740" t="n">
        <f aca="false">W16-W17</f>
        <v>103588.053525</v>
      </c>
      <c r="X18" s="741" t="n">
        <f aca="false">X16-X17</f>
        <v>96054.376905</v>
      </c>
    </row>
    <row r="19" customFormat="false" ht="12.75" hidden="false" customHeight="false" outlineLevel="0" collapsed="false">
      <c r="A19" s="387"/>
      <c r="B19" s="703" t="s">
        <v>574</v>
      </c>
      <c r="C19" s="432"/>
      <c r="D19" s="740" t="n">
        <f aca="false">'Project Assumptions'!$C$25</f>
        <v>2305.818</v>
      </c>
      <c r="E19" s="740" t="n">
        <f aca="false">'Project Assumptions'!$C$25</f>
        <v>2305.818</v>
      </c>
      <c r="F19" s="740" t="n">
        <f aca="false">'Project Assumptions'!$C$25</f>
        <v>2305.818</v>
      </c>
      <c r="G19" s="740" t="n">
        <f aca="false">'Project Assumptions'!$C$25</f>
        <v>2305.818</v>
      </c>
      <c r="H19" s="740" t="n">
        <f aca="false">'Project Assumptions'!$C$25</f>
        <v>2305.818</v>
      </c>
      <c r="I19" s="740" t="n">
        <f aca="false">'Project Assumptions'!$C$25</f>
        <v>2305.818</v>
      </c>
      <c r="J19" s="740" t="n">
        <f aca="false">'Project Assumptions'!$C$25</f>
        <v>2305.818</v>
      </c>
      <c r="K19" s="740" t="n">
        <f aca="false">'Project Assumptions'!$C$25</f>
        <v>2305.818</v>
      </c>
      <c r="L19" s="740" t="n">
        <f aca="false">'Project Assumptions'!$C$25</f>
        <v>2305.818</v>
      </c>
      <c r="M19" s="740" t="n">
        <f aca="false">'Project Assumptions'!$C$25</f>
        <v>2305.818</v>
      </c>
      <c r="N19" s="740" t="n">
        <f aca="false">'Project Assumptions'!$C$25</f>
        <v>2305.818</v>
      </c>
      <c r="O19" s="740" t="n">
        <f aca="false">'Project Assumptions'!$C$25</f>
        <v>2305.818</v>
      </c>
      <c r="P19" s="740" t="n">
        <f aca="false">'Project Assumptions'!$C$25</f>
        <v>2305.818</v>
      </c>
      <c r="Q19" s="740" t="n">
        <f aca="false">'Project Assumptions'!$C$25</f>
        <v>2305.818</v>
      </c>
      <c r="R19" s="740" t="n">
        <f aca="false">'Project Assumptions'!$C$25</f>
        <v>2305.818</v>
      </c>
      <c r="S19" s="740" t="n">
        <f aca="false">'Project Assumptions'!$C$25</f>
        <v>2305.818</v>
      </c>
      <c r="T19" s="740" t="n">
        <f aca="false">'Project Assumptions'!$C$25</f>
        <v>2305.818</v>
      </c>
      <c r="U19" s="740" t="n">
        <f aca="false">'Project Assumptions'!$C$25</f>
        <v>2305.818</v>
      </c>
      <c r="V19" s="740" t="n">
        <f aca="false">'Project Assumptions'!$C$25</f>
        <v>2305.818</v>
      </c>
      <c r="W19" s="740" t="n">
        <f aca="false">'Project Assumptions'!$C$25</f>
        <v>2305.818</v>
      </c>
      <c r="X19" s="741" t="n">
        <f aca="false">'Project Assumptions'!$C$25</f>
        <v>2305.818</v>
      </c>
    </row>
    <row r="20" customFormat="false" ht="12.75" hidden="false" customHeight="false" outlineLevel="0" collapsed="false">
      <c r="A20" s="387"/>
      <c r="B20" s="703" t="s">
        <v>575</v>
      </c>
      <c r="C20" s="432"/>
      <c r="D20" s="738" t="n">
        <v>0</v>
      </c>
      <c r="E20" s="738" t="n">
        <v>0</v>
      </c>
      <c r="F20" s="738" t="n">
        <v>0</v>
      </c>
      <c r="G20" s="738" t="n">
        <v>0</v>
      </c>
      <c r="H20" s="738" t="n">
        <v>0</v>
      </c>
      <c r="I20" s="738" t="n">
        <v>0</v>
      </c>
      <c r="J20" s="738" t="n">
        <v>0</v>
      </c>
      <c r="K20" s="738" t="n">
        <v>0</v>
      </c>
      <c r="L20" s="738" t="n">
        <v>0</v>
      </c>
      <c r="M20" s="738" t="n">
        <v>0</v>
      </c>
      <c r="N20" s="738" t="n">
        <v>0</v>
      </c>
      <c r="O20" s="738" t="n">
        <v>0</v>
      </c>
      <c r="P20" s="738" t="n">
        <v>0</v>
      </c>
      <c r="Q20" s="738" t="n">
        <v>0</v>
      </c>
      <c r="R20" s="738" t="n">
        <v>0</v>
      </c>
      <c r="S20" s="738" t="n">
        <v>0</v>
      </c>
      <c r="T20" s="738" t="n">
        <v>0</v>
      </c>
      <c r="U20" s="738" t="n">
        <v>0</v>
      </c>
      <c r="V20" s="738" t="n">
        <v>0</v>
      </c>
      <c r="W20" s="738" t="n">
        <v>0</v>
      </c>
      <c r="X20" s="739" t="n">
        <v>0</v>
      </c>
    </row>
    <row r="21" customFormat="false" ht="12.75" hidden="false" customHeight="false" outlineLevel="0" collapsed="false">
      <c r="A21" s="742"/>
      <c r="B21" s="432"/>
      <c r="C21" s="432"/>
      <c r="D21" s="432"/>
      <c r="E21" s="432"/>
      <c r="F21" s="432"/>
      <c r="G21" s="432"/>
      <c r="H21" s="432"/>
      <c r="I21" s="432"/>
      <c r="J21" s="432"/>
      <c r="K21" s="432"/>
      <c r="L21" s="432"/>
      <c r="M21" s="432"/>
      <c r="N21" s="432"/>
      <c r="O21" s="432"/>
      <c r="P21" s="432"/>
      <c r="Q21" s="432"/>
      <c r="R21" s="432"/>
      <c r="S21" s="432"/>
      <c r="T21" s="432"/>
      <c r="U21" s="432"/>
      <c r="V21" s="432"/>
      <c r="W21" s="432"/>
      <c r="X21" s="435"/>
    </row>
    <row r="22" customFormat="false" ht="12.75" hidden="false" customHeight="false" outlineLevel="0" collapsed="false">
      <c r="A22" s="744" t="s">
        <v>576</v>
      </c>
      <c r="B22" s="469"/>
      <c r="C22" s="469"/>
      <c r="D22" s="745" t="n">
        <f aca="false">D13+SUM(D18:D20)</f>
        <v>252250.597221667</v>
      </c>
      <c r="E22" s="745" t="n">
        <f aca="false">E13+SUM(E18:E20)</f>
        <v>246316.723937667</v>
      </c>
      <c r="F22" s="745" t="n">
        <f aca="false">F13+SUM(F18:F20)</f>
        <v>240440.108699747</v>
      </c>
      <c r="G22" s="745" t="n">
        <f aca="false">G13+SUM(G18:G20)</f>
        <v>232722.610378009</v>
      </c>
      <c r="H22" s="745" t="n">
        <f aca="false">H13+SUM(H18:H20)</f>
        <v>226965.715988638</v>
      </c>
      <c r="I22" s="745" t="n">
        <f aca="false">I13+SUM(I18:I20)</f>
        <v>221451.521295519</v>
      </c>
      <c r="J22" s="745" t="n">
        <f aca="false">J13+SUM(J18:J20)</f>
        <v>214054.409869535</v>
      </c>
      <c r="K22" s="745" t="n">
        <f aca="false">K13+SUM(K18:K20)</f>
        <v>208799.703296755</v>
      </c>
      <c r="L22" s="745" t="n">
        <f aca="false">L13+SUM(L18:L20)</f>
        <v>203613.365825391</v>
      </c>
      <c r="M22" s="745" t="n">
        <f aca="false">M13+SUM(M18:M20)</f>
        <v>186336.039077252</v>
      </c>
      <c r="N22" s="745" t="n">
        <f aca="false">N13+SUM(N18:N20)</f>
        <v>181292.654560041</v>
      </c>
      <c r="O22" s="745" t="n">
        <f aca="false">O13+SUM(O18:O20)</f>
        <v>176323.978805912</v>
      </c>
      <c r="P22" s="745" t="n">
        <f aca="false">P13+SUM(P18:P20)</f>
        <v>171432.25307776</v>
      </c>
      <c r="Q22" s="745" t="n">
        <f aca="false">Q13+SUM(Q18:Q20)</f>
        <v>164066.534420808</v>
      </c>
      <c r="R22" s="745" t="n">
        <f aca="false">R13+SUM(R18:R20)</f>
        <v>159335.70350197</v>
      </c>
      <c r="S22" s="745" t="n">
        <f aca="false">S13+SUM(S18:S20)</f>
        <v>154688.957954166</v>
      </c>
      <c r="T22" s="745" t="n">
        <f aca="false">T13+SUM(T18:T20)</f>
        <v>132278.065909993</v>
      </c>
      <c r="U22" s="745" t="n">
        <f aca="false">U13+SUM(U18:U20)</f>
        <v>127807.134464486</v>
      </c>
      <c r="V22" s="745" t="n">
        <f aca="false">V13+SUM(V18:V20)</f>
        <v>123428.085374214</v>
      </c>
      <c r="W22" s="745" t="n">
        <f aca="false">W13+SUM(W18:W20)</f>
        <v>89485.5759605708</v>
      </c>
      <c r="X22" s="746" t="n">
        <f aca="false">X13+SUM(X18:X20)</f>
        <v>85298.643686859</v>
      </c>
    </row>
    <row r="23" customFormat="false" ht="12.75" hidden="false" customHeight="false" outlineLevel="0" collapsed="false">
      <c r="A23" s="703"/>
    </row>
    <row r="24" customFormat="false" ht="12.75" hidden="false" customHeight="false" outlineLevel="0" collapsed="false">
      <c r="A24" s="747" t="s">
        <v>577</v>
      </c>
      <c r="B24" s="455"/>
      <c r="C24" s="455"/>
      <c r="D24" s="455"/>
      <c r="E24" s="455"/>
      <c r="F24" s="455"/>
      <c r="G24" s="455"/>
      <c r="H24" s="455"/>
      <c r="I24" s="455"/>
      <c r="J24" s="455"/>
      <c r="K24" s="455"/>
      <c r="L24" s="455"/>
      <c r="M24" s="455"/>
      <c r="N24" s="455"/>
      <c r="O24" s="455"/>
      <c r="P24" s="455"/>
      <c r="Q24" s="455"/>
      <c r="R24" s="455"/>
      <c r="S24" s="455"/>
      <c r="T24" s="455"/>
      <c r="U24" s="455"/>
      <c r="V24" s="455"/>
      <c r="W24" s="455"/>
      <c r="X24" s="456"/>
    </row>
    <row r="25" customFormat="false" ht="12.75" hidden="false" customHeight="false" outlineLevel="0" collapsed="false">
      <c r="A25" s="387"/>
      <c r="B25" s="703" t="s">
        <v>578</v>
      </c>
      <c r="C25" s="432"/>
      <c r="D25" s="748" t="n">
        <f aca="false">'Maintenance Reserves'!D13</f>
        <v>1853.0112</v>
      </c>
      <c r="E25" s="748" t="n">
        <f aca="false">'Maintenance Reserves'!E13</f>
        <v>3761.612736</v>
      </c>
      <c r="F25" s="748" t="n">
        <f aca="false">'Maintenance Reserves'!F13</f>
        <v>5727.47231808</v>
      </c>
      <c r="G25" s="748" t="n">
        <f aca="false">'Maintenance Reserves'!G13</f>
        <v>5852.4488163424</v>
      </c>
      <c r="H25" s="748" t="n">
        <f aca="false">'Maintenance Reserves'!H13</f>
        <v>7938.02924697107</v>
      </c>
      <c r="I25" s="748" t="n">
        <f aca="false">'Maintenance Reserves'!I13</f>
        <v>10086.1770905186</v>
      </c>
      <c r="J25" s="748" t="n">
        <f aca="false">'Maintenance Reserves'!J13</f>
        <v>10222.7422845354</v>
      </c>
      <c r="K25" s="748" t="n">
        <f aca="false">'Maintenance Reserves'!K13</f>
        <v>12501.712331755</v>
      </c>
      <c r="L25" s="748" t="n">
        <f aca="false">'Maintenance Reserves'!L13</f>
        <v>14849.0514803911</v>
      </c>
      <c r="M25" s="748" t="n">
        <f aca="false">'Maintenance Reserves'!M13</f>
        <v>5105.40135225237</v>
      </c>
      <c r="N25" s="748" t="n">
        <f aca="false">'Maintenance Reserves'!N13</f>
        <v>7595.69345504048</v>
      </c>
      <c r="O25" s="748" t="n">
        <f aca="false">'Maintenance Reserves'!O13</f>
        <v>10160.6943209122</v>
      </c>
      <c r="P25" s="748" t="n">
        <f aca="false">'Maintenance Reserves'!P13</f>
        <v>12802.6452127601</v>
      </c>
      <c r="Q25" s="748" t="n">
        <f aca="false">'Maintenance Reserves'!Q13</f>
        <v>12970.603175808</v>
      </c>
      <c r="R25" s="748" t="n">
        <f aca="false">'Maintenance Reserves'!R13</f>
        <v>15773.4488769695</v>
      </c>
      <c r="S25" s="748" t="n">
        <f aca="false">'Maintenance Reserves'!S13</f>
        <v>18660.3799491658</v>
      </c>
      <c r="T25" s="748" t="n">
        <f aca="false">'Maintenance Reserves'!T13</f>
        <v>3783.16452499306</v>
      </c>
      <c r="U25" s="748" t="n">
        <f aca="false">'Maintenance Reserves'!U13</f>
        <v>6845.9096994861</v>
      </c>
      <c r="V25" s="748" t="n">
        <f aca="false">'Maintenance Reserves'!V13</f>
        <v>10000.5372292139</v>
      </c>
      <c r="W25" s="748" t="n">
        <f aca="false">'Maintenance Reserves'!W13</f>
        <v>-16408.2955644292</v>
      </c>
      <c r="X25" s="749" t="n">
        <f aca="false">'Maintenance Reserves'!X13</f>
        <v>-13061.551218141</v>
      </c>
    </row>
    <row r="26" customFormat="false" ht="12.75" hidden="false" customHeight="false" outlineLevel="0" collapsed="false">
      <c r="A26" s="387"/>
      <c r="B26" s="703" t="s">
        <v>579</v>
      </c>
      <c r="C26" s="432"/>
      <c r="D26" s="432"/>
      <c r="E26" s="432"/>
      <c r="F26" s="432"/>
      <c r="G26" s="432"/>
      <c r="H26" s="432"/>
      <c r="I26" s="432"/>
      <c r="J26" s="432"/>
      <c r="K26" s="432"/>
      <c r="L26" s="432"/>
      <c r="M26" s="432"/>
      <c r="N26" s="432"/>
      <c r="O26" s="432"/>
      <c r="P26" s="432"/>
      <c r="Q26" s="432"/>
      <c r="R26" s="432"/>
      <c r="S26" s="432"/>
      <c r="T26" s="432"/>
      <c r="U26" s="432"/>
      <c r="V26" s="432"/>
      <c r="W26" s="432"/>
      <c r="X26" s="435"/>
    </row>
    <row r="27" customFormat="false" ht="12.75" hidden="false" customHeight="false" outlineLevel="0" collapsed="false">
      <c r="A27" s="387"/>
      <c r="B27" s="703" t="s">
        <v>580</v>
      </c>
      <c r="C27" s="432"/>
      <c r="D27" s="740" t="n">
        <f aca="false">'Tax Calculations'!D60</f>
        <v>-1236.74003473027</v>
      </c>
      <c r="E27" s="740" t="n">
        <f aca="false">'Tax Calculations'!E60</f>
        <v>790.185748526842</v>
      </c>
      <c r="F27" s="740" t="n">
        <f aca="false">'Tax Calculations'!F60</f>
        <v>2985.03256116123</v>
      </c>
      <c r="G27" s="740" t="n">
        <f aca="false">'Tax Calculations'!G60</f>
        <v>9438.94851695412</v>
      </c>
      <c r="H27" s="740" t="n">
        <f aca="false">'Tax Calculations'!H60</f>
        <v>19340.5970912621</v>
      </c>
      <c r="I27" s="740" t="n">
        <f aca="false">'Tax Calculations'!I60</f>
        <v>27362.7167357846</v>
      </c>
      <c r="J27" s="740" t="n">
        <f aca="false">'Tax Calculations'!J60</f>
        <v>30251.4874571448</v>
      </c>
      <c r="K27" s="740" t="n">
        <f aca="false">'Tax Calculations'!K60</f>
        <v>33150.2194568546</v>
      </c>
      <c r="L27" s="740" t="n">
        <f aca="false">'Tax Calculations'!L60</f>
        <v>36038.9901782148</v>
      </c>
      <c r="M27" s="740" t="n">
        <f aca="false">'Tax Calculations'!M60</f>
        <v>38895.7378954027</v>
      </c>
      <c r="N27" s="740" t="n">
        <f aca="false">'Tax Calculations'!N60</f>
        <v>41784.5086167629</v>
      </c>
      <c r="O27" s="740" t="n">
        <f aca="false">'Tax Calculations'!O60</f>
        <v>44683.2406164726</v>
      </c>
      <c r="P27" s="740" t="n">
        <f aca="false">'Tax Calculations'!P60</f>
        <v>47572.0113378328</v>
      </c>
      <c r="Q27" s="740" t="n">
        <f aca="false">'Tax Calculations'!Q60</f>
        <v>50428.7590550207</v>
      </c>
      <c r="R27" s="740" t="n">
        <f aca="false">'Tax Calculations'!R60</f>
        <v>53317.5297763809</v>
      </c>
      <c r="S27" s="740" t="n">
        <f aca="false">'Tax Calculations'!S60</f>
        <v>53267.7233846333</v>
      </c>
      <c r="T27" s="740" t="n">
        <f aca="false">'Tax Calculations'!T60</f>
        <v>50279.3398797779</v>
      </c>
      <c r="U27" s="740" t="n">
        <f aca="false">'Tax Calculations'!U60</f>
        <v>47248.9720924007</v>
      </c>
      <c r="V27" s="740" t="n">
        <f aca="false">'Tax Calculations'!V60</f>
        <v>44260.5885875453</v>
      </c>
      <c r="W27" s="740" t="n">
        <f aca="false">'Tax Calculations'!W60</f>
        <v>41272.2050826899</v>
      </c>
      <c r="X27" s="741" t="n">
        <f aca="false">'Tax Calculations'!X60</f>
        <v>38283.8215778344</v>
      </c>
    </row>
    <row r="28" customFormat="false" ht="12.75" hidden="false" customHeight="false" outlineLevel="0" collapsed="false">
      <c r="A28" s="387"/>
      <c r="B28" s="703" t="s">
        <v>581</v>
      </c>
      <c r="C28" s="432"/>
      <c r="D28" s="432"/>
      <c r="E28" s="432"/>
      <c r="F28" s="432"/>
      <c r="G28" s="432"/>
      <c r="H28" s="432"/>
      <c r="I28" s="432"/>
      <c r="J28" s="432"/>
      <c r="K28" s="432"/>
      <c r="L28" s="432"/>
      <c r="M28" s="432"/>
      <c r="N28" s="432"/>
      <c r="O28" s="432"/>
      <c r="P28" s="432"/>
      <c r="Q28" s="432"/>
      <c r="R28" s="432"/>
      <c r="S28" s="432"/>
      <c r="T28" s="432"/>
      <c r="U28" s="432"/>
      <c r="V28" s="432"/>
      <c r="W28" s="432"/>
      <c r="X28" s="435"/>
    </row>
    <row r="29" customFormat="false" ht="12.75" hidden="false" customHeight="false" outlineLevel="0" collapsed="false">
      <c r="A29" s="387"/>
      <c r="B29" s="703" t="s">
        <v>582</v>
      </c>
      <c r="C29" s="432"/>
      <c r="D29" s="740" t="n">
        <f aca="false">'Debt Amortization'!E55</f>
        <v>175403.75</v>
      </c>
      <c r="E29" s="740" t="n">
        <f aca="false">'Debt Amortization'!F55</f>
        <v>168010.5</v>
      </c>
      <c r="F29" s="740" t="n">
        <f aca="false">'Debt Amortization'!G55</f>
        <v>157896.75</v>
      </c>
      <c r="G29" s="740" t="n">
        <f aca="false">'Debt Amortization'!H55</f>
        <v>145062.5</v>
      </c>
      <c r="H29" s="740" t="n">
        <f aca="false">'Debt Amortization'!I55</f>
        <v>137645.22</v>
      </c>
      <c r="I29" s="740" t="n">
        <f aca="false">'Debt Amortization'!J55</f>
        <v>130227.94</v>
      </c>
      <c r="J29" s="740" t="n">
        <f aca="false">'Debt Amortization'!K55</f>
        <v>121822.52</v>
      </c>
      <c r="K29" s="740" t="n">
        <f aca="false">'Debt Amortization'!L55</f>
        <v>113417.1</v>
      </c>
      <c r="L29" s="740" t="n">
        <f aca="false">'Debt Amortization'!M55</f>
        <v>99570.68</v>
      </c>
      <c r="M29" s="740" t="n">
        <f aca="false">'Debt Amortization'!N55</f>
        <v>82015.62</v>
      </c>
      <c r="N29" s="740" t="n">
        <f aca="false">'Debt Amortization'!O55</f>
        <v>78063.06</v>
      </c>
      <c r="O29" s="740" t="n">
        <f aca="false">'Debt Amortization'!P55</f>
        <v>73122.36</v>
      </c>
      <c r="P29" s="740" t="n">
        <f aca="false">'Debt Amortization'!Q55</f>
        <v>68181.66</v>
      </c>
      <c r="Q29" s="740" t="n">
        <f aca="false">'Debt Amortization'!R55</f>
        <v>63240.96</v>
      </c>
      <c r="R29" s="740" t="n">
        <f aca="false">'Debt Amortization'!S55</f>
        <v>58300.26</v>
      </c>
      <c r="S29" s="740" t="n">
        <f aca="false">'Debt Amortization'!T55</f>
        <v>53359.56</v>
      </c>
      <c r="T29" s="740" t="n">
        <f aca="false">'Debt Amortization'!U55</f>
        <v>43478.16</v>
      </c>
      <c r="U29" s="740" t="n">
        <f aca="false">'Debt Amortization'!V55</f>
        <v>31620.48</v>
      </c>
      <c r="V29" s="740" t="n">
        <f aca="false">'Debt Amortization'!W55</f>
        <v>16798.38</v>
      </c>
      <c r="W29" s="740" t="n">
        <f aca="false">'Debt Amortization'!X55</f>
        <v>0</v>
      </c>
      <c r="X29" s="741" t="n">
        <f aca="false">'Debt Amortization'!Y55</f>
        <v>0</v>
      </c>
    </row>
    <row r="30" customFormat="false" ht="12.75" hidden="false" customHeight="false" outlineLevel="0" collapsed="false">
      <c r="A30" s="387"/>
      <c r="B30" s="703" t="s">
        <v>583</v>
      </c>
      <c r="C30" s="432"/>
      <c r="D30" s="738" t="n">
        <v>0</v>
      </c>
      <c r="E30" s="738" t="n">
        <v>0</v>
      </c>
      <c r="F30" s="738" t="n">
        <v>0</v>
      </c>
      <c r="G30" s="738" t="n">
        <v>0</v>
      </c>
      <c r="H30" s="738" t="n">
        <v>0</v>
      </c>
      <c r="I30" s="738" t="n">
        <v>0</v>
      </c>
      <c r="J30" s="738" t="n">
        <v>0</v>
      </c>
      <c r="K30" s="738" t="n">
        <v>0</v>
      </c>
      <c r="L30" s="738" t="n">
        <v>0</v>
      </c>
      <c r="M30" s="738" t="n">
        <v>0</v>
      </c>
      <c r="N30" s="738" t="n">
        <v>0</v>
      </c>
      <c r="O30" s="738" t="n">
        <v>0</v>
      </c>
      <c r="P30" s="738" t="n">
        <v>0</v>
      </c>
      <c r="Q30" s="738" t="n">
        <v>0</v>
      </c>
      <c r="R30" s="738" t="n">
        <v>0</v>
      </c>
      <c r="S30" s="738" t="n">
        <v>0</v>
      </c>
      <c r="T30" s="738" t="n">
        <v>0</v>
      </c>
      <c r="U30" s="738" t="n">
        <v>0</v>
      </c>
      <c r="V30" s="738" t="n">
        <v>0</v>
      </c>
      <c r="W30" s="738" t="n">
        <v>0</v>
      </c>
      <c r="X30" s="739" t="n">
        <v>0</v>
      </c>
    </row>
    <row r="31" customFormat="false" ht="12.75" hidden="false" customHeight="false" outlineLevel="0" collapsed="false">
      <c r="A31" s="750" t="s">
        <v>584</v>
      </c>
      <c r="B31" s="432"/>
      <c r="C31" s="432"/>
      <c r="D31" s="740" t="n">
        <f aca="false">SUM(D25:D30)</f>
        <v>176020.02116527</v>
      </c>
      <c r="E31" s="740" t="n">
        <f aca="false">SUM(E25:E30)</f>
        <v>172562.298484527</v>
      </c>
      <c r="F31" s="740" t="n">
        <f aca="false">SUM(F25:F30)</f>
        <v>166609.254879241</v>
      </c>
      <c r="G31" s="740" t="n">
        <f aca="false">SUM(G25:G30)</f>
        <v>160353.897333297</v>
      </c>
      <c r="H31" s="740" t="n">
        <f aca="false">SUM(H25:H30)</f>
        <v>164923.846338233</v>
      </c>
      <c r="I31" s="740" t="n">
        <f aca="false">SUM(I25:I30)</f>
        <v>167676.833826303</v>
      </c>
      <c r="J31" s="740" t="n">
        <f aca="false">SUM(J25:J30)</f>
        <v>162296.74974168</v>
      </c>
      <c r="K31" s="740" t="n">
        <f aca="false">SUM(K25:K30)</f>
        <v>159069.03178861</v>
      </c>
      <c r="L31" s="740" t="n">
        <f aca="false">SUM(L25:L30)</f>
        <v>150458.721658606</v>
      </c>
      <c r="M31" s="740" t="n">
        <f aca="false">SUM(M25:M30)</f>
        <v>126016.759247655</v>
      </c>
      <c r="N31" s="740" t="n">
        <f aca="false">SUM(N25:N30)</f>
        <v>127443.262071803</v>
      </c>
      <c r="O31" s="740" t="n">
        <f aca="false">SUM(O25:O30)</f>
        <v>127966.294937385</v>
      </c>
      <c r="P31" s="740" t="n">
        <f aca="false">SUM(P25:P30)</f>
        <v>128556.316550593</v>
      </c>
      <c r="Q31" s="740" t="n">
        <f aca="false">SUM(Q25:Q30)</f>
        <v>126640.322230829</v>
      </c>
      <c r="R31" s="740" t="n">
        <f aca="false">SUM(R25:R30)</f>
        <v>127391.23865335</v>
      </c>
      <c r="S31" s="740" t="n">
        <f aca="false">SUM(S25:S30)</f>
        <v>125287.663333799</v>
      </c>
      <c r="T31" s="740" t="n">
        <f aca="false">SUM(T25:T30)</f>
        <v>97540.664404771</v>
      </c>
      <c r="U31" s="740" t="n">
        <f aca="false">SUM(U25:U30)</f>
        <v>85715.3617918868</v>
      </c>
      <c r="V31" s="740" t="n">
        <f aca="false">SUM(V25:V30)</f>
        <v>71059.5058167592</v>
      </c>
      <c r="W31" s="740" t="n">
        <f aca="false">SUM(W25:W30)</f>
        <v>24863.9095182606</v>
      </c>
      <c r="X31" s="741" t="n">
        <f aca="false">SUM(X25:X30)</f>
        <v>25222.2703596935</v>
      </c>
    </row>
    <row r="32" customFormat="false" ht="12.75" hidden="false" customHeight="false" outlineLevel="0" collapsed="false">
      <c r="A32" s="742"/>
      <c r="B32" s="432"/>
      <c r="C32" s="432"/>
      <c r="D32" s="432"/>
      <c r="E32" s="432"/>
      <c r="F32" s="432"/>
      <c r="G32" s="432"/>
      <c r="H32" s="432"/>
      <c r="I32" s="432"/>
      <c r="J32" s="432"/>
      <c r="K32" s="432"/>
      <c r="L32" s="432"/>
      <c r="M32" s="432"/>
      <c r="N32" s="432"/>
      <c r="O32" s="432"/>
      <c r="P32" s="432"/>
      <c r="Q32" s="432"/>
      <c r="R32" s="432"/>
      <c r="S32" s="432"/>
      <c r="T32" s="432"/>
      <c r="U32" s="432"/>
      <c r="V32" s="432"/>
      <c r="W32" s="432"/>
      <c r="X32" s="435"/>
    </row>
    <row r="33" customFormat="false" ht="12.75" hidden="false" customHeight="false" outlineLevel="0" collapsed="false">
      <c r="A33" s="735" t="s">
        <v>585</v>
      </c>
      <c r="B33" s="432"/>
      <c r="C33" s="432"/>
      <c r="D33" s="432"/>
      <c r="E33" s="432"/>
      <c r="F33" s="432"/>
      <c r="G33" s="432"/>
      <c r="H33" s="432"/>
      <c r="I33" s="432"/>
      <c r="J33" s="432"/>
      <c r="K33" s="432"/>
      <c r="L33" s="432"/>
      <c r="M33" s="432"/>
      <c r="N33" s="432"/>
      <c r="O33" s="432"/>
      <c r="P33" s="432"/>
      <c r="Q33" s="432"/>
      <c r="R33" s="432"/>
      <c r="S33" s="432"/>
      <c r="T33" s="432"/>
      <c r="U33" s="432"/>
      <c r="V33" s="432"/>
      <c r="W33" s="432"/>
      <c r="X33" s="435"/>
    </row>
    <row r="34" customFormat="false" ht="12.75" hidden="false" customHeight="false" outlineLevel="0" collapsed="false">
      <c r="A34" s="387"/>
      <c r="B34" s="371" t="s">
        <v>586</v>
      </c>
      <c r="C34" s="432"/>
      <c r="D34" s="740" t="n">
        <f aca="false">'Project Assumptions'!$C$8-SUM('Book Income Statement'!$D$68:D68)</f>
        <v>72175.363</v>
      </c>
      <c r="E34" s="740" t="n">
        <f aca="false">'Project Assumptions'!$C$8-SUM('Book Income Statement'!$D$68:E68)</f>
        <v>72175.363</v>
      </c>
      <c r="F34" s="740" t="n">
        <f aca="false">'Project Assumptions'!$C$8-SUM('Book Income Statement'!$D$68:F68)</f>
        <v>72175.363</v>
      </c>
      <c r="G34" s="740" t="n">
        <f aca="false">'Project Assumptions'!$C$8-SUM('Book Income Statement'!$D$68:G68)</f>
        <v>72175.363</v>
      </c>
      <c r="H34" s="740" t="n">
        <f aca="false">'Project Assumptions'!$C$8-SUM('Book Income Statement'!$D$68:H68)</f>
        <v>72175.363</v>
      </c>
      <c r="I34" s="740" t="n">
        <f aca="false">'Project Assumptions'!$C$8-SUM('Book Income Statement'!$D$68:I68)</f>
        <v>72175.363</v>
      </c>
      <c r="J34" s="740" t="n">
        <f aca="false">'Project Assumptions'!$C$8-SUM('Book Income Statement'!$D$68:J68)</f>
        <v>72175.363</v>
      </c>
      <c r="K34" s="740" t="n">
        <f aca="false">'Project Assumptions'!$C$8-SUM('Book Income Statement'!$D$68:K68)</f>
        <v>72175.363</v>
      </c>
      <c r="L34" s="740" t="n">
        <f aca="false">'Project Assumptions'!$C$8-SUM('Book Income Statement'!$D$68:L68)</f>
        <v>72175.363</v>
      </c>
      <c r="M34" s="740" t="n">
        <f aca="false">'Project Assumptions'!$C$8-SUM('Book Income Statement'!$D$68:M68)</f>
        <v>72175.363</v>
      </c>
      <c r="N34" s="740" t="n">
        <f aca="false">'Project Assumptions'!$C$8-SUM('Book Income Statement'!$D$68:N68)</f>
        <v>72175.363</v>
      </c>
      <c r="O34" s="740" t="n">
        <f aca="false">'Project Assumptions'!$C$8-SUM('Book Income Statement'!$D$68:O68)</f>
        <v>72175.363</v>
      </c>
      <c r="P34" s="740" t="n">
        <f aca="false">'Project Assumptions'!$C$8-SUM('Book Income Statement'!$D$68:P68)</f>
        <v>72175.363</v>
      </c>
      <c r="Q34" s="740" t="n">
        <f aca="false">'Project Assumptions'!$C$8-SUM('Book Income Statement'!$D$68:Q68)</f>
        <v>72175.363</v>
      </c>
      <c r="R34" s="740" t="n">
        <f aca="false">'Project Assumptions'!$C$8-SUM('Book Income Statement'!$D$68:R68)</f>
        <v>72175.363</v>
      </c>
      <c r="S34" s="740" t="n">
        <f aca="false">'Project Assumptions'!$C$8-SUM('Book Income Statement'!$D$68:S68)</f>
        <v>72175.363</v>
      </c>
      <c r="T34" s="740" t="n">
        <f aca="false">'Project Assumptions'!$C$8-SUM('Book Income Statement'!$D$68:T68)</f>
        <v>72175.363</v>
      </c>
      <c r="U34" s="740" t="n">
        <f aca="false">'Project Assumptions'!$C$8-SUM('Book Income Statement'!$D$68:U68)</f>
        <v>72175.363</v>
      </c>
      <c r="V34" s="740" t="n">
        <f aca="false">'Project Assumptions'!$C$8-SUM('Book Income Statement'!$D$68:V68)</f>
        <v>72175.363</v>
      </c>
      <c r="W34" s="740" t="n">
        <f aca="false">'Project Assumptions'!$C$8-SUM('Book Income Statement'!$D$68:W68)</f>
        <v>72175.363</v>
      </c>
      <c r="X34" s="741" t="n">
        <f aca="false">'Project Assumptions'!$C$8-SUM('Book Income Statement'!$D$68:X68)</f>
        <v>72175.363</v>
      </c>
    </row>
    <row r="35" customFormat="false" ht="12.75" hidden="false" customHeight="false" outlineLevel="0" collapsed="false">
      <c r="A35" s="387"/>
      <c r="B35" s="371" t="s">
        <v>587</v>
      </c>
      <c r="C35" s="432"/>
      <c r="D35" s="613" t="n">
        <f aca="false">'Book Income Statement'!D77-'Cash Flow Statement'!D38</f>
        <v>4055.21305639694</v>
      </c>
      <c r="E35" s="613" t="n">
        <f aca="false">D35+'Book Income Statement'!E77-'Cash Flow Statement'!E38</f>
        <v>1579.06245313982</v>
      </c>
      <c r="F35" s="613" t="n">
        <f aca="false">E35+'Book Income Statement'!F77-'Cash Flow Statement'!F38</f>
        <v>1655.49082050543</v>
      </c>
      <c r="G35" s="613" t="n">
        <f aca="false">F35+'Book Income Statement'!G77-'Cash Flow Statement'!G38</f>
        <v>193.350044712537</v>
      </c>
      <c r="H35" s="613" t="n">
        <f aca="false">G35+'Book Income Statement'!H77-'Cash Flow Statement'!H38</f>
        <v>-10133.4933495954</v>
      </c>
      <c r="I35" s="613" t="n">
        <f aca="false">H35+'Book Income Statement'!I77-'Cash Flow Statement'!I38</f>
        <v>-18400.6755307846</v>
      </c>
      <c r="J35" s="613" t="n">
        <f aca="false">I35+'Book Income Statement'!J77-'Cash Flow Statement'!J38</f>
        <v>-20417.7028721448</v>
      </c>
      <c r="K35" s="613" t="n">
        <f aca="false">J35+'Book Income Statement'!K77-'Cash Flow Statement'!K38</f>
        <v>-22444.6914918546</v>
      </c>
      <c r="L35" s="613" t="n">
        <f aca="false">K35+'Book Income Statement'!L77-'Cash Flow Statement'!L38</f>
        <v>-19020.7188332148</v>
      </c>
      <c r="M35" s="613" t="n">
        <f aca="false">L35+'Book Income Statement'!M77-'Cash Flow Statement'!M38</f>
        <v>-11856.0831704027</v>
      </c>
      <c r="N35" s="613" t="n">
        <f aca="false">M35+'Book Income Statement'!N77-'Cash Flow Statement'!N38</f>
        <v>-18325.9705117629</v>
      </c>
      <c r="O35" s="613" t="n">
        <f aca="false">N35+'Book Income Statement'!O77-'Cash Flow Statement'!O38</f>
        <v>-23817.6791314726</v>
      </c>
      <c r="P35" s="613" t="n">
        <f aca="false">O35+'Book Income Statement'!P77-'Cash Flow Statement'!P38</f>
        <v>-29299.4264728329</v>
      </c>
      <c r="Q35" s="613" t="n">
        <f aca="false">P35+'Book Income Statement'!Q77-'Cash Flow Statement'!Q38</f>
        <v>-34749.1508100207</v>
      </c>
      <c r="R35" s="613" t="n">
        <f aca="false">Q35+'Book Income Statement'!R77-'Cash Flow Statement'!R38</f>
        <v>-40230.8981513809</v>
      </c>
      <c r="S35" s="613" t="n">
        <f aca="false">R35+'Book Income Statement'!S77-'Cash Flow Statement'!S38</f>
        <v>-42774.0683796334</v>
      </c>
      <c r="T35" s="613" t="n">
        <f aca="false">S35+'Book Income Statement'!T77-'Cash Flow Statement'!T38</f>
        <v>-37437.961494778</v>
      </c>
      <c r="U35" s="613" t="n">
        <f aca="false">T35+'Book Income Statement'!U77-'Cash Flow Statement'!U38</f>
        <v>-30083.5903274007</v>
      </c>
      <c r="V35" s="613" t="n">
        <f aca="false">U35+'Book Income Statement'!V77-'Cash Flow Statement'!V38</f>
        <v>-19806.7834425453</v>
      </c>
      <c r="W35" s="613" t="n">
        <f aca="false">V35+'Book Income Statement'!W77-'Cash Flow Statement'!W38</f>
        <v>-7553.69655768987</v>
      </c>
      <c r="X35" s="751" t="n">
        <f aca="false">W35+'Book Income Statement'!X77-'Cash Flow Statement'!X38</f>
        <v>-12098.9896728345</v>
      </c>
    </row>
    <row r="36" customFormat="false" ht="12.75" hidden="false" customHeight="false" outlineLevel="0" collapsed="false">
      <c r="A36" s="387"/>
      <c r="B36" s="371" t="s">
        <v>588</v>
      </c>
      <c r="C36" s="432"/>
      <c r="D36" s="743" t="n">
        <f aca="false">SUM(D34:D35)</f>
        <v>76230.576056397</v>
      </c>
      <c r="E36" s="743" t="n">
        <f aca="false">SUM(E34:E35)</f>
        <v>73754.4254531398</v>
      </c>
      <c r="F36" s="743" t="n">
        <f aca="false">SUM(F34:F35)</f>
        <v>73830.8538205054</v>
      </c>
      <c r="G36" s="743" t="n">
        <f aca="false">SUM(G34:G35)</f>
        <v>72368.7130447126</v>
      </c>
      <c r="H36" s="743" t="n">
        <f aca="false">SUM(H34:H35)</f>
        <v>62041.8696504046</v>
      </c>
      <c r="I36" s="743" t="n">
        <f aca="false">SUM(I34:I35)</f>
        <v>53774.6874692154</v>
      </c>
      <c r="J36" s="743" t="n">
        <f aca="false">SUM(J34:J35)</f>
        <v>51757.6601278552</v>
      </c>
      <c r="K36" s="743" t="n">
        <f aca="false">SUM(K34:K35)</f>
        <v>49730.6715081454</v>
      </c>
      <c r="L36" s="743" t="n">
        <f aca="false">SUM(L34:L35)</f>
        <v>53154.6441667852</v>
      </c>
      <c r="M36" s="743" t="n">
        <f aca="false">SUM(M34:M35)</f>
        <v>60319.2798295973</v>
      </c>
      <c r="N36" s="743" t="n">
        <f aca="false">SUM(N34:N35)</f>
        <v>53849.3924882371</v>
      </c>
      <c r="O36" s="743" t="n">
        <f aca="false">SUM(O34:O35)</f>
        <v>48357.6838685274</v>
      </c>
      <c r="P36" s="743" t="n">
        <f aca="false">SUM(P34:P35)</f>
        <v>42875.9365271672</v>
      </c>
      <c r="Q36" s="743" t="n">
        <f aca="false">SUM(Q34:Q35)</f>
        <v>37426.2121899793</v>
      </c>
      <c r="R36" s="743" t="n">
        <f aca="false">SUM(R34:R35)</f>
        <v>31944.4648486191</v>
      </c>
      <c r="S36" s="743" t="n">
        <f aca="false">SUM(S34:S35)</f>
        <v>29401.2946203667</v>
      </c>
      <c r="T36" s="743" t="n">
        <f aca="false">SUM(T34:T35)</f>
        <v>34737.4015052221</v>
      </c>
      <c r="U36" s="743" t="n">
        <f aca="false">SUM(U34:U35)</f>
        <v>42091.7726725993</v>
      </c>
      <c r="V36" s="743" t="n">
        <f aca="false">SUM(V34:V35)</f>
        <v>52368.5795574547</v>
      </c>
      <c r="W36" s="743" t="n">
        <f aca="false">SUM(W34:W35)</f>
        <v>64621.6664423102</v>
      </c>
      <c r="X36" s="752" t="n">
        <f aca="false">SUM(X34:X35)</f>
        <v>60076.3733271655</v>
      </c>
    </row>
    <row r="37" customFormat="false" ht="12.75" hidden="false" customHeight="false" outlineLevel="0" collapsed="false">
      <c r="A37" s="750" t="s">
        <v>589</v>
      </c>
      <c r="B37" s="432"/>
      <c r="C37" s="432"/>
      <c r="D37" s="740" t="n">
        <f aca="false">D31+D36</f>
        <v>252250.597221667</v>
      </c>
      <c r="E37" s="740" t="n">
        <f aca="false">E31+E36</f>
        <v>246316.723937667</v>
      </c>
      <c r="F37" s="740" t="n">
        <f aca="false">F31+F36</f>
        <v>240440.108699747</v>
      </c>
      <c r="G37" s="740" t="n">
        <f aca="false">G31+G36</f>
        <v>232722.610378009</v>
      </c>
      <c r="H37" s="740" t="n">
        <f aca="false">H31+H36</f>
        <v>226965.715988638</v>
      </c>
      <c r="I37" s="740" t="n">
        <f aca="false">I31+I36</f>
        <v>221451.521295519</v>
      </c>
      <c r="J37" s="740" t="n">
        <f aca="false">J31+J36</f>
        <v>214054.409869535</v>
      </c>
      <c r="K37" s="740" t="n">
        <f aca="false">K31+K36</f>
        <v>208799.703296755</v>
      </c>
      <c r="L37" s="740" t="n">
        <f aca="false">L31+L36</f>
        <v>203613.365825391</v>
      </c>
      <c r="M37" s="740" t="n">
        <f aca="false">M31+M36</f>
        <v>186336.039077252</v>
      </c>
      <c r="N37" s="740" t="n">
        <f aca="false">N31+N36</f>
        <v>181292.65456004</v>
      </c>
      <c r="O37" s="740" t="n">
        <f aca="false">O31+O36</f>
        <v>176323.978805912</v>
      </c>
      <c r="P37" s="740" t="n">
        <f aca="false">P31+P36</f>
        <v>171432.25307776</v>
      </c>
      <c r="Q37" s="740" t="n">
        <f aca="false">Q31+Q36</f>
        <v>164066.534420808</v>
      </c>
      <c r="R37" s="740" t="n">
        <f aca="false">R31+R36</f>
        <v>159335.70350197</v>
      </c>
      <c r="S37" s="740" t="n">
        <f aca="false">S31+S36</f>
        <v>154688.957954166</v>
      </c>
      <c r="T37" s="740" t="n">
        <f aca="false">T31+T36</f>
        <v>132278.065909993</v>
      </c>
      <c r="U37" s="740" t="n">
        <f aca="false">U31+U36</f>
        <v>127807.134464486</v>
      </c>
      <c r="V37" s="740" t="n">
        <f aca="false">V31+V36</f>
        <v>123428.085374214</v>
      </c>
      <c r="W37" s="740" t="n">
        <f aca="false">W31+W36</f>
        <v>89485.5759605708</v>
      </c>
      <c r="X37" s="741" t="n">
        <f aca="false">X31+X36</f>
        <v>85298.643686859</v>
      </c>
    </row>
    <row r="38" customFormat="false" ht="12.75" hidden="false" customHeight="false" outlineLevel="0" collapsed="false">
      <c r="A38" s="742"/>
      <c r="B38" s="432"/>
      <c r="C38" s="432"/>
      <c r="D38" s="432"/>
      <c r="E38" s="432"/>
      <c r="F38" s="432"/>
      <c r="G38" s="432"/>
      <c r="H38" s="432"/>
      <c r="I38" s="432"/>
      <c r="J38" s="432"/>
      <c r="K38" s="432"/>
      <c r="L38" s="432"/>
      <c r="M38" s="432"/>
      <c r="N38" s="432"/>
      <c r="O38" s="432"/>
      <c r="P38" s="432"/>
      <c r="Q38" s="432"/>
      <c r="R38" s="432"/>
      <c r="S38" s="432"/>
      <c r="T38" s="432"/>
      <c r="U38" s="432"/>
      <c r="V38" s="432"/>
      <c r="W38" s="432"/>
      <c r="X38" s="435"/>
    </row>
    <row r="39" customFormat="false" ht="12.75" hidden="false" customHeight="false" outlineLevel="0" collapsed="false">
      <c r="A39" s="753" t="s">
        <v>590</v>
      </c>
      <c r="B39" s="754"/>
      <c r="C39" s="754"/>
      <c r="D39" s="755" t="n">
        <f aca="false">IF(D4&gt;ProjectLife+1,0,D22-D37)</f>
        <v>0</v>
      </c>
      <c r="E39" s="755" t="n">
        <f aca="false">IF(E4&gt;ProjectLife+1,0,E22-E37)</f>
        <v>0</v>
      </c>
      <c r="F39" s="755" t="n">
        <f aca="false">IF(F4&gt;ProjectLife+1,0,F22-F37)</f>
        <v>0</v>
      </c>
      <c r="G39" s="755" t="n">
        <f aca="false">IF(G4&gt;ProjectLife+1,0,G22-G37)</f>
        <v>0</v>
      </c>
      <c r="H39" s="755" t="n">
        <f aca="false">IF(H4&gt;ProjectLife+1,0,H22-H37)</f>
        <v>0</v>
      </c>
      <c r="I39" s="755" t="n">
        <f aca="false">IF(I4&gt;ProjectLife+1,0,I22-I37)</f>
        <v>0</v>
      </c>
      <c r="J39" s="755" t="n">
        <f aca="false">IF(J4&gt;ProjectLife+1,0,J22-J37)</f>
        <v>0</v>
      </c>
      <c r="K39" s="755" t="n">
        <f aca="false">IF(K4&gt;ProjectLife+1,0,K22-K37)</f>
        <v>0</v>
      </c>
      <c r="L39" s="755" t="n">
        <f aca="false">IF(L4&gt;ProjectLife+1,0,L22-L37)</f>
        <v>0</v>
      </c>
      <c r="M39" s="755" t="n">
        <f aca="false">IF(M4&gt;ProjectLife+1,0,M22-M37)</f>
        <v>0</v>
      </c>
      <c r="N39" s="755" t="n">
        <f aca="false">IF(N4&gt;ProjectLife+1,0,N22-N37)</f>
        <v>0</v>
      </c>
      <c r="O39" s="755" t="n">
        <f aca="false">IF(O4&gt;ProjectLife+1,0,O22-O37)</f>
        <v>0</v>
      </c>
      <c r="P39" s="755" t="n">
        <f aca="false">IF(P4&gt;ProjectLife+1,0,P22-P37)</f>
        <v>0</v>
      </c>
      <c r="Q39" s="755" t="n">
        <f aca="false">IF(Q4&gt;ProjectLife+1,0,Q22-Q37)</f>
        <v>0</v>
      </c>
      <c r="R39" s="755" t="n">
        <f aca="false">IF(R4&gt;ProjectLife+1,0,R22-R37)</f>
        <v>0</v>
      </c>
      <c r="S39" s="755" t="n">
        <f aca="false">IF(S4&gt;ProjectLife+1,0,S22-S37)</f>
        <v>0</v>
      </c>
      <c r="T39" s="755" t="n">
        <f aca="false">IF(T4&gt;ProjectLife+1,0,T22-T37)</f>
        <v>0</v>
      </c>
      <c r="U39" s="755" t="n">
        <f aca="false">IF(U4&gt;ProjectLife+1,0,U22-U37)</f>
        <v>0</v>
      </c>
      <c r="V39" s="755" t="n">
        <f aca="false">IF(V4&gt;ProjectLife+1,0,V22-V37)</f>
        <v>0</v>
      </c>
      <c r="W39" s="755" t="n">
        <f aca="false">IF(W4&gt;ProjectLife+1,0,W22-W37)</f>
        <v>0</v>
      </c>
      <c r="X39" s="756" t="n">
        <f aca="false">IF(X4&gt;ProjectLife+1,0,X22-X37)</f>
        <v>0</v>
      </c>
    </row>
    <row r="43" customFormat="false" ht="12.75" hidden="false" customHeight="false" outlineLevel="0" collapsed="false">
      <c r="A43" s="757" t="s">
        <v>591</v>
      </c>
      <c r="B43" s="758"/>
      <c r="C43" s="758"/>
      <c r="D43" s="759" t="s">
        <v>592</v>
      </c>
      <c r="E43" s="758"/>
      <c r="F43" s="758"/>
      <c r="G43" s="758"/>
      <c r="H43" s="758"/>
      <c r="I43" s="758"/>
      <c r="J43" s="758"/>
      <c r="K43" s="758"/>
      <c r="L43" s="758"/>
      <c r="M43" s="758"/>
      <c r="N43" s="758"/>
      <c r="O43" s="758"/>
      <c r="P43" s="758"/>
      <c r="Q43" s="758"/>
      <c r="R43" s="758"/>
      <c r="S43" s="758"/>
      <c r="T43" s="758"/>
      <c r="U43" s="758"/>
      <c r="V43" s="758"/>
      <c r="W43" s="758"/>
      <c r="X43" s="760"/>
    </row>
    <row r="44" customFormat="false" ht="12.75" hidden="false" customHeight="false" outlineLevel="0" collapsed="false">
      <c r="A44" s="761" t="n">
        <f aca="false">ABS((SUM(D29:X29)-SUM(D45:X45))+(SUM(D34:X34)-SUM(D46:X46)))</f>
        <v>0</v>
      </c>
      <c r="B44" s="762"/>
      <c r="C44" s="762"/>
      <c r="D44" s="762"/>
      <c r="E44" s="762"/>
      <c r="F44" s="762"/>
      <c r="G44" s="762"/>
      <c r="H44" s="762"/>
      <c r="I44" s="762"/>
      <c r="J44" s="762"/>
      <c r="K44" s="762"/>
      <c r="L44" s="762"/>
      <c r="M44" s="762"/>
      <c r="N44" s="762"/>
      <c r="O44" s="762"/>
      <c r="P44" s="762"/>
      <c r="Q44" s="762"/>
      <c r="R44" s="762"/>
      <c r="S44" s="762"/>
      <c r="T44" s="762"/>
      <c r="U44" s="762"/>
      <c r="V44" s="762"/>
      <c r="W44" s="762"/>
      <c r="X44" s="763"/>
    </row>
    <row r="45" customFormat="false" ht="12.75" hidden="false" customHeight="false" outlineLevel="0" collapsed="false">
      <c r="A45" s="764"/>
      <c r="B45" s="762" t="s">
        <v>582</v>
      </c>
      <c r="C45" s="762"/>
      <c r="D45" s="765" t="n">
        <v>175403.75</v>
      </c>
      <c r="E45" s="765" t="n">
        <v>168010.5</v>
      </c>
      <c r="F45" s="765" t="n">
        <v>157896.75</v>
      </c>
      <c r="G45" s="765" t="n">
        <v>145062.5</v>
      </c>
      <c r="H45" s="765" t="n">
        <v>137645.22</v>
      </c>
      <c r="I45" s="765" t="n">
        <v>130227.94</v>
      </c>
      <c r="J45" s="765" t="n">
        <v>121822.52</v>
      </c>
      <c r="K45" s="765" t="n">
        <v>113417.1</v>
      </c>
      <c r="L45" s="765" t="n">
        <v>99570.68</v>
      </c>
      <c r="M45" s="765" t="n">
        <v>82015.62</v>
      </c>
      <c r="N45" s="765" t="n">
        <v>78063.06</v>
      </c>
      <c r="O45" s="765" t="n">
        <v>73122.36</v>
      </c>
      <c r="P45" s="765" t="n">
        <v>68181.66</v>
      </c>
      <c r="Q45" s="765" t="n">
        <v>63240.96</v>
      </c>
      <c r="R45" s="765" t="n">
        <v>58300.26</v>
      </c>
      <c r="S45" s="765" t="n">
        <v>53359.56</v>
      </c>
      <c r="T45" s="765" t="n">
        <v>43478.16</v>
      </c>
      <c r="U45" s="765" t="n">
        <v>31620.48</v>
      </c>
      <c r="V45" s="765" t="n">
        <v>16798.38</v>
      </c>
      <c r="W45" s="765" t="n">
        <v>0</v>
      </c>
      <c r="X45" s="766" t="n">
        <v>0</v>
      </c>
    </row>
    <row r="46" customFormat="false" ht="12.75" hidden="false" customHeight="false" outlineLevel="0" collapsed="false">
      <c r="A46" s="767"/>
      <c r="B46" s="768" t="s">
        <v>586</v>
      </c>
      <c r="C46" s="768"/>
      <c r="D46" s="769" t="n">
        <v>72175.363</v>
      </c>
      <c r="E46" s="769" t="n">
        <v>72175.363</v>
      </c>
      <c r="F46" s="769" t="n">
        <v>72175.363</v>
      </c>
      <c r="G46" s="769" t="n">
        <v>72175.363</v>
      </c>
      <c r="H46" s="769" t="n">
        <v>72175.363</v>
      </c>
      <c r="I46" s="769" t="n">
        <v>72175.363</v>
      </c>
      <c r="J46" s="769" t="n">
        <v>72175.363</v>
      </c>
      <c r="K46" s="769" t="n">
        <v>72175.363</v>
      </c>
      <c r="L46" s="769" t="n">
        <v>72175.363</v>
      </c>
      <c r="M46" s="769" t="n">
        <v>72175.363</v>
      </c>
      <c r="N46" s="769" t="n">
        <v>72175.363</v>
      </c>
      <c r="O46" s="769" t="n">
        <v>72175.363</v>
      </c>
      <c r="P46" s="769" t="n">
        <v>72175.363</v>
      </c>
      <c r="Q46" s="769" t="n">
        <v>72175.363</v>
      </c>
      <c r="R46" s="769" t="n">
        <v>72175.363</v>
      </c>
      <c r="S46" s="769" t="n">
        <v>72175.363</v>
      </c>
      <c r="T46" s="769" t="n">
        <v>72175.363</v>
      </c>
      <c r="U46" s="769" t="n">
        <v>72175.363</v>
      </c>
      <c r="V46" s="769" t="n">
        <v>72175.363</v>
      </c>
      <c r="W46" s="769" t="n">
        <v>72175.363</v>
      </c>
      <c r="X46" s="770" t="n">
        <v>72175.363</v>
      </c>
    </row>
  </sheetData>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60"/>
  <sheetViews>
    <sheetView showFormulas="false" showGridLines="true" showRowColHeaders="true" showZeros="true" rightToLeft="false" tabSelected="false" showOutlineSymbols="true" defaultGridColor="true" view="normal" topLeftCell="A51" colorId="64" zoomScale="75" zoomScaleNormal="75" zoomScalePageLayoutView="85" workbookViewId="0">
      <selection pane="topLeft" activeCell="F57" activeCellId="0" sqref="F57"/>
    </sheetView>
  </sheetViews>
  <sheetFormatPr defaultColWidth="9.28125" defaultRowHeight="11.25" customHeight="true" zeroHeight="false" outlineLevelRow="0" outlineLevelCol="0"/>
  <cols>
    <col collapsed="false" customWidth="true" hidden="false" outlineLevel="0" max="1" min="1" style="1" width="15.85"/>
    <col collapsed="false" customWidth="true" hidden="false" outlineLevel="0" max="2" min="2" style="1" width="14.99"/>
    <col collapsed="false" customWidth="true" hidden="false" outlineLevel="0" max="3" min="3" style="1" width="16.56"/>
    <col collapsed="false" customWidth="false" hidden="false" outlineLevel="0" max="30" min="4" style="1" width="9.28"/>
    <col collapsed="false" customWidth="false" hidden="false" outlineLevel="0" max="257" min="31" style="4" width="9.28"/>
  </cols>
  <sheetData>
    <row r="1" customFormat="false" ht="21.75" hidden="false" customHeight="true" outlineLevel="0" collapsed="false">
      <c r="A1" s="358" t="str">
        <f aca="false">'Project Assumptions'!$A$2</f>
        <v>WILTON CENTER, Will County, IL</v>
      </c>
      <c r="B1" s="771"/>
      <c r="C1" s="688"/>
      <c r="AC1" s="474"/>
      <c r="AD1" s="371"/>
    </row>
    <row r="2" customFormat="false" ht="15.6" hidden="false" customHeight="true" outlineLevel="0" collapsed="false">
      <c r="A2" s="362" t="s">
        <v>593</v>
      </c>
      <c r="B2" s="689"/>
      <c r="C2" s="690"/>
      <c r="D2" s="473"/>
      <c r="E2" s="473"/>
      <c r="F2" s="473"/>
      <c r="G2" s="473"/>
      <c r="H2" s="473"/>
      <c r="I2" s="473"/>
      <c r="J2" s="473"/>
      <c r="K2" s="474"/>
      <c r="L2" s="473"/>
      <c r="M2" s="473"/>
      <c r="N2" s="473"/>
      <c r="O2" s="473"/>
      <c r="P2" s="473"/>
      <c r="Q2" s="474"/>
      <c r="R2" s="473"/>
      <c r="S2" s="473"/>
      <c r="T2" s="473"/>
      <c r="U2" s="473"/>
      <c r="V2" s="473"/>
      <c r="W2" s="474"/>
      <c r="X2" s="473"/>
      <c r="Y2" s="473"/>
      <c r="Z2" s="473"/>
      <c r="AA2" s="473"/>
      <c r="AB2" s="473"/>
      <c r="AC2" s="474"/>
      <c r="AD2" s="371"/>
    </row>
    <row r="3" customFormat="false" ht="15.6" hidden="false" customHeight="true" outlineLevel="0" collapsed="false">
      <c r="A3" s="631"/>
      <c r="B3" s="503"/>
      <c r="C3" s="503"/>
      <c r="D3" s="473"/>
      <c r="E3" s="473"/>
      <c r="F3" s="473"/>
      <c r="G3" s="473"/>
      <c r="H3" s="473"/>
      <c r="I3" s="473"/>
      <c r="J3" s="473"/>
      <c r="K3" s="474"/>
      <c r="L3" s="473"/>
      <c r="M3" s="473"/>
      <c r="N3" s="473"/>
      <c r="O3" s="473"/>
      <c r="P3" s="473"/>
      <c r="Q3" s="474"/>
      <c r="R3" s="473"/>
      <c r="S3" s="473"/>
      <c r="T3" s="473"/>
      <c r="U3" s="473"/>
      <c r="V3" s="473"/>
      <c r="W3" s="474"/>
      <c r="X3" s="473"/>
      <c r="Y3" s="473"/>
      <c r="Z3" s="473"/>
      <c r="AA3" s="473"/>
      <c r="AB3" s="473"/>
      <c r="AC3" s="474"/>
      <c r="AD3" s="371"/>
    </row>
    <row r="4" customFormat="false" ht="12.6" hidden="false" customHeight="true" outlineLevel="0" collapsed="false">
      <c r="A4" s="472"/>
      <c r="B4" s="432"/>
      <c r="C4" s="473"/>
      <c r="D4" s="473" t="n">
        <v>1</v>
      </c>
      <c r="E4" s="473" t="n">
        <f aca="false">D4+1</f>
        <v>2</v>
      </c>
      <c r="F4" s="473" t="n">
        <f aca="false">E4+1</f>
        <v>3</v>
      </c>
      <c r="G4" s="473" t="n">
        <f aca="false">F4+1</f>
        <v>4</v>
      </c>
      <c r="H4" s="473" t="n">
        <f aca="false">G4+1</f>
        <v>5</v>
      </c>
      <c r="I4" s="474" t="n">
        <f aca="false">H4+1</f>
        <v>6</v>
      </c>
      <c r="J4" s="473" t="n">
        <f aca="false">I4+1</f>
        <v>7</v>
      </c>
      <c r="K4" s="473" t="n">
        <f aca="false">J4+1</f>
        <v>8</v>
      </c>
      <c r="L4" s="473" t="n">
        <f aca="false">K4+1</f>
        <v>9</v>
      </c>
      <c r="M4" s="473" t="n">
        <f aca="false">L4+1</f>
        <v>10</v>
      </c>
      <c r="N4" s="473" t="n">
        <f aca="false">M4+1</f>
        <v>11</v>
      </c>
      <c r="O4" s="474" t="n">
        <f aca="false">N4+1</f>
        <v>12</v>
      </c>
      <c r="P4" s="473" t="n">
        <f aca="false">O4+1</f>
        <v>13</v>
      </c>
      <c r="Q4" s="473" t="n">
        <f aca="false">P4+1</f>
        <v>14</v>
      </c>
      <c r="R4" s="473" t="n">
        <f aca="false">Q4+1</f>
        <v>15</v>
      </c>
      <c r="S4" s="473" t="n">
        <f aca="false">R4+1</f>
        <v>16</v>
      </c>
      <c r="T4" s="473" t="n">
        <f aca="false">S4+1</f>
        <v>17</v>
      </c>
      <c r="U4" s="474" t="n">
        <f aca="false">T4+1</f>
        <v>18</v>
      </c>
      <c r="V4" s="473" t="n">
        <f aca="false">U4+1</f>
        <v>19</v>
      </c>
      <c r="W4" s="473" t="n">
        <f aca="false">V4+1</f>
        <v>20</v>
      </c>
      <c r="X4" s="473" t="n">
        <f aca="false">W4+1</f>
        <v>21</v>
      </c>
      <c r="Y4" s="473" t="n">
        <f aca="false">X4+1</f>
        <v>22</v>
      </c>
      <c r="Z4" s="473" t="n">
        <f aca="false">Y4+1</f>
        <v>23</v>
      </c>
      <c r="AA4" s="474" t="n">
        <f aca="false">Z4+1</f>
        <v>24</v>
      </c>
      <c r="AB4" s="473" t="n">
        <f aca="false">AA4+1</f>
        <v>25</v>
      </c>
      <c r="AC4" s="475"/>
      <c r="AD4" s="357"/>
      <c r="AE4" s="626"/>
      <c r="AF4" s="626"/>
      <c r="AG4" s="626"/>
      <c r="AH4" s="626"/>
      <c r="AI4" s="626"/>
      <c r="AJ4" s="626"/>
      <c r="AK4" s="626"/>
      <c r="AL4" s="626"/>
      <c r="AM4" s="626"/>
      <c r="AN4" s="626"/>
      <c r="AO4" s="626"/>
      <c r="AP4" s="626"/>
      <c r="AQ4" s="626"/>
      <c r="AR4" s="626"/>
      <c r="AS4" s="626"/>
      <c r="AT4" s="626"/>
      <c r="AU4" s="626"/>
      <c r="AV4" s="626"/>
      <c r="AW4" s="626"/>
      <c r="AX4" s="626"/>
      <c r="AY4" s="626"/>
      <c r="AZ4" s="626"/>
      <c r="BA4" s="626"/>
      <c r="BB4" s="626"/>
      <c r="BC4" s="626"/>
      <c r="BD4" s="626"/>
      <c r="BE4" s="626"/>
      <c r="BF4" s="626"/>
      <c r="BG4" s="626"/>
      <c r="BH4" s="626"/>
      <c r="BI4" s="626"/>
      <c r="BJ4" s="626"/>
      <c r="BK4" s="626"/>
      <c r="BL4" s="626"/>
      <c r="BM4" s="626"/>
      <c r="BN4" s="626"/>
      <c r="BO4" s="626"/>
      <c r="BP4" s="626"/>
      <c r="BQ4" s="626"/>
      <c r="BR4" s="626"/>
      <c r="BS4" s="626"/>
      <c r="BT4" s="626"/>
      <c r="BU4" s="626"/>
      <c r="BV4" s="626"/>
      <c r="BW4" s="626"/>
      <c r="BX4" s="626"/>
      <c r="BY4" s="626"/>
      <c r="BZ4" s="626"/>
      <c r="CA4" s="626"/>
      <c r="CB4" s="626"/>
      <c r="CC4" s="626"/>
      <c r="CD4" s="626"/>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6"/>
      <c r="ED4" s="626"/>
      <c r="EE4" s="626"/>
      <c r="EF4" s="626"/>
      <c r="EG4" s="626"/>
      <c r="EH4" s="626"/>
      <c r="EI4" s="626"/>
      <c r="EJ4" s="626"/>
      <c r="EK4" s="626"/>
      <c r="EL4" s="626"/>
      <c r="EM4" s="626"/>
      <c r="EN4" s="626"/>
      <c r="EO4" s="626"/>
      <c r="EP4" s="626"/>
      <c r="EQ4" s="626"/>
      <c r="ER4" s="626"/>
      <c r="ES4" s="626"/>
      <c r="ET4" s="626"/>
      <c r="EU4" s="626"/>
      <c r="EV4" s="626"/>
      <c r="EW4" s="626"/>
      <c r="EX4" s="626"/>
      <c r="EY4" s="626"/>
      <c r="EZ4" s="626"/>
      <c r="FA4" s="626"/>
      <c r="FB4" s="626"/>
      <c r="FC4" s="626"/>
      <c r="FD4" s="626"/>
      <c r="FE4" s="626"/>
      <c r="FF4" s="626"/>
      <c r="FG4" s="626"/>
      <c r="FH4" s="626"/>
      <c r="FI4" s="626"/>
      <c r="FJ4" s="626"/>
      <c r="FK4" s="626"/>
      <c r="FL4" s="626"/>
      <c r="FM4" s="626"/>
      <c r="FN4" s="626"/>
      <c r="FO4" s="626"/>
      <c r="FP4" s="626"/>
      <c r="FQ4" s="626"/>
      <c r="FR4" s="626"/>
      <c r="FS4" s="626"/>
      <c r="FT4" s="626"/>
      <c r="FU4" s="626"/>
      <c r="FV4" s="626"/>
      <c r="FW4" s="626"/>
      <c r="FX4" s="626"/>
      <c r="FY4" s="626"/>
      <c r="FZ4" s="626"/>
      <c r="GA4" s="626"/>
      <c r="GB4" s="626"/>
      <c r="GC4" s="626"/>
      <c r="GD4" s="626"/>
      <c r="GE4" s="626"/>
      <c r="GF4" s="626"/>
      <c r="GG4" s="626"/>
      <c r="GH4" s="626"/>
      <c r="GI4" s="626"/>
      <c r="GJ4" s="626"/>
      <c r="GK4" s="626"/>
      <c r="GL4" s="626"/>
      <c r="GM4" s="626"/>
      <c r="GN4" s="626"/>
      <c r="GO4" s="626"/>
      <c r="GP4" s="626"/>
      <c r="GQ4" s="626"/>
      <c r="GR4" s="626"/>
      <c r="GS4" s="626"/>
      <c r="GT4" s="626"/>
      <c r="GU4" s="626"/>
      <c r="GV4" s="626"/>
      <c r="GW4" s="626"/>
      <c r="GX4" s="626"/>
      <c r="GY4" s="626"/>
      <c r="GZ4" s="626"/>
      <c r="HA4" s="626"/>
      <c r="HB4" s="626"/>
      <c r="HC4" s="626"/>
      <c r="HD4" s="626"/>
      <c r="HE4" s="626"/>
      <c r="HF4" s="626"/>
      <c r="HG4" s="626"/>
      <c r="HH4" s="626"/>
      <c r="HI4" s="626"/>
      <c r="HJ4" s="626"/>
      <c r="HK4" s="626"/>
      <c r="HL4" s="626"/>
      <c r="HM4" s="626"/>
      <c r="HN4" s="626"/>
      <c r="HO4" s="626"/>
      <c r="HP4" s="626"/>
      <c r="HQ4" s="626"/>
      <c r="HR4" s="626"/>
      <c r="HS4" s="626"/>
      <c r="HT4" s="626"/>
      <c r="HU4" s="626"/>
      <c r="HV4" s="626"/>
      <c r="HW4" s="626"/>
      <c r="HX4" s="626"/>
      <c r="HY4" s="626"/>
      <c r="HZ4" s="626"/>
      <c r="IA4" s="626"/>
      <c r="IB4" s="626"/>
      <c r="IC4" s="626"/>
      <c r="ID4" s="626"/>
      <c r="IE4" s="626"/>
      <c r="IF4" s="626"/>
      <c r="IG4" s="626"/>
      <c r="IH4" s="626"/>
      <c r="II4" s="626"/>
      <c r="IJ4" s="626"/>
      <c r="IK4" s="626"/>
      <c r="IL4" s="626"/>
      <c r="IM4" s="626"/>
      <c r="IN4" s="626"/>
      <c r="IO4" s="626"/>
      <c r="IP4" s="626"/>
      <c r="IQ4" s="626"/>
      <c r="IR4" s="626"/>
      <c r="IS4" s="626"/>
      <c r="IT4" s="626"/>
      <c r="IU4" s="626"/>
      <c r="IV4" s="626"/>
      <c r="IW4" s="626"/>
    </row>
    <row r="5" customFormat="false" ht="12.6" hidden="false" customHeight="true" outlineLevel="0" collapsed="false">
      <c r="A5" s="772"/>
      <c r="B5" s="644"/>
      <c r="C5" s="773"/>
      <c r="D5" s="368" t="n">
        <f aca="false">YEAR('Project Assumptions'!G16)</f>
        <v>2000</v>
      </c>
      <c r="E5" s="368" t="n">
        <f aca="false">D5+1</f>
        <v>2001</v>
      </c>
      <c r="F5" s="368" t="n">
        <f aca="false">E5+1</f>
        <v>2002</v>
      </c>
      <c r="G5" s="368" t="n">
        <f aca="false">F5+1</f>
        <v>2003</v>
      </c>
      <c r="H5" s="368" t="n">
        <f aca="false">G5+1</f>
        <v>2004</v>
      </c>
      <c r="I5" s="368" t="n">
        <f aca="false">H5+1</f>
        <v>2005</v>
      </c>
      <c r="J5" s="368" t="n">
        <f aca="false">I5+1</f>
        <v>2006</v>
      </c>
      <c r="K5" s="368" t="n">
        <f aca="false">J5+1</f>
        <v>2007</v>
      </c>
      <c r="L5" s="368" t="n">
        <f aca="false">K5+1</f>
        <v>2008</v>
      </c>
      <c r="M5" s="368" t="n">
        <f aca="false">L5+1</f>
        <v>2009</v>
      </c>
      <c r="N5" s="368" t="n">
        <f aca="false">M5+1</f>
        <v>2010</v>
      </c>
      <c r="O5" s="368" t="n">
        <f aca="false">N5+1</f>
        <v>2011</v>
      </c>
      <c r="P5" s="368" t="n">
        <f aca="false">O5+1</f>
        <v>2012</v>
      </c>
      <c r="Q5" s="368" t="n">
        <f aca="false">P5+1</f>
        <v>2013</v>
      </c>
      <c r="R5" s="368" t="n">
        <f aca="false">Q5+1</f>
        <v>2014</v>
      </c>
      <c r="S5" s="368" t="n">
        <f aca="false">R5+1</f>
        <v>2015</v>
      </c>
      <c r="T5" s="368" t="n">
        <f aca="false">S5+1</f>
        <v>2016</v>
      </c>
      <c r="U5" s="368" t="n">
        <f aca="false">T5+1</f>
        <v>2017</v>
      </c>
      <c r="V5" s="368" t="n">
        <f aca="false">U5+1</f>
        <v>2018</v>
      </c>
      <c r="W5" s="368" t="n">
        <f aca="false">V5+1</f>
        <v>2019</v>
      </c>
      <c r="X5" s="368" t="n">
        <f aca="false">W5+1</f>
        <v>2020</v>
      </c>
      <c r="Y5" s="368" t="n">
        <f aca="false">X5+1</f>
        <v>2021</v>
      </c>
      <c r="Z5" s="368" t="n">
        <f aca="false">Y5+1</f>
        <v>2022</v>
      </c>
      <c r="AA5" s="368" t="n">
        <f aca="false">Z5+1</f>
        <v>2023</v>
      </c>
      <c r="AB5" s="369" t="n">
        <f aca="false">AA5+1</f>
        <v>2024</v>
      </c>
      <c r="AC5" s="384"/>
      <c r="AD5" s="357"/>
      <c r="AE5" s="637"/>
      <c r="AF5" s="637"/>
      <c r="AG5" s="637"/>
      <c r="AH5" s="637"/>
      <c r="AI5" s="637"/>
      <c r="AJ5" s="637"/>
      <c r="AK5" s="637"/>
      <c r="AL5" s="637"/>
      <c r="AM5" s="637"/>
      <c r="AN5" s="637"/>
      <c r="AO5" s="637"/>
      <c r="AP5" s="637"/>
      <c r="AQ5" s="637"/>
      <c r="AR5" s="637"/>
      <c r="AS5" s="637"/>
      <c r="AT5" s="637"/>
      <c r="AU5" s="637"/>
      <c r="AV5" s="637"/>
      <c r="AW5" s="637"/>
      <c r="AX5" s="637"/>
      <c r="AY5" s="637"/>
      <c r="AZ5" s="637"/>
      <c r="BA5" s="626"/>
      <c r="BB5" s="626"/>
      <c r="BC5" s="626"/>
      <c r="BD5" s="626"/>
      <c r="BE5" s="626"/>
      <c r="BF5" s="626"/>
      <c r="BG5" s="626"/>
      <c r="BH5" s="626"/>
      <c r="BI5" s="626"/>
      <c r="BJ5" s="626"/>
      <c r="BK5" s="626"/>
      <c r="BL5" s="626"/>
      <c r="BM5" s="626"/>
      <c r="BN5" s="626"/>
      <c r="BO5" s="626"/>
      <c r="BP5" s="626"/>
      <c r="BQ5" s="626"/>
      <c r="BR5" s="626"/>
      <c r="BS5" s="626"/>
      <c r="BT5" s="626"/>
      <c r="BU5" s="626"/>
      <c r="BV5" s="626"/>
      <c r="BW5" s="626"/>
      <c r="BX5" s="626"/>
      <c r="BY5" s="626"/>
      <c r="BZ5" s="626"/>
      <c r="CA5" s="626"/>
      <c r="CB5" s="626"/>
      <c r="CC5" s="626"/>
      <c r="CD5" s="626"/>
      <c r="CE5" s="626"/>
      <c r="CF5" s="626"/>
      <c r="CG5" s="626"/>
      <c r="CH5" s="626"/>
      <c r="CI5" s="626"/>
      <c r="CJ5" s="626"/>
      <c r="CK5" s="626"/>
      <c r="CL5" s="626"/>
      <c r="CM5" s="626"/>
      <c r="CN5" s="626"/>
      <c r="CO5" s="626"/>
      <c r="CP5" s="626"/>
      <c r="CQ5" s="626"/>
      <c r="CR5" s="626"/>
      <c r="CS5" s="626"/>
      <c r="CT5" s="626"/>
      <c r="CU5" s="626"/>
      <c r="CV5" s="626"/>
      <c r="CW5" s="626"/>
      <c r="CX5" s="626"/>
      <c r="CY5" s="626"/>
      <c r="CZ5" s="626"/>
      <c r="DA5" s="626"/>
      <c r="DB5" s="626"/>
      <c r="DC5" s="626"/>
      <c r="DD5" s="626"/>
      <c r="DE5" s="626"/>
      <c r="DF5" s="626"/>
      <c r="DG5" s="626"/>
      <c r="DH5" s="626"/>
      <c r="DI5" s="626"/>
      <c r="DJ5" s="626"/>
      <c r="DK5" s="626"/>
      <c r="DL5" s="626"/>
      <c r="DM5" s="626"/>
      <c r="DN5" s="626"/>
      <c r="DO5" s="626"/>
      <c r="DP5" s="626"/>
      <c r="DQ5" s="626"/>
      <c r="DR5" s="626"/>
      <c r="DS5" s="626"/>
      <c r="DT5" s="626"/>
      <c r="DU5" s="626"/>
      <c r="DV5" s="626"/>
      <c r="DW5" s="626"/>
      <c r="DX5" s="626"/>
      <c r="DY5" s="626"/>
      <c r="DZ5" s="626"/>
      <c r="EA5" s="626"/>
      <c r="EB5" s="626"/>
      <c r="EC5" s="626"/>
      <c r="ED5" s="626"/>
      <c r="EE5" s="626"/>
      <c r="EF5" s="626"/>
      <c r="EG5" s="626"/>
      <c r="EH5" s="626"/>
      <c r="EI5" s="626"/>
      <c r="EJ5" s="626"/>
      <c r="EK5" s="626"/>
      <c r="EL5" s="626"/>
      <c r="EM5" s="626"/>
      <c r="EN5" s="626"/>
      <c r="EO5" s="626"/>
      <c r="EP5" s="626"/>
      <c r="EQ5" s="626"/>
      <c r="ER5" s="626"/>
      <c r="ES5" s="626"/>
      <c r="ET5" s="626"/>
      <c r="EU5" s="626"/>
      <c r="EV5" s="626"/>
      <c r="EW5" s="626"/>
      <c r="EX5" s="626"/>
      <c r="EY5" s="626"/>
      <c r="EZ5" s="626"/>
      <c r="FA5" s="626"/>
      <c r="FB5" s="626"/>
      <c r="FC5" s="626"/>
      <c r="FD5" s="626"/>
      <c r="FE5" s="626"/>
      <c r="FF5" s="626"/>
      <c r="FG5" s="626"/>
      <c r="FH5" s="626"/>
      <c r="FI5" s="626"/>
      <c r="FJ5" s="626"/>
      <c r="FK5" s="626"/>
      <c r="FL5" s="626"/>
      <c r="FM5" s="626"/>
      <c r="FN5" s="626"/>
      <c r="FO5" s="626"/>
      <c r="FP5" s="626"/>
      <c r="FQ5" s="626"/>
      <c r="FR5" s="626"/>
      <c r="FS5" s="626"/>
      <c r="FT5" s="626"/>
      <c r="FU5" s="626"/>
      <c r="FV5" s="626"/>
      <c r="FW5" s="626"/>
      <c r="FX5" s="626"/>
      <c r="FY5" s="626"/>
      <c r="FZ5" s="626"/>
      <c r="GA5" s="626"/>
      <c r="GB5" s="626"/>
      <c r="GC5" s="626"/>
      <c r="GD5" s="626"/>
      <c r="GE5" s="626"/>
      <c r="GF5" s="626"/>
      <c r="GG5" s="626"/>
      <c r="GH5" s="626"/>
      <c r="GI5" s="626"/>
      <c r="GJ5" s="626"/>
      <c r="GK5" s="626"/>
      <c r="GL5" s="626"/>
      <c r="GM5" s="626"/>
      <c r="GN5" s="626"/>
      <c r="GO5" s="626"/>
      <c r="GP5" s="626"/>
      <c r="GQ5" s="626"/>
      <c r="GR5" s="626"/>
      <c r="GS5" s="626"/>
      <c r="GT5" s="626"/>
      <c r="GU5" s="626"/>
      <c r="GV5" s="626"/>
      <c r="GW5" s="626"/>
      <c r="GX5" s="626"/>
      <c r="GY5" s="626"/>
      <c r="GZ5" s="626"/>
      <c r="HA5" s="626"/>
      <c r="HB5" s="626"/>
      <c r="HC5" s="626"/>
      <c r="HD5" s="626"/>
      <c r="HE5" s="626"/>
      <c r="HF5" s="626"/>
      <c r="HG5" s="626"/>
      <c r="HH5" s="626"/>
      <c r="HI5" s="626"/>
      <c r="HJ5" s="626"/>
      <c r="HK5" s="626"/>
      <c r="HL5" s="626"/>
      <c r="HM5" s="626"/>
      <c r="HN5" s="626"/>
      <c r="HO5" s="626"/>
      <c r="HP5" s="626"/>
      <c r="HQ5" s="626"/>
      <c r="HR5" s="626"/>
      <c r="HS5" s="626"/>
      <c r="HT5" s="626"/>
      <c r="HU5" s="626"/>
      <c r="HV5" s="626"/>
      <c r="HW5" s="626"/>
      <c r="HX5" s="626"/>
      <c r="HY5" s="626"/>
      <c r="HZ5" s="626"/>
      <c r="IA5" s="626"/>
      <c r="IB5" s="626"/>
      <c r="IC5" s="626"/>
      <c r="ID5" s="626"/>
      <c r="IE5" s="626"/>
      <c r="IF5" s="626"/>
      <c r="IG5" s="626"/>
      <c r="IH5" s="626"/>
      <c r="II5" s="626"/>
      <c r="IJ5" s="626"/>
      <c r="IK5" s="626"/>
      <c r="IL5" s="626"/>
      <c r="IM5" s="626"/>
      <c r="IN5" s="626"/>
      <c r="IO5" s="626"/>
      <c r="IP5" s="626"/>
      <c r="IQ5" s="626"/>
      <c r="IR5" s="626"/>
      <c r="IS5" s="626"/>
      <c r="IT5" s="626"/>
      <c r="IU5" s="626"/>
      <c r="IV5" s="626"/>
      <c r="IW5" s="626"/>
    </row>
    <row r="6" customFormat="false" ht="12" hidden="false" customHeight="true" outlineLevel="0" collapsed="false">
      <c r="A6" s="774" t="s">
        <v>594</v>
      </c>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402"/>
      <c r="AC6" s="371"/>
      <c r="AD6" s="371"/>
    </row>
    <row r="7" customFormat="false" ht="12" hidden="false" customHeight="true" outlineLevel="0" collapsed="false">
      <c r="A7" s="774"/>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402"/>
      <c r="AC7" s="371"/>
      <c r="AD7" s="371"/>
    </row>
    <row r="8" customFormat="false" ht="12" hidden="false" customHeight="true" outlineLevel="0" collapsed="false">
      <c r="A8" s="775" t="s">
        <v>595</v>
      </c>
      <c r="B8" s="371"/>
      <c r="C8" s="371"/>
      <c r="D8" s="425"/>
      <c r="E8" s="425"/>
      <c r="F8" s="425"/>
      <c r="G8" s="425"/>
      <c r="H8" s="425"/>
      <c r="I8" s="425"/>
      <c r="J8" s="425"/>
      <c r="K8" s="425"/>
      <c r="L8" s="425"/>
      <c r="M8" s="425"/>
      <c r="N8" s="425"/>
      <c r="O8" s="425"/>
      <c r="P8" s="425"/>
      <c r="Q8" s="425"/>
      <c r="R8" s="425"/>
      <c r="S8" s="425"/>
      <c r="T8" s="425"/>
      <c r="U8" s="425"/>
      <c r="V8" s="425"/>
      <c r="W8" s="425"/>
      <c r="X8" s="425"/>
      <c r="Y8" s="425"/>
      <c r="Z8" s="425"/>
      <c r="AA8" s="425"/>
      <c r="AB8" s="426"/>
      <c r="AC8" s="371"/>
      <c r="AD8" s="371"/>
      <c r="AE8" s="776"/>
      <c r="AF8" s="776"/>
      <c r="AG8" s="776"/>
      <c r="AH8" s="776"/>
      <c r="AI8" s="776"/>
      <c r="AJ8" s="776"/>
      <c r="AK8" s="776"/>
      <c r="AL8" s="776"/>
      <c r="AM8" s="776"/>
      <c r="AN8" s="776"/>
      <c r="AO8" s="776"/>
      <c r="AP8" s="776"/>
      <c r="AQ8" s="776"/>
      <c r="AR8" s="776"/>
      <c r="AS8" s="776"/>
      <c r="AT8" s="776"/>
      <c r="AU8" s="776"/>
      <c r="AV8" s="776"/>
      <c r="AW8" s="776"/>
      <c r="AX8" s="776"/>
      <c r="AY8" s="776"/>
      <c r="AZ8" s="776"/>
      <c r="BA8" s="776"/>
      <c r="BB8" s="776"/>
      <c r="BC8" s="776"/>
      <c r="BD8" s="776"/>
      <c r="BE8" s="776"/>
      <c r="BF8" s="776"/>
      <c r="BG8" s="776"/>
      <c r="BH8" s="776"/>
      <c r="BI8" s="776"/>
      <c r="BJ8" s="776"/>
      <c r="BK8" s="776"/>
      <c r="BL8" s="776"/>
      <c r="BM8" s="776"/>
      <c r="BN8" s="776"/>
      <c r="BO8" s="776"/>
      <c r="BP8" s="776"/>
      <c r="BQ8" s="776"/>
      <c r="BR8" s="776"/>
      <c r="BS8" s="776"/>
      <c r="BT8" s="776"/>
      <c r="BU8" s="776"/>
      <c r="BV8" s="776"/>
      <c r="BW8" s="776"/>
      <c r="BX8" s="776"/>
      <c r="BY8" s="776"/>
      <c r="BZ8" s="776"/>
      <c r="CA8" s="776"/>
      <c r="CB8" s="776"/>
      <c r="CC8" s="776"/>
      <c r="CD8" s="776"/>
      <c r="CE8" s="776"/>
      <c r="CF8" s="776"/>
      <c r="CG8" s="776"/>
      <c r="CH8" s="776"/>
      <c r="CI8" s="776"/>
      <c r="CJ8" s="776"/>
      <c r="CK8" s="776"/>
      <c r="CL8" s="776"/>
      <c r="CM8" s="776"/>
      <c r="CN8" s="776"/>
      <c r="CO8" s="776"/>
      <c r="CP8" s="776"/>
      <c r="CQ8" s="776"/>
      <c r="CR8" s="776"/>
      <c r="CS8" s="776"/>
      <c r="CT8" s="776"/>
      <c r="CU8" s="776"/>
      <c r="CV8" s="776"/>
      <c r="CW8" s="776"/>
      <c r="CX8" s="776"/>
      <c r="CY8" s="776"/>
      <c r="CZ8" s="776"/>
      <c r="DA8" s="776"/>
      <c r="DB8" s="776"/>
      <c r="DC8" s="776"/>
      <c r="DD8" s="776"/>
      <c r="DE8" s="776"/>
      <c r="DF8" s="776"/>
      <c r="DG8" s="776"/>
      <c r="DH8" s="776"/>
      <c r="DI8" s="776"/>
      <c r="DJ8" s="776"/>
      <c r="DK8" s="776"/>
      <c r="DL8" s="776"/>
      <c r="DM8" s="776"/>
      <c r="DN8" s="776"/>
      <c r="DO8" s="776"/>
      <c r="DP8" s="776"/>
      <c r="DQ8" s="776"/>
      <c r="DR8" s="776"/>
      <c r="DS8" s="776"/>
      <c r="DT8" s="776"/>
      <c r="DU8" s="776"/>
      <c r="DV8" s="776"/>
      <c r="DW8" s="776"/>
      <c r="DX8" s="776"/>
      <c r="DY8" s="776"/>
      <c r="DZ8" s="776"/>
      <c r="EA8" s="776"/>
      <c r="EB8" s="776"/>
      <c r="EC8" s="776"/>
      <c r="ED8" s="776"/>
      <c r="EE8" s="776"/>
      <c r="EF8" s="776"/>
      <c r="EG8" s="776"/>
      <c r="EH8" s="776"/>
      <c r="EI8" s="776"/>
      <c r="EJ8" s="776"/>
      <c r="EK8" s="776"/>
      <c r="EL8" s="776"/>
      <c r="EM8" s="776"/>
      <c r="EN8" s="776"/>
      <c r="EO8" s="776"/>
      <c r="EP8" s="776"/>
      <c r="EQ8" s="776"/>
      <c r="ER8" s="776"/>
      <c r="ES8" s="776"/>
      <c r="ET8" s="776"/>
      <c r="EU8" s="776"/>
      <c r="EV8" s="776"/>
      <c r="EW8" s="776"/>
      <c r="EX8" s="776"/>
      <c r="EY8" s="776"/>
      <c r="EZ8" s="776"/>
      <c r="FA8" s="776"/>
      <c r="FB8" s="776"/>
      <c r="FC8" s="776"/>
      <c r="FD8" s="776"/>
      <c r="FE8" s="776"/>
      <c r="FF8" s="776"/>
      <c r="FG8" s="776"/>
      <c r="FH8" s="776"/>
      <c r="FI8" s="776"/>
      <c r="FJ8" s="776"/>
      <c r="FK8" s="776"/>
      <c r="FL8" s="776"/>
      <c r="FM8" s="776"/>
      <c r="FN8" s="776"/>
      <c r="FO8" s="776"/>
      <c r="FP8" s="776"/>
      <c r="FQ8" s="776"/>
      <c r="FR8" s="776"/>
      <c r="FS8" s="776"/>
      <c r="FT8" s="776"/>
      <c r="FU8" s="776"/>
      <c r="FV8" s="776"/>
      <c r="FW8" s="776"/>
      <c r="FX8" s="776"/>
      <c r="FY8" s="776"/>
      <c r="FZ8" s="776"/>
      <c r="GA8" s="776"/>
      <c r="GB8" s="776"/>
      <c r="GC8" s="776"/>
      <c r="GD8" s="776"/>
      <c r="GE8" s="776"/>
      <c r="GF8" s="776"/>
      <c r="GG8" s="776"/>
      <c r="GH8" s="776"/>
      <c r="GI8" s="776"/>
      <c r="GJ8" s="776"/>
      <c r="GK8" s="776"/>
      <c r="GL8" s="776"/>
      <c r="GM8" s="776"/>
      <c r="GN8" s="776"/>
      <c r="GO8" s="776"/>
      <c r="GP8" s="776"/>
      <c r="GQ8" s="776"/>
      <c r="GR8" s="776"/>
      <c r="GS8" s="776"/>
      <c r="GT8" s="776"/>
      <c r="GU8" s="776"/>
      <c r="GV8" s="776"/>
      <c r="GW8" s="776"/>
      <c r="GX8" s="776"/>
      <c r="GY8" s="776"/>
      <c r="GZ8" s="776"/>
      <c r="HA8" s="776"/>
      <c r="HB8" s="776"/>
      <c r="HC8" s="776"/>
      <c r="HD8" s="776"/>
      <c r="HE8" s="776"/>
      <c r="HF8" s="776"/>
      <c r="HG8" s="776"/>
      <c r="HH8" s="776"/>
      <c r="HI8" s="776"/>
      <c r="HJ8" s="776"/>
      <c r="HK8" s="776"/>
      <c r="HL8" s="776"/>
      <c r="HM8" s="776"/>
      <c r="HN8" s="776"/>
      <c r="HO8" s="776"/>
      <c r="HP8" s="776"/>
      <c r="HQ8" s="776"/>
      <c r="HR8" s="776"/>
      <c r="HS8" s="776"/>
      <c r="HT8" s="776"/>
      <c r="HU8" s="776"/>
      <c r="HV8" s="776"/>
      <c r="HW8" s="776"/>
      <c r="HX8" s="776"/>
      <c r="HY8" s="776"/>
      <c r="HZ8" s="776"/>
      <c r="IA8" s="776"/>
      <c r="IB8" s="776"/>
      <c r="IC8" s="776"/>
      <c r="ID8" s="776"/>
      <c r="IE8" s="776"/>
      <c r="IF8" s="776"/>
      <c r="IG8" s="776"/>
      <c r="IH8" s="776"/>
      <c r="II8" s="776"/>
      <c r="IJ8" s="776"/>
      <c r="IK8" s="776"/>
      <c r="IL8" s="776"/>
      <c r="IM8" s="776"/>
      <c r="IN8" s="776"/>
      <c r="IO8" s="776"/>
      <c r="IP8" s="776"/>
      <c r="IQ8" s="776"/>
      <c r="IR8" s="776"/>
      <c r="IS8" s="776"/>
      <c r="IT8" s="776"/>
      <c r="IU8" s="776"/>
      <c r="IV8" s="776"/>
      <c r="IW8" s="716"/>
    </row>
    <row r="9" customFormat="false" ht="12" hidden="false" customHeight="true" outlineLevel="0" collapsed="false">
      <c r="A9" s="76" t="s">
        <v>596</v>
      </c>
      <c r="B9" s="371"/>
      <c r="C9" s="371"/>
      <c r="D9" s="425" t="n">
        <f aca="false">BS!D46</f>
        <v>72175.363</v>
      </c>
      <c r="E9" s="425" t="n">
        <f aca="false">BS!E46</f>
        <v>72175.363</v>
      </c>
      <c r="F9" s="425" t="n">
        <f aca="false">BS!F46</f>
        <v>72175.363</v>
      </c>
      <c r="G9" s="425" t="n">
        <f aca="false">BS!G46</f>
        <v>72175.363</v>
      </c>
      <c r="H9" s="425" t="n">
        <f aca="false">BS!H46</f>
        <v>72175.363</v>
      </c>
      <c r="I9" s="425" t="n">
        <f aca="false">BS!I46</f>
        <v>72175.363</v>
      </c>
      <c r="J9" s="425" t="n">
        <f aca="false">BS!J46</f>
        <v>72175.363</v>
      </c>
      <c r="K9" s="425" t="n">
        <f aca="false">BS!K46</f>
        <v>72175.363</v>
      </c>
      <c r="L9" s="425" t="n">
        <f aca="false">BS!L46</f>
        <v>72175.363</v>
      </c>
      <c r="M9" s="425" t="n">
        <f aca="false">BS!M46</f>
        <v>72175.363</v>
      </c>
      <c r="N9" s="425" t="n">
        <f aca="false">BS!N46</f>
        <v>72175.363</v>
      </c>
      <c r="O9" s="425" t="n">
        <f aca="false">BS!O46</f>
        <v>72175.363</v>
      </c>
      <c r="P9" s="425" t="n">
        <f aca="false">BS!P46</f>
        <v>72175.363</v>
      </c>
      <c r="Q9" s="425" t="n">
        <f aca="false">BS!Q46</f>
        <v>72175.363</v>
      </c>
      <c r="R9" s="425" t="n">
        <f aca="false">BS!R46</f>
        <v>72175.363</v>
      </c>
      <c r="S9" s="425" t="n">
        <f aca="false">BS!S46</f>
        <v>72175.363</v>
      </c>
      <c r="T9" s="425" t="n">
        <f aca="false">BS!T46</f>
        <v>72175.363</v>
      </c>
      <c r="U9" s="425" t="n">
        <f aca="false">BS!U46</f>
        <v>72175.363</v>
      </c>
      <c r="V9" s="425" t="n">
        <f aca="false">BS!V46</f>
        <v>72175.363</v>
      </c>
      <c r="W9" s="425" t="n">
        <f aca="false">BS!W46</f>
        <v>72175.363</v>
      </c>
      <c r="X9" s="425" t="n">
        <f aca="false">BS!X46</f>
        <v>72175.363</v>
      </c>
      <c r="Y9" s="425" t="n">
        <f aca="false">BS!Y46</f>
        <v>0</v>
      </c>
      <c r="Z9" s="425" t="n">
        <f aca="false">BS!Z46</f>
        <v>0</v>
      </c>
      <c r="AA9" s="425" t="n">
        <f aca="false">BS!AA46</f>
        <v>0</v>
      </c>
      <c r="AB9" s="426" t="n">
        <f aca="false">BS!AB46</f>
        <v>0</v>
      </c>
      <c r="AC9" s="371"/>
      <c r="AD9" s="371"/>
      <c r="AE9" s="776"/>
      <c r="AF9" s="776"/>
      <c r="AG9" s="776"/>
      <c r="AH9" s="776"/>
      <c r="AI9" s="776"/>
      <c r="AJ9" s="776"/>
      <c r="AK9" s="776"/>
      <c r="AL9" s="776"/>
      <c r="AM9" s="776"/>
      <c r="AN9" s="776"/>
      <c r="AO9" s="776"/>
      <c r="AP9" s="776"/>
      <c r="AQ9" s="776"/>
      <c r="AR9" s="776"/>
      <c r="AS9" s="776"/>
      <c r="AT9" s="776"/>
      <c r="AU9" s="776"/>
      <c r="AV9" s="776"/>
      <c r="AW9" s="776"/>
      <c r="AX9" s="776"/>
      <c r="AY9" s="776"/>
      <c r="AZ9" s="776"/>
      <c r="BA9" s="776"/>
      <c r="BB9" s="776"/>
      <c r="BC9" s="776"/>
      <c r="BD9" s="776"/>
      <c r="BE9" s="776"/>
      <c r="BF9" s="776"/>
      <c r="BG9" s="776"/>
      <c r="BH9" s="776"/>
      <c r="BI9" s="776"/>
      <c r="BJ9" s="776"/>
      <c r="BK9" s="776"/>
      <c r="BL9" s="776"/>
      <c r="BM9" s="776"/>
      <c r="BN9" s="776"/>
      <c r="BO9" s="776"/>
      <c r="BP9" s="776"/>
      <c r="BQ9" s="776"/>
      <c r="BR9" s="776"/>
      <c r="BS9" s="776"/>
      <c r="BT9" s="776"/>
      <c r="BU9" s="776"/>
      <c r="BV9" s="776"/>
      <c r="BW9" s="776"/>
      <c r="BX9" s="776"/>
      <c r="BY9" s="776"/>
      <c r="BZ9" s="776"/>
      <c r="CA9" s="776"/>
      <c r="CB9" s="776"/>
      <c r="CC9" s="776"/>
      <c r="CD9" s="776"/>
      <c r="CE9" s="776"/>
      <c r="CF9" s="776"/>
      <c r="CG9" s="776"/>
      <c r="CH9" s="776"/>
      <c r="CI9" s="776"/>
      <c r="CJ9" s="776"/>
      <c r="CK9" s="776"/>
      <c r="CL9" s="776"/>
      <c r="CM9" s="776"/>
      <c r="CN9" s="776"/>
      <c r="CO9" s="776"/>
      <c r="CP9" s="776"/>
      <c r="CQ9" s="776"/>
      <c r="CR9" s="776"/>
      <c r="CS9" s="776"/>
      <c r="CT9" s="776"/>
      <c r="CU9" s="776"/>
      <c r="CV9" s="776"/>
      <c r="CW9" s="776"/>
      <c r="CX9" s="776"/>
      <c r="CY9" s="776"/>
      <c r="CZ9" s="776"/>
      <c r="DA9" s="776"/>
      <c r="DB9" s="776"/>
      <c r="DC9" s="776"/>
      <c r="DD9" s="776"/>
      <c r="DE9" s="776"/>
      <c r="DF9" s="776"/>
      <c r="DG9" s="776"/>
      <c r="DH9" s="776"/>
      <c r="DI9" s="776"/>
      <c r="DJ9" s="776"/>
      <c r="DK9" s="776"/>
      <c r="DL9" s="776"/>
      <c r="DM9" s="776"/>
      <c r="DN9" s="776"/>
      <c r="DO9" s="776"/>
      <c r="DP9" s="776"/>
      <c r="DQ9" s="776"/>
      <c r="DR9" s="776"/>
      <c r="DS9" s="776"/>
      <c r="DT9" s="776"/>
      <c r="DU9" s="776"/>
      <c r="DV9" s="776"/>
      <c r="DW9" s="776"/>
      <c r="DX9" s="776"/>
      <c r="DY9" s="776"/>
      <c r="DZ9" s="776"/>
      <c r="EA9" s="776"/>
      <c r="EB9" s="776"/>
      <c r="EC9" s="776"/>
      <c r="ED9" s="776"/>
      <c r="EE9" s="776"/>
      <c r="EF9" s="776"/>
      <c r="EG9" s="776"/>
      <c r="EH9" s="776"/>
      <c r="EI9" s="776"/>
      <c r="EJ9" s="776"/>
      <c r="EK9" s="776"/>
      <c r="EL9" s="776"/>
      <c r="EM9" s="776"/>
      <c r="EN9" s="776"/>
      <c r="EO9" s="776"/>
      <c r="EP9" s="776"/>
      <c r="EQ9" s="776"/>
      <c r="ER9" s="776"/>
      <c r="ES9" s="776"/>
      <c r="ET9" s="776"/>
      <c r="EU9" s="776"/>
      <c r="EV9" s="776"/>
      <c r="EW9" s="776"/>
      <c r="EX9" s="776"/>
      <c r="EY9" s="776"/>
      <c r="EZ9" s="776"/>
      <c r="FA9" s="776"/>
      <c r="FB9" s="776"/>
      <c r="FC9" s="776"/>
      <c r="FD9" s="776"/>
      <c r="FE9" s="776"/>
      <c r="FF9" s="776"/>
      <c r="FG9" s="776"/>
      <c r="FH9" s="776"/>
      <c r="FI9" s="776"/>
      <c r="FJ9" s="776"/>
      <c r="FK9" s="776"/>
      <c r="FL9" s="776"/>
      <c r="FM9" s="776"/>
      <c r="FN9" s="776"/>
      <c r="FO9" s="776"/>
      <c r="FP9" s="776"/>
      <c r="FQ9" s="776"/>
      <c r="FR9" s="776"/>
      <c r="FS9" s="776"/>
      <c r="FT9" s="776"/>
      <c r="FU9" s="776"/>
      <c r="FV9" s="776"/>
      <c r="FW9" s="776"/>
      <c r="FX9" s="776"/>
      <c r="FY9" s="776"/>
      <c r="FZ9" s="776"/>
      <c r="GA9" s="776"/>
      <c r="GB9" s="776"/>
      <c r="GC9" s="776"/>
      <c r="GD9" s="776"/>
      <c r="GE9" s="776"/>
      <c r="GF9" s="776"/>
      <c r="GG9" s="776"/>
      <c r="GH9" s="776"/>
      <c r="GI9" s="776"/>
      <c r="GJ9" s="776"/>
      <c r="GK9" s="776"/>
      <c r="GL9" s="776"/>
      <c r="GM9" s="776"/>
      <c r="GN9" s="776"/>
      <c r="GO9" s="776"/>
      <c r="GP9" s="776"/>
      <c r="GQ9" s="776"/>
      <c r="GR9" s="776"/>
      <c r="GS9" s="776"/>
      <c r="GT9" s="776"/>
      <c r="GU9" s="776"/>
      <c r="GV9" s="776"/>
      <c r="GW9" s="776"/>
      <c r="GX9" s="776"/>
      <c r="GY9" s="776"/>
      <c r="GZ9" s="776"/>
      <c r="HA9" s="776"/>
      <c r="HB9" s="776"/>
      <c r="HC9" s="776"/>
      <c r="HD9" s="776"/>
      <c r="HE9" s="776"/>
      <c r="HF9" s="776"/>
      <c r="HG9" s="776"/>
      <c r="HH9" s="776"/>
      <c r="HI9" s="776"/>
      <c r="HJ9" s="776"/>
      <c r="HK9" s="776"/>
      <c r="HL9" s="776"/>
      <c r="HM9" s="776"/>
      <c r="HN9" s="776"/>
      <c r="HO9" s="776"/>
      <c r="HP9" s="776"/>
      <c r="HQ9" s="776"/>
      <c r="HR9" s="776"/>
      <c r="HS9" s="776"/>
      <c r="HT9" s="776"/>
      <c r="HU9" s="776"/>
      <c r="HV9" s="776"/>
      <c r="HW9" s="776"/>
      <c r="HX9" s="776"/>
      <c r="HY9" s="776"/>
      <c r="HZ9" s="776"/>
      <c r="IA9" s="776"/>
      <c r="IB9" s="776"/>
      <c r="IC9" s="776"/>
      <c r="ID9" s="776"/>
      <c r="IE9" s="776"/>
      <c r="IF9" s="776"/>
      <c r="IG9" s="776"/>
      <c r="IH9" s="776"/>
      <c r="II9" s="776"/>
      <c r="IJ9" s="776"/>
      <c r="IK9" s="776"/>
      <c r="IL9" s="776"/>
      <c r="IM9" s="776"/>
      <c r="IN9" s="776"/>
      <c r="IO9" s="776"/>
      <c r="IP9" s="776"/>
      <c r="IQ9" s="776"/>
      <c r="IR9" s="776"/>
      <c r="IS9" s="776"/>
      <c r="IT9" s="776"/>
      <c r="IU9" s="776"/>
      <c r="IV9" s="776"/>
      <c r="IW9" s="716"/>
    </row>
    <row r="10" customFormat="false" ht="12" hidden="false" customHeight="true" outlineLevel="0" collapsed="false">
      <c r="A10" s="76" t="s">
        <v>597</v>
      </c>
      <c r="B10" s="371"/>
      <c r="C10" s="371"/>
      <c r="D10" s="777" t="n">
        <f aca="false">IF(D$4&gt;'Project Assumptions'!$I$15+1,0,'Project Assumptions'!$N$68)</f>
        <v>0.0015</v>
      </c>
      <c r="E10" s="777" t="n">
        <f aca="false">IF(E$4&gt;'Project Assumptions'!$I$15+1,0,'Project Assumptions'!$N$69)</f>
        <v>0.001</v>
      </c>
      <c r="F10" s="777" t="n">
        <f aca="false">IF(F$4&gt;'Project Assumptions'!$I$15+1,0,'Project Assumptions'!$N$69)</f>
        <v>0.001</v>
      </c>
      <c r="G10" s="777" t="n">
        <f aca="false">IF(G$4&gt;'Project Assumptions'!$I$15+1,0,'Project Assumptions'!$N$69)</f>
        <v>0.001</v>
      </c>
      <c r="H10" s="777" t="n">
        <f aca="false">IF(H$4&gt;'Project Assumptions'!$I$15+1,0,'Project Assumptions'!$N$69)</f>
        <v>0.001</v>
      </c>
      <c r="I10" s="777" t="n">
        <f aca="false">IF(I$4&gt;'Project Assumptions'!$I$15+1,0,'Project Assumptions'!$N$69)</f>
        <v>0.001</v>
      </c>
      <c r="J10" s="777" t="n">
        <f aca="false">IF(J$4&gt;'Project Assumptions'!$I$15+1,0,'Project Assumptions'!$N$69)</f>
        <v>0.001</v>
      </c>
      <c r="K10" s="777" t="n">
        <f aca="false">IF(K$4&gt;'Project Assumptions'!$I$15+1,0,'Project Assumptions'!$N$69)</f>
        <v>0.001</v>
      </c>
      <c r="L10" s="777" t="n">
        <f aca="false">IF(L$4&gt;'Project Assumptions'!$I$15+1,0,'Project Assumptions'!$N$69)</f>
        <v>0.001</v>
      </c>
      <c r="M10" s="777" t="n">
        <f aca="false">IF(M$4&gt;'Project Assumptions'!$I$15+1,0,'Project Assumptions'!$N$69)</f>
        <v>0.001</v>
      </c>
      <c r="N10" s="777" t="n">
        <f aca="false">IF(N$4&gt;'Project Assumptions'!$I$15+1,0,'Project Assumptions'!$N$69)</f>
        <v>0.001</v>
      </c>
      <c r="O10" s="777" t="n">
        <f aca="false">IF(O$4&gt;'Project Assumptions'!$I$15+1,0,'Project Assumptions'!$N$69)</f>
        <v>0.001</v>
      </c>
      <c r="P10" s="777" t="n">
        <f aca="false">IF(P$4&gt;'Project Assumptions'!$I$15+1,0,'Project Assumptions'!$N$69)</f>
        <v>0.001</v>
      </c>
      <c r="Q10" s="777" t="n">
        <f aca="false">IF(Q$4&gt;'Project Assumptions'!$I$15+1,0,'Project Assumptions'!$N$69)</f>
        <v>0.001</v>
      </c>
      <c r="R10" s="777" t="n">
        <f aca="false">IF(R$4&gt;'Project Assumptions'!$I$15+1,0,'Project Assumptions'!$N$69)</f>
        <v>0.001</v>
      </c>
      <c r="S10" s="777" t="n">
        <f aca="false">IF(S$4&gt;'Project Assumptions'!$I$15+1,0,'Project Assumptions'!$N$69)</f>
        <v>0.001</v>
      </c>
      <c r="T10" s="777" t="n">
        <f aca="false">IF(T$4&gt;'Project Assumptions'!$I$15+1,0,'Project Assumptions'!$N$69)</f>
        <v>0.001</v>
      </c>
      <c r="U10" s="777" t="n">
        <f aca="false">IF(U$4&gt;'Project Assumptions'!$I$15+1,0,'Project Assumptions'!$N$69)</f>
        <v>0.001</v>
      </c>
      <c r="V10" s="777" t="n">
        <f aca="false">IF(V$4&gt;'Project Assumptions'!$I$15+1,0,'Project Assumptions'!$N$69)</f>
        <v>0.001</v>
      </c>
      <c r="W10" s="777" t="n">
        <f aca="false">IF(W$4&gt;'Project Assumptions'!$I$15+1,0,'Project Assumptions'!$N$69)</f>
        <v>0.001</v>
      </c>
      <c r="X10" s="777" t="n">
        <f aca="false">IF(X$4&gt;'Project Assumptions'!$I$15+1,0,'Project Assumptions'!$N$69)</f>
        <v>0.001</v>
      </c>
      <c r="Y10" s="777" t="n">
        <f aca="false">IF(Y$4&gt;'Project Assumptions'!$I$15+1,0,'Project Assumptions'!$N$69)</f>
        <v>0</v>
      </c>
      <c r="Z10" s="777" t="n">
        <f aca="false">IF(Z$4&gt;'Project Assumptions'!$I$15+1,0,'Project Assumptions'!$N$69)</f>
        <v>0</v>
      </c>
      <c r="AA10" s="777" t="n">
        <f aca="false">IF(AA$4&gt;'Project Assumptions'!$I$15+1,0,'Project Assumptions'!$N$69)</f>
        <v>0</v>
      </c>
      <c r="AB10" s="778" t="n">
        <f aca="false">IF(AB$4&gt;'Project Assumptions'!$I$15+1,0,'Project Assumptions'!$N$69)</f>
        <v>0</v>
      </c>
      <c r="AC10" s="779"/>
      <c r="AD10" s="779"/>
      <c r="AE10" s="776"/>
      <c r="AF10" s="776"/>
      <c r="AG10" s="776"/>
      <c r="AH10" s="776"/>
      <c r="AI10" s="776"/>
      <c r="AJ10" s="776"/>
      <c r="AK10" s="776"/>
      <c r="AL10" s="776"/>
      <c r="AM10" s="776"/>
      <c r="AN10" s="776"/>
      <c r="AO10" s="776"/>
      <c r="AP10" s="776"/>
      <c r="AQ10" s="776"/>
      <c r="AR10" s="776"/>
      <c r="AS10" s="776"/>
      <c r="AT10" s="776"/>
      <c r="AU10" s="776"/>
      <c r="AV10" s="776"/>
      <c r="AW10" s="776"/>
      <c r="AX10" s="776"/>
      <c r="AY10" s="776"/>
      <c r="AZ10" s="776"/>
      <c r="BA10" s="776"/>
      <c r="BB10" s="776"/>
      <c r="BC10" s="776"/>
      <c r="BD10" s="776"/>
      <c r="BE10" s="776"/>
      <c r="BF10" s="776"/>
      <c r="BG10" s="776"/>
      <c r="BH10" s="776"/>
      <c r="BI10" s="776"/>
      <c r="BJ10" s="776"/>
      <c r="BK10" s="776"/>
      <c r="BL10" s="776"/>
      <c r="BM10" s="776"/>
      <c r="BN10" s="776"/>
      <c r="BO10" s="776"/>
      <c r="BP10" s="776"/>
      <c r="BQ10" s="776"/>
      <c r="BR10" s="776"/>
      <c r="BS10" s="776"/>
      <c r="BT10" s="776"/>
      <c r="BU10" s="776"/>
      <c r="BV10" s="776"/>
      <c r="BW10" s="776"/>
      <c r="BX10" s="776"/>
      <c r="BY10" s="776"/>
      <c r="BZ10" s="776"/>
      <c r="CA10" s="776"/>
      <c r="CB10" s="776"/>
      <c r="CC10" s="776"/>
      <c r="CD10" s="776"/>
      <c r="CE10" s="776"/>
      <c r="CF10" s="776"/>
      <c r="CG10" s="776"/>
      <c r="CH10" s="776"/>
      <c r="CI10" s="776"/>
      <c r="CJ10" s="776"/>
      <c r="CK10" s="776"/>
      <c r="CL10" s="776"/>
      <c r="CM10" s="776"/>
      <c r="CN10" s="776"/>
      <c r="CO10" s="776"/>
      <c r="CP10" s="776"/>
      <c r="CQ10" s="776"/>
      <c r="CR10" s="776"/>
      <c r="CS10" s="776"/>
      <c r="CT10" s="776"/>
      <c r="CU10" s="776"/>
      <c r="CV10" s="776"/>
      <c r="CW10" s="776"/>
      <c r="CX10" s="776"/>
      <c r="CY10" s="776"/>
      <c r="CZ10" s="776"/>
      <c r="DA10" s="776"/>
      <c r="DB10" s="776"/>
      <c r="DC10" s="776"/>
      <c r="DD10" s="776"/>
      <c r="DE10" s="776"/>
      <c r="DF10" s="776"/>
      <c r="DG10" s="776"/>
      <c r="DH10" s="776"/>
      <c r="DI10" s="776"/>
      <c r="DJ10" s="776"/>
      <c r="DK10" s="776"/>
      <c r="DL10" s="776"/>
      <c r="DM10" s="776"/>
      <c r="DN10" s="776"/>
      <c r="DO10" s="776"/>
      <c r="DP10" s="776"/>
      <c r="DQ10" s="776"/>
      <c r="DR10" s="776"/>
      <c r="DS10" s="776"/>
      <c r="DT10" s="776"/>
      <c r="DU10" s="776"/>
      <c r="DV10" s="776"/>
      <c r="DW10" s="776"/>
      <c r="DX10" s="776"/>
      <c r="DY10" s="776"/>
      <c r="DZ10" s="776"/>
      <c r="EA10" s="776"/>
      <c r="EB10" s="776"/>
      <c r="EC10" s="776"/>
      <c r="ED10" s="776"/>
      <c r="EE10" s="776"/>
      <c r="EF10" s="776"/>
      <c r="EG10" s="776"/>
      <c r="EH10" s="776"/>
      <c r="EI10" s="776"/>
      <c r="EJ10" s="776"/>
      <c r="EK10" s="776"/>
      <c r="EL10" s="776"/>
      <c r="EM10" s="776"/>
      <c r="EN10" s="776"/>
      <c r="EO10" s="776"/>
      <c r="EP10" s="776"/>
      <c r="EQ10" s="776"/>
      <c r="ER10" s="776"/>
      <c r="ES10" s="776"/>
      <c r="ET10" s="776"/>
      <c r="EU10" s="776"/>
      <c r="EV10" s="776"/>
      <c r="EW10" s="776"/>
      <c r="EX10" s="776"/>
      <c r="EY10" s="776"/>
      <c r="EZ10" s="776"/>
      <c r="FA10" s="776"/>
      <c r="FB10" s="776"/>
      <c r="FC10" s="776"/>
      <c r="FD10" s="776"/>
      <c r="FE10" s="776"/>
      <c r="FF10" s="776"/>
      <c r="FG10" s="776"/>
      <c r="FH10" s="776"/>
      <c r="FI10" s="776"/>
      <c r="FJ10" s="776"/>
      <c r="FK10" s="776"/>
      <c r="FL10" s="776"/>
      <c r="FM10" s="776"/>
      <c r="FN10" s="776"/>
      <c r="FO10" s="776"/>
      <c r="FP10" s="776"/>
      <c r="FQ10" s="776"/>
      <c r="FR10" s="776"/>
      <c r="FS10" s="776"/>
      <c r="FT10" s="776"/>
      <c r="FU10" s="776"/>
      <c r="FV10" s="776"/>
      <c r="FW10" s="776"/>
      <c r="FX10" s="776"/>
      <c r="FY10" s="776"/>
      <c r="FZ10" s="776"/>
      <c r="GA10" s="776"/>
      <c r="GB10" s="776"/>
      <c r="GC10" s="776"/>
      <c r="GD10" s="776"/>
      <c r="GE10" s="776"/>
      <c r="GF10" s="776"/>
      <c r="GG10" s="776"/>
      <c r="GH10" s="776"/>
      <c r="GI10" s="776"/>
      <c r="GJ10" s="776"/>
      <c r="GK10" s="776"/>
      <c r="GL10" s="776"/>
      <c r="GM10" s="776"/>
      <c r="GN10" s="776"/>
      <c r="GO10" s="776"/>
      <c r="GP10" s="776"/>
      <c r="GQ10" s="776"/>
      <c r="GR10" s="776"/>
      <c r="GS10" s="776"/>
      <c r="GT10" s="776"/>
      <c r="GU10" s="776"/>
      <c r="GV10" s="776"/>
      <c r="GW10" s="776"/>
      <c r="GX10" s="776"/>
      <c r="GY10" s="776"/>
      <c r="GZ10" s="776"/>
      <c r="HA10" s="776"/>
      <c r="HB10" s="776"/>
      <c r="HC10" s="776"/>
      <c r="HD10" s="776"/>
      <c r="HE10" s="776"/>
      <c r="HF10" s="776"/>
      <c r="HG10" s="776"/>
      <c r="HH10" s="776"/>
      <c r="HI10" s="776"/>
      <c r="HJ10" s="776"/>
      <c r="HK10" s="776"/>
      <c r="HL10" s="776"/>
      <c r="HM10" s="776"/>
      <c r="HN10" s="776"/>
      <c r="HO10" s="776"/>
      <c r="HP10" s="776"/>
      <c r="HQ10" s="776"/>
      <c r="HR10" s="776"/>
      <c r="HS10" s="776"/>
      <c r="HT10" s="776"/>
      <c r="HU10" s="776"/>
      <c r="HV10" s="776"/>
      <c r="HW10" s="776"/>
      <c r="HX10" s="776"/>
      <c r="HY10" s="776"/>
      <c r="HZ10" s="776"/>
      <c r="IA10" s="776"/>
      <c r="IB10" s="776"/>
      <c r="IC10" s="776"/>
      <c r="ID10" s="776"/>
      <c r="IE10" s="776"/>
      <c r="IF10" s="776"/>
      <c r="IG10" s="776"/>
      <c r="IH10" s="776"/>
      <c r="II10" s="776"/>
      <c r="IJ10" s="776"/>
      <c r="IK10" s="776"/>
      <c r="IL10" s="776"/>
      <c r="IM10" s="776"/>
      <c r="IN10" s="776"/>
      <c r="IO10" s="776"/>
      <c r="IP10" s="776"/>
      <c r="IQ10" s="776"/>
      <c r="IR10" s="776"/>
      <c r="IS10" s="776"/>
      <c r="IT10" s="686"/>
      <c r="IU10" s="686"/>
      <c r="IV10" s="686"/>
      <c r="IW10" s="686"/>
    </row>
    <row r="11" customFormat="false" ht="12" hidden="false" customHeight="true" outlineLevel="0" collapsed="false">
      <c r="A11" s="421" t="s">
        <v>598</v>
      </c>
      <c r="B11" s="422"/>
      <c r="C11" s="422"/>
      <c r="D11" s="663" t="n">
        <f aca="false">D9*D10</f>
        <v>108.2630445</v>
      </c>
      <c r="E11" s="663" t="n">
        <f aca="false">E9*E10</f>
        <v>72.175363</v>
      </c>
      <c r="F11" s="663" t="n">
        <f aca="false">F9*F10</f>
        <v>72.175363</v>
      </c>
      <c r="G11" s="663" t="n">
        <f aca="false">G9*G10</f>
        <v>72.175363</v>
      </c>
      <c r="H11" s="663" t="n">
        <f aca="false">H9*H10</f>
        <v>72.175363</v>
      </c>
      <c r="I11" s="663" t="n">
        <f aca="false">I9*I10</f>
        <v>72.175363</v>
      </c>
      <c r="J11" s="663" t="n">
        <f aca="false">J9*J10</f>
        <v>72.175363</v>
      </c>
      <c r="K11" s="663" t="n">
        <f aca="false">K9*K10</f>
        <v>72.175363</v>
      </c>
      <c r="L11" s="663" t="n">
        <f aca="false">L9*L10</f>
        <v>72.175363</v>
      </c>
      <c r="M11" s="663" t="n">
        <f aca="false">M9*M10</f>
        <v>72.175363</v>
      </c>
      <c r="N11" s="663" t="n">
        <f aca="false">N9*N10</f>
        <v>72.175363</v>
      </c>
      <c r="O11" s="663" t="n">
        <f aca="false">O9*O10</f>
        <v>72.175363</v>
      </c>
      <c r="P11" s="663" t="n">
        <f aca="false">P9*P10</f>
        <v>72.175363</v>
      </c>
      <c r="Q11" s="663" t="n">
        <f aca="false">Q9*Q10</f>
        <v>72.175363</v>
      </c>
      <c r="R11" s="663" t="n">
        <f aca="false">R9*R10</f>
        <v>72.175363</v>
      </c>
      <c r="S11" s="663" t="n">
        <f aca="false">S9*S10</f>
        <v>72.175363</v>
      </c>
      <c r="T11" s="663" t="n">
        <f aca="false">T9*T10</f>
        <v>72.175363</v>
      </c>
      <c r="U11" s="663" t="n">
        <f aca="false">U9*U10</f>
        <v>72.175363</v>
      </c>
      <c r="V11" s="663" t="n">
        <f aca="false">V9*V10</f>
        <v>72.175363</v>
      </c>
      <c r="W11" s="663" t="n">
        <f aca="false">W9*W10</f>
        <v>72.175363</v>
      </c>
      <c r="X11" s="663" t="n">
        <f aca="false">X9*X10</f>
        <v>72.175363</v>
      </c>
      <c r="Y11" s="663" t="n">
        <f aca="false">Y9*Y10</f>
        <v>0</v>
      </c>
      <c r="Z11" s="663" t="n">
        <f aca="false">Z9*Z10</f>
        <v>0</v>
      </c>
      <c r="AA11" s="663" t="n">
        <f aca="false">AA9*AA10</f>
        <v>0</v>
      </c>
      <c r="AB11" s="664" t="n">
        <f aca="false">AB9*AB10</f>
        <v>0</v>
      </c>
      <c r="AC11" s="371"/>
      <c r="AD11" s="779"/>
      <c r="AE11" s="776"/>
      <c r="AF11" s="776"/>
      <c r="AG11" s="776"/>
      <c r="AH11" s="776"/>
      <c r="AI11" s="776"/>
      <c r="AJ11" s="776"/>
      <c r="AK11" s="776"/>
      <c r="AL11" s="776"/>
      <c r="AM11" s="776"/>
      <c r="AN11" s="776"/>
      <c r="AO11" s="776"/>
      <c r="AP11" s="776"/>
      <c r="AQ11" s="776"/>
      <c r="AR11" s="776"/>
      <c r="AS11" s="776"/>
      <c r="AT11" s="776"/>
      <c r="AU11" s="776"/>
      <c r="AV11" s="776"/>
      <c r="AW11" s="776"/>
      <c r="AX11" s="776"/>
      <c r="AY11" s="776"/>
      <c r="AZ11" s="776"/>
      <c r="BA11" s="776"/>
      <c r="BB11" s="776"/>
      <c r="BC11" s="776"/>
      <c r="BD11" s="776"/>
      <c r="BE11" s="776"/>
      <c r="BF11" s="776"/>
      <c r="BG11" s="776"/>
      <c r="BH11" s="776"/>
      <c r="BI11" s="776"/>
      <c r="BJ11" s="776"/>
      <c r="BK11" s="776"/>
      <c r="BL11" s="776"/>
      <c r="BM11" s="776"/>
      <c r="BN11" s="776"/>
      <c r="BO11" s="776"/>
      <c r="BP11" s="776"/>
      <c r="BQ11" s="776"/>
      <c r="BR11" s="776"/>
      <c r="BS11" s="776"/>
      <c r="BT11" s="776"/>
      <c r="BU11" s="776"/>
      <c r="BV11" s="776"/>
      <c r="BW11" s="776"/>
      <c r="BX11" s="776"/>
      <c r="BY11" s="776"/>
      <c r="BZ11" s="776"/>
      <c r="CA11" s="776"/>
      <c r="CB11" s="776"/>
      <c r="CC11" s="776"/>
      <c r="CD11" s="776"/>
      <c r="CE11" s="776"/>
      <c r="CF11" s="776"/>
      <c r="CG11" s="776"/>
      <c r="CH11" s="776"/>
      <c r="CI11" s="776"/>
      <c r="CJ11" s="776"/>
      <c r="CK11" s="776"/>
      <c r="CL11" s="776"/>
      <c r="CM11" s="776"/>
      <c r="CN11" s="776"/>
      <c r="CO11" s="776"/>
      <c r="CP11" s="776"/>
      <c r="CQ11" s="776"/>
      <c r="CR11" s="776"/>
      <c r="CS11" s="776"/>
      <c r="CT11" s="776"/>
      <c r="CU11" s="776"/>
      <c r="CV11" s="776"/>
      <c r="CW11" s="776"/>
      <c r="CX11" s="776"/>
      <c r="CY11" s="776"/>
      <c r="CZ11" s="776"/>
      <c r="DA11" s="776"/>
      <c r="DB11" s="776"/>
      <c r="DC11" s="776"/>
      <c r="DD11" s="776"/>
      <c r="DE11" s="776"/>
      <c r="DF11" s="776"/>
      <c r="DG11" s="776"/>
      <c r="DH11" s="776"/>
      <c r="DI11" s="776"/>
      <c r="DJ11" s="776"/>
      <c r="DK11" s="776"/>
      <c r="DL11" s="776"/>
      <c r="DM11" s="776"/>
      <c r="DN11" s="776"/>
      <c r="DO11" s="776"/>
      <c r="DP11" s="776"/>
      <c r="DQ11" s="776"/>
      <c r="DR11" s="776"/>
      <c r="DS11" s="776"/>
      <c r="DT11" s="776"/>
      <c r="DU11" s="776"/>
      <c r="DV11" s="776"/>
      <c r="DW11" s="776"/>
      <c r="DX11" s="776"/>
      <c r="DY11" s="776"/>
      <c r="DZ11" s="776"/>
      <c r="EA11" s="776"/>
      <c r="EB11" s="776"/>
      <c r="EC11" s="776"/>
      <c r="ED11" s="776"/>
      <c r="EE11" s="776"/>
      <c r="EF11" s="776"/>
      <c r="EG11" s="776"/>
      <c r="EH11" s="776"/>
      <c r="EI11" s="776"/>
      <c r="EJ11" s="776"/>
      <c r="EK11" s="776"/>
      <c r="EL11" s="776"/>
      <c r="EM11" s="776"/>
      <c r="EN11" s="776"/>
      <c r="EO11" s="776"/>
      <c r="EP11" s="776"/>
      <c r="EQ11" s="776"/>
      <c r="ER11" s="776"/>
      <c r="ES11" s="776"/>
      <c r="ET11" s="776"/>
      <c r="EU11" s="776"/>
      <c r="EV11" s="776"/>
      <c r="EW11" s="776"/>
      <c r="EX11" s="776"/>
      <c r="EY11" s="776"/>
      <c r="EZ11" s="776"/>
      <c r="FA11" s="776"/>
      <c r="FB11" s="776"/>
      <c r="FC11" s="776"/>
      <c r="FD11" s="776"/>
      <c r="FE11" s="776"/>
      <c r="FF11" s="776"/>
      <c r="FG11" s="776"/>
      <c r="FH11" s="776"/>
      <c r="FI11" s="776"/>
      <c r="FJ11" s="776"/>
      <c r="FK11" s="776"/>
      <c r="FL11" s="776"/>
      <c r="FM11" s="776"/>
      <c r="FN11" s="776"/>
      <c r="FO11" s="776"/>
      <c r="FP11" s="776"/>
      <c r="FQ11" s="776"/>
      <c r="FR11" s="776"/>
      <c r="FS11" s="776"/>
      <c r="FT11" s="776"/>
      <c r="FU11" s="776"/>
      <c r="FV11" s="776"/>
      <c r="FW11" s="776"/>
      <c r="FX11" s="776"/>
      <c r="FY11" s="776"/>
      <c r="FZ11" s="776"/>
      <c r="GA11" s="776"/>
      <c r="GB11" s="776"/>
      <c r="GC11" s="776"/>
      <c r="GD11" s="776"/>
      <c r="GE11" s="776"/>
      <c r="GF11" s="776"/>
      <c r="GG11" s="776"/>
      <c r="GH11" s="776"/>
      <c r="GI11" s="776"/>
      <c r="GJ11" s="776"/>
      <c r="GK11" s="776"/>
      <c r="GL11" s="776"/>
      <c r="GM11" s="776"/>
      <c r="GN11" s="776"/>
      <c r="GO11" s="776"/>
      <c r="GP11" s="776"/>
      <c r="GQ11" s="776"/>
      <c r="GR11" s="776"/>
      <c r="GS11" s="776"/>
      <c r="GT11" s="776"/>
      <c r="GU11" s="776"/>
      <c r="GV11" s="776"/>
      <c r="GW11" s="776"/>
      <c r="GX11" s="776"/>
      <c r="GY11" s="776"/>
      <c r="GZ11" s="776"/>
      <c r="HA11" s="776"/>
      <c r="HB11" s="776"/>
      <c r="HC11" s="776"/>
      <c r="HD11" s="776"/>
      <c r="HE11" s="776"/>
      <c r="HF11" s="776"/>
      <c r="HG11" s="776"/>
      <c r="HH11" s="776"/>
      <c r="HI11" s="776"/>
      <c r="HJ11" s="776"/>
      <c r="HK11" s="776"/>
      <c r="HL11" s="776"/>
      <c r="HM11" s="776"/>
      <c r="HN11" s="776"/>
      <c r="HO11" s="776"/>
      <c r="HP11" s="776"/>
      <c r="HQ11" s="776"/>
      <c r="HR11" s="776"/>
      <c r="HS11" s="776"/>
      <c r="HT11" s="776"/>
      <c r="HU11" s="776"/>
      <c r="HV11" s="776"/>
      <c r="HW11" s="776"/>
      <c r="HX11" s="776"/>
      <c r="HY11" s="776"/>
      <c r="HZ11" s="776"/>
      <c r="IA11" s="776"/>
      <c r="IB11" s="776"/>
      <c r="IC11" s="776"/>
      <c r="ID11" s="776"/>
      <c r="IE11" s="776"/>
      <c r="IF11" s="776"/>
      <c r="IG11" s="776"/>
      <c r="IH11" s="776"/>
      <c r="II11" s="776"/>
      <c r="IJ11" s="776"/>
      <c r="IK11" s="776"/>
      <c r="IL11" s="776"/>
      <c r="IM11" s="776"/>
      <c r="IN11" s="776"/>
      <c r="IO11" s="776"/>
      <c r="IP11" s="776"/>
      <c r="IQ11" s="776"/>
      <c r="IR11" s="776"/>
      <c r="IS11" s="776"/>
      <c r="IT11" s="776"/>
      <c r="IU11" s="776"/>
      <c r="IV11" s="686"/>
      <c r="IW11" s="686"/>
    </row>
    <row r="12" customFormat="false" ht="12" hidden="false" customHeight="true" outlineLevel="0" collapsed="false">
      <c r="A12" s="397"/>
      <c r="B12" s="371"/>
      <c r="C12" s="780"/>
      <c r="D12" s="780"/>
      <c r="E12" s="780"/>
      <c r="F12" s="780"/>
      <c r="G12" s="780"/>
      <c r="H12" s="780"/>
      <c r="I12" s="780"/>
      <c r="J12" s="780"/>
      <c r="K12" s="780"/>
      <c r="L12" s="780"/>
      <c r="M12" s="780"/>
      <c r="N12" s="780"/>
      <c r="O12" s="780"/>
      <c r="P12" s="780"/>
      <c r="Q12" s="780"/>
      <c r="R12" s="780"/>
      <c r="S12" s="780"/>
      <c r="T12" s="780"/>
      <c r="U12" s="780"/>
      <c r="V12" s="780"/>
      <c r="W12" s="780"/>
      <c r="X12" s="780"/>
      <c r="Y12" s="780"/>
      <c r="Z12" s="780"/>
      <c r="AA12" s="780"/>
      <c r="AB12" s="781"/>
      <c r="AC12" s="780"/>
      <c r="AD12" s="780"/>
      <c r="AE12" s="686"/>
      <c r="AF12" s="686"/>
      <c r="AG12" s="686"/>
      <c r="AH12" s="686"/>
      <c r="AI12" s="686"/>
      <c r="AJ12" s="686"/>
      <c r="AK12" s="686"/>
      <c r="AL12" s="686"/>
      <c r="AM12" s="686"/>
      <c r="AN12" s="686"/>
      <c r="AO12" s="686"/>
      <c r="AP12" s="686"/>
      <c r="AQ12" s="686"/>
      <c r="AR12" s="686"/>
      <c r="AS12" s="686"/>
      <c r="AT12" s="686"/>
      <c r="AU12" s="686"/>
      <c r="AV12" s="686"/>
      <c r="AW12" s="686"/>
      <c r="AX12" s="686"/>
      <c r="AY12" s="686"/>
      <c r="AZ12" s="686"/>
      <c r="BA12" s="686"/>
      <c r="BB12" s="686"/>
      <c r="BC12" s="686"/>
      <c r="BD12" s="686"/>
      <c r="BE12" s="686"/>
      <c r="BF12" s="686"/>
      <c r="BG12" s="686"/>
      <c r="BH12" s="686"/>
      <c r="BI12" s="686"/>
      <c r="BJ12" s="686"/>
      <c r="BK12" s="686"/>
      <c r="BL12" s="686"/>
      <c r="BM12" s="686"/>
      <c r="BN12" s="686"/>
      <c r="BO12" s="686"/>
      <c r="BP12" s="686"/>
      <c r="BQ12" s="686"/>
      <c r="BR12" s="686"/>
      <c r="BS12" s="686"/>
      <c r="BT12" s="686"/>
      <c r="BU12" s="686"/>
      <c r="BV12" s="686"/>
      <c r="BW12" s="686"/>
      <c r="BX12" s="686"/>
      <c r="BY12" s="686"/>
      <c r="BZ12" s="686"/>
      <c r="CA12" s="686"/>
      <c r="CB12" s="686"/>
      <c r="CC12" s="686"/>
      <c r="CD12" s="686"/>
      <c r="CE12" s="686"/>
      <c r="CF12" s="686"/>
      <c r="CG12" s="686"/>
      <c r="CH12" s="686"/>
      <c r="CI12" s="686"/>
      <c r="CJ12" s="686"/>
      <c r="CK12" s="686"/>
      <c r="CL12" s="686"/>
      <c r="CM12" s="686"/>
      <c r="CN12" s="686"/>
      <c r="CO12" s="686"/>
      <c r="CP12" s="686"/>
      <c r="CQ12" s="686"/>
      <c r="CR12" s="686"/>
      <c r="CS12" s="686"/>
      <c r="CT12" s="686"/>
      <c r="CU12" s="686"/>
      <c r="CV12" s="686"/>
      <c r="CW12" s="686"/>
      <c r="CX12" s="686"/>
      <c r="CY12" s="686"/>
      <c r="CZ12" s="686"/>
      <c r="DA12" s="686"/>
      <c r="DB12" s="686"/>
      <c r="DC12" s="686"/>
      <c r="DD12" s="686"/>
      <c r="DE12" s="686"/>
      <c r="DF12" s="686"/>
      <c r="DG12" s="686"/>
      <c r="DH12" s="686"/>
      <c r="DI12" s="686"/>
      <c r="DJ12" s="686"/>
      <c r="DK12" s="686"/>
      <c r="DL12" s="686"/>
      <c r="DM12" s="686"/>
      <c r="DN12" s="686"/>
      <c r="DO12" s="686"/>
      <c r="DP12" s="686"/>
      <c r="DQ12" s="686"/>
      <c r="DR12" s="686"/>
      <c r="DS12" s="686"/>
      <c r="DT12" s="686"/>
      <c r="DU12" s="686"/>
      <c r="DV12" s="686"/>
      <c r="DW12" s="686"/>
      <c r="DX12" s="686"/>
      <c r="DY12" s="686"/>
      <c r="DZ12" s="686"/>
      <c r="EA12" s="686"/>
      <c r="EB12" s="686"/>
      <c r="EC12" s="686"/>
      <c r="ED12" s="686"/>
      <c r="EE12" s="686"/>
      <c r="EF12" s="686"/>
      <c r="EG12" s="686"/>
      <c r="EH12" s="686"/>
      <c r="EI12" s="686"/>
      <c r="EJ12" s="686"/>
      <c r="EK12" s="686"/>
      <c r="EL12" s="686"/>
      <c r="EM12" s="686"/>
      <c r="EN12" s="686"/>
      <c r="EO12" s="686"/>
      <c r="EP12" s="686"/>
      <c r="EQ12" s="686"/>
      <c r="ER12" s="686"/>
      <c r="ES12" s="686"/>
      <c r="ET12" s="686"/>
      <c r="EU12" s="686"/>
      <c r="EV12" s="686"/>
      <c r="EW12" s="686"/>
      <c r="EX12" s="686"/>
      <c r="EY12" s="686"/>
      <c r="EZ12" s="686"/>
      <c r="FA12" s="686"/>
      <c r="FB12" s="686"/>
      <c r="FC12" s="686"/>
      <c r="FD12" s="686"/>
      <c r="FE12" s="686"/>
      <c r="FF12" s="686"/>
      <c r="FG12" s="686"/>
      <c r="FH12" s="686"/>
      <c r="FI12" s="686"/>
      <c r="FJ12" s="686"/>
      <c r="FK12" s="686"/>
      <c r="FL12" s="686"/>
      <c r="FM12" s="686"/>
      <c r="FN12" s="686"/>
      <c r="FO12" s="686"/>
      <c r="FP12" s="686"/>
      <c r="FQ12" s="686"/>
      <c r="FR12" s="686"/>
      <c r="FS12" s="686"/>
      <c r="FT12" s="686"/>
      <c r="FU12" s="686"/>
      <c r="FV12" s="686"/>
      <c r="FW12" s="686"/>
      <c r="FX12" s="686"/>
      <c r="FY12" s="686"/>
      <c r="FZ12" s="686"/>
      <c r="GA12" s="686"/>
      <c r="GB12" s="686"/>
      <c r="GC12" s="686"/>
      <c r="GD12" s="686"/>
      <c r="GE12" s="686"/>
      <c r="GF12" s="686"/>
      <c r="GG12" s="686"/>
      <c r="GH12" s="686"/>
      <c r="GI12" s="686"/>
      <c r="GJ12" s="686"/>
      <c r="GK12" s="686"/>
      <c r="GL12" s="686"/>
      <c r="GM12" s="686"/>
      <c r="GN12" s="686"/>
      <c r="GO12" s="686"/>
      <c r="GP12" s="686"/>
      <c r="GQ12" s="686"/>
      <c r="GR12" s="686"/>
      <c r="GS12" s="686"/>
      <c r="GT12" s="686"/>
      <c r="GU12" s="686"/>
      <c r="GV12" s="686"/>
      <c r="GW12" s="686"/>
      <c r="GX12" s="686"/>
      <c r="GY12" s="686"/>
      <c r="GZ12" s="686"/>
      <c r="HA12" s="686"/>
      <c r="HB12" s="686"/>
      <c r="HC12" s="686"/>
      <c r="HD12" s="686"/>
      <c r="HE12" s="686"/>
      <c r="HF12" s="686"/>
      <c r="HG12" s="686"/>
      <c r="HH12" s="686"/>
      <c r="HI12" s="686"/>
      <c r="HJ12" s="686"/>
      <c r="HK12" s="686"/>
      <c r="HL12" s="686"/>
      <c r="HM12" s="686"/>
      <c r="HN12" s="686"/>
      <c r="HO12" s="686"/>
      <c r="HP12" s="686"/>
      <c r="HQ12" s="686"/>
      <c r="HR12" s="686"/>
      <c r="HS12" s="686"/>
      <c r="HT12" s="686"/>
      <c r="HU12" s="686"/>
      <c r="HV12" s="686"/>
      <c r="HW12" s="686"/>
      <c r="HX12" s="686"/>
      <c r="HY12" s="686"/>
      <c r="HZ12" s="686"/>
      <c r="IA12" s="686"/>
      <c r="IB12" s="686"/>
      <c r="IC12" s="686"/>
      <c r="ID12" s="686"/>
      <c r="IE12" s="686"/>
      <c r="IF12" s="686"/>
      <c r="IG12" s="686"/>
      <c r="IH12" s="686"/>
      <c r="II12" s="686"/>
      <c r="IJ12" s="686"/>
      <c r="IK12" s="686"/>
      <c r="IL12" s="686"/>
      <c r="IM12" s="686"/>
      <c r="IN12" s="686"/>
      <c r="IO12" s="686"/>
      <c r="IP12" s="686"/>
      <c r="IQ12" s="686"/>
      <c r="IR12" s="686"/>
      <c r="IS12" s="686"/>
      <c r="IT12" s="686"/>
      <c r="IU12" s="686"/>
      <c r="IV12" s="686"/>
      <c r="IW12" s="686"/>
    </row>
    <row r="13" customFormat="false" ht="12" hidden="false" customHeight="true" outlineLevel="0" collapsed="false">
      <c r="A13" s="76"/>
      <c r="B13" s="371"/>
      <c r="C13" s="371"/>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6"/>
      <c r="AC13" s="371"/>
      <c r="AD13" s="371"/>
      <c r="AE13" s="776"/>
      <c r="AF13" s="776"/>
      <c r="AG13" s="776"/>
      <c r="AH13" s="776"/>
      <c r="AI13" s="776"/>
      <c r="AJ13" s="776"/>
      <c r="AK13" s="776"/>
      <c r="AL13" s="776"/>
      <c r="AM13" s="776"/>
      <c r="AN13" s="776"/>
      <c r="AO13" s="776"/>
      <c r="AP13" s="776"/>
      <c r="AQ13" s="776"/>
      <c r="AR13" s="776"/>
      <c r="AS13" s="776"/>
      <c r="AT13" s="776"/>
      <c r="AU13" s="776"/>
      <c r="AV13" s="776"/>
      <c r="AW13" s="776"/>
      <c r="AX13" s="776"/>
      <c r="AY13" s="776"/>
      <c r="AZ13" s="776"/>
      <c r="BA13" s="776"/>
      <c r="BB13" s="776"/>
      <c r="BC13" s="776"/>
      <c r="BD13" s="776"/>
      <c r="BE13" s="776"/>
      <c r="BF13" s="776"/>
      <c r="BG13" s="776"/>
      <c r="BH13" s="776"/>
      <c r="BI13" s="776"/>
      <c r="BJ13" s="776"/>
      <c r="BK13" s="776"/>
      <c r="BL13" s="776"/>
      <c r="BM13" s="776"/>
      <c r="BN13" s="776"/>
      <c r="BO13" s="776"/>
      <c r="BP13" s="776"/>
      <c r="BQ13" s="776"/>
      <c r="BR13" s="776"/>
      <c r="BS13" s="776"/>
      <c r="BT13" s="776"/>
      <c r="BU13" s="776"/>
      <c r="BV13" s="776"/>
      <c r="BW13" s="776"/>
      <c r="BX13" s="776"/>
      <c r="BY13" s="776"/>
      <c r="BZ13" s="776"/>
      <c r="CA13" s="776"/>
      <c r="CB13" s="776"/>
      <c r="CC13" s="776"/>
      <c r="CD13" s="776"/>
      <c r="CE13" s="776"/>
      <c r="CF13" s="776"/>
      <c r="CG13" s="776"/>
      <c r="CH13" s="776"/>
      <c r="CI13" s="776"/>
      <c r="CJ13" s="776"/>
      <c r="CK13" s="776"/>
      <c r="CL13" s="776"/>
      <c r="CM13" s="776"/>
      <c r="CN13" s="776"/>
      <c r="CO13" s="776"/>
      <c r="CP13" s="776"/>
      <c r="CQ13" s="776"/>
      <c r="CR13" s="776"/>
      <c r="CS13" s="776"/>
      <c r="CT13" s="776"/>
      <c r="CU13" s="776"/>
      <c r="CV13" s="776"/>
      <c r="CW13" s="776"/>
      <c r="CX13" s="776"/>
      <c r="CY13" s="776"/>
      <c r="CZ13" s="776"/>
      <c r="DA13" s="776"/>
      <c r="DB13" s="776"/>
      <c r="DC13" s="776"/>
      <c r="DD13" s="776"/>
      <c r="DE13" s="776"/>
      <c r="DF13" s="776"/>
      <c r="DG13" s="776"/>
      <c r="DH13" s="776"/>
      <c r="DI13" s="776"/>
      <c r="DJ13" s="776"/>
      <c r="DK13" s="776"/>
      <c r="DL13" s="776"/>
      <c r="DM13" s="776"/>
      <c r="DN13" s="776"/>
      <c r="DO13" s="776"/>
      <c r="DP13" s="776"/>
      <c r="DQ13" s="776"/>
      <c r="DR13" s="776"/>
      <c r="DS13" s="776"/>
      <c r="DT13" s="776"/>
      <c r="DU13" s="776"/>
      <c r="DV13" s="776"/>
      <c r="DW13" s="776"/>
      <c r="DX13" s="776"/>
      <c r="DY13" s="776"/>
      <c r="DZ13" s="776"/>
      <c r="EA13" s="776"/>
      <c r="EB13" s="776"/>
      <c r="EC13" s="776"/>
      <c r="ED13" s="776"/>
      <c r="EE13" s="776"/>
      <c r="EF13" s="776"/>
      <c r="EG13" s="776"/>
      <c r="EH13" s="776"/>
      <c r="EI13" s="776"/>
      <c r="EJ13" s="776"/>
      <c r="EK13" s="776"/>
      <c r="EL13" s="776"/>
      <c r="EM13" s="776"/>
      <c r="EN13" s="776"/>
      <c r="EO13" s="776"/>
      <c r="EP13" s="776"/>
      <c r="EQ13" s="776"/>
      <c r="ER13" s="776"/>
      <c r="ES13" s="776"/>
      <c r="ET13" s="776"/>
      <c r="EU13" s="776"/>
      <c r="EV13" s="776"/>
      <c r="EW13" s="776"/>
      <c r="EX13" s="776"/>
      <c r="EY13" s="776"/>
      <c r="EZ13" s="776"/>
      <c r="FA13" s="776"/>
      <c r="FB13" s="776"/>
      <c r="FC13" s="776"/>
      <c r="FD13" s="776"/>
      <c r="FE13" s="776"/>
      <c r="FF13" s="776"/>
      <c r="FG13" s="776"/>
      <c r="FH13" s="776"/>
      <c r="FI13" s="776"/>
      <c r="FJ13" s="776"/>
      <c r="FK13" s="776"/>
      <c r="FL13" s="776"/>
      <c r="FM13" s="776"/>
      <c r="FN13" s="776"/>
      <c r="FO13" s="776"/>
      <c r="FP13" s="776"/>
      <c r="FQ13" s="776"/>
      <c r="FR13" s="776"/>
      <c r="FS13" s="776"/>
      <c r="FT13" s="776"/>
      <c r="FU13" s="776"/>
      <c r="FV13" s="776"/>
      <c r="FW13" s="776"/>
      <c r="FX13" s="776"/>
      <c r="FY13" s="776"/>
      <c r="FZ13" s="776"/>
      <c r="GA13" s="776"/>
      <c r="GB13" s="776"/>
      <c r="GC13" s="776"/>
      <c r="GD13" s="776"/>
      <c r="GE13" s="776"/>
      <c r="GF13" s="776"/>
      <c r="GG13" s="776"/>
      <c r="GH13" s="776"/>
      <c r="GI13" s="776"/>
      <c r="GJ13" s="776"/>
      <c r="GK13" s="776"/>
      <c r="GL13" s="776"/>
      <c r="GM13" s="776"/>
      <c r="GN13" s="776"/>
      <c r="GO13" s="776"/>
      <c r="GP13" s="776"/>
      <c r="GQ13" s="776"/>
      <c r="GR13" s="776"/>
      <c r="GS13" s="776"/>
      <c r="GT13" s="776"/>
      <c r="GU13" s="776"/>
      <c r="GV13" s="776"/>
      <c r="GW13" s="776"/>
      <c r="GX13" s="776"/>
      <c r="GY13" s="776"/>
      <c r="GZ13" s="776"/>
      <c r="HA13" s="776"/>
      <c r="HB13" s="776"/>
      <c r="HC13" s="776"/>
      <c r="HD13" s="776"/>
      <c r="HE13" s="776"/>
      <c r="HF13" s="776"/>
      <c r="HG13" s="776"/>
      <c r="HH13" s="776"/>
      <c r="HI13" s="776"/>
      <c r="HJ13" s="776"/>
      <c r="HK13" s="776"/>
      <c r="HL13" s="776"/>
      <c r="HM13" s="776"/>
      <c r="HN13" s="776"/>
      <c r="HO13" s="776"/>
      <c r="HP13" s="776"/>
      <c r="HQ13" s="776"/>
      <c r="HR13" s="776"/>
      <c r="HS13" s="776"/>
      <c r="HT13" s="776"/>
      <c r="HU13" s="776"/>
      <c r="HV13" s="776"/>
      <c r="HW13" s="776"/>
      <c r="HX13" s="776"/>
      <c r="HY13" s="776"/>
      <c r="HZ13" s="776"/>
      <c r="IA13" s="776"/>
      <c r="IB13" s="776"/>
      <c r="IC13" s="776"/>
      <c r="ID13" s="776"/>
      <c r="IE13" s="776"/>
      <c r="IF13" s="776"/>
      <c r="IG13" s="776"/>
      <c r="IH13" s="776"/>
      <c r="II13" s="776"/>
      <c r="IJ13" s="776"/>
      <c r="IK13" s="776"/>
      <c r="IL13" s="776"/>
      <c r="IM13" s="776"/>
      <c r="IN13" s="776"/>
      <c r="IO13" s="776"/>
      <c r="IP13" s="776"/>
      <c r="IQ13" s="776"/>
      <c r="IR13" s="776"/>
      <c r="IS13" s="776"/>
      <c r="IT13" s="776"/>
      <c r="IU13" s="776"/>
      <c r="IV13" s="776"/>
      <c r="IW13" s="716"/>
    </row>
    <row r="14" customFormat="false" ht="12" hidden="false" customHeight="true" outlineLevel="0" collapsed="false">
      <c r="A14" s="782" t="s">
        <v>599</v>
      </c>
      <c r="B14" s="371"/>
      <c r="C14" s="371"/>
      <c r="D14" s="727"/>
      <c r="E14" s="727"/>
      <c r="F14" s="727"/>
      <c r="G14" s="727"/>
      <c r="H14" s="727"/>
      <c r="I14" s="727"/>
      <c r="J14" s="727"/>
      <c r="K14" s="727"/>
      <c r="L14" s="727"/>
      <c r="M14" s="727"/>
      <c r="N14" s="727"/>
      <c r="O14" s="727"/>
      <c r="P14" s="727"/>
      <c r="Q14" s="727"/>
      <c r="R14" s="727"/>
      <c r="S14" s="727"/>
      <c r="T14" s="727"/>
      <c r="U14" s="727"/>
      <c r="V14" s="727"/>
      <c r="W14" s="727"/>
      <c r="X14" s="727"/>
      <c r="Y14" s="727"/>
      <c r="Z14" s="727"/>
      <c r="AA14" s="727"/>
      <c r="AB14" s="783"/>
      <c r="AC14" s="371"/>
      <c r="AD14" s="371"/>
      <c r="AE14" s="776"/>
      <c r="AF14" s="776"/>
      <c r="AG14" s="776"/>
      <c r="AH14" s="776"/>
      <c r="AI14" s="776"/>
      <c r="AJ14" s="776"/>
      <c r="AK14" s="776"/>
      <c r="AL14" s="776"/>
      <c r="AM14" s="776"/>
      <c r="AN14" s="776"/>
      <c r="AO14" s="776"/>
      <c r="AP14" s="776"/>
      <c r="AQ14" s="776"/>
      <c r="AR14" s="776"/>
      <c r="AS14" s="776"/>
      <c r="AT14" s="776"/>
      <c r="AU14" s="776"/>
      <c r="AV14" s="776"/>
      <c r="AW14" s="776"/>
      <c r="AX14" s="776"/>
      <c r="AY14" s="776"/>
      <c r="AZ14" s="776"/>
      <c r="BA14" s="776"/>
      <c r="BB14" s="776"/>
      <c r="BC14" s="776"/>
      <c r="BD14" s="776"/>
      <c r="BE14" s="776"/>
      <c r="BF14" s="776"/>
      <c r="BG14" s="776"/>
      <c r="BH14" s="776"/>
      <c r="BI14" s="776"/>
      <c r="BJ14" s="776"/>
      <c r="BK14" s="776"/>
      <c r="BL14" s="776"/>
      <c r="BM14" s="776"/>
      <c r="BN14" s="776"/>
      <c r="BO14" s="776"/>
      <c r="BP14" s="776"/>
      <c r="BQ14" s="776"/>
      <c r="BR14" s="776"/>
      <c r="BS14" s="776"/>
      <c r="BT14" s="776"/>
      <c r="BU14" s="776"/>
      <c r="BV14" s="776"/>
      <c r="BW14" s="776"/>
      <c r="BX14" s="776"/>
      <c r="BY14" s="776"/>
      <c r="BZ14" s="776"/>
      <c r="CA14" s="776"/>
      <c r="CB14" s="776"/>
      <c r="CC14" s="776"/>
      <c r="CD14" s="776"/>
      <c r="CE14" s="776"/>
      <c r="CF14" s="776"/>
      <c r="CG14" s="776"/>
      <c r="CH14" s="776"/>
      <c r="CI14" s="776"/>
      <c r="CJ14" s="776"/>
      <c r="CK14" s="776"/>
      <c r="CL14" s="776"/>
      <c r="CM14" s="776"/>
      <c r="CN14" s="776"/>
      <c r="CO14" s="776"/>
      <c r="CP14" s="776"/>
      <c r="CQ14" s="776"/>
      <c r="CR14" s="776"/>
      <c r="CS14" s="776"/>
      <c r="CT14" s="776"/>
      <c r="CU14" s="776"/>
      <c r="CV14" s="776"/>
      <c r="CW14" s="776"/>
      <c r="CX14" s="776"/>
      <c r="CY14" s="776"/>
      <c r="CZ14" s="776"/>
      <c r="DA14" s="776"/>
      <c r="DB14" s="776"/>
      <c r="DC14" s="776"/>
      <c r="DD14" s="776"/>
      <c r="DE14" s="776"/>
      <c r="DF14" s="776"/>
      <c r="DG14" s="776"/>
      <c r="DH14" s="776"/>
      <c r="DI14" s="776"/>
      <c r="DJ14" s="776"/>
      <c r="DK14" s="776"/>
      <c r="DL14" s="776"/>
      <c r="DM14" s="776"/>
      <c r="DN14" s="776"/>
      <c r="DO14" s="776"/>
      <c r="DP14" s="776"/>
      <c r="DQ14" s="776"/>
      <c r="DR14" s="776"/>
      <c r="DS14" s="776"/>
      <c r="DT14" s="776"/>
      <c r="DU14" s="776"/>
      <c r="DV14" s="776"/>
      <c r="DW14" s="776"/>
      <c r="DX14" s="776"/>
      <c r="DY14" s="776"/>
      <c r="DZ14" s="776"/>
      <c r="EA14" s="776"/>
      <c r="EB14" s="776"/>
      <c r="EC14" s="776"/>
      <c r="ED14" s="776"/>
      <c r="EE14" s="776"/>
      <c r="EF14" s="776"/>
      <c r="EG14" s="776"/>
      <c r="EH14" s="776"/>
      <c r="EI14" s="776"/>
      <c r="EJ14" s="776"/>
      <c r="EK14" s="776"/>
      <c r="EL14" s="776"/>
      <c r="EM14" s="776"/>
      <c r="EN14" s="776"/>
      <c r="EO14" s="776"/>
      <c r="EP14" s="776"/>
      <c r="EQ14" s="776"/>
      <c r="ER14" s="776"/>
      <c r="ES14" s="776"/>
      <c r="ET14" s="776"/>
      <c r="EU14" s="776"/>
      <c r="EV14" s="776"/>
      <c r="EW14" s="776"/>
      <c r="EX14" s="776"/>
      <c r="EY14" s="776"/>
      <c r="EZ14" s="776"/>
      <c r="FA14" s="776"/>
      <c r="FB14" s="776"/>
      <c r="FC14" s="776"/>
      <c r="FD14" s="776"/>
      <c r="FE14" s="776"/>
      <c r="FF14" s="776"/>
      <c r="FG14" s="776"/>
      <c r="FH14" s="776"/>
      <c r="FI14" s="776"/>
      <c r="FJ14" s="776"/>
      <c r="FK14" s="776"/>
      <c r="FL14" s="776"/>
      <c r="FM14" s="776"/>
      <c r="FN14" s="776"/>
      <c r="FO14" s="776"/>
      <c r="FP14" s="776"/>
      <c r="FQ14" s="776"/>
      <c r="FR14" s="776"/>
      <c r="FS14" s="776"/>
      <c r="FT14" s="776"/>
      <c r="FU14" s="776"/>
      <c r="FV14" s="776"/>
      <c r="FW14" s="776"/>
      <c r="FX14" s="776"/>
      <c r="FY14" s="776"/>
      <c r="FZ14" s="776"/>
      <c r="GA14" s="776"/>
      <c r="GB14" s="776"/>
      <c r="GC14" s="776"/>
      <c r="GD14" s="776"/>
      <c r="GE14" s="776"/>
      <c r="GF14" s="776"/>
      <c r="GG14" s="776"/>
      <c r="GH14" s="776"/>
      <c r="GI14" s="776"/>
      <c r="GJ14" s="776"/>
      <c r="GK14" s="776"/>
      <c r="GL14" s="776"/>
      <c r="GM14" s="776"/>
      <c r="GN14" s="776"/>
      <c r="GO14" s="776"/>
      <c r="GP14" s="776"/>
      <c r="GQ14" s="776"/>
      <c r="GR14" s="776"/>
      <c r="GS14" s="776"/>
      <c r="GT14" s="776"/>
      <c r="GU14" s="776"/>
      <c r="GV14" s="776"/>
      <c r="GW14" s="776"/>
      <c r="GX14" s="776"/>
      <c r="GY14" s="776"/>
      <c r="GZ14" s="776"/>
      <c r="HA14" s="776"/>
      <c r="HB14" s="776"/>
      <c r="HC14" s="776"/>
      <c r="HD14" s="776"/>
      <c r="HE14" s="776"/>
      <c r="HF14" s="776"/>
      <c r="HG14" s="776"/>
      <c r="HH14" s="776"/>
      <c r="HI14" s="776"/>
      <c r="HJ14" s="776"/>
      <c r="HK14" s="776"/>
      <c r="HL14" s="776"/>
      <c r="HM14" s="776"/>
      <c r="HN14" s="776"/>
      <c r="HO14" s="776"/>
      <c r="HP14" s="776"/>
      <c r="HQ14" s="776"/>
      <c r="HR14" s="776"/>
      <c r="HS14" s="776"/>
      <c r="HT14" s="776"/>
      <c r="HU14" s="776"/>
      <c r="HV14" s="776"/>
      <c r="HW14" s="776"/>
      <c r="HX14" s="776"/>
      <c r="HY14" s="776"/>
      <c r="HZ14" s="776"/>
      <c r="IA14" s="776"/>
      <c r="IB14" s="776"/>
      <c r="IC14" s="776"/>
      <c r="ID14" s="776"/>
      <c r="IE14" s="776"/>
      <c r="IF14" s="776"/>
      <c r="IG14" s="776"/>
      <c r="IH14" s="776"/>
      <c r="II14" s="776"/>
      <c r="IJ14" s="776"/>
      <c r="IK14" s="776"/>
      <c r="IL14" s="776"/>
      <c r="IM14" s="776"/>
      <c r="IN14" s="776"/>
      <c r="IO14" s="776"/>
      <c r="IP14" s="776"/>
      <c r="IQ14" s="776"/>
      <c r="IR14" s="776"/>
      <c r="IS14" s="776"/>
      <c r="IT14" s="776"/>
      <c r="IU14" s="776"/>
      <c r="IV14" s="776"/>
      <c r="IW14" s="716"/>
    </row>
    <row r="15" customFormat="false" ht="12" hidden="false" customHeight="true" outlineLevel="0" collapsed="false">
      <c r="A15" s="76" t="s">
        <v>600</v>
      </c>
      <c r="B15" s="371"/>
      <c r="C15" s="371"/>
      <c r="D15" s="425" t="n">
        <f aca="false">('Book Income Statement'!D11)*(AnnualHours-TVA_hours)/AnnualHours</f>
        <v>21838.752</v>
      </c>
      <c r="E15" s="425" t="n">
        <f aca="false">('Book Income Statement'!E11)*(AnnualHours-TVA_hours)/AnnualHours</f>
        <v>21838.752</v>
      </c>
      <c r="F15" s="425" t="n">
        <f aca="false">('Book Income Statement'!F11)*(AnnualHours-TVA_hours)/AnnualHours</f>
        <v>21838.752</v>
      </c>
      <c r="G15" s="425" t="n">
        <f aca="false">('Book Income Statement'!G11)*(AnnualHours-TVA_hours)/AnnualHours</f>
        <v>22886.8123963375</v>
      </c>
      <c r="H15" s="425" t="n">
        <f aca="false">('Book Income Statement'!H11)*(AnnualHours-TVA_hours)/AnnualHours</f>
        <v>23440.092858</v>
      </c>
      <c r="I15" s="425" t="n">
        <f aca="false">('Book Income Statement'!I11)*(AnnualHours-TVA_hours)/AnnualHours</f>
        <v>23440.092858</v>
      </c>
      <c r="J15" s="425" t="n">
        <f aca="false">('Book Income Statement'!J11)*(AnnualHours-TVA_hours)/AnnualHours</f>
        <v>23440.092858</v>
      </c>
      <c r="K15" s="425" t="n">
        <f aca="false">('Book Income Statement'!K11)*(AnnualHours-TVA_hours)/AnnualHours</f>
        <v>23440.092858</v>
      </c>
      <c r="L15" s="425" t="n">
        <f aca="false">('Book Income Statement'!L11)*(AnnualHours-TVA_hours)/AnnualHours</f>
        <v>23440.092858</v>
      </c>
      <c r="M15" s="425" t="n">
        <f aca="false">('Book Income Statement'!M11)*(AnnualHours-TVA_hours)/AnnualHours</f>
        <v>23440.092858</v>
      </c>
      <c r="N15" s="425" t="n">
        <f aca="false">('Book Income Statement'!N11)*(AnnualHours-TVA_hours)/AnnualHours</f>
        <v>23440.092858</v>
      </c>
      <c r="O15" s="425" t="n">
        <f aca="false">('Book Income Statement'!O11)*(AnnualHours-TVA_hours)/AnnualHours</f>
        <v>23440.092858</v>
      </c>
      <c r="P15" s="425" t="n">
        <f aca="false">('Book Income Statement'!P11)*(AnnualHours-TVA_hours)/AnnualHours</f>
        <v>23440.092858</v>
      </c>
      <c r="Q15" s="425" t="n">
        <f aca="false">('Book Income Statement'!Q11)*(AnnualHours-TVA_hours)/AnnualHours</f>
        <v>23440.092858</v>
      </c>
      <c r="R15" s="425" t="n">
        <f aca="false">('Book Income Statement'!R11)*(AnnualHours-TVA_hours)/AnnualHours</f>
        <v>23440.092858</v>
      </c>
      <c r="S15" s="425" t="n">
        <f aca="false">('Book Income Statement'!S11)*(AnnualHours-TVA_hours)/AnnualHours</f>
        <v>23440.092858</v>
      </c>
      <c r="T15" s="425" t="n">
        <f aca="false">('Book Income Statement'!T11)*(AnnualHours-TVA_hours)/AnnualHours</f>
        <v>23440.092858</v>
      </c>
      <c r="U15" s="425" t="n">
        <f aca="false">('Book Income Statement'!U11)*(AnnualHours-TVA_hours)/AnnualHours</f>
        <v>23440.092858</v>
      </c>
      <c r="V15" s="425" t="n">
        <f aca="false">('Book Income Statement'!V11)*(AnnualHours-TVA_hours)/AnnualHours</f>
        <v>23440.092858</v>
      </c>
      <c r="W15" s="425" t="n">
        <f aca="false">('Book Income Statement'!W11)*(AnnualHours-TVA_hours)/AnnualHours</f>
        <v>23440.092858</v>
      </c>
      <c r="X15" s="425" t="n">
        <f aca="false">('Book Income Statement'!X11)*(AnnualHours-TVA_hours)/AnnualHours</f>
        <v>9880.6502533375</v>
      </c>
      <c r="Y15" s="425" t="n">
        <f aca="false">('Book Income Statement'!Y11)*(AnnualHours-TVA_hours)/AnnualHours</f>
        <v>0</v>
      </c>
      <c r="Z15" s="425" t="n">
        <f aca="false">('Book Income Statement'!Z11)*(AnnualHours-TVA_hours)/AnnualHours</f>
        <v>0</v>
      </c>
      <c r="AA15" s="425" t="n">
        <f aca="false">('Book Income Statement'!AA11)*(AnnualHours-TVA_hours)/AnnualHours</f>
        <v>0</v>
      </c>
      <c r="AB15" s="426" t="n">
        <f aca="false">('Book Income Statement'!AB11)*(AnnualHours-TVA_hours)/AnnualHours</f>
        <v>0</v>
      </c>
      <c r="AC15" s="371"/>
      <c r="AD15" s="371"/>
      <c r="AE15" s="776"/>
      <c r="AF15" s="776"/>
      <c r="AG15" s="776"/>
      <c r="AH15" s="776"/>
      <c r="AI15" s="776"/>
      <c r="AJ15" s="776"/>
      <c r="AK15" s="776"/>
      <c r="AL15" s="776"/>
      <c r="AM15" s="776"/>
      <c r="AN15" s="776"/>
      <c r="AO15" s="776"/>
      <c r="AP15" s="776"/>
      <c r="AQ15" s="776"/>
      <c r="AR15" s="776"/>
      <c r="AS15" s="776"/>
      <c r="AT15" s="776"/>
      <c r="AU15" s="776"/>
      <c r="AV15" s="776"/>
      <c r="AW15" s="776"/>
      <c r="AX15" s="776"/>
      <c r="AY15" s="776"/>
      <c r="AZ15" s="776"/>
      <c r="BA15" s="776"/>
      <c r="BB15" s="776"/>
      <c r="BC15" s="776"/>
      <c r="BD15" s="776"/>
      <c r="BE15" s="776"/>
      <c r="BF15" s="776"/>
      <c r="BG15" s="776"/>
      <c r="BH15" s="776"/>
      <c r="BI15" s="776"/>
      <c r="BJ15" s="776"/>
      <c r="BK15" s="776"/>
      <c r="BL15" s="776"/>
      <c r="BM15" s="776"/>
      <c r="BN15" s="776"/>
      <c r="BO15" s="776"/>
      <c r="BP15" s="776"/>
      <c r="BQ15" s="776"/>
      <c r="BR15" s="776"/>
      <c r="BS15" s="776"/>
      <c r="BT15" s="776"/>
      <c r="BU15" s="776"/>
      <c r="BV15" s="776"/>
      <c r="BW15" s="776"/>
      <c r="BX15" s="776"/>
      <c r="BY15" s="776"/>
      <c r="BZ15" s="776"/>
      <c r="CA15" s="776"/>
      <c r="CB15" s="776"/>
      <c r="CC15" s="776"/>
      <c r="CD15" s="776"/>
      <c r="CE15" s="776"/>
      <c r="CF15" s="776"/>
      <c r="CG15" s="776"/>
      <c r="CH15" s="776"/>
      <c r="CI15" s="776"/>
      <c r="CJ15" s="776"/>
      <c r="CK15" s="776"/>
      <c r="CL15" s="776"/>
      <c r="CM15" s="776"/>
      <c r="CN15" s="776"/>
      <c r="CO15" s="776"/>
      <c r="CP15" s="776"/>
      <c r="CQ15" s="776"/>
      <c r="CR15" s="776"/>
      <c r="CS15" s="776"/>
      <c r="CT15" s="776"/>
      <c r="CU15" s="776"/>
      <c r="CV15" s="776"/>
      <c r="CW15" s="776"/>
      <c r="CX15" s="776"/>
      <c r="CY15" s="776"/>
      <c r="CZ15" s="776"/>
      <c r="DA15" s="776"/>
      <c r="DB15" s="776"/>
      <c r="DC15" s="776"/>
      <c r="DD15" s="776"/>
      <c r="DE15" s="776"/>
      <c r="DF15" s="776"/>
      <c r="DG15" s="776"/>
      <c r="DH15" s="776"/>
      <c r="DI15" s="776"/>
      <c r="DJ15" s="776"/>
      <c r="DK15" s="776"/>
      <c r="DL15" s="776"/>
      <c r="DM15" s="776"/>
      <c r="DN15" s="776"/>
      <c r="DO15" s="776"/>
      <c r="DP15" s="776"/>
      <c r="DQ15" s="776"/>
      <c r="DR15" s="776"/>
      <c r="DS15" s="776"/>
      <c r="DT15" s="776"/>
      <c r="DU15" s="776"/>
      <c r="DV15" s="776"/>
      <c r="DW15" s="776"/>
      <c r="DX15" s="776"/>
      <c r="DY15" s="776"/>
      <c r="DZ15" s="776"/>
      <c r="EA15" s="776"/>
      <c r="EB15" s="776"/>
      <c r="EC15" s="776"/>
      <c r="ED15" s="776"/>
      <c r="EE15" s="776"/>
      <c r="EF15" s="776"/>
      <c r="EG15" s="776"/>
      <c r="EH15" s="776"/>
      <c r="EI15" s="776"/>
      <c r="EJ15" s="776"/>
      <c r="EK15" s="776"/>
      <c r="EL15" s="776"/>
      <c r="EM15" s="776"/>
      <c r="EN15" s="776"/>
      <c r="EO15" s="776"/>
      <c r="EP15" s="776"/>
      <c r="EQ15" s="776"/>
      <c r="ER15" s="776"/>
      <c r="ES15" s="776"/>
      <c r="ET15" s="776"/>
      <c r="EU15" s="776"/>
      <c r="EV15" s="776"/>
      <c r="EW15" s="776"/>
      <c r="EX15" s="776"/>
      <c r="EY15" s="776"/>
      <c r="EZ15" s="776"/>
      <c r="FA15" s="776"/>
      <c r="FB15" s="776"/>
      <c r="FC15" s="776"/>
      <c r="FD15" s="776"/>
      <c r="FE15" s="776"/>
      <c r="FF15" s="776"/>
      <c r="FG15" s="776"/>
      <c r="FH15" s="776"/>
      <c r="FI15" s="776"/>
      <c r="FJ15" s="776"/>
      <c r="FK15" s="776"/>
      <c r="FL15" s="776"/>
      <c r="FM15" s="776"/>
      <c r="FN15" s="776"/>
      <c r="FO15" s="776"/>
      <c r="FP15" s="776"/>
      <c r="FQ15" s="776"/>
      <c r="FR15" s="776"/>
      <c r="FS15" s="776"/>
      <c r="FT15" s="776"/>
      <c r="FU15" s="776"/>
      <c r="FV15" s="776"/>
      <c r="FW15" s="776"/>
      <c r="FX15" s="776"/>
      <c r="FY15" s="776"/>
      <c r="FZ15" s="776"/>
      <c r="GA15" s="776"/>
      <c r="GB15" s="776"/>
      <c r="GC15" s="776"/>
      <c r="GD15" s="776"/>
      <c r="GE15" s="776"/>
      <c r="GF15" s="776"/>
      <c r="GG15" s="776"/>
      <c r="GH15" s="776"/>
      <c r="GI15" s="776"/>
      <c r="GJ15" s="776"/>
      <c r="GK15" s="776"/>
      <c r="GL15" s="776"/>
      <c r="GM15" s="776"/>
      <c r="GN15" s="776"/>
      <c r="GO15" s="776"/>
      <c r="GP15" s="776"/>
      <c r="GQ15" s="776"/>
      <c r="GR15" s="776"/>
      <c r="GS15" s="776"/>
      <c r="GT15" s="776"/>
      <c r="GU15" s="776"/>
      <c r="GV15" s="776"/>
      <c r="GW15" s="776"/>
      <c r="GX15" s="776"/>
      <c r="GY15" s="776"/>
      <c r="GZ15" s="776"/>
      <c r="HA15" s="776"/>
      <c r="HB15" s="776"/>
      <c r="HC15" s="776"/>
      <c r="HD15" s="776"/>
      <c r="HE15" s="776"/>
      <c r="HF15" s="776"/>
      <c r="HG15" s="776"/>
      <c r="HH15" s="776"/>
      <c r="HI15" s="776"/>
      <c r="HJ15" s="776"/>
      <c r="HK15" s="776"/>
      <c r="HL15" s="776"/>
      <c r="HM15" s="776"/>
      <c r="HN15" s="776"/>
      <c r="HO15" s="776"/>
      <c r="HP15" s="776"/>
      <c r="HQ15" s="776"/>
      <c r="HR15" s="776"/>
      <c r="HS15" s="776"/>
      <c r="HT15" s="776"/>
      <c r="HU15" s="776"/>
      <c r="HV15" s="776"/>
      <c r="HW15" s="776"/>
      <c r="HX15" s="776"/>
      <c r="HY15" s="776"/>
      <c r="HZ15" s="776"/>
      <c r="IA15" s="776"/>
      <c r="IB15" s="776"/>
      <c r="IC15" s="776"/>
      <c r="ID15" s="776"/>
      <c r="IE15" s="776"/>
      <c r="IF15" s="776"/>
      <c r="IG15" s="776"/>
      <c r="IH15" s="776"/>
      <c r="II15" s="776"/>
      <c r="IJ15" s="776"/>
      <c r="IK15" s="776"/>
      <c r="IL15" s="776"/>
      <c r="IM15" s="776"/>
      <c r="IN15" s="776"/>
      <c r="IO15" s="776"/>
      <c r="IP15" s="776"/>
      <c r="IQ15" s="776"/>
      <c r="IR15" s="776"/>
      <c r="IS15" s="776"/>
      <c r="IT15" s="776"/>
      <c r="IU15" s="776"/>
      <c r="IV15" s="776"/>
      <c r="IW15" s="716"/>
    </row>
    <row r="16" customFormat="false" ht="12" hidden="false" customHeight="true" outlineLevel="0" collapsed="false">
      <c r="A16" s="76" t="s">
        <v>601</v>
      </c>
      <c r="B16" s="371"/>
      <c r="C16" s="371"/>
      <c r="D16" s="777" t="n">
        <f aca="false">IF(D$4&gt;'Project Assumptions'!$I$15+1,0,'Project Assumptions'!$N$67)</f>
        <v>0</v>
      </c>
      <c r="E16" s="777" t="n">
        <f aca="false">IF(E4&gt;'Project Assumptions'!$I$15+1,0,'Project Assumptions'!$N$67)</f>
        <v>0</v>
      </c>
      <c r="F16" s="777" t="n">
        <f aca="false">IF(F4&gt;'Project Assumptions'!$I$15+1,0,'Project Assumptions'!$N$67)</f>
        <v>0</v>
      </c>
      <c r="G16" s="777" t="n">
        <f aca="false">IF(G4&gt;'Project Assumptions'!$I$15+1,0,'Project Assumptions'!$N$67)</f>
        <v>0</v>
      </c>
      <c r="H16" s="777" t="n">
        <f aca="false">IF(H4&gt;'Project Assumptions'!$I$15+1,0,'Project Assumptions'!$N$67)</f>
        <v>0</v>
      </c>
      <c r="I16" s="777" t="n">
        <f aca="false">IF(I4&gt;'Project Assumptions'!$I$15+1,0,'Project Assumptions'!$N$67)</f>
        <v>0</v>
      </c>
      <c r="J16" s="777" t="n">
        <f aca="false">IF(J4&gt;'Project Assumptions'!$I$15+1,0,'Project Assumptions'!$N$67)</f>
        <v>0</v>
      </c>
      <c r="K16" s="777" t="n">
        <f aca="false">IF(K4&gt;'Project Assumptions'!$I$15+1,0,'Project Assumptions'!$N$67)</f>
        <v>0</v>
      </c>
      <c r="L16" s="777" t="n">
        <f aca="false">IF(L4&gt;'Project Assumptions'!$I$15+1,0,'Project Assumptions'!$N$67)</f>
        <v>0</v>
      </c>
      <c r="M16" s="777" t="n">
        <f aca="false">IF(M4&gt;'Project Assumptions'!$I$15+1,0,'Project Assumptions'!$N$67)</f>
        <v>0</v>
      </c>
      <c r="N16" s="777" t="n">
        <f aca="false">IF(N4&gt;'Project Assumptions'!$I$15+1,0,'Project Assumptions'!$N$67)</f>
        <v>0</v>
      </c>
      <c r="O16" s="777" t="n">
        <f aca="false">IF(O4&gt;'Project Assumptions'!$I$15+1,0,'Project Assumptions'!$N$67)</f>
        <v>0</v>
      </c>
      <c r="P16" s="777" t="n">
        <f aca="false">IF(P4&gt;'Project Assumptions'!$I$15+1,0,'Project Assumptions'!$N$67)</f>
        <v>0</v>
      </c>
      <c r="Q16" s="777" t="n">
        <f aca="false">IF(Q4&gt;'Project Assumptions'!$I$15+1,0,'Project Assumptions'!$N$67)</f>
        <v>0</v>
      </c>
      <c r="R16" s="777" t="n">
        <f aca="false">IF(R4&gt;'Project Assumptions'!$I$15+1,0,'Project Assumptions'!$N$67)</f>
        <v>0</v>
      </c>
      <c r="S16" s="777" t="n">
        <f aca="false">IF(S4&gt;'Project Assumptions'!$I$15+1,0,'Project Assumptions'!$N$67)</f>
        <v>0</v>
      </c>
      <c r="T16" s="777" t="n">
        <f aca="false">IF(T4&gt;'Project Assumptions'!$I$15+1,0,'Project Assumptions'!$N$67)</f>
        <v>0</v>
      </c>
      <c r="U16" s="777" t="n">
        <f aca="false">IF(U4&gt;'Project Assumptions'!$I$15+1,0,'Project Assumptions'!$N$67)</f>
        <v>0</v>
      </c>
      <c r="V16" s="777" t="n">
        <f aca="false">IF(V4&gt;'Project Assumptions'!$I$15+1,0,'Project Assumptions'!$N$67)</f>
        <v>0</v>
      </c>
      <c r="W16" s="777" t="n">
        <f aca="false">IF(W4&gt;'Project Assumptions'!$I$15+1,0,'Project Assumptions'!$N$67)</f>
        <v>0</v>
      </c>
      <c r="X16" s="777" t="n">
        <f aca="false">IF(X4&gt;'Project Assumptions'!$I$15+1,0,'Project Assumptions'!$N$67)</f>
        <v>0</v>
      </c>
      <c r="Y16" s="777" t="n">
        <f aca="false">IF(Y4&gt;'Project Assumptions'!$I$15+1,0,'Project Assumptions'!$N$67)</f>
        <v>0</v>
      </c>
      <c r="Z16" s="777" t="n">
        <f aca="false">IF(Z4&gt;'Project Assumptions'!$I$15+1,0,'Project Assumptions'!$N$67)</f>
        <v>0</v>
      </c>
      <c r="AA16" s="777" t="n">
        <f aca="false">IF(AA4&gt;'Project Assumptions'!$I$15+1,0,'Project Assumptions'!$N$67)</f>
        <v>0</v>
      </c>
      <c r="AB16" s="778" t="n">
        <f aca="false">IF(AB4&gt;'Project Assumptions'!$I$15+1,0,'Project Assumptions'!$N$67)</f>
        <v>0</v>
      </c>
      <c r="AC16" s="371"/>
      <c r="AD16" s="371"/>
      <c r="AE16" s="776"/>
      <c r="AF16" s="776"/>
      <c r="AG16" s="776"/>
      <c r="AH16" s="776"/>
      <c r="AI16" s="776"/>
      <c r="AJ16" s="776"/>
      <c r="AK16" s="776"/>
      <c r="AL16" s="776"/>
      <c r="AM16" s="776"/>
      <c r="AN16" s="776"/>
      <c r="AO16" s="776"/>
      <c r="AP16" s="776"/>
      <c r="AQ16" s="776"/>
      <c r="AR16" s="776"/>
      <c r="AS16" s="776"/>
      <c r="AT16" s="776"/>
      <c r="AU16" s="776"/>
      <c r="AV16" s="776"/>
      <c r="AW16" s="776"/>
      <c r="AX16" s="776"/>
      <c r="AY16" s="776"/>
      <c r="AZ16" s="776"/>
      <c r="BA16" s="776"/>
      <c r="BB16" s="776"/>
      <c r="BC16" s="776"/>
      <c r="BD16" s="776"/>
      <c r="BE16" s="776"/>
      <c r="BF16" s="776"/>
      <c r="BG16" s="776"/>
      <c r="BH16" s="776"/>
      <c r="BI16" s="776"/>
      <c r="BJ16" s="776"/>
      <c r="BK16" s="776"/>
      <c r="BL16" s="776"/>
      <c r="BM16" s="776"/>
      <c r="BN16" s="776"/>
      <c r="BO16" s="776"/>
      <c r="BP16" s="776"/>
      <c r="BQ16" s="776"/>
      <c r="BR16" s="776"/>
      <c r="BS16" s="776"/>
      <c r="BT16" s="776"/>
      <c r="BU16" s="776"/>
      <c r="BV16" s="776"/>
      <c r="BW16" s="776"/>
      <c r="BX16" s="776"/>
      <c r="BY16" s="776"/>
      <c r="BZ16" s="776"/>
      <c r="CA16" s="776"/>
      <c r="CB16" s="776"/>
      <c r="CC16" s="776"/>
      <c r="CD16" s="776"/>
      <c r="CE16" s="776"/>
      <c r="CF16" s="776"/>
      <c r="CG16" s="776"/>
      <c r="CH16" s="776"/>
      <c r="CI16" s="776"/>
      <c r="CJ16" s="776"/>
      <c r="CK16" s="776"/>
      <c r="CL16" s="776"/>
      <c r="CM16" s="776"/>
      <c r="CN16" s="776"/>
      <c r="CO16" s="776"/>
      <c r="CP16" s="776"/>
      <c r="CQ16" s="776"/>
      <c r="CR16" s="776"/>
      <c r="CS16" s="776"/>
      <c r="CT16" s="776"/>
      <c r="CU16" s="776"/>
      <c r="CV16" s="776"/>
      <c r="CW16" s="776"/>
      <c r="CX16" s="776"/>
      <c r="CY16" s="776"/>
      <c r="CZ16" s="776"/>
      <c r="DA16" s="776"/>
      <c r="DB16" s="776"/>
      <c r="DC16" s="776"/>
      <c r="DD16" s="776"/>
      <c r="DE16" s="776"/>
      <c r="DF16" s="776"/>
      <c r="DG16" s="776"/>
      <c r="DH16" s="776"/>
      <c r="DI16" s="776"/>
      <c r="DJ16" s="776"/>
      <c r="DK16" s="776"/>
      <c r="DL16" s="776"/>
      <c r="DM16" s="776"/>
      <c r="DN16" s="776"/>
      <c r="DO16" s="776"/>
      <c r="DP16" s="776"/>
      <c r="DQ16" s="776"/>
      <c r="DR16" s="776"/>
      <c r="DS16" s="776"/>
      <c r="DT16" s="776"/>
      <c r="DU16" s="776"/>
      <c r="DV16" s="776"/>
      <c r="DW16" s="776"/>
      <c r="DX16" s="776"/>
      <c r="DY16" s="776"/>
      <c r="DZ16" s="776"/>
      <c r="EA16" s="776"/>
      <c r="EB16" s="776"/>
      <c r="EC16" s="776"/>
      <c r="ED16" s="776"/>
      <c r="EE16" s="776"/>
      <c r="EF16" s="776"/>
      <c r="EG16" s="776"/>
      <c r="EH16" s="776"/>
      <c r="EI16" s="776"/>
      <c r="EJ16" s="776"/>
      <c r="EK16" s="776"/>
      <c r="EL16" s="776"/>
      <c r="EM16" s="776"/>
      <c r="EN16" s="776"/>
      <c r="EO16" s="776"/>
      <c r="EP16" s="776"/>
      <c r="EQ16" s="776"/>
      <c r="ER16" s="776"/>
      <c r="ES16" s="776"/>
      <c r="ET16" s="776"/>
      <c r="EU16" s="776"/>
      <c r="EV16" s="776"/>
      <c r="EW16" s="776"/>
      <c r="EX16" s="776"/>
      <c r="EY16" s="776"/>
      <c r="EZ16" s="776"/>
      <c r="FA16" s="776"/>
      <c r="FB16" s="776"/>
      <c r="FC16" s="776"/>
      <c r="FD16" s="776"/>
      <c r="FE16" s="776"/>
      <c r="FF16" s="776"/>
      <c r="FG16" s="776"/>
      <c r="FH16" s="776"/>
      <c r="FI16" s="776"/>
      <c r="FJ16" s="776"/>
      <c r="FK16" s="776"/>
      <c r="FL16" s="776"/>
      <c r="FM16" s="776"/>
      <c r="FN16" s="776"/>
      <c r="FO16" s="776"/>
      <c r="FP16" s="776"/>
      <c r="FQ16" s="776"/>
      <c r="FR16" s="776"/>
      <c r="FS16" s="776"/>
      <c r="FT16" s="776"/>
      <c r="FU16" s="776"/>
      <c r="FV16" s="776"/>
      <c r="FW16" s="776"/>
      <c r="FX16" s="776"/>
      <c r="FY16" s="776"/>
      <c r="FZ16" s="776"/>
      <c r="GA16" s="776"/>
      <c r="GB16" s="776"/>
      <c r="GC16" s="776"/>
      <c r="GD16" s="776"/>
      <c r="GE16" s="776"/>
      <c r="GF16" s="776"/>
      <c r="GG16" s="776"/>
      <c r="GH16" s="776"/>
      <c r="GI16" s="776"/>
      <c r="GJ16" s="776"/>
      <c r="GK16" s="776"/>
      <c r="GL16" s="776"/>
      <c r="GM16" s="776"/>
      <c r="GN16" s="776"/>
      <c r="GO16" s="776"/>
      <c r="GP16" s="776"/>
      <c r="GQ16" s="776"/>
      <c r="GR16" s="776"/>
      <c r="GS16" s="776"/>
      <c r="GT16" s="776"/>
      <c r="GU16" s="776"/>
      <c r="GV16" s="776"/>
      <c r="GW16" s="776"/>
      <c r="GX16" s="776"/>
      <c r="GY16" s="776"/>
      <c r="GZ16" s="776"/>
      <c r="HA16" s="776"/>
      <c r="HB16" s="776"/>
      <c r="HC16" s="776"/>
      <c r="HD16" s="776"/>
      <c r="HE16" s="776"/>
      <c r="HF16" s="776"/>
      <c r="HG16" s="776"/>
      <c r="HH16" s="776"/>
      <c r="HI16" s="776"/>
      <c r="HJ16" s="776"/>
      <c r="HK16" s="776"/>
      <c r="HL16" s="776"/>
      <c r="HM16" s="776"/>
      <c r="HN16" s="776"/>
      <c r="HO16" s="776"/>
      <c r="HP16" s="776"/>
      <c r="HQ16" s="776"/>
      <c r="HR16" s="776"/>
      <c r="HS16" s="776"/>
      <c r="HT16" s="776"/>
      <c r="HU16" s="776"/>
      <c r="HV16" s="776"/>
      <c r="HW16" s="776"/>
      <c r="HX16" s="776"/>
      <c r="HY16" s="776"/>
      <c r="HZ16" s="776"/>
      <c r="IA16" s="776"/>
      <c r="IB16" s="776"/>
      <c r="IC16" s="776"/>
      <c r="ID16" s="776"/>
      <c r="IE16" s="776"/>
      <c r="IF16" s="776"/>
      <c r="IG16" s="776"/>
      <c r="IH16" s="776"/>
      <c r="II16" s="776"/>
      <c r="IJ16" s="776"/>
      <c r="IK16" s="776"/>
      <c r="IL16" s="776"/>
      <c r="IM16" s="776"/>
      <c r="IN16" s="776"/>
      <c r="IO16" s="776"/>
      <c r="IP16" s="776"/>
      <c r="IQ16" s="776"/>
      <c r="IR16" s="776"/>
      <c r="IS16" s="776"/>
      <c r="IT16" s="776"/>
      <c r="IU16" s="776"/>
      <c r="IV16" s="776"/>
      <c r="IW16" s="716"/>
    </row>
    <row r="17" customFormat="false" ht="12" hidden="false" customHeight="true" outlineLevel="0" collapsed="false">
      <c r="A17" s="697" t="s">
        <v>602</v>
      </c>
      <c r="B17" s="422"/>
      <c r="C17" s="422"/>
      <c r="D17" s="663" t="n">
        <f aca="false">D15*D16</f>
        <v>0</v>
      </c>
      <c r="E17" s="663" t="n">
        <f aca="false">E15*E16</f>
        <v>0</v>
      </c>
      <c r="F17" s="663" t="n">
        <f aca="false">F15*F16</f>
        <v>0</v>
      </c>
      <c r="G17" s="663" t="n">
        <f aca="false">G15*G16</f>
        <v>0</v>
      </c>
      <c r="H17" s="663" t="n">
        <f aca="false">H15*H16</f>
        <v>0</v>
      </c>
      <c r="I17" s="663" t="n">
        <f aca="false">I15*I16</f>
        <v>0</v>
      </c>
      <c r="J17" s="663" t="n">
        <f aca="false">J15*J16</f>
        <v>0</v>
      </c>
      <c r="K17" s="663" t="n">
        <f aca="false">K15*K16</f>
        <v>0</v>
      </c>
      <c r="L17" s="663" t="n">
        <f aca="false">L15*L16</f>
        <v>0</v>
      </c>
      <c r="M17" s="663" t="n">
        <f aca="false">M15*M16</f>
        <v>0</v>
      </c>
      <c r="N17" s="663" t="n">
        <f aca="false">N15*N16</f>
        <v>0</v>
      </c>
      <c r="O17" s="663" t="n">
        <f aca="false">O15*O16</f>
        <v>0</v>
      </c>
      <c r="P17" s="663" t="n">
        <f aca="false">P15*P16</f>
        <v>0</v>
      </c>
      <c r="Q17" s="663" t="n">
        <f aca="false">Q15*Q16</f>
        <v>0</v>
      </c>
      <c r="R17" s="663" t="n">
        <f aca="false">R15*R16</f>
        <v>0</v>
      </c>
      <c r="S17" s="663" t="n">
        <f aca="false">S15*S16</f>
        <v>0</v>
      </c>
      <c r="T17" s="663" t="n">
        <f aca="false">T15*T16</f>
        <v>0</v>
      </c>
      <c r="U17" s="663" t="n">
        <f aca="false">U15*U16</f>
        <v>0</v>
      </c>
      <c r="V17" s="663" t="n">
        <f aca="false">V15*V16</f>
        <v>0</v>
      </c>
      <c r="W17" s="663" t="n">
        <f aca="false">W15*W16</f>
        <v>0</v>
      </c>
      <c r="X17" s="663" t="n">
        <f aca="false">X15*X16</f>
        <v>0</v>
      </c>
      <c r="Y17" s="663" t="n">
        <f aca="false">Y15*Y16</f>
        <v>0</v>
      </c>
      <c r="Z17" s="663" t="n">
        <f aca="false">Z15*Z16</f>
        <v>0</v>
      </c>
      <c r="AA17" s="663" t="n">
        <f aca="false">AA15*AA16</f>
        <v>0</v>
      </c>
      <c r="AB17" s="664" t="n">
        <f aca="false">AB15*AB16</f>
        <v>0</v>
      </c>
      <c r="AC17" s="371"/>
      <c r="AD17" s="371"/>
      <c r="AE17" s="776"/>
      <c r="AF17" s="776"/>
      <c r="AG17" s="776"/>
      <c r="AH17" s="776"/>
      <c r="AI17" s="776"/>
      <c r="AJ17" s="776"/>
      <c r="AK17" s="776"/>
      <c r="AL17" s="776"/>
      <c r="AM17" s="776"/>
      <c r="AN17" s="776"/>
      <c r="AO17" s="776"/>
      <c r="AP17" s="776"/>
      <c r="AQ17" s="776"/>
      <c r="AR17" s="776"/>
      <c r="AS17" s="776"/>
      <c r="AT17" s="776"/>
      <c r="AU17" s="776"/>
      <c r="AV17" s="776"/>
      <c r="AW17" s="776"/>
      <c r="AX17" s="776"/>
      <c r="AY17" s="776"/>
      <c r="AZ17" s="776"/>
      <c r="BA17" s="776"/>
      <c r="BB17" s="776"/>
      <c r="BC17" s="776"/>
      <c r="BD17" s="776"/>
      <c r="BE17" s="776"/>
      <c r="BF17" s="776"/>
      <c r="BG17" s="776"/>
      <c r="BH17" s="776"/>
      <c r="BI17" s="776"/>
      <c r="BJ17" s="776"/>
      <c r="BK17" s="776"/>
      <c r="BL17" s="776"/>
      <c r="BM17" s="776"/>
      <c r="BN17" s="776"/>
      <c r="BO17" s="776"/>
      <c r="BP17" s="776"/>
      <c r="BQ17" s="776"/>
      <c r="BR17" s="776"/>
      <c r="BS17" s="776"/>
      <c r="BT17" s="776"/>
      <c r="BU17" s="776"/>
      <c r="BV17" s="776"/>
      <c r="BW17" s="776"/>
      <c r="BX17" s="776"/>
      <c r="BY17" s="776"/>
      <c r="BZ17" s="776"/>
      <c r="CA17" s="776"/>
      <c r="CB17" s="776"/>
      <c r="CC17" s="776"/>
      <c r="CD17" s="776"/>
      <c r="CE17" s="776"/>
      <c r="CF17" s="776"/>
      <c r="CG17" s="776"/>
      <c r="CH17" s="776"/>
      <c r="CI17" s="776"/>
      <c r="CJ17" s="776"/>
      <c r="CK17" s="776"/>
      <c r="CL17" s="776"/>
      <c r="CM17" s="776"/>
      <c r="CN17" s="776"/>
      <c r="CO17" s="776"/>
      <c r="CP17" s="776"/>
      <c r="CQ17" s="776"/>
      <c r="CR17" s="776"/>
      <c r="CS17" s="776"/>
      <c r="CT17" s="776"/>
      <c r="CU17" s="776"/>
      <c r="CV17" s="776"/>
      <c r="CW17" s="776"/>
      <c r="CX17" s="776"/>
      <c r="CY17" s="776"/>
      <c r="CZ17" s="776"/>
      <c r="DA17" s="776"/>
      <c r="DB17" s="776"/>
      <c r="DC17" s="776"/>
      <c r="DD17" s="776"/>
      <c r="DE17" s="776"/>
      <c r="DF17" s="776"/>
      <c r="DG17" s="776"/>
      <c r="DH17" s="776"/>
      <c r="DI17" s="776"/>
      <c r="DJ17" s="776"/>
      <c r="DK17" s="776"/>
      <c r="DL17" s="776"/>
      <c r="DM17" s="776"/>
      <c r="DN17" s="776"/>
      <c r="DO17" s="776"/>
      <c r="DP17" s="776"/>
      <c r="DQ17" s="776"/>
      <c r="DR17" s="776"/>
      <c r="DS17" s="776"/>
      <c r="DT17" s="776"/>
      <c r="DU17" s="776"/>
      <c r="DV17" s="776"/>
      <c r="DW17" s="776"/>
      <c r="DX17" s="776"/>
      <c r="DY17" s="776"/>
      <c r="DZ17" s="776"/>
      <c r="EA17" s="776"/>
      <c r="EB17" s="776"/>
      <c r="EC17" s="776"/>
      <c r="ED17" s="776"/>
      <c r="EE17" s="776"/>
      <c r="EF17" s="776"/>
      <c r="EG17" s="776"/>
      <c r="EH17" s="776"/>
      <c r="EI17" s="776"/>
      <c r="EJ17" s="776"/>
      <c r="EK17" s="776"/>
      <c r="EL17" s="776"/>
      <c r="EM17" s="776"/>
      <c r="EN17" s="776"/>
      <c r="EO17" s="776"/>
      <c r="EP17" s="776"/>
      <c r="EQ17" s="776"/>
      <c r="ER17" s="776"/>
      <c r="ES17" s="776"/>
      <c r="ET17" s="776"/>
      <c r="EU17" s="776"/>
      <c r="EV17" s="776"/>
      <c r="EW17" s="776"/>
      <c r="EX17" s="776"/>
      <c r="EY17" s="776"/>
      <c r="EZ17" s="776"/>
      <c r="FA17" s="776"/>
      <c r="FB17" s="776"/>
      <c r="FC17" s="776"/>
      <c r="FD17" s="776"/>
      <c r="FE17" s="776"/>
      <c r="FF17" s="776"/>
      <c r="FG17" s="776"/>
      <c r="FH17" s="776"/>
      <c r="FI17" s="776"/>
      <c r="FJ17" s="776"/>
      <c r="FK17" s="776"/>
      <c r="FL17" s="776"/>
      <c r="FM17" s="776"/>
      <c r="FN17" s="776"/>
      <c r="FO17" s="776"/>
      <c r="FP17" s="776"/>
      <c r="FQ17" s="776"/>
      <c r="FR17" s="776"/>
      <c r="FS17" s="776"/>
      <c r="FT17" s="776"/>
      <c r="FU17" s="776"/>
      <c r="FV17" s="776"/>
      <c r="FW17" s="776"/>
      <c r="FX17" s="776"/>
      <c r="FY17" s="776"/>
      <c r="FZ17" s="776"/>
      <c r="GA17" s="776"/>
      <c r="GB17" s="776"/>
      <c r="GC17" s="776"/>
      <c r="GD17" s="776"/>
      <c r="GE17" s="776"/>
      <c r="GF17" s="776"/>
      <c r="GG17" s="776"/>
      <c r="GH17" s="776"/>
      <c r="GI17" s="776"/>
      <c r="GJ17" s="776"/>
      <c r="GK17" s="776"/>
      <c r="GL17" s="776"/>
      <c r="GM17" s="776"/>
      <c r="GN17" s="776"/>
      <c r="GO17" s="776"/>
      <c r="GP17" s="776"/>
      <c r="GQ17" s="776"/>
      <c r="GR17" s="776"/>
      <c r="GS17" s="776"/>
      <c r="GT17" s="776"/>
      <c r="GU17" s="776"/>
      <c r="GV17" s="776"/>
      <c r="GW17" s="776"/>
      <c r="GX17" s="776"/>
      <c r="GY17" s="776"/>
      <c r="GZ17" s="776"/>
      <c r="HA17" s="776"/>
      <c r="HB17" s="776"/>
      <c r="HC17" s="776"/>
      <c r="HD17" s="776"/>
      <c r="HE17" s="776"/>
      <c r="HF17" s="776"/>
      <c r="HG17" s="776"/>
      <c r="HH17" s="776"/>
      <c r="HI17" s="776"/>
      <c r="HJ17" s="776"/>
      <c r="HK17" s="776"/>
      <c r="HL17" s="776"/>
      <c r="HM17" s="776"/>
      <c r="HN17" s="776"/>
      <c r="HO17" s="776"/>
      <c r="HP17" s="776"/>
      <c r="HQ17" s="776"/>
      <c r="HR17" s="776"/>
      <c r="HS17" s="776"/>
      <c r="HT17" s="776"/>
      <c r="HU17" s="776"/>
      <c r="HV17" s="776"/>
      <c r="HW17" s="776"/>
      <c r="HX17" s="776"/>
      <c r="HY17" s="776"/>
      <c r="HZ17" s="776"/>
      <c r="IA17" s="776"/>
      <c r="IB17" s="776"/>
      <c r="IC17" s="776"/>
      <c r="ID17" s="776"/>
      <c r="IE17" s="776"/>
      <c r="IF17" s="776"/>
      <c r="IG17" s="776"/>
      <c r="IH17" s="776"/>
      <c r="II17" s="776"/>
      <c r="IJ17" s="776"/>
      <c r="IK17" s="776"/>
      <c r="IL17" s="776"/>
      <c r="IM17" s="776"/>
      <c r="IN17" s="776"/>
      <c r="IO17" s="776"/>
      <c r="IP17" s="776"/>
      <c r="IQ17" s="776"/>
      <c r="IR17" s="776"/>
      <c r="IS17" s="776"/>
      <c r="IT17" s="776"/>
      <c r="IU17" s="776"/>
      <c r="IV17" s="776"/>
      <c r="IW17" s="716"/>
    </row>
    <row r="18" customFormat="false" ht="12" hidden="false" customHeight="true" outlineLevel="0" collapsed="false">
      <c r="A18" s="76"/>
      <c r="B18" s="371"/>
      <c r="C18" s="371"/>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6"/>
      <c r="AC18" s="371"/>
      <c r="AD18" s="371"/>
      <c r="AE18" s="776"/>
      <c r="AF18" s="776"/>
      <c r="AG18" s="776"/>
      <c r="AH18" s="776"/>
      <c r="AI18" s="776"/>
      <c r="AJ18" s="776"/>
      <c r="AK18" s="776"/>
      <c r="AL18" s="776"/>
      <c r="AM18" s="776"/>
      <c r="AN18" s="776"/>
      <c r="AO18" s="776"/>
      <c r="AP18" s="776"/>
      <c r="AQ18" s="776"/>
      <c r="AR18" s="776"/>
      <c r="AS18" s="776"/>
      <c r="AT18" s="776"/>
      <c r="AU18" s="776"/>
      <c r="AV18" s="776"/>
      <c r="AW18" s="776"/>
      <c r="AX18" s="776"/>
      <c r="AY18" s="776"/>
      <c r="AZ18" s="776"/>
      <c r="BA18" s="776"/>
      <c r="BB18" s="776"/>
      <c r="BC18" s="776"/>
      <c r="BD18" s="776"/>
      <c r="BE18" s="776"/>
      <c r="BF18" s="776"/>
      <c r="BG18" s="776"/>
      <c r="BH18" s="776"/>
      <c r="BI18" s="776"/>
      <c r="BJ18" s="776"/>
      <c r="BK18" s="776"/>
      <c r="BL18" s="776"/>
      <c r="BM18" s="776"/>
      <c r="BN18" s="776"/>
      <c r="BO18" s="776"/>
      <c r="BP18" s="776"/>
      <c r="BQ18" s="776"/>
      <c r="BR18" s="776"/>
      <c r="BS18" s="776"/>
      <c r="BT18" s="776"/>
      <c r="BU18" s="776"/>
      <c r="BV18" s="776"/>
      <c r="BW18" s="776"/>
      <c r="BX18" s="776"/>
      <c r="BY18" s="776"/>
      <c r="BZ18" s="776"/>
      <c r="CA18" s="776"/>
      <c r="CB18" s="776"/>
      <c r="CC18" s="776"/>
      <c r="CD18" s="776"/>
      <c r="CE18" s="776"/>
      <c r="CF18" s="776"/>
      <c r="CG18" s="776"/>
      <c r="CH18" s="776"/>
      <c r="CI18" s="776"/>
      <c r="CJ18" s="776"/>
      <c r="CK18" s="776"/>
      <c r="CL18" s="776"/>
      <c r="CM18" s="776"/>
      <c r="CN18" s="776"/>
      <c r="CO18" s="776"/>
      <c r="CP18" s="776"/>
      <c r="CQ18" s="776"/>
      <c r="CR18" s="776"/>
      <c r="CS18" s="776"/>
      <c r="CT18" s="776"/>
      <c r="CU18" s="776"/>
      <c r="CV18" s="776"/>
      <c r="CW18" s="776"/>
      <c r="CX18" s="776"/>
      <c r="CY18" s="776"/>
      <c r="CZ18" s="776"/>
      <c r="DA18" s="776"/>
      <c r="DB18" s="776"/>
      <c r="DC18" s="776"/>
      <c r="DD18" s="776"/>
      <c r="DE18" s="776"/>
      <c r="DF18" s="776"/>
      <c r="DG18" s="776"/>
      <c r="DH18" s="776"/>
      <c r="DI18" s="776"/>
      <c r="DJ18" s="776"/>
      <c r="DK18" s="776"/>
      <c r="DL18" s="776"/>
      <c r="DM18" s="776"/>
      <c r="DN18" s="776"/>
      <c r="DO18" s="776"/>
      <c r="DP18" s="776"/>
      <c r="DQ18" s="776"/>
      <c r="DR18" s="776"/>
      <c r="DS18" s="776"/>
      <c r="DT18" s="776"/>
      <c r="DU18" s="776"/>
      <c r="DV18" s="776"/>
      <c r="DW18" s="776"/>
      <c r="DX18" s="776"/>
      <c r="DY18" s="776"/>
      <c r="DZ18" s="776"/>
      <c r="EA18" s="776"/>
      <c r="EB18" s="776"/>
      <c r="EC18" s="776"/>
      <c r="ED18" s="776"/>
      <c r="EE18" s="776"/>
      <c r="EF18" s="776"/>
      <c r="EG18" s="776"/>
      <c r="EH18" s="776"/>
      <c r="EI18" s="776"/>
      <c r="EJ18" s="776"/>
      <c r="EK18" s="776"/>
      <c r="EL18" s="776"/>
      <c r="EM18" s="776"/>
      <c r="EN18" s="776"/>
      <c r="EO18" s="776"/>
      <c r="EP18" s="776"/>
      <c r="EQ18" s="776"/>
      <c r="ER18" s="776"/>
      <c r="ES18" s="776"/>
      <c r="ET18" s="776"/>
      <c r="EU18" s="776"/>
      <c r="EV18" s="776"/>
      <c r="EW18" s="776"/>
      <c r="EX18" s="776"/>
      <c r="EY18" s="776"/>
      <c r="EZ18" s="776"/>
      <c r="FA18" s="776"/>
      <c r="FB18" s="776"/>
      <c r="FC18" s="776"/>
      <c r="FD18" s="776"/>
      <c r="FE18" s="776"/>
      <c r="FF18" s="776"/>
      <c r="FG18" s="776"/>
      <c r="FH18" s="776"/>
      <c r="FI18" s="776"/>
      <c r="FJ18" s="776"/>
      <c r="FK18" s="776"/>
      <c r="FL18" s="776"/>
      <c r="FM18" s="776"/>
      <c r="FN18" s="776"/>
      <c r="FO18" s="776"/>
      <c r="FP18" s="776"/>
      <c r="FQ18" s="776"/>
      <c r="FR18" s="776"/>
      <c r="FS18" s="776"/>
      <c r="FT18" s="776"/>
      <c r="FU18" s="776"/>
      <c r="FV18" s="776"/>
      <c r="FW18" s="776"/>
      <c r="FX18" s="776"/>
      <c r="FY18" s="776"/>
      <c r="FZ18" s="776"/>
      <c r="GA18" s="776"/>
      <c r="GB18" s="776"/>
      <c r="GC18" s="776"/>
      <c r="GD18" s="776"/>
      <c r="GE18" s="776"/>
      <c r="GF18" s="776"/>
      <c r="GG18" s="776"/>
      <c r="GH18" s="776"/>
      <c r="GI18" s="776"/>
      <c r="GJ18" s="776"/>
      <c r="GK18" s="776"/>
      <c r="GL18" s="776"/>
      <c r="GM18" s="776"/>
      <c r="GN18" s="776"/>
      <c r="GO18" s="776"/>
      <c r="GP18" s="776"/>
      <c r="GQ18" s="776"/>
      <c r="GR18" s="776"/>
      <c r="GS18" s="776"/>
      <c r="GT18" s="776"/>
      <c r="GU18" s="776"/>
      <c r="GV18" s="776"/>
      <c r="GW18" s="776"/>
      <c r="GX18" s="776"/>
      <c r="GY18" s="776"/>
      <c r="GZ18" s="776"/>
      <c r="HA18" s="776"/>
      <c r="HB18" s="776"/>
      <c r="HC18" s="776"/>
      <c r="HD18" s="776"/>
      <c r="HE18" s="776"/>
      <c r="HF18" s="776"/>
      <c r="HG18" s="776"/>
      <c r="HH18" s="776"/>
      <c r="HI18" s="776"/>
      <c r="HJ18" s="776"/>
      <c r="HK18" s="776"/>
      <c r="HL18" s="776"/>
      <c r="HM18" s="776"/>
      <c r="HN18" s="776"/>
      <c r="HO18" s="776"/>
      <c r="HP18" s="776"/>
      <c r="HQ18" s="776"/>
      <c r="HR18" s="776"/>
      <c r="HS18" s="776"/>
      <c r="HT18" s="776"/>
      <c r="HU18" s="776"/>
      <c r="HV18" s="776"/>
      <c r="HW18" s="776"/>
      <c r="HX18" s="776"/>
      <c r="HY18" s="776"/>
      <c r="HZ18" s="776"/>
      <c r="IA18" s="776"/>
      <c r="IB18" s="776"/>
      <c r="IC18" s="776"/>
      <c r="ID18" s="776"/>
      <c r="IE18" s="776"/>
      <c r="IF18" s="776"/>
      <c r="IG18" s="776"/>
      <c r="IH18" s="776"/>
      <c r="II18" s="776"/>
      <c r="IJ18" s="776"/>
      <c r="IK18" s="776"/>
      <c r="IL18" s="776"/>
      <c r="IM18" s="776"/>
      <c r="IN18" s="776"/>
      <c r="IO18" s="776"/>
      <c r="IP18" s="776"/>
      <c r="IQ18" s="776"/>
      <c r="IR18" s="776"/>
      <c r="IS18" s="776"/>
      <c r="IT18" s="776"/>
      <c r="IU18" s="776"/>
      <c r="IV18" s="776"/>
      <c r="IW18" s="716"/>
    </row>
    <row r="19" customFormat="false" ht="12" hidden="false" customHeight="true" outlineLevel="0" collapsed="false">
      <c r="A19" s="782" t="s">
        <v>603</v>
      </c>
      <c r="B19" s="371"/>
      <c r="C19" s="371"/>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402"/>
      <c r="AC19" s="371"/>
      <c r="AD19" s="371"/>
    </row>
    <row r="20" customFormat="false" ht="12" hidden="false" customHeight="true" outlineLevel="0" collapsed="false">
      <c r="A20" s="76" t="s">
        <v>604</v>
      </c>
      <c r="B20" s="425"/>
      <c r="C20" s="425"/>
      <c r="D20" s="425" t="n">
        <f aca="false">'Book Income Statement'!D74</f>
        <v>-3999.82115044211</v>
      </c>
      <c r="E20" s="425" t="n">
        <f aca="false">'Book Income Statement'!E74</f>
        <v>5109.85399263144</v>
      </c>
      <c r="F20" s="425" t="n">
        <f aca="false">'Book Income Statement'!F74</f>
        <v>5533.18076142484</v>
      </c>
      <c r="G20" s="425" t="n">
        <f aca="false">'Book Income Statement'!G74</f>
        <v>16270.2396344389</v>
      </c>
      <c r="H20" s="425" t="n">
        <f aca="false">'Book Income Statement'!H74</f>
        <v>24961.9294988477</v>
      </c>
      <c r="I20" s="425" t="n">
        <f aca="false">'Book Income Statement'!I74</f>
        <v>27102.1101671864</v>
      </c>
      <c r="J20" s="425" t="n">
        <f aca="false">'Book Income Statement'!J74</f>
        <v>27548.1059591247</v>
      </c>
      <c r="K20" s="425" t="n">
        <f aca="false">'Book Income Statement'!K74</f>
        <v>28734.235991291</v>
      </c>
      <c r="L20" s="425" t="n">
        <f aca="false">'Book Income Statement'!L74</f>
        <v>29910.9725490491</v>
      </c>
      <c r="M20" s="425" t="n">
        <f aca="false">'Book Income Statement'!M74</f>
        <v>31531.6662288894</v>
      </c>
      <c r="N20" s="425" t="n">
        <f aca="false">'Book Income Statement'!N74</f>
        <v>33385.0905938952</v>
      </c>
      <c r="O20" s="425" t="n">
        <f aca="false">'Book Income Statement'!O74</f>
        <v>34196.1211273991</v>
      </c>
      <c r="P20" s="425" t="n">
        <f aca="false">'Book Income Statement'!P74</f>
        <v>35074.0855003746</v>
      </c>
      <c r="Q20" s="425" t="n">
        <f aca="false">'Book Income Statement'!Q74</f>
        <v>35979.3902461105</v>
      </c>
      <c r="R20" s="425" t="n">
        <f aca="false">'Book Income Statement'!R74</f>
        <v>36825.6806361006</v>
      </c>
      <c r="S20" s="425" t="n">
        <f aca="false">'Book Income Statement'!S74</f>
        <v>37654.0626584573</v>
      </c>
      <c r="T20" s="425" t="n">
        <f aca="false">'Book Income Statement'!T74</f>
        <v>38463.0638841054</v>
      </c>
      <c r="U20" s="425" t="n">
        <f aca="false">'Book Income Statement'!U74</f>
        <v>39697.7980018097</v>
      </c>
      <c r="V20" s="425" t="n">
        <f aca="false">'Book Income Statement'!V74</f>
        <v>41029.1373894545</v>
      </c>
      <c r="W20" s="425" t="n">
        <f aca="false">'Book Income Statement'!W74</f>
        <v>41374.1364374866</v>
      </c>
      <c r="X20" s="425" t="n">
        <f aca="false">'Book Income Statement'!X74</f>
        <v>11989.2215264735</v>
      </c>
      <c r="Y20" s="425" t="n">
        <f aca="false">'Book Income Statement'!Y74</f>
        <v>0</v>
      </c>
      <c r="Z20" s="425" t="n">
        <f aca="false">'Book Income Statement'!Z74</f>
        <v>0</v>
      </c>
      <c r="AA20" s="425" t="n">
        <f aca="false">'Book Income Statement'!AA74</f>
        <v>0</v>
      </c>
      <c r="AB20" s="426" t="n">
        <f aca="false">'Book Income Statement'!AB74</f>
        <v>0</v>
      </c>
      <c r="AC20" s="425"/>
      <c r="AD20" s="425"/>
      <c r="AE20" s="721"/>
      <c r="AF20" s="721"/>
      <c r="AG20" s="721"/>
      <c r="AH20" s="721"/>
      <c r="AI20" s="721"/>
      <c r="AJ20" s="721"/>
      <c r="AK20" s="721"/>
      <c r="AL20" s="721"/>
      <c r="AM20" s="721"/>
      <c r="AN20" s="721"/>
      <c r="AO20" s="721"/>
      <c r="AP20" s="721"/>
      <c r="AQ20" s="721"/>
      <c r="AR20" s="721"/>
      <c r="AS20" s="721"/>
      <c r="AT20" s="721"/>
      <c r="AU20" s="721"/>
      <c r="AV20" s="721"/>
      <c r="AW20" s="721"/>
      <c r="AX20" s="721"/>
      <c r="AY20" s="721"/>
      <c r="AZ20" s="721"/>
      <c r="BA20" s="721"/>
      <c r="BB20" s="721"/>
      <c r="BC20" s="721"/>
      <c r="BD20" s="721"/>
      <c r="BE20" s="721"/>
      <c r="BF20" s="721"/>
      <c r="BG20" s="721"/>
      <c r="BH20" s="721"/>
      <c r="BI20" s="721"/>
      <c r="BJ20" s="721"/>
      <c r="BK20" s="721"/>
      <c r="BL20" s="721"/>
      <c r="BM20" s="721"/>
      <c r="BN20" s="721"/>
      <c r="BO20" s="721"/>
      <c r="BP20" s="721"/>
      <c r="BQ20" s="721"/>
      <c r="BR20" s="721"/>
      <c r="BS20" s="721"/>
      <c r="BT20" s="721"/>
      <c r="BU20" s="721"/>
      <c r="BV20" s="721"/>
      <c r="BW20" s="721"/>
      <c r="BX20" s="721"/>
      <c r="BY20" s="721"/>
      <c r="BZ20" s="721"/>
      <c r="CA20" s="721"/>
      <c r="CB20" s="721"/>
      <c r="CC20" s="721"/>
      <c r="CD20" s="721"/>
      <c r="CE20" s="721"/>
      <c r="CF20" s="721"/>
      <c r="CG20" s="721"/>
      <c r="CH20" s="721"/>
      <c r="CI20" s="721"/>
      <c r="CJ20" s="721"/>
      <c r="CK20" s="721"/>
      <c r="CL20" s="721"/>
      <c r="CM20" s="721"/>
      <c r="CN20" s="721"/>
      <c r="CO20" s="721"/>
      <c r="CP20" s="721"/>
      <c r="CQ20" s="721"/>
      <c r="CR20" s="721"/>
      <c r="CS20" s="721"/>
      <c r="CT20" s="721"/>
      <c r="CU20" s="721"/>
      <c r="CV20" s="721"/>
      <c r="CW20" s="721"/>
      <c r="CX20" s="721"/>
      <c r="CY20" s="721"/>
      <c r="CZ20" s="721"/>
      <c r="DA20" s="721"/>
      <c r="DB20" s="721"/>
      <c r="DC20" s="721"/>
      <c r="DD20" s="721"/>
      <c r="DE20" s="721"/>
      <c r="DF20" s="721"/>
      <c r="DG20" s="721"/>
      <c r="DH20" s="721"/>
      <c r="DI20" s="721"/>
      <c r="DJ20" s="721"/>
      <c r="DK20" s="721"/>
      <c r="DL20" s="721"/>
      <c r="DM20" s="721"/>
      <c r="DN20" s="721"/>
      <c r="DO20" s="721"/>
      <c r="DP20" s="721"/>
      <c r="DQ20" s="721"/>
      <c r="DR20" s="721"/>
      <c r="DS20" s="721"/>
      <c r="DT20" s="721"/>
      <c r="DU20" s="721"/>
      <c r="DV20" s="721"/>
      <c r="DW20" s="721"/>
      <c r="DX20" s="721"/>
      <c r="DY20" s="721"/>
      <c r="DZ20" s="721"/>
      <c r="EA20" s="721"/>
      <c r="EB20" s="721"/>
      <c r="EC20" s="721"/>
      <c r="ED20" s="721"/>
      <c r="EE20" s="721"/>
      <c r="EF20" s="721"/>
      <c r="EG20" s="721"/>
      <c r="EH20" s="721"/>
      <c r="EI20" s="721"/>
      <c r="EJ20" s="721"/>
      <c r="EK20" s="721"/>
      <c r="EL20" s="721"/>
      <c r="EM20" s="721"/>
      <c r="EN20" s="721"/>
      <c r="EO20" s="721"/>
      <c r="EP20" s="721"/>
      <c r="EQ20" s="721"/>
      <c r="ER20" s="721"/>
      <c r="ES20" s="721"/>
      <c r="ET20" s="721"/>
      <c r="EU20" s="721"/>
      <c r="EV20" s="721"/>
      <c r="EW20" s="721"/>
      <c r="EX20" s="721"/>
      <c r="EY20" s="721"/>
      <c r="EZ20" s="721"/>
      <c r="FA20" s="721"/>
      <c r="FB20" s="721"/>
      <c r="FC20" s="721"/>
      <c r="FD20" s="721"/>
      <c r="FE20" s="721"/>
      <c r="FF20" s="721"/>
      <c r="FG20" s="721"/>
      <c r="FH20" s="721"/>
      <c r="FI20" s="721"/>
      <c r="FJ20" s="721"/>
      <c r="FK20" s="721"/>
      <c r="FL20" s="721"/>
      <c r="FM20" s="721"/>
      <c r="FN20" s="721"/>
      <c r="FO20" s="721"/>
      <c r="FP20" s="721"/>
      <c r="FQ20" s="721"/>
      <c r="FR20" s="721"/>
      <c r="FS20" s="721"/>
      <c r="FT20" s="721"/>
      <c r="FU20" s="721"/>
      <c r="FV20" s="721"/>
      <c r="FW20" s="721"/>
      <c r="FX20" s="721"/>
      <c r="FY20" s="721"/>
      <c r="FZ20" s="721"/>
      <c r="GA20" s="721"/>
      <c r="GB20" s="721"/>
      <c r="GC20" s="721"/>
      <c r="GD20" s="721"/>
      <c r="GE20" s="721"/>
      <c r="GF20" s="721"/>
      <c r="GG20" s="721"/>
      <c r="GH20" s="721"/>
      <c r="GI20" s="721"/>
      <c r="GJ20" s="721"/>
      <c r="GK20" s="721"/>
      <c r="GL20" s="721"/>
      <c r="GM20" s="721"/>
      <c r="GN20" s="721"/>
      <c r="GO20" s="721"/>
      <c r="GP20" s="721"/>
      <c r="GQ20" s="721"/>
      <c r="GR20" s="721"/>
      <c r="GS20" s="721"/>
      <c r="GT20" s="721"/>
      <c r="GU20" s="721"/>
      <c r="GV20" s="721"/>
      <c r="GW20" s="721"/>
      <c r="GX20" s="721"/>
      <c r="GY20" s="721"/>
      <c r="GZ20" s="721"/>
      <c r="HA20" s="721"/>
      <c r="HB20" s="721"/>
      <c r="HC20" s="721"/>
      <c r="HD20" s="721"/>
      <c r="HE20" s="721"/>
      <c r="HF20" s="721"/>
      <c r="HG20" s="721"/>
      <c r="HH20" s="721"/>
      <c r="HI20" s="721"/>
      <c r="HJ20" s="721"/>
      <c r="HK20" s="721"/>
      <c r="HL20" s="721"/>
      <c r="HM20" s="721"/>
      <c r="HN20" s="721"/>
      <c r="HO20" s="721"/>
      <c r="HP20" s="721"/>
      <c r="HQ20" s="721"/>
      <c r="HR20" s="721"/>
      <c r="HS20" s="721"/>
      <c r="HT20" s="721"/>
      <c r="HU20" s="721"/>
      <c r="HV20" s="721"/>
      <c r="HW20" s="721"/>
      <c r="HX20" s="721"/>
      <c r="HY20" s="721"/>
      <c r="HZ20" s="721"/>
      <c r="IA20" s="721"/>
      <c r="IB20" s="721"/>
      <c r="IC20" s="721"/>
      <c r="ID20" s="721"/>
      <c r="IE20" s="721"/>
      <c r="IF20" s="721"/>
      <c r="IG20" s="721"/>
      <c r="IH20" s="721"/>
      <c r="II20" s="721"/>
      <c r="IJ20" s="721"/>
      <c r="IK20" s="721"/>
      <c r="IL20" s="721"/>
      <c r="IM20" s="721"/>
      <c r="IN20" s="721"/>
      <c r="IO20" s="721"/>
      <c r="IP20" s="721"/>
      <c r="IQ20" s="721"/>
      <c r="IR20" s="721"/>
      <c r="IS20" s="721"/>
      <c r="IT20" s="721"/>
      <c r="IU20" s="721"/>
      <c r="IV20" s="721"/>
      <c r="IW20" s="721"/>
    </row>
    <row r="21" customFormat="false" ht="12" hidden="false" customHeight="true" outlineLevel="0" collapsed="false">
      <c r="A21" s="76" t="s">
        <v>605</v>
      </c>
      <c r="B21" s="425"/>
      <c r="C21" s="425"/>
      <c r="D21" s="425" t="n">
        <f aca="false">SUM(D20)</f>
        <v>-3999.82115044211</v>
      </c>
      <c r="E21" s="425" t="n">
        <f aca="false">SUM(E20)</f>
        <v>5109.85399263144</v>
      </c>
      <c r="F21" s="425" t="n">
        <f aca="false">SUM(F20)</f>
        <v>5533.18076142484</v>
      </c>
      <c r="G21" s="425" t="n">
        <f aca="false">SUM(G20)</f>
        <v>16270.2396344389</v>
      </c>
      <c r="H21" s="425" t="n">
        <f aca="false">SUM(H20)</f>
        <v>24961.9294988477</v>
      </c>
      <c r="I21" s="425" t="n">
        <f aca="false">SUM(I20)</f>
        <v>27102.1101671864</v>
      </c>
      <c r="J21" s="425" t="n">
        <f aca="false">SUM(J20)</f>
        <v>27548.1059591247</v>
      </c>
      <c r="K21" s="425" t="n">
        <f aca="false">SUM(K20)</f>
        <v>28734.235991291</v>
      </c>
      <c r="L21" s="425" t="n">
        <f aca="false">SUM(L20)</f>
        <v>29910.9725490491</v>
      </c>
      <c r="M21" s="425" t="n">
        <f aca="false">SUM(M20)</f>
        <v>31531.6662288894</v>
      </c>
      <c r="N21" s="425" t="n">
        <f aca="false">SUM(N20)</f>
        <v>33385.0905938952</v>
      </c>
      <c r="O21" s="425" t="n">
        <f aca="false">SUM(O20)</f>
        <v>34196.1211273991</v>
      </c>
      <c r="P21" s="425" t="n">
        <f aca="false">SUM(P20)</f>
        <v>35074.0855003746</v>
      </c>
      <c r="Q21" s="425" t="n">
        <f aca="false">SUM(Q20)</f>
        <v>35979.3902461105</v>
      </c>
      <c r="R21" s="425" t="n">
        <f aca="false">SUM(R20)</f>
        <v>36825.6806361006</v>
      </c>
      <c r="S21" s="425" t="n">
        <f aca="false">SUM(S20)</f>
        <v>37654.0626584573</v>
      </c>
      <c r="T21" s="425" t="n">
        <f aca="false">SUM(T20)</f>
        <v>38463.0638841054</v>
      </c>
      <c r="U21" s="425" t="n">
        <f aca="false">SUM(U20)</f>
        <v>39697.7980018097</v>
      </c>
      <c r="V21" s="425" t="n">
        <f aca="false">SUM(V20)</f>
        <v>41029.1373894545</v>
      </c>
      <c r="W21" s="425" t="n">
        <f aca="false">SUM(W20)</f>
        <v>41374.1364374866</v>
      </c>
      <c r="X21" s="425" t="n">
        <f aca="false">SUM(X20)</f>
        <v>11989.2215264735</v>
      </c>
      <c r="Y21" s="425" t="n">
        <f aca="false">SUM(Y20)</f>
        <v>0</v>
      </c>
      <c r="Z21" s="425" t="n">
        <f aca="false">SUM(Z20)</f>
        <v>0</v>
      </c>
      <c r="AA21" s="425" t="n">
        <f aca="false">SUM(AA20)</f>
        <v>0</v>
      </c>
      <c r="AB21" s="426" t="n">
        <f aca="false">SUM(AB20)</f>
        <v>0</v>
      </c>
      <c r="AC21" s="425"/>
      <c r="AD21" s="425"/>
      <c r="AE21" s="721"/>
      <c r="AF21" s="721"/>
      <c r="AG21" s="721"/>
      <c r="AH21" s="721"/>
      <c r="AI21" s="721"/>
      <c r="AJ21" s="721"/>
      <c r="AK21" s="721"/>
      <c r="AL21" s="721"/>
      <c r="AM21" s="721"/>
      <c r="AN21" s="721"/>
      <c r="AO21" s="721"/>
      <c r="AP21" s="721"/>
      <c r="AQ21" s="721"/>
      <c r="AR21" s="721"/>
      <c r="AS21" s="721"/>
      <c r="AT21" s="721"/>
      <c r="AU21" s="721"/>
      <c r="AV21" s="721"/>
      <c r="AW21" s="721"/>
      <c r="AX21" s="721"/>
      <c r="AY21" s="721"/>
      <c r="AZ21" s="721"/>
      <c r="BA21" s="721"/>
      <c r="BB21" s="721"/>
      <c r="BC21" s="721"/>
      <c r="BD21" s="721"/>
      <c r="BE21" s="721"/>
      <c r="BF21" s="721"/>
      <c r="BG21" s="721"/>
      <c r="BH21" s="721"/>
      <c r="BI21" s="721"/>
      <c r="BJ21" s="721"/>
      <c r="BK21" s="721"/>
      <c r="BL21" s="721"/>
      <c r="BM21" s="721"/>
      <c r="BN21" s="721"/>
      <c r="BO21" s="721"/>
      <c r="BP21" s="721"/>
      <c r="BQ21" s="721"/>
      <c r="BR21" s="721"/>
      <c r="BS21" s="721"/>
      <c r="BT21" s="721"/>
      <c r="BU21" s="721"/>
      <c r="BV21" s="721"/>
      <c r="BW21" s="721"/>
      <c r="BX21" s="721"/>
      <c r="BY21" s="721"/>
      <c r="BZ21" s="721"/>
      <c r="CA21" s="721"/>
      <c r="CB21" s="721"/>
      <c r="CC21" s="721"/>
      <c r="CD21" s="721"/>
      <c r="CE21" s="721"/>
      <c r="CF21" s="721"/>
      <c r="CG21" s="721"/>
      <c r="CH21" s="721"/>
      <c r="CI21" s="721"/>
      <c r="CJ21" s="721"/>
      <c r="CK21" s="721"/>
      <c r="CL21" s="721"/>
      <c r="CM21" s="721"/>
      <c r="CN21" s="721"/>
      <c r="CO21" s="721"/>
      <c r="CP21" s="721"/>
      <c r="CQ21" s="721"/>
      <c r="CR21" s="721"/>
      <c r="CS21" s="721"/>
      <c r="CT21" s="721"/>
      <c r="CU21" s="721"/>
      <c r="CV21" s="721"/>
      <c r="CW21" s="721"/>
      <c r="CX21" s="721"/>
      <c r="CY21" s="721"/>
      <c r="CZ21" s="721"/>
      <c r="DA21" s="721"/>
      <c r="DB21" s="721"/>
      <c r="DC21" s="721"/>
      <c r="DD21" s="721"/>
      <c r="DE21" s="721"/>
      <c r="DF21" s="721"/>
      <c r="DG21" s="721"/>
      <c r="DH21" s="721"/>
      <c r="DI21" s="721"/>
      <c r="DJ21" s="721"/>
      <c r="DK21" s="721"/>
      <c r="DL21" s="721"/>
      <c r="DM21" s="721"/>
      <c r="DN21" s="721"/>
      <c r="DO21" s="721"/>
      <c r="DP21" s="721"/>
      <c r="DQ21" s="721"/>
      <c r="DR21" s="721"/>
      <c r="DS21" s="721"/>
      <c r="DT21" s="721"/>
      <c r="DU21" s="721"/>
      <c r="DV21" s="721"/>
      <c r="DW21" s="721"/>
      <c r="DX21" s="721"/>
      <c r="DY21" s="721"/>
      <c r="DZ21" s="721"/>
      <c r="EA21" s="721"/>
      <c r="EB21" s="721"/>
      <c r="EC21" s="721"/>
      <c r="ED21" s="721"/>
      <c r="EE21" s="721"/>
      <c r="EF21" s="721"/>
      <c r="EG21" s="721"/>
      <c r="EH21" s="721"/>
      <c r="EI21" s="721"/>
      <c r="EJ21" s="721"/>
      <c r="EK21" s="721"/>
      <c r="EL21" s="721"/>
      <c r="EM21" s="721"/>
      <c r="EN21" s="721"/>
      <c r="EO21" s="721"/>
      <c r="EP21" s="721"/>
      <c r="EQ21" s="721"/>
      <c r="ER21" s="721"/>
      <c r="ES21" s="721"/>
      <c r="ET21" s="721"/>
      <c r="EU21" s="721"/>
      <c r="EV21" s="721"/>
      <c r="EW21" s="721"/>
      <c r="EX21" s="721"/>
      <c r="EY21" s="721"/>
      <c r="EZ21" s="721"/>
      <c r="FA21" s="721"/>
      <c r="FB21" s="721"/>
      <c r="FC21" s="721"/>
      <c r="FD21" s="721"/>
      <c r="FE21" s="721"/>
      <c r="FF21" s="721"/>
      <c r="FG21" s="721"/>
      <c r="FH21" s="721"/>
      <c r="FI21" s="721"/>
      <c r="FJ21" s="721"/>
      <c r="FK21" s="721"/>
      <c r="FL21" s="721"/>
      <c r="FM21" s="721"/>
      <c r="FN21" s="721"/>
      <c r="FO21" s="721"/>
      <c r="FP21" s="721"/>
      <c r="FQ21" s="721"/>
      <c r="FR21" s="721"/>
      <c r="FS21" s="721"/>
      <c r="FT21" s="721"/>
      <c r="FU21" s="721"/>
      <c r="FV21" s="721"/>
      <c r="FW21" s="721"/>
      <c r="FX21" s="721"/>
      <c r="FY21" s="721"/>
      <c r="FZ21" s="721"/>
      <c r="GA21" s="721"/>
      <c r="GB21" s="721"/>
      <c r="GC21" s="721"/>
      <c r="GD21" s="721"/>
      <c r="GE21" s="721"/>
      <c r="GF21" s="721"/>
      <c r="GG21" s="721"/>
      <c r="GH21" s="721"/>
      <c r="GI21" s="721"/>
      <c r="GJ21" s="721"/>
      <c r="GK21" s="721"/>
      <c r="GL21" s="721"/>
      <c r="GM21" s="721"/>
      <c r="GN21" s="721"/>
      <c r="GO21" s="721"/>
      <c r="GP21" s="721"/>
      <c r="GQ21" s="721"/>
      <c r="GR21" s="721"/>
      <c r="GS21" s="721"/>
      <c r="GT21" s="721"/>
      <c r="GU21" s="721"/>
      <c r="GV21" s="721"/>
      <c r="GW21" s="721"/>
      <c r="GX21" s="721"/>
      <c r="GY21" s="721"/>
      <c r="GZ21" s="721"/>
      <c r="HA21" s="721"/>
      <c r="HB21" s="721"/>
      <c r="HC21" s="721"/>
      <c r="HD21" s="721"/>
      <c r="HE21" s="721"/>
      <c r="HF21" s="721"/>
      <c r="HG21" s="721"/>
      <c r="HH21" s="721"/>
      <c r="HI21" s="721"/>
      <c r="HJ21" s="721"/>
      <c r="HK21" s="721"/>
      <c r="HL21" s="721"/>
      <c r="HM21" s="721"/>
      <c r="HN21" s="721"/>
      <c r="HO21" s="721"/>
      <c r="HP21" s="721"/>
      <c r="HQ21" s="721"/>
      <c r="HR21" s="721"/>
      <c r="HS21" s="721"/>
      <c r="HT21" s="721"/>
      <c r="HU21" s="721"/>
      <c r="HV21" s="721"/>
      <c r="HW21" s="721"/>
      <c r="HX21" s="721"/>
      <c r="HY21" s="721"/>
      <c r="HZ21" s="721"/>
      <c r="IA21" s="721"/>
      <c r="IB21" s="721"/>
      <c r="IC21" s="721"/>
      <c r="ID21" s="721"/>
      <c r="IE21" s="721"/>
      <c r="IF21" s="721"/>
      <c r="IG21" s="721"/>
      <c r="IH21" s="721"/>
      <c r="II21" s="721"/>
      <c r="IJ21" s="721"/>
      <c r="IK21" s="721"/>
      <c r="IL21" s="721"/>
      <c r="IM21" s="721"/>
      <c r="IN21" s="721"/>
      <c r="IO21" s="721"/>
      <c r="IP21" s="721"/>
      <c r="IQ21" s="721"/>
      <c r="IR21" s="721"/>
      <c r="IS21" s="721"/>
      <c r="IT21" s="721"/>
      <c r="IU21" s="721"/>
      <c r="IV21" s="721"/>
      <c r="IW21" s="721"/>
    </row>
    <row r="22" customFormat="false" ht="12" hidden="false" customHeight="true" outlineLevel="0" collapsed="false">
      <c r="A22" s="76" t="s">
        <v>606</v>
      </c>
      <c r="B22" s="371"/>
      <c r="C22" s="784"/>
      <c r="D22" s="700" t="n">
        <f aca="false">'Book Income Statement'!D67</f>
        <v>4574.77697833333</v>
      </c>
      <c r="E22" s="700" t="n">
        <f aca="false">'Book Income Statement'!E67</f>
        <v>7842.47482</v>
      </c>
      <c r="F22" s="700" t="n">
        <f aca="false">'Book Income Statement'!F67</f>
        <v>7842.47482</v>
      </c>
      <c r="G22" s="700" t="n">
        <f aca="false">'Book Income Statement'!G67</f>
        <v>7842.47482</v>
      </c>
      <c r="H22" s="700" t="n">
        <f aca="false">'Book Income Statement'!H67</f>
        <v>7842.47482</v>
      </c>
      <c r="I22" s="700" t="n">
        <f aca="false">'Book Income Statement'!I67</f>
        <v>7662.34253666667</v>
      </c>
      <c r="J22" s="700" t="n">
        <f aca="false">'Book Income Statement'!J67</f>
        <v>7533.67662</v>
      </c>
      <c r="K22" s="700" t="n">
        <f aca="false">'Book Income Statement'!K67</f>
        <v>7533.67662</v>
      </c>
      <c r="L22" s="700" t="n">
        <f aca="false">'Book Income Statement'!L67</f>
        <v>7533.67662</v>
      </c>
      <c r="M22" s="700" t="n">
        <f aca="false">'Book Income Statement'!M67</f>
        <v>7533.67662</v>
      </c>
      <c r="N22" s="700" t="n">
        <f aca="false">'Book Income Statement'!N67</f>
        <v>7533.67662</v>
      </c>
      <c r="O22" s="700" t="n">
        <f aca="false">'Book Income Statement'!O67</f>
        <v>7533.67662</v>
      </c>
      <c r="P22" s="700" t="n">
        <f aca="false">'Book Income Statement'!P67</f>
        <v>7533.67662</v>
      </c>
      <c r="Q22" s="700" t="n">
        <f aca="false">'Book Income Statement'!Q67</f>
        <v>7533.67662</v>
      </c>
      <c r="R22" s="700" t="n">
        <f aca="false">'Book Income Statement'!R67</f>
        <v>7533.67662</v>
      </c>
      <c r="S22" s="700" t="n">
        <f aca="false">'Book Income Statement'!S67</f>
        <v>7533.67662</v>
      </c>
      <c r="T22" s="700" t="n">
        <f aca="false">'Book Income Statement'!T67</f>
        <v>7533.67662</v>
      </c>
      <c r="U22" s="700" t="n">
        <f aca="false">'Book Income Statement'!U67</f>
        <v>7533.67662</v>
      </c>
      <c r="V22" s="700" t="n">
        <f aca="false">'Book Income Statement'!V67</f>
        <v>7533.67662</v>
      </c>
      <c r="W22" s="700" t="n">
        <f aca="false">'Book Income Statement'!W67</f>
        <v>7533.67662</v>
      </c>
      <c r="X22" s="700" t="n">
        <f aca="false">'Book Income Statement'!X67</f>
        <v>7533.67662</v>
      </c>
      <c r="Y22" s="700" t="n">
        <f aca="false">'Book Income Statement'!Y67</f>
        <v>0</v>
      </c>
      <c r="Z22" s="700" t="n">
        <f aca="false">'Book Income Statement'!Z67</f>
        <v>0</v>
      </c>
      <c r="AA22" s="700" t="n">
        <f aca="false">'Book Income Statement'!AA67</f>
        <v>0</v>
      </c>
      <c r="AB22" s="701" t="n">
        <f aca="false">'Book Income Statement'!AB67</f>
        <v>0</v>
      </c>
      <c r="AC22" s="700"/>
      <c r="AD22" s="700"/>
    </row>
    <row r="23" customFormat="false" ht="12" hidden="false" customHeight="true" outlineLevel="0" collapsed="false">
      <c r="A23" s="76" t="s">
        <v>607</v>
      </c>
      <c r="B23" s="371"/>
      <c r="C23" s="371"/>
      <c r="D23" s="785" t="n">
        <f aca="false">IF(D4&lt;='Project Assumptions'!$I$15+1,Depreciation!D28*-1,0)</f>
        <v>-12736.2599833333</v>
      </c>
      <c r="E23" s="785" t="n">
        <f aca="false">IF(E4&lt;='Project Assumptions'!$I$15+1,Depreciation!E28*-1,0)</f>
        <v>-24165.44083</v>
      </c>
      <c r="F23" s="785" t="n">
        <f aca="false">IF(F4&lt;='Project Assumptions'!$I$15+1,Depreciation!F28*-1,0)</f>
        <v>-21779.776567</v>
      </c>
      <c r="G23" s="785" t="n">
        <f aca="false">IF(G4&lt;='Project Assumptions'!$I$15+1,Depreciation!G28*-1,0)</f>
        <v>-19645.234858</v>
      </c>
      <c r="H23" s="785" t="n">
        <f aca="false">IF(H4&lt;='Project Assumptions'!$I$15+1,Depreciation!H28*-1,0)</f>
        <v>-17711.5911922</v>
      </c>
      <c r="I23" s="785" t="n">
        <f aca="false">IF(I4&lt;='Project Assumptions'!$I$15+1,Depreciation!I28*-1,0)</f>
        <v>-15773.6010308667</v>
      </c>
      <c r="J23" s="785" t="n">
        <f aca="false">IF(J4&lt;='Project Assumptions'!$I$15+1,Depreciation!J28*-1,0)</f>
        <v>-14816.230686</v>
      </c>
      <c r="K23" s="785" t="n">
        <f aca="false">IF(K4&lt;='Project Assumptions'!$I$15+1,Depreciation!K28*-1,0)</f>
        <v>-14841.3429414</v>
      </c>
      <c r="L23" s="785" t="n">
        <f aca="false">IF(L4&lt;='Project Assumptions'!$I$15+1,Depreciation!L28*-1,0)</f>
        <v>-14816.230686</v>
      </c>
      <c r="M23" s="785" t="n">
        <f aca="false">IF(M4&lt;='Project Assumptions'!$I$15+1,Depreciation!M28*-1,0)</f>
        <v>-14841.3429414</v>
      </c>
      <c r="N23" s="785" t="n">
        <f aca="false">IF(N4&lt;='Project Assumptions'!$I$15+1,Depreciation!N28*-1,0)</f>
        <v>-14816.230686</v>
      </c>
      <c r="O23" s="785" t="n">
        <f aca="false">IF(O4&lt;='Project Assumptions'!$I$15+1,Depreciation!O28*-1,0)</f>
        <v>-14841.3429414</v>
      </c>
      <c r="P23" s="785" t="n">
        <f aca="false">IF(P4&lt;='Project Assumptions'!$I$15+1,Depreciation!P28*-1,0)</f>
        <v>-14816.230686</v>
      </c>
      <c r="Q23" s="785" t="n">
        <f aca="false">IF(Q4&lt;='Project Assumptions'!$I$15+1,Depreciation!Q28*-1,0)</f>
        <v>-14841.3429414</v>
      </c>
      <c r="R23" s="785" t="n">
        <f aca="false">IF(R4&lt;='Project Assumptions'!$I$15+1,Depreciation!R28*-1,0)</f>
        <v>-14816.230686</v>
      </c>
      <c r="S23" s="785" t="n">
        <f aca="false">IF(S4&lt;='Project Assumptions'!$I$15+1,Depreciation!S28*-1,0)</f>
        <v>-7408.115343</v>
      </c>
      <c r="T23" s="785" t="n">
        <f aca="false">IF(T4&lt;='Project Assumptions'!$I$15+1,Depreciation!T28*-1,0)</f>
        <v>-0</v>
      </c>
      <c r="U23" s="785" t="n">
        <f aca="false">IF(U4&lt;='Project Assumptions'!$I$15+1,Depreciation!U28*-1,0)</f>
        <v>-0</v>
      </c>
      <c r="V23" s="785" t="n">
        <f aca="false">IF(V4&lt;='Project Assumptions'!$I$15+1,Depreciation!V28*-1,0)</f>
        <v>-0</v>
      </c>
      <c r="W23" s="785" t="n">
        <f aca="false">IF(W4&lt;='Project Assumptions'!$I$15+1,Depreciation!W28*-1,0)</f>
        <v>-0</v>
      </c>
      <c r="X23" s="785" t="n">
        <f aca="false">IF(X4&lt;='Project Assumptions'!$I$15+1,Depreciation!X28*-1,0)</f>
        <v>-0</v>
      </c>
      <c r="Y23" s="785" t="n">
        <f aca="false">IF(Y4&lt;='Project Assumptions'!$I$15+1,Depreciation!Y28*-1,0)</f>
        <v>0</v>
      </c>
      <c r="Z23" s="785" t="n">
        <f aca="false">IF(Z4&lt;='Project Assumptions'!$I$15+1,Depreciation!Z28*-1,0)</f>
        <v>0</v>
      </c>
      <c r="AA23" s="785" t="n">
        <f aca="false">IF(AA4&lt;='Project Assumptions'!$I$15+1,Depreciation!AA28*-1,0)</f>
        <v>0</v>
      </c>
      <c r="AB23" s="786" t="n">
        <f aca="false">IF(AB4&lt;='Project Assumptions'!$I$15+1,Depreciation!AB28*-1,0)</f>
        <v>0</v>
      </c>
      <c r="AC23" s="371"/>
      <c r="AD23" s="371"/>
      <c r="AE23" s="776"/>
      <c r="AF23" s="776"/>
      <c r="AG23" s="776"/>
      <c r="AH23" s="776"/>
      <c r="AI23" s="776"/>
      <c r="AJ23" s="776"/>
      <c r="AK23" s="776"/>
      <c r="AL23" s="776"/>
      <c r="AM23" s="776"/>
      <c r="AN23" s="776"/>
      <c r="AO23" s="776"/>
      <c r="AP23" s="776"/>
      <c r="AQ23" s="776"/>
      <c r="AR23" s="776"/>
      <c r="AS23" s="776"/>
      <c r="AT23" s="776"/>
      <c r="AU23" s="776"/>
      <c r="AV23" s="776"/>
      <c r="AW23" s="776"/>
      <c r="AX23" s="776"/>
      <c r="AY23" s="776"/>
      <c r="AZ23" s="776"/>
      <c r="BA23" s="776"/>
      <c r="BB23" s="776"/>
      <c r="BC23" s="776"/>
      <c r="BD23" s="776"/>
      <c r="BE23" s="776"/>
      <c r="BF23" s="776"/>
      <c r="BG23" s="776"/>
      <c r="BH23" s="776"/>
      <c r="BI23" s="776"/>
      <c r="BJ23" s="776"/>
      <c r="BK23" s="776"/>
      <c r="BL23" s="776"/>
      <c r="BM23" s="776"/>
      <c r="BN23" s="776"/>
      <c r="BO23" s="776"/>
      <c r="BP23" s="776"/>
      <c r="BQ23" s="776"/>
      <c r="BR23" s="776"/>
      <c r="BS23" s="776"/>
      <c r="BT23" s="776"/>
      <c r="BU23" s="776"/>
      <c r="BV23" s="776"/>
      <c r="BW23" s="776"/>
      <c r="BX23" s="776"/>
      <c r="BY23" s="776"/>
      <c r="BZ23" s="776"/>
      <c r="CA23" s="776"/>
      <c r="CB23" s="776"/>
      <c r="CC23" s="776"/>
      <c r="CD23" s="776"/>
      <c r="CE23" s="776"/>
      <c r="CF23" s="776"/>
      <c r="CG23" s="776"/>
      <c r="CH23" s="776"/>
      <c r="CI23" s="776"/>
      <c r="CJ23" s="776"/>
      <c r="CK23" s="776"/>
      <c r="CL23" s="776"/>
      <c r="CM23" s="776"/>
      <c r="CN23" s="776"/>
      <c r="CO23" s="776"/>
      <c r="CP23" s="776"/>
      <c r="CQ23" s="776"/>
      <c r="CR23" s="776"/>
      <c r="CS23" s="776"/>
      <c r="CT23" s="776"/>
      <c r="CU23" s="776"/>
      <c r="CV23" s="776"/>
      <c r="CW23" s="776"/>
      <c r="CX23" s="776"/>
      <c r="CY23" s="776"/>
      <c r="CZ23" s="776"/>
      <c r="DA23" s="776"/>
      <c r="DB23" s="776"/>
      <c r="DC23" s="776"/>
      <c r="DD23" s="776"/>
      <c r="DE23" s="776"/>
      <c r="DF23" s="776"/>
      <c r="DG23" s="776"/>
      <c r="DH23" s="776"/>
      <c r="DI23" s="776"/>
      <c r="DJ23" s="776"/>
      <c r="DK23" s="776"/>
      <c r="DL23" s="776"/>
      <c r="DM23" s="776"/>
      <c r="DN23" s="776"/>
      <c r="DO23" s="776"/>
      <c r="DP23" s="776"/>
      <c r="DQ23" s="776"/>
      <c r="DR23" s="776"/>
      <c r="DS23" s="776"/>
      <c r="DT23" s="776"/>
      <c r="DU23" s="776"/>
      <c r="DV23" s="776"/>
      <c r="DW23" s="776"/>
      <c r="DX23" s="776"/>
      <c r="DY23" s="776"/>
      <c r="DZ23" s="776"/>
      <c r="EA23" s="776"/>
      <c r="EB23" s="776"/>
      <c r="EC23" s="776"/>
      <c r="ED23" s="776"/>
      <c r="EE23" s="776"/>
      <c r="EF23" s="776"/>
      <c r="EG23" s="776"/>
      <c r="EH23" s="776"/>
      <c r="EI23" s="776"/>
      <c r="EJ23" s="776"/>
      <c r="EK23" s="776"/>
      <c r="EL23" s="776"/>
      <c r="EM23" s="776"/>
      <c r="EN23" s="776"/>
      <c r="EO23" s="776"/>
      <c r="EP23" s="776"/>
      <c r="EQ23" s="776"/>
      <c r="ER23" s="776"/>
      <c r="ES23" s="776"/>
      <c r="ET23" s="776"/>
      <c r="EU23" s="776"/>
      <c r="EV23" s="776"/>
      <c r="EW23" s="776"/>
      <c r="EX23" s="776"/>
      <c r="EY23" s="776"/>
      <c r="EZ23" s="776"/>
      <c r="FA23" s="776"/>
      <c r="FB23" s="776"/>
      <c r="FC23" s="776"/>
      <c r="FD23" s="776"/>
      <c r="FE23" s="776"/>
      <c r="FF23" s="776"/>
      <c r="FG23" s="776"/>
      <c r="FH23" s="776"/>
      <c r="FI23" s="776"/>
      <c r="FJ23" s="776"/>
      <c r="FK23" s="776"/>
      <c r="FL23" s="776"/>
      <c r="FM23" s="776"/>
      <c r="FN23" s="776"/>
      <c r="FO23" s="776"/>
      <c r="FP23" s="776"/>
      <c r="FQ23" s="776"/>
      <c r="FR23" s="776"/>
      <c r="FS23" s="776"/>
      <c r="FT23" s="776"/>
      <c r="FU23" s="776"/>
      <c r="FV23" s="776"/>
      <c r="FW23" s="776"/>
      <c r="FX23" s="776"/>
      <c r="FY23" s="776"/>
      <c r="FZ23" s="776"/>
      <c r="GA23" s="776"/>
      <c r="GB23" s="776"/>
      <c r="GC23" s="776"/>
      <c r="GD23" s="776"/>
      <c r="GE23" s="776"/>
      <c r="GF23" s="776"/>
      <c r="GG23" s="776"/>
      <c r="GH23" s="776"/>
      <c r="GI23" s="776"/>
      <c r="GJ23" s="776"/>
      <c r="GK23" s="776"/>
      <c r="GL23" s="776"/>
      <c r="GM23" s="776"/>
      <c r="GN23" s="776"/>
      <c r="GO23" s="776"/>
      <c r="GP23" s="776"/>
      <c r="GQ23" s="776"/>
      <c r="GR23" s="776"/>
      <c r="GS23" s="776"/>
      <c r="GT23" s="776"/>
      <c r="GU23" s="776"/>
      <c r="GV23" s="776"/>
      <c r="GW23" s="776"/>
      <c r="GX23" s="776"/>
      <c r="GY23" s="776"/>
      <c r="GZ23" s="776"/>
      <c r="HA23" s="776"/>
      <c r="HB23" s="776"/>
      <c r="HC23" s="776"/>
      <c r="HD23" s="776"/>
      <c r="HE23" s="776"/>
      <c r="HF23" s="776"/>
      <c r="HG23" s="776"/>
      <c r="HH23" s="776"/>
      <c r="HI23" s="776"/>
      <c r="HJ23" s="776"/>
      <c r="HK23" s="776"/>
      <c r="HL23" s="776"/>
      <c r="HM23" s="776"/>
      <c r="HN23" s="776"/>
      <c r="HO23" s="776"/>
      <c r="HP23" s="776"/>
      <c r="HQ23" s="776"/>
      <c r="HR23" s="776"/>
      <c r="HS23" s="776"/>
      <c r="HT23" s="776"/>
      <c r="HU23" s="776"/>
      <c r="HV23" s="776"/>
      <c r="HW23" s="776"/>
      <c r="HX23" s="776"/>
      <c r="HY23" s="776"/>
      <c r="HZ23" s="776"/>
      <c r="IA23" s="776"/>
      <c r="IB23" s="776"/>
      <c r="IC23" s="776"/>
      <c r="ID23" s="776"/>
      <c r="IE23" s="776"/>
      <c r="IF23" s="776"/>
      <c r="IG23" s="776"/>
      <c r="IH23" s="776"/>
      <c r="II23" s="776"/>
      <c r="IJ23" s="776"/>
      <c r="IK23" s="776"/>
      <c r="IL23" s="776"/>
      <c r="IM23" s="776"/>
      <c r="IN23" s="776"/>
      <c r="IO23" s="776"/>
      <c r="IP23" s="776"/>
      <c r="IQ23" s="776"/>
      <c r="IR23" s="776"/>
      <c r="IS23" s="776"/>
      <c r="IT23" s="776"/>
      <c r="IU23" s="776"/>
      <c r="IV23" s="776"/>
      <c r="IW23" s="716"/>
    </row>
    <row r="24" customFormat="false" ht="12" hidden="false" customHeight="true" outlineLevel="0" collapsed="false">
      <c r="A24" s="697" t="s">
        <v>608</v>
      </c>
      <c r="B24" s="371"/>
      <c r="C24" s="371"/>
      <c r="D24" s="787" t="n">
        <f aca="false">SUM(D21:D23)</f>
        <v>-12161.3041554421</v>
      </c>
      <c r="E24" s="787" t="n">
        <f aca="false">SUM(E21:E23)</f>
        <v>-11213.1120173686</v>
      </c>
      <c r="F24" s="787" t="n">
        <f aca="false">SUM(F21:F23)</f>
        <v>-8404.12098557516</v>
      </c>
      <c r="G24" s="787" t="n">
        <f aca="false">SUM(G21:G23)</f>
        <v>4467.47959643893</v>
      </c>
      <c r="H24" s="787" t="n">
        <f aca="false">SUM(H21:H23)</f>
        <v>15092.8131266477</v>
      </c>
      <c r="I24" s="787" t="n">
        <f aca="false">SUM(I21:I23)</f>
        <v>18990.8516729864</v>
      </c>
      <c r="J24" s="787" t="n">
        <f aca="false">SUM(J21:J23)</f>
        <v>20265.5518931247</v>
      </c>
      <c r="K24" s="787" t="n">
        <f aca="false">SUM(K21:K23)</f>
        <v>21426.569669891</v>
      </c>
      <c r="L24" s="787" t="n">
        <f aca="false">SUM(L21:L23)</f>
        <v>22628.4184830491</v>
      </c>
      <c r="M24" s="787" t="n">
        <f aca="false">SUM(M21:M23)</f>
        <v>24223.9999074894</v>
      </c>
      <c r="N24" s="787" t="n">
        <f aca="false">SUM(N21:N23)</f>
        <v>26102.5365278952</v>
      </c>
      <c r="O24" s="787" t="n">
        <f aca="false">SUM(O21:O23)</f>
        <v>26888.4548059991</v>
      </c>
      <c r="P24" s="787" t="n">
        <f aca="false">SUM(P21:P23)</f>
        <v>27791.5314343746</v>
      </c>
      <c r="Q24" s="787" t="n">
        <f aca="false">SUM(Q21:Q23)</f>
        <v>28671.7239247105</v>
      </c>
      <c r="R24" s="787" t="n">
        <f aca="false">SUM(R21:R23)</f>
        <v>29543.1265701006</v>
      </c>
      <c r="S24" s="787" t="n">
        <f aca="false">SUM(S21:S23)</f>
        <v>37779.6239354573</v>
      </c>
      <c r="T24" s="787" t="n">
        <f aca="false">SUM(T21:T23)</f>
        <v>45996.7405041054</v>
      </c>
      <c r="U24" s="787" t="n">
        <f aca="false">SUM(U21:U23)</f>
        <v>47231.4746218097</v>
      </c>
      <c r="V24" s="787" t="n">
        <f aca="false">SUM(V21:V23)</f>
        <v>48562.8140094545</v>
      </c>
      <c r="W24" s="787" t="n">
        <f aca="false">SUM(W21:W23)</f>
        <v>48907.8130574866</v>
      </c>
      <c r="X24" s="787" t="n">
        <f aca="false">SUM(X21:X23)</f>
        <v>19522.8981464735</v>
      </c>
      <c r="Y24" s="787" t="n">
        <f aca="false">SUM(Y21:Y23)</f>
        <v>0</v>
      </c>
      <c r="Z24" s="787" t="n">
        <f aca="false">SUM(Z21:Z23)</f>
        <v>0</v>
      </c>
      <c r="AA24" s="787" t="n">
        <f aca="false">SUM(AA21:AA23)</f>
        <v>0</v>
      </c>
      <c r="AB24" s="788" t="n">
        <f aca="false">SUM(AB21:AB23)</f>
        <v>0</v>
      </c>
      <c r="AC24" s="371"/>
      <c r="AD24" s="371"/>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776"/>
      <c r="BA24" s="776"/>
      <c r="BB24" s="776"/>
      <c r="BC24" s="776"/>
      <c r="BD24" s="776"/>
      <c r="BE24" s="776"/>
      <c r="BF24" s="776"/>
      <c r="BG24" s="776"/>
      <c r="BH24" s="776"/>
      <c r="BI24" s="776"/>
      <c r="BJ24" s="776"/>
      <c r="BK24" s="776"/>
      <c r="BL24" s="776"/>
      <c r="BM24" s="776"/>
      <c r="BN24" s="776"/>
      <c r="BO24" s="776"/>
      <c r="BP24" s="776"/>
      <c r="BQ24" s="776"/>
      <c r="BR24" s="776"/>
      <c r="BS24" s="776"/>
      <c r="BT24" s="776"/>
      <c r="BU24" s="776"/>
      <c r="BV24" s="776"/>
      <c r="BW24" s="776"/>
      <c r="BX24" s="776"/>
      <c r="BY24" s="776"/>
      <c r="BZ24" s="776"/>
      <c r="CA24" s="776"/>
      <c r="CB24" s="776"/>
      <c r="CC24" s="776"/>
      <c r="CD24" s="776"/>
      <c r="CE24" s="776"/>
      <c r="CF24" s="776"/>
      <c r="CG24" s="776"/>
      <c r="CH24" s="776"/>
      <c r="CI24" s="776"/>
      <c r="CJ24" s="776"/>
      <c r="CK24" s="776"/>
      <c r="CL24" s="776"/>
      <c r="CM24" s="776"/>
      <c r="CN24" s="776"/>
      <c r="CO24" s="776"/>
      <c r="CP24" s="776"/>
      <c r="CQ24" s="776"/>
      <c r="CR24" s="776"/>
      <c r="CS24" s="776"/>
      <c r="CT24" s="776"/>
      <c r="CU24" s="776"/>
      <c r="CV24" s="776"/>
      <c r="CW24" s="776"/>
      <c r="CX24" s="776"/>
      <c r="CY24" s="776"/>
      <c r="CZ24" s="776"/>
      <c r="DA24" s="776"/>
      <c r="DB24" s="776"/>
      <c r="DC24" s="776"/>
      <c r="DD24" s="776"/>
      <c r="DE24" s="776"/>
      <c r="DF24" s="776"/>
      <c r="DG24" s="776"/>
      <c r="DH24" s="776"/>
      <c r="DI24" s="776"/>
      <c r="DJ24" s="776"/>
      <c r="DK24" s="776"/>
      <c r="DL24" s="776"/>
      <c r="DM24" s="776"/>
      <c r="DN24" s="776"/>
      <c r="DO24" s="776"/>
      <c r="DP24" s="776"/>
      <c r="DQ24" s="776"/>
      <c r="DR24" s="776"/>
      <c r="DS24" s="776"/>
      <c r="DT24" s="776"/>
      <c r="DU24" s="776"/>
      <c r="DV24" s="776"/>
      <c r="DW24" s="776"/>
      <c r="DX24" s="776"/>
      <c r="DY24" s="776"/>
      <c r="DZ24" s="776"/>
      <c r="EA24" s="776"/>
      <c r="EB24" s="776"/>
      <c r="EC24" s="776"/>
      <c r="ED24" s="776"/>
      <c r="EE24" s="776"/>
      <c r="EF24" s="776"/>
      <c r="EG24" s="776"/>
      <c r="EH24" s="776"/>
      <c r="EI24" s="776"/>
      <c r="EJ24" s="776"/>
      <c r="EK24" s="776"/>
      <c r="EL24" s="776"/>
      <c r="EM24" s="776"/>
      <c r="EN24" s="776"/>
      <c r="EO24" s="776"/>
      <c r="EP24" s="776"/>
      <c r="EQ24" s="776"/>
      <c r="ER24" s="776"/>
      <c r="ES24" s="776"/>
      <c r="ET24" s="776"/>
      <c r="EU24" s="776"/>
      <c r="EV24" s="776"/>
      <c r="EW24" s="776"/>
      <c r="EX24" s="776"/>
      <c r="EY24" s="776"/>
      <c r="EZ24" s="776"/>
      <c r="FA24" s="776"/>
      <c r="FB24" s="776"/>
      <c r="FC24" s="776"/>
      <c r="FD24" s="776"/>
      <c r="FE24" s="776"/>
      <c r="FF24" s="776"/>
      <c r="FG24" s="776"/>
      <c r="FH24" s="776"/>
      <c r="FI24" s="776"/>
      <c r="FJ24" s="776"/>
      <c r="FK24" s="776"/>
      <c r="FL24" s="776"/>
      <c r="FM24" s="776"/>
      <c r="FN24" s="776"/>
      <c r="FO24" s="776"/>
      <c r="FP24" s="776"/>
      <c r="FQ24" s="776"/>
      <c r="FR24" s="776"/>
      <c r="FS24" s="776"/>
      <c r="FT24" s="776"/>
      <c r="FU24" s="776"/>
      <c r="FV24" s="776"/>
      <c r="FW24" s="776"/>
      <c r="FX24" s="776"/>
      <c r="FY24" s="776"/>
      <c r="FZ24" s="776"/>
      <c r="GA24" s="776"/>
      <c r="GB24" s="776"/>
      <c r="GC24" s="776"/>
      <c r="GD24" s="776"/>
      <c r="GE24" s="776"/>
      <c r="GF24" s="776"/>
      <c r="GG24" s="776"/>
      <c r="GH24" s="776"/>
      <c r="GI24" s="776"/>
      <c r="GJ24" s="776"/>
      <c r="GK24" s="776"/>
      <c r="GL24" s="776"/>
      <c r="GM24" s="776"/>
      <c r="GN24" s="776"/>
      <c r="GO24" s="776"/>
      <c r="GP24" s="776"/>
      <c r="GQ24" s="776"/>
      <c r="GR24" s="776"/>
      <c r="GS24" s="776"/>
      <c r="GT24" s="776"/>
      <c r="GU24" s="776"/>
      <c r="GV24" s="776"/>
      <c r="GW24" s="776"/>
      <c r="GX24" s="776"/>
      <c r="GY24" s="776"/>
      <c r="GZ24" s="776"/>
      <c r="HA24" s="776"/>
      <c r="HB24" s="776"/>
      <c r="HC24" s="776"/>
      <c r="HD24" s="776"/>
      <c r="HE24" s="776"/>
      <c r="HF24" s="776"/>
      <c r="HG24" s="776"/>
      <c r="HH24" s="776"/>
      <c r="HI24" s="776"/>
      <c r="HJ24" s="776"/>
      <c r="HK24" s="776"/>
      <c r="HL24" s="776"/>
      <c r="HM24" s="776"/>
      <c r="HN24" s="776"/>
      <c r="HO24" s="776"/>
      <c r="HP24" s="776"/>
      <c r="HQ24" s="776"/>
      <c r="HR24" s="776"/>
      <c r="HS24" s="776"/>
      <c r="HT24" s="776"/>
      <c r="HU24" s="776"/>
      <c r="HV24" s="776"/>
      <c r="HW24" s="776"/>
      <c r="HX24" s="776"/>
      <c r="HY24" s="776"/>
      <c r="HZ24" s="776"/>
      <c r="IA24" s="776"/>
      <c r="IB24" s="776"/>
      <c r="IC24" s="776"/>
      <c r="ID24" s="776"/>
      <c r="IE24" s="776"/>
      <c r="IF24" s="776"/>
      <c r="IG24" s="776"/>
      <c r="IH24" s="776"/>
      <c r="II24" s="776"/>
      <c r="IJ24" s="776"/>
      <c r="IK24" s="776"/>
      <c r="IL24" s="776"/>
      <c r="IM24" s="776"/>
      <c r="IN24" s="776"/>
      <c r="IO24" s="776"/>
      <c r="IP24" s="776"/>
      <c r="IQ24" s="776"/>
      <c r="IR24" s="776"/>
      <c r="IS24" s="776"/>
      <c r="IT24" s="776"/>
      <c r="IU24" s="776"/>
      <c r="IV24" s="776"/>
      <c r="IW24" s="716"/>
    </row>
    <row r="25" customFormat="false" ht="12" hidden="false" customHeight="true" outlineLevel="0" collapsed="false">
      <c r="A25" s="76"/>
      <c r="B25" s="371"/>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789"/>
      <c r="AC25" s="779"/>
      <c r="AD25" s="779"/>
      <c r="AE25" s="776"/>
      <c r="AF25" s="776"/>
      <c r="AG25" s="776"/>
      <c r="AH25" s="776"/>
      <c r="AI25" s="776"/>
      <c r="AJ25" s="776"/>
      <c r="AK25" s="776"/>
      <c r="AL25" s="776"/>
      <c r="AM25" s="776"/>
      <c r="AN25" s="776"/>
      <c r="AO25" s="776"/>
      <c r="AP25" s="776"/>
      <c r="AQ25" s="776"/>
      <c r="AR25" s="776"/>
      <c r="AS25" s="776"/>
      <c r="AT25" s="776"/>
      <c r="AU25" s="776"/>
      <c r="AV25" s="776"/>
      <c r="AW25" s="776"/>
      <c r="AX25" s="776"/>
      <c r="AY25" s="776"/>
      <c r="AZ25" s="776"/>
      <c r="BA25" s="776"/>
      <c r="BB25" s="776"/>
      <c r="BC25" s="776"/>
      <c r="BD25" s="776"/>
      <c r="BE25" s="776"/>
      <c r="BF25" s="776"/>
      <c r="BG25" s="776"/>
      <c r="BH25" s="776"/>
      <c r="BI25" s="776"/>
      <c r="BJ25" s="776"/>
      <c r="BK25" s="776"/>
      <c r="BL25" s="776"/>
      <c r="BM25" s="776"/>
      <c r="BN25" s="776"/>
      <c r="BO25" s="776"/>
      <c r="BP25" s="776"/>
      <c r="BQ25" s="776"/>
      <c r="BR25" s="776"/>
      <c r="BS25" s="776"/>
      <c r="BT25" s="776"/>
      <c r="BU25" s="776"/>
      <c r="BV25" s="776"/>
      <c r="BW25" s="776"/>
      <c r="BX25" s="776"/>
      <c r="BY25" s="776"/>
      <c r="BZ25" s="776"/>
      <c r="CA25" s="776"/>
      <c r="CB25" s="776"/>
      <c r="CC25" s="776"/>
      <c r="CD25" s="776"/>
      <c r="CE25" s="776"/>
      <c r="CF25" s="776"/>
      <c r="CG25" s="776"/>
      <c r="CH25" s="776"/>
      <c r="CI25" s="776"/>
      <c r="CJ25" s="776"/>
      <c r="CK25" s="776"/>
      <c r="CL25" s="776"/>
      <c r="CM25" s="776"/>
      <c r="CN25" s="776"/>
      <c r="CO25" s="776"/>
      <c r="CP25" s="776"/>
      <c r="CQ25" s="776"/>
      <c r="CR25" s="776"/>
      <c r="CS25" s="776"/>
      <c r="CT25" s="776"/>
      <c r="CU25" s="776"/>
      <c r="CV25" s="776"/>
      <c r="CW25" s="776"/>
      <c r="CX25" s="776"/>
      <c r="CY25" s="776"/>
      <c r="CZ25" s="776"/>
      <c r="DA25" s="776"/>
      <c r="DB25" s="776"/>
      <c r="DC25" s="776"/>
      <c r="DD25" s="776"/>
      <c r="DE25" s="776"/>
      <c r="DF25" s="776"/>
      <c r="DG25" s="776"/>
      <c r="DH25" s="776"/>
      <c r="DI25" s="776"/>
      <c r="DJ25" s="776"/>
      <c r="DK25" s="776"/>
      <c r="DL25" s="776"/>
      <c r="DM25" s="776"/>
      <c r="DN25" s="776"/>
      <c r="DO25" s="776"/>
      <c r="DP25" s="776"/>
      <c r="DQ25" s="776"/>
      <c r="DR25" s="776"/>
      <c r="DS25" s="776"/>
      <c r="DT25" s="776"/>
      <c r="DU25" s="776"/>
      <c r="DV25" s="776"/>
      <c r="DW25" s="776"/>
      <c r="DX25" s="776"/>
      <c r="DY25" s="776"/>
      <c r="DZ25" s="776"/>
      <c r="EA25" s="776"/>
      <c r="EB25" s="776"/>
      <c r="EC25" s="776"/>
      <c r="ED25" s="776"/>
      <c r="EE25" s="776"/>
      <c r="EF25" s="776"/>
      <c r="EG25" s="776"/>
      <c r="EH25" s="776"/>
      <c r="EI25" s="776"/>
      <c r="EJ25" s="776"/>
      <c r="EK25" s="776"/>
      <c r="EL25" s="776"/>
      <c r="EM25" s="776"/>
      <c r="EN25" s="776"/>
      <c r="EO25" s="776"/>
      <c r="EP25" s="776"/>
      <c r="EQ25" s="776"/>
      <c r="ER25" s="776"/>
      <c r="ES25" s="776"/>
      <c r="ET25" s="776"/>
      <c r="EU25" s="776"/>
      <c r="EV25" s="776"/>
      <c r="EW25" s="776"/>
      <c r="EX25" s="776"/>
      <c r="EY25" s="776"/>
      <c r="EZ25" s="776"/>
      <c r="FA25" s="776"/>
      <c r="FB25" s="776"/>
      <c r="FC25" s="776"/>
      <c r="FD25" s="776"/>
      <c r="FE25" s="776"/>
      <c r="FF25" s="776"/>
      <c r="FG25" s="776"/>
      <c r="FH25" s="776"/>
      <c r="FI25" s="776"/>
      <c r="FJ25" s="776"/>
      <c r="FK25" s="776"/>
      <c r="FL25" s="776"/>
      <c r="FM25" s="776"/>
      <c r="FN25" s="776"/>
      <c r="FO25" s="776"/>
      <c r="FP25" s="776"/>
      <c r="FQ25" s="776"/>
      <c r="FR25" s="776"/>
      <c r="FS25" s="776"/>
      <c r="FT25" s="776"/>
      <c r="FU25" s="776"/>
      <c r="FV25" s="776"/>
      <c r="FW25" s="776"/>
      <c r="FX25" s="776"/>
      <c r="FY25" s="776"/>
      <c r="FZ25" s="776"/>
      <c r="GA25" s="776"/>
      <c r="GB25" s="776"/>
      <c r="GC25" s="776"/>
      <c r="GD25" s="776"/>
      <c r="GE25" s="776"/>
      <c r="GF25" s="776"/>
      <c r="GG25" s="776"/>
      <c r="GH25" s="776"/>
      <c r="GI25" s="776"/>
      <c r="GJ25" s="776"/>
      <c r="GK25" s="776"/>
      <c r="GL25" s="776"/>
      <c r="GM25" s="776"/>
      <c r="GN25" s="776"/>
      <c r="GO25" s="776"/>
      <c r="GP25" s="776"/>
      <c r="GQ25" s="776"/>
      <c r="GR25" s="776"/>
      <c r="GS25" s="776"/>
      <c r="GT25" s="776"/>
      <c r="GU25" s="776"/>
      <c r="GV25" s="776"/>
      <c r="GW25" s="776"/>
      <c r="GX25" s="776"/>
      <c r="GY25" s="776"/>
      <c r="GZ25" s="776"/>
      <c r="HA25" s="776"/>
      <c r="HB25" s="776"/>
      <c r="HC25" s="776"/>
      <c r="HD25" s="776"/>
      <c r="HE25" s="776"/>
      <c r="HF25" s="776"/>
      <c r="HG25" s="776"/>
      <c r="HH25" s="776"/>
      <c r="HI25" s="776"/>
      <c r="HJ25" s="776"/>
      <c r="HK25" s="776"/>
      <c r="HL25" s="776"/>
      <c r="HM25" s="776"/>
      <c r="HN25" s="776"/>
      <c r="HO25" s="776"/>
      <c r="HP25" s="776"/>
      <c r="HQ25" s="776"/>
      <c r="HR25" s="776"/>
      <c r="HS25" s="776"/>
      <c r="HT25" s="776"/>
      <c r="HU25" s="776"/>
      <c r="HV25" s="776"/>
      <c r="HW25" s="776"/>
      <c r="HX25" s="776"/>
      <c r="HY25" s="776"/>
      <c r="HZ25" s="776"/>
      <c r="IA25" s="776"/>
      <c r="IB25" s="776"/>
      <c r="IC25" s="776"/>
      <c r="ID25" s="776"/>
      <c r="IE25" s="776"/>
      <c r="IF25" s="776"/>
      <c r="IG25" s="776"/>
      <c r="IH25" s="776"/>
      <c r="II25" s="776"/>
      <c r="IJ25" s="776"/>
      <c r="IK25" s="776"/>
      <c r="IL25" s="776"/>
      <c r="IM25" s="776"/>
      <c r="IN25" s="776"/>
      <c r="IO25" s="776"/>
      <c r="IP25" s="776"/>
      <c r="IQ25" s="776"/>
      <c r="IR25" s="776"/>
      <c r="IS25" s="776"/>
    </row>
    <row r="26" customFormat="false" ht="12" hidden="false" customHeight="true" outlineLevel="0" collapsed="false">
      <c r="A26" s="76" t="s">
        <v>609</v>
      </c>
      <c r="B26" s="371"/>
      <c r="C26" s="706"/>
      <c r="D26" s="700" t="n">
        <f aca="false">D24</f>
        <v>-12161.3041554421</v>
      </c>
      <c r="E26" s="700" t="n">
        <f aca="false">E24</f>
        <v>-11213.1120173686</v>
      </c>
      <c r="F26" s="700" t="n">
        <f aca="false">F24</f>
        <v>-8404.12098557516</v>
      </c>
      <c r="G26" s="700" t="n">
        <f aca="false">G24</f>
        <v>4467.47959643893</v>
      </c>
      <c r="H26" s="700" t="n">
        <f aca="false">H24</f>
        <v>15092.8131266477</v>
      </c>
      <c r="I26" s="700" t="n">
        <f aca="false">I24</f>
        <v>18990.8516729864</v>
      </c>
      <c r="J26" s="700" t="n">
        <f aca="false">J24</f>
        <v>20265.5518931247</v>
      </c>
      <c r="K26" s="700" t="n">
        <f aca="false">K24</f>
        <v>21426.569669891</v>
      </c>
      <c r="L26" s="700" t="n">
        <f aca="false">L24</f>
        <v>22628.4184830491</v>
      </c>
      <c r="M26" s="700" t="n">
        <f aca="false">M24</f>
        <v>24223.9999074894</v>
      </c>
      <c r="N26" s="700" t="n">
        <f aca="false">N24</f>
        <v>26102.5365278952</v>
      </c>
      <c r="O26" s="700" t="n">
        <f aca="false">O24</f>
        <v>26888.4548059991</v>
      </c>
      <c r="P26" s="700" t="n">
        <f aca="false">P24</f>
        <v>27791.5314343746</v>
      </c>
      <c r="Q26" s="700" t="n">
        <f aca="false">Q24</f>
        <v>28671.7239247105</v>
      </c>
      <c r="R26" s="700" t="n">
        <f aca="false">R24</f>
        <v>29543.1265701006</v>
      </c>
      <c r="S26" s="700" t="n">
        <f aca="false">S24</f>
        <v>37779.6239354573</v>
      </c>
      <c r="T26" s="700" t="n">
        <f aca="false">T24</f>
        <v>45996.7405041054</v>
      </c>
      <c r="U26" s="700" t="n">
        <f aca="false">U24</f>
        <v>47231.4746218097</v>
      </c>
      <c r="V26" s="700" t="n">
        <f aca="false">V24</f>
        <v>48562.8140094545</v>
      </c>
      <c r="W26" s="700" t="n">
        <f aca="false">W24</f>
        <v>48907.8130574866</v>
      </c>
      <c r="X26" s="700" t="n">
        <f aca="false">X24</f>
        <v>19522.8981464735</v>
      </c>
      <c r="Y26" s="700" t="n">
        <f aca="false">Y24</f>
        <v>0</v>
      </c>
      <c r="Z26" s="700" t="n">
        <f aca="false">Z24</f>
        <v>0</v>
      </c>
      <c r="AA26" s="700" t="n">
        <f aca="false">AA24</f>
        <v>0</v>
      </c>
      <c r="AB26" s="701" t="n">
        <f aca="false">AB24</f>
        <v>0</v>
      </c>
      <c r="AC26" s="706"/>
      <c r="AD26" s="706"/>
    </row>
    <row r="27" customFormat="false" ht="12" hidden="false" customHeight="true" outlineLevel="0" collapsed="false">
      <c r="A27" s="76" t="s">
        <v>610</v>
      </c>
      <c r="B27" s="371"/>
      <c r="C27" s="371"/>
      <c r="D27" s="777" t="n">
        <f aca="false">IF(D$4&gt;'Project Assumptions'!$I$15+1,0,'Project Assumptions'!$N$64)</f>
        <v>0.0718</v>
      </c>
      <c r="E27" s="777" t="n">
        <f aca="false">IF(E$4&gt;'Project Assumptions'!$I$15+1,0,'Project Assumptions'!$N$64)</f>
        <v>0.0718</v>
      </c>
      <c r="F27" s="777" t="n">
        <f aca="false">IF(F$4&gt;'Project Assumptions'!$I$15+1,0,'Project Assumptions'!$N$64)</f>
        <v>0.0718</v>
      </c>
      <c r="G27" s="777" t="n">
        <f aca="false">IF(G$4&gt;'Project Assumptions'!$I$15+1,0,'Project Assumptions'!$N$64)</f>
        <v>0.0718</v>
      </c>
      <c r="H27" s="777" t="n">
        <f aca="false">IF(H$4&gt;'Project Assumptions'!$I$15+1,0,'Project Assumptions'!$N$64)</f>
        <v>0.0718</v>
      </c>
      <c r="I27" s="777" t="n">
        <f aca="false">IF(I$4&gt;'Project Assumptions'!$I$15+1,0,'Project Assumptions'!$N$64)</f>
        <v>0.0718</v>
      </c>
      <c r="J27" s="777" t="n">
        <f aca="false">IF(J$4&gt;'Project Assumptions'!$I$15+1,0,'Project Assumptions'!$N$64)</f>
        <v>0.0718</v>
      </c>
      <c r="K27" s="777" t="n">
        <f aca="false">IF(K$4&gt;'Project Assumptions'!$I$15+1,0,'Project Assumptions'!$N$64)</f>
        <v>0.0718</v>
      </c>
      <c r="L27" s="777" t="n">
        <f aca="false">IF(L$4&gt;'Project Assumptions'!$I$15+1,0,'Project Assumptions'!$N$64)</f>
        <v>0.0718</v>
      </c>
      <c r="M27" s="777" t="n">
        <f aca="false">IF(M$4&gt;'Project Assumptions'!$I$15+1,0,'Project Assumptions'!$N$64)</f>
        <v>0.0718</v>
      </c>
      <c r="N27" s="777" t="n">
        <f aca="false">IF(N$4&gt;'Project Assumptions'!$I$15+1,0,'Project Assumptions'!$N$64)</f>
        <v>0.0718</v>
      </c>
      <c r="O27" s="777" t="n">
        <f aca="false">IF(O$4&gt;'Project Assumptions'!$I$15+1,0,'Project Assumptions'!$N$64)</f>
        <v>0.0718</v>
      </c>
      <c r="P27" s="777" t="n">
        <f aca="false">IF(P$4&gt;'Project Assumptions'!$I$15+1,0,'Project Assumptions'!$N$64)</f>
        <v>0.0718</v>
      </c>
      <c r="Q27" s="777" t="n">
        <f aca="false">IF(Q$4&gt;'Project Assumptions'!$I$15+1,0,'Project Assumptions'!$N$64)</f>
        <v>0.0718</v>
      </c>
      <c r="R27" s="777" t="n">
        <f aca="false">IF(R$4&gt;'Project Assumptions'!$I$15+1,0,'Project Assumptions'!$N$64)</f>
        <v>0.0718</v>
      </c>
      <c r="S27" s="777" t="n">
        <f aca="false">IF(S$4&gt;'Project Assumptions'!$I$15+1,0,'Project Assumptions'!$N$64)</f>
        <v>0.0718</v>
      </c>
      <c r="T27" s="777" t="n">
        <f aca="false">IF(T$4&gt;'Project Assumptions'!$I$15+1,0,'Project Assumptions'!$N$64)</f>
        <v>0.0718</v>
      </c>
      <c r="U27" s="777" t="n">
        <f aca="false">IF(U$4&gt;'Project Assumptions'!$I$15+1,0,'Project Assumptions'!$N$64)</f>
        <v>0.0718</v>
      </c>
      <c r="V27" s="777" t="n">
        <f aca="false">IF(V$4&gt;'Project Assumptions'!$I$15+1,0,'Project Assumptions'!$N$64)</f>
        <v>0.0718</v>
      </c>
      <c r="W27" s="777" t="n">
        <f aca="false">IF(W$4&gt;'Project Assumptions'!$I$15+1,0,'Project Assumptions'!$N$64)</f>
        <v>0.0718</v>
      </c>
      <c r="X27" s="777" t="n">
        <f aca="false">IF(X$4&gt;'Project Assumptions'!$I$15+1,0,'Project Assumptions'!$N$64)</f>
        <v>0.0718</v>
      </c>
      <c r="Y27" s="777" t="n">
        <f aca="false">IF(Y$4&gt;'Project Assumptions'!$I$15+1,0,'Project Assumptions'!$N$64)</f>
        <v>0</v>
      </c>
      <c r="Z27" s="777" t="n">
        <f aca="false">IF(Z$4&gt;'Project Assumptions'!$I$15+1,0,'Project Assumptions'!$N$64)</f>
        <v>0</v>
      </c>
      <c r="AA27" s="777" t="n">
        <f aca="false">IF(AA$4&gt;'Project Assumptions'!$I$15+1,0,'Project Assumptions'!$N$64)</f>
        <v>0</v>
      </c>
      <c r="AB27" s="778" t="n">
        <f aca="false">IF(AB$4&gt;'Project Assumptions'!$I$15+1,0,'Project Assumptions'!$N$64)</f>
        <v>0</v>
      </c>
      <c r="AC27" s="371"/>
      <c r="AD27" s="779"/>
      <c r="AE27" s="776"/>
      <c r="AF27" s="776"/>
      <c r="AG27" s="776"/>
      <c r="AH27" s="776"/>
      <c r="AI27" s="776"/>
      <c r="AJ27" s="776"/>
      <c r="AK27" s="776"/>
      <c r="AL27" s="776"/>
      <c r="AM27" s="776"/>
      <c r="AN27" s="776"/>
      <c r="AO27" s="776"/>
      <c r="AP27" s="776"/>
      <c r="AQ27" s="776"/>
      <c r="AR27" s="776"/>
      <c r="AS27" s="776"/>
      <c r="AT27" s="776"/>
      <c r="AU27" s="776"/>
      <c r="AV27" s="776"/>
      <c r="AW27" s="776"/>
      <c r="AX27" s="776"/>
      <c r="AY27" s="776"/>
      <c r="AZ27" s="776"/>
      <c r="BA27" s="776"/>
      <c r="BB27" s="776"/>
      <c r="BC27" s="776"/>
      <c r="BD27" s="776"/>
      <c r="BE27" s="776"/>
      <c r="BF27" s="776"/>
      <c r="BG27" s="776"/>
      <c r="BH27" s="776"/>
      <c r="BI27" s="776"/>
      <c r="BJ27" s="776"/>
      <c r="BK27" s="776"/>
      <c r="BL27" s="776"/>
      <c r="BM27" s="776"/>
      <c r="BN27" s="776"/>
      <c r="BO27" s="776"/>
      <c r="BP27" s="776"/>
      <c r="BQ27" s="776"/>
      <c r="BR27" s="776"/>
      <c r="BS27" s="776"/>
      <c r="BT27" s="776"/>
      <c r="BU27" s="776"/>
      <c r="BV27" s="776"/>
      <c r="BW27" s="776"/>
      <c r="BX27" s="776"/>
      <c r="BY27" s="776"/>
      <c r="BZ27" s="776"/>
      <c r="CA27" s="776"/>
      <c r="CB27" s="776"/>
      <c r="CC27" s="776"/>
      <c r="CD27" s="776"/>
      <c r="CE27" s="776"/>
      <c r="CF27" s="776"/>
      <c r="CG27" s="776"/>
      <c r="CH27" s="776"/>
      <c r="CI27" s="776"/>
      <c r="CJ27" s="776"/>
      <c r="CK27" s="776"/>
      <c r="CL27" s="776"/>
      <c r="CM27" s="776"/>
      <c r="CN27" s="776"/>
      <c r="CO27" s="776"/>
      <c r="CP27" s="776"/>
      <c r="CQ27" s="776"/>
      <c r="CR27" s="776"/>
      <c r="CS27" s="776"/>
      <c r="CT27" s="776"/>
      <c r="CU27" s="776"/>
      <c r="CV27" s="776"/>
      <c r="CW27" s="776"/>
      <c r="CX27" s="776"/>
      <c r="CY27" s="776"/>
      <c r="CZ27" s="776"/>
      <c r="DA27" s="776"/>
      <c r="DB27" s="776"/>
      <c r="DC27" s="776"/>
      <c r="DD27" s="776"/>
      <c r="DE27" s="776"/>
      <c r="DF27" s="776"/>
      <c r="DG27" s="776"/>
      <c r="DH27" s="776"/>
      <c r="DI27" s="776"/>
      <c r="DJ27" s="776"/>
      <c r="DK27" s="776"/>
      <c r="DL27" s="776"/>
      <c r="DM27" s="776"/>
      <c r="DN27" s="776"/>
      <c r="DO27" s="776"/>
      <c r="DP27" s="776"/>
      <c r="DQ27" s="776"/>
      <c r="DR27" s="776"/>
      <c r="DS27" s="776"/>
      <c r="DT27" s="776"/>
      <c r="DU27" s="776"/>
      <c r="DV27" s="776"/>
      <c r="DW27" s="776"/>
      <c r="DX27" s="776"/>
      <c r="DY27" s="776"/>
      <c r="DZ27" s="776"/>
      <c r="EA27" s="776"/>
      <c r="EB27" s="776"/>
      <c r="EC27" s="776"/>
      <c r="ED27" s="776"/>
      <c r="EE27" s="776"/>
      <c r="EF27" s="776"/>
      <c r="EG27" s="776"/>
      <c r="EH27" s="776"/>
      <c r="EI27" s="776"/>
      <c r="EJ27" s="776"/>
      <c r="EK27" s="776"/>
      <c r="EL27" s="776"/>
      <c r="EM27" s="776"/>
      <c r="EN27" s="776"/>
      <c r="EO27" s="776"/>
      <c r="EP27" s="776"/>
      <c r="EQ27" s="776"/>
      <c r="ER27" s="776"/>
      <c r="ES27" s="776"/>
      <c r="ET27" s="776"/>
      <c r="EU27" s="776"/>
      <c r="EV27" s="776"/>
      <c r="EW27" s="776"/>
      <c r="EX27" s="776"/>
      <c r="EY27" s="776"/>
      <c r="EZ27" s="776"/>
      <c r="FA27" s="776"/>
      <c r="FB27" s="776"/>
      <c r="FC27" s="776"/>
      <c r="FD27" s="776"/>
      <c r="FE27" s="776"/>
      <c r="FF27" s="776"/>
      <c r="FG27" s="776"/>
      <c r="FH27" s="776"/>
      <c r="FI27" s="776"/>
      <c r="FJ27" s="776"/>
      <c r="FK27" s="776"/>
      <c r="FL27" s="776"/>
      <c r="FM27" s="776"/>
      <c r="FN27" s="776"/>
      <c r="FO27" s="776"/>
      <c r="FP27" s="776"/>
      <c r="FQ27" s="776"/>
      <c r="FR27" s="776"/>
      <c r="FS27" s="776"/>
      <c r="FT27" s="776"/>
      <c r="FU27" s="776"/>
      <c r="FV27" s="776"/>
      <c r="FW27" s="776"/>
      <c r="FX27" s="776"/>
      <c r="FY27" s="776"/>
      <c r="FZ27" s="776"/>
      <c r="GA27" s="776"/>
      <c r="GB27" s="776"/>
      <c r="GC27" s="776"/>
      <c r="GD27" s="776"/>
      <c r="GE27" s="776"/>
      <c r="GF27" s="776"/>
      <c r="GG27" s="776"/>
      <c r="GH27" s="776"/>
      <c r="GI27" s="776"/>
      <c r="GJ27" s="776"/>
      <c r="GK27" s="776"/>
      <c r="GL27" s="776"/>
      <c r="GM27" s="776"/>
      <c r="GN27" s="776"/>
      <c r="GO27" s="776"/>
      <c r="GP27" s="776"/>
      <c r="GQ27" s="776"/>
      <c r="GR27" s="776"/>
      <c r="GS27" s="776"/>
      <c r="GT27" s="776"/>
      <c r="GU27" s="776"/>
      <c r="GV27" s="776"/>
      <c r="GW27" s="776"/>
      <c r="GX27" s="776"/>
      <c r="GY27" s="776"/>
      <c r="GZ27" s="776"/>
      <c r="HA27" s="776"/>
      <c r="HB27" s="776"/>
      <c r="HC27" s="776"/>
      <c r="HD27" s="776"/>
      <c r="HE27" s="776"/>
      <c r="HF27" s="776"/>
      <c r="HG27" s="776"/>
      <c r="HH27" s="776"/>
      <c r="HI27" s="776"/>
      <c r="HJ27" s="776"/>
      <c r="HK27" s="776"/>
      <c r="HL27" s="776"/>
      <c r="HM27" s="776"/>
      <c r="HN27" s="776"/>
      <c r="HO27" s="776"/>
      <c r="HP27" s="776"/>
      <c r="HQ27" s="776"/>
      <c r="HR27" s="776"/>
      <c r="HS27" s="776"/>
      <c r="HT27" s="776"/>
      <c r="HU27" s="776"/>
      <c r="HV27" s="776"/>
      <c r="HW27" s="776"/>
      <c r="HX27" s="776"/>
      <c r="HY27" s="776"/>
      <c r="HZ27" s="776"/>
      <c r="IA27" s="776"/>
      <c r="IB27" s="776"/>
      <c r="IC27" s="776"/>
      <c r="ID27" s="776"/>
      <c r="IE27" s="776"/>
      <c r="IF27" s="776"/>
      <c r="IG27" s="776"/>
      <c r="IH27" s="776"/>
      <c r="II27" s="776"/>
      <c r="IJ27" s="776"/>
      <c r="IK27" s="776"/>
      <c r="IL27" s="776"/>
      <c r="IM27" s="776"/>
      <c r="IN27" s="776"/>
      <c r="IO27" s="776"/>
      <c r="IP27" s="776"/>
      <c r="IQ27" s="776"/>
      <c r="IR27" s="776"/>
      <c r="IS27" s="776"/>
      <c r="IT27" s="776"/>
      <c r="IU27" s="776"/>
    </row>
    <row r="28" customFormat="false" ht="12" hidden="false" customHeight="true" outlineLevel="0" collapsed="false">
      <c r="A28" s="76" t="s">
        <v>611</v>
      </c>
      <c r="B28" s="425"/>
      <c r="C28" s="425"/>
      <c r="D28" s="425" t="n">
        <f aca="false">D26*D27</f>
        <v>-873.181638360743</v>
      </c>
      <c r="E28" s="425" t="n">
        <f aca="false">E26*E27</f>
        <v>-805.101442847063</v>
      </c>
      <c r="F28" s="425" t="n">
        <f aca="false">F26*F27</f>
        <v>-603.415886764297</v>
      </c>
      <c r="G28" s="425" t="n">
        <f aca="false">G26*G27</f>
        <v>320.765035024315</v>
      </c>
      <c r="H28" s="425" t="n">
        <f aca="false">H26*H27</f>
        <v>1083.66398249331</v>
      </c>
      <c r="I28" s="425" t="n">
        <f aca="false">I26*I27</f>
        <v>1363.54315012042</v>
      </c>
      <c r="J28" s="425" t="n">
        <f aca="false">J26*J27</f>
        <v>1455.06662592635</v>
      </c>
      <c r="K28" s="425" t="n">
        <f aca="false">K26*K27</f>
        <v>1538.42770229818</v>
      </c>
      <c r="L28" s="425" t="n">
        <f aca="false">L26*L27</f>
        <v>1624.72044708293</v>
      </c>
      <c r="M28" s="425" t="n">
        <f aca="false">M26*M27</f>
        <v>1739.28319335774</v>
      </c>
      <c r="N28" s="425" t="n">
        <f aca="false">N26*N27</f>
        <v>1874.16212270288</v>
      </c>
      <c r="O28" s="425" t="n">
        <f aca="false">O26*O27</f>
        <v>1930.59105507074</v>
      </c>
      <c r="P28" s="425" t="n">
        <f aca="false">P26*P27</f>
        <v>1995.4319569881</v>
      </c>
      <c r="Q28" s="425" t="n">
        <f aca="false">Q26*Q27</f>
        <v>2058.62977779421</v>
      </c>
      <c r="R28" s="425" t="n">
        <f aca="false">R26*R27</f>
        <v>2121.19648773322</v>
      </c>
      <c r="S28" s="425" t="n">
        <f aca="false">S26*S27</f>
        <v>2712.57699856583</v>
      </c>
      <c r="T28" s="425" t="n">
        <f aca="false">T26*T27</f>
        <v>3302.56596819477</v>
      </c>
      <c r="U28" s="425" t="n">
        <f aca="false">U26*U27</f>
        <v>3391.21987784594</v>
      </c>
      <c r="V28" s="425" t="n">
        <f aca="false">V26*V27</f>
        <v>3486.81004587883</v>
      </c>
      <c r="W28" s="425" t="n">
        <f aca="false">W26*W27</f>
        <v>3511.58097752754</v>
      </c>
      <c r="X28" s="425" t="n">
        <f aca="false">X26*X27</f>
        <v>1401.74408691679</v>
      </c>
      <c r="Y28" s="425" t="n">
        <f aca="false">Y26*Y27</f>
        <v>0</v>
      </c>
      <c r="Z28" s="425" t="n">
        <f aca="false">Z26*Z27</f>
        <v>0</v>
      </c>
      <c r="AA28" s="425" t="n">
        <f aca="false">AA26*AA27</f>
        <v>0</v>
      </c>
      <c r="AB28" s="426" t="n">
        <f aca="false">AB26*AB27</f>
        <v>0</v>
      </c>
      <c r="AC28" s="425"/>
      <c r="AD28" s="425"/>
      <c r="AE28" s="721"/>
      <c r="AF28" s="721"/>
      <c r="AG28" s="721"/>
      <c r="AH28" s="721"/>
      <c r="AI28" s="721"/>
      <c r="AJ28" s="721"/>
      <c r="AK28" s="721"/>
      <c r="AL28" s="721"/>
      <c r="AM28" s="721"/>
      <c r="AN28" s="721"/>
      <c r="AO28" s="721"/>
      <c r="AP28" s="721"/>
      <c r="AQ28" s="721"/>
      <c r="AR28" s="721"/>
      <c r="AS28" s="721"/>
      <c r="AT28" s="721"/>
      <c r="AU28" s="721"/>
      <c r="AV28" s="721"/>
      <c r="AW28" s="721"/>
      <c r="AX28" s="721"/>
      <c r="AY28" s="721"/>
      <c r="AZ28" s="721"/>
      <c r="BA28" s="721"/>
      <c r="BB28" s="721"/>
      <c r="BC28" s="721"/>
      <c r="BD28" s="721"/>
      <c r="BE28" s="721"/>
      <c r="BF28" s="721"/>
      <c r="BG28" s="721"/>
      <c r="BH28" s="721"/>
      <c r="BI28" s="721"/>
      <c r="BJ28" s="721"/>
      <c r="BK28" s="721"/>
      <c r="BL28" s="721"/>
      <c r="BM28" s="721"/>
      <c r="BN28" s="721"/>
      <c r="BO28" s="721"/>
      <c r="BP28" s="721"/>
      <c r="BQ28" s="721"/>
      <c r="BR28" s="721"/>
      <c r="BS28" s="721"/>
      <c r="BT28" s="721"/>
      <c r="BU28" s="721"/>
      <c r="BV28" s="721"/>
      <c r="BW28" s="721"/>
      <c r="BX28" s="721"/>
      <c r="BY28" s="721"/>
      <c r="BZ28" s="721"/>
      <c r="CA28" s="721"/>
      <c r="CB28" s="721"/>
      <c r="CC28" s="721"/>
      <c r="CD28" s="721"/>
      <c r="CE28" s="721"/>
      <c r="CF28" s="721"/>
      <c r="CG28" s="721"/>
      <c r="CH28" s="721"/>
      <c r="CI28" s="721"/>
      <c r="CJ28" s="721"/>
      <c r="CK28" s="721"/>
      <c r="CL28" s="721"/>
      <c r="CM28" s="721"/>
      <c r="CN28" s="721"/>
      <c r="CO28" s="721"/>
      <c r="CP28" s="721"/>
      <c r="CQ28" s="721"/>
      <c r="CR28" s="721"/>
      <c r="CS28" s="721"/>
      <c r="CT28" s="721"/>
      <c r="CU28" s="721"/>
      <c r="CV28" s="721"/>
      <c r="CW28" s="721"/>
      <c r="CX28" s="721"/>
      <c r="CY28" s="721"/>
      <c r="CZ28" s="721"/>
      <c r="DA28" s="721"/>
      <c r="DB28" s="721"/>
      <c r="DC28" s="721"/>
      <c r="DD28" s="721"/>
      <c r="DE28" s="721"/>
      <c r="DF28" s="721"/>
      <c r="DG28" s="721"/>
      <c r="DH28" s="721"/>
      <c r="DI28" s="721"/>
      <c r="DJ28" s="721"/>
      <c r="DK28" s="721"/>
      <c r="DL28" s="721"/>
      <c r="DM28" s="721"/>
      <c r="DN28" s="721"/>
      <c r="DO28" s="721"/>
      <c r="DP28" s="721"/>
      <c r="DQ28" s="721"/>
      <c r="DR28" s="721"/>
      <c r="DS28" s="721"/>
      <c r="DT28" s="721"/>
      <c r="DU28" s="721"/>
      <c r="DV28" s="721"/>
      <c r="DW28" s="721"/>
      <c r="DX28" s="721"/>
      <c r="DY28" s="721"/>
      <c r="DZ28" s="721"/>
      <c r="EA28" s="721"/>
      <c r="EB28" s="721"/>
      <c r="EC28" s="721"/>
      <c r="ED28" s="721"/>
      <c r="EE28" s="721"/>
      <c r="EF28" s="721"/>
      <c r="EG28" s="721"/>
      <c r="EH28" s="721"/>
      <c r="EI28" s="721"/>
      <c r="EJ28" s="721"/>
      <c r="EK28" s="721"/>
      <c r="EL28" s="721"/>
      <c r="EM28" s="721"/>
      <c r="EN28" s="721"/>
      <c r="EO28" s="721"/>
      <c r="EP28" s="721"/>
      <c r="EQ28" s="721"/>
      <c r="ER28" s="721"/>
      <c r="ES28" s="721"/>
      <c r="ET28" s="721"/>
      <c r="EU28" s="721"/>
      <c r="EV28" s="721"/>
      <c r="EW28" s="721"/>
      <c r="EX28" s="721"/>
      <c r="EY28" s="721"/>
      <c r="EZ28" s="721"/>
      <c r="FA28" s="721"/>
      <c r="FB28" s="721"/>
      <c r="FC28" s="721"/>
      <c r="FD28" s="721"/>
      <c r="FE28" s="721"/>
      <c r="FF28" s="721"/>
      <c r="FG28" s="721"/>
      <c r="FH28" s="721"/>
      <c r="FI28" s="721"/>
      <c r="FJ28" s="721"/>
      <c r="FK28" s="721"/>
      <c r="FL28" s="721"/>
      <c r="FM28" s="721"/>
      <c r="FN28" s="721"/>
      <c r="FO28" s="721"/>
      <c r="FP28" s="721"/>
      <c r="FQ28" s="721"/>
      <c r="FR28" s="721"/>
      <c r="FS28" s="721"/>
      <c r="FT28" s="721"/>
      <c r="FU28" s="721"/>
      <c r="FV28" s="721"/>
      <c r="FW28" s="721"/>
      <c r="FX28" s="721"/>
      <c r="FY28" s="721"/>
      <c r="FZ28" s="721"/>
      <c r="GA28" s="721"/>
      <c r="GB28" s="721"/>
      <c r="GC28" s="721"/>
      <c r="GD28" s="721"/>
      <c r="GE28" s="721"/>
      <c r="GF28" s="721"/>
      <c r="GG28" s="721"/>
      <c r="GH28" s="721"/>
      <c r="GI28" s="721"/>
      <c r="GJ28" s="721"/>
      <c r="GK28" s="721"/>
      <c r="GL28" s="721"/>
      <c r="GM28" s="721"/>
      <c r="GN28" s="721"/>
      <c r="GO28" s="721"/>
      <c r="GP28" s="721"/>
      <c r="GQ28" s="721"/>
      <c r="GR28" s="721"/>
      <c r="GS28" s="721"/>
      <c r="GT28" s="721"/>
      <c r="GU28" s="721"/>
      <c r="GV28" s="721"/>
      <c r="GW28" s="721"/>
      <c r="GX28" s="721"/>
      <c r="GY28" s="721"/>
      <c r="GZ28" s="721"/>
      <c r="HA28" s="721"/>
      <c r="HB28" s="721"/>
      <c r="HC28" s="721"/>
      <c r="HD28" s="721"/>
      <c r="HE28" s="721"/>
      <c r="HF28" s="721"/>
      <c r="HG28" s="721"/>
      <c r="HH28" s="721"/>
      <c r="HI28" s="721"/>
      <c r="HJ28" s="721"/>
      <c r="HK28" s="721"/>
      <c r="HL28" s="721"/>
      <c r="HM28" s="721"/>
      <c r="HN28" s="721"/>
      <c r="HO28" s="721"/>
      <c r="HP28" s="721"/>
      <c r="HQ28" s="721"/>
      <c r="HR28" s="721"/>
      <c r="HS28" s="721"/>
      <c r="HT28" s="721"/>
      <c r="HU28" s="721"/>
      <c r="HV28" s="721"/>
      <c r="HW28" s="721"/>
      <c r="HX28" s="721"/>
      <c r="HY28" s="721"/>
      <c r="HZ28" s="721"/>
      <c r="IA28" s="721"/>
      <c r="IB28" s="721"/>
      <c r="IC28" s="721"/>
      <c r="ID28" s="721"/>
      <c r="IE28" s="721"/>
      <c r="IF28" s="721"/>
      <c r="IG28" s="721"/>
      <c r="IH28" s="721"/>
      <c r="II28" s="721"/>
      <c r="IJ28" s="721"/>
      <c r="IK28" s="721"/>
      <c r="IL28" s="721"/>
      <c r="IM28" s="721"/>
      <c r="IN28" s="721"/>
      <c r="IO28" s="721"/>
      <c r="IP28" s="721"/>
      <c r="IQ28" s="721"/>
      <c r="IR28" s="721"/>
      <c r="IS28" s="721"/>
      <c r="IT28" s="721"/>
      <c r="IU28" s="721"/>
      <c r="IV28" s="721"/>
      <c r="IW28" s="721"/>
    </row>
    <row r="29" customFormat="false" ht="12" hidden="false" customHeight="true" outlineLevel="0" collapsed="false">
      <c r="A29" s="76"/>
      <c r="B29" s="425"/>
      <c r="C29" s="425"/>
      <c r="D29" s="425"/>
      <c r="E29" s="425"/>
      <c r="F29" s="425"/>
      <c r="G29" s="425"/>
      <c r="H29" s="425"/>
      <c r="I29" s="425"/>
      <c r="J29" s="425"/>
      <c r="K29" s="425"/>
      <c r="L29" s="425"/>
      <c r="M29" s="425"/>
      <c r="N29" s="425"/>
      <c r="O29" s="425"/>
      <c r="P29" s="425"/>
      <c r="Q29" s="425"/>
      <c r="R29" s="425"/>
      <c r="S29" s="425"/>
      <c r="T29" s="425"/>
      <c r="U29" s="425"/>
      <c r="V29" s="425"/>
      <c r="W29" s="425"/>
      <c r="X29" s="425"/>
      <c r="Y29" s="425"/>
      <c r="Z29" s="425"/>
      <c r="AA29" s="425"/>
      <c r="AB29" s="426"/>
      <c r="AC29" s="425"/>
      <c r="AD29" s="425"/>
      <c r="AE29" s="721"/>
      <c r="AF29" s="721"/>
      <c r="AG29" s="721"/>
      <c r="AH29" s="721"/>
      <c r="AI29" s="721"/>
      <c r="AJ29" s="721"/>
      <c r="AK29" s="721"/>
      <c r="AL29" s="721"/>
      <c r="AM29" s="721"/>
      <c r="AN29" s="721"/>
      <c r="AO29" s="721"/>
      <c r="AP29" s="721"/>
      <c r="AQ29" s="721"/>
      <c r="AR29" s="721"/>
      <c r="AS29" s="721"/>
      <c r="AT29" s="721"/>
      <c r="AU29" s="721"/>
      <c r="AV29" s="721"/>
      <c r="AW29" s="721"/>
      <c r="AX29" s="721"/>
      <c r="AY29" s="721"/>
      <c r="AZ29" s="721"/>
      <c r="BA29" s="721"/>
      <c r="BB29" s="721"/>
      <c r="BC29" s="721"/>
      <c r="BD29" s="721"/>
      <c r="BE29" s="721"/>
      <c r="BF29" s="721"/>
      <c r="BG29" s="721"/>
      <c r="BH29" s="721"/>
      <c r="BI29" s="721"/>
      <c r="BJ29" s="721"/>
      <c r="BK29" s="721"/>
      <c r="BL29" s="721"/>
      <c r="BM29" s="721"/>
      <c r="BN29" s="721"/>
      <c r="BO29" s="721"/>
      <c r="BP29" s="721"/>
      <c r="BQ29" s="721"/>
      <c r="BR29" s="721"/>
      <c r="BS29" s="721"/>
      <c r="BT29" s="721"/>
      <c r="BU29" s="721"/>
      <c r="BV29" s="721"/>
      <c r="BW29" s="721"/>
      <c r="BX29" s="721"/>
      <c r="BY29" s="721"/>
      <c r="BZ29" s="721"/>
      <c r="CA29" s="721"/>
      <c r="CB29" s="721"/>
      <c r="CC29" s="721"/>
      <c r="CD29" s="721"/>
      <c r="CE29" s="721"/>
      <c r="CF29" s="721"/>
      <c r="CG29" s="721"/>
      <c r="CH29" s="721"/>
      <c r="CI29" s="721"/>
      <c r="CJ29" s="721"/>
      <c r="CK29" s="721"/>
      <c r="CL29" s="721"/>
      <c r="CM29" s="721"/>
      <c r="CN29" s="721"/>
      <c r="CO29" s="721"/>
      <c r="CP29" s="721"/>
      <c r="CQ29" s="721"/>
      <c r="CR29" s="721"/>
      <c r="CS29" s="721"/>
      <c r="CT29" s="721"/>
      <c r="CU29" s="721"/>
      <c r="CV29" s="721"/>
      <c r="CW29" s="721"/>
      <c r="CX29" s="721"/>
      <c r="CY29" s="721"/>
      <c r="CZ29" s="721"/>
      <c r="DA29" s="721"/>
      <c r="DB29" s="721"/>
      <c r="DC29" s="721"/>
      <c r="DD29" s="721"/>
      <c r="DE29" s="721"/>
      <c r="DF29" s="721"/>
      <c r="DG29" s="721"/>
      <c r="DH29" s="721"/>
      <c r="DI29" s="721"/>
      <c r="DJ29" s="721"/>
      <c r="DK29" s="721"/>
      <c r="DL29" s="721"/>
      <c r="DM29" s="721"/>
      <c r="DN29" s="721"/>
      <c r="DO29" s="721"/>
      <c r="DP29" s="721"/>
      <c r="DQ29" s="721"/>
      <c r="DR29" s="721"/>
      <c r="DS29" s="721"/>
      <c r="DT29" s="721"/>
      <c r="DU29" s="721"/>
      <c r="DV29" s="721"/>
      <c r="DW29" s="721"/>
      <c r="DX29" s="721"/>
      <c r="DY29" s="721"/>
      <c r="DZ29" s="721"/>
      <c r="EA29" s="721"/>
      <c r="EB29" s="721"/>
      <c r="EC29" s="721"/>
      <c r="ED29" s="721"/>
      <c r="EE29" s="721"/>
      <c r="EF29" s="721"/>
      <c r="EG29" s="721"/>
      <c r="EH29" s="721"/>
      <c r="EI29" s="721"/>
      <c r="EJ29" s="721"/>
      <c r="EK29" s="721"/>
      <c r="EL29" s="721"/>
      <c r="EM29" s="721"/>
      <c r="EN29" s="721"/>
      <c r="EO29" s="721"/>
      <c r="EP29" s="721"/>
      <c r="EQ29" s="721"/>
      <c r="ER29" s="721"/>
      <c r="ES29" s="721"/>
      <c r="ET29" s="721"/>
      <c r="EU29" s="721"/>
      <c r="EV29" s="721"/>
      <c r="EW29" s="721"/>
      <c r="EX29" s="721"/>
      <c r="EY29" s="721"/>
      <c r="EZ29" s="721"/>
      <c r="FA29" s="721"/>
      <c r="FB29" s="721"/>
      <c r="FC29" s="721"/>
      <c r="FD29" s="721"/>
      <c r="FE29" s="721"/>
      <c r="FF29" s="721"/>
      <c r="FG29" s="721"/>
      <c r="FH29" s="721"/>
      <c r="FI29" s="721"/>
      <c r="FJ29" s="721"/>
      <c r="FK29" s="721"/>
      <c r="FL29" s="721"/>
      <c r="FM29" s="721"/>
      <c r="FN29" s="721"/>
      <c r="FO29" s="721"/>
      <c r="FP29" s="721"/>
      <c r="FQ29" s="721"/>
      <c r="FR29" s="721"/>
      <c r="FS29" s="721"/>
      <c r="FT29" s="721"/>
      <c r="FU29" s="721"/>
      <c r="FV29" s="721"/>
      <c r="FW29" s="721"/>
      <c r="FX29" s="721"/>
      <c r="FY29" s="721"/>
      <c r="FZ29" s="721"/>
      <c r="GA29" s="721"/>
      <c r="GB29" s="721"/>
      <c r="GC29" s="721"/>
      <c r="GD29" s="721"/>
      <c r="GE29" s="721"/>
      <c r="GF29" s="721"/>
      <c r="GG29" s="721"/>
      <c r="GH29" s="721"/>
      <c r="GI29" s="721"/>
      <c r="GJ29" s="721"/>
      <c r="GK29" s="721"/>
      <c r="GL29" s="721"/>
      <c r="GM29" s="721"/>
      <c r="GN29" s="721"/>
      <c r="GO29" s="721"/>
      <c r="GP29" s="721"/>
      <c r="GQ29" s="721"/>
      <c r="GR29" s="721"/>
      <c r="GS29" s="721"/>
      <c r="GT29" s="721"/>
      <c r="GU29" s="721"/>
      <c r="GV29" s="721"/>
      <c r="GW29" s="721"/>
      <c r="GX29" s="721"/>
      <c r="GY29" s="721"/>
      <c r="GZ29" s="721"/>
      <c r="HA29" s="721"/>
      <c r="HB29" s="721"/>
      <c r="HC29" s="721"/>
      <c r="HD29" s="721"/>
      <c r="HE29" s="721"/>
      <c r="HF29" s="721"/>
      <c r="HG29" s="721"/>
      <c r="HH29" s="721"/>
      <c r="HI29" s="721"/>
      <c r="HJ29" s="721"/>
      <c r="HK29" s="721"/>
      <c r="HL29" s="721"/>
      <c r="HM29" s="721"/>
      <c r="HN29" s="721"/>
      <c r="HO29" s="721"/>
      <c r="HP29" s="721"/>
      <c r="HQ29" s="721"/>
      <c r="HR29" s="721"/>
      <c r="HS29" s="721"/>
      <c r="HT29" s="721"/>
      <c r="HU29" s="721"/>
      <c r="HV29" s="721"/>
      <c r="HW29" s="721"/>
      <c r="HX29" s="721"/>
      <c r="HY29" s="721"/>
      <c r="HZ29" s="721"/>
      <c r="IA29" s="721"/>
      <c r="IB29" s="721"/>
      <c r="IC29" s="721"/>
      <c r="ID29" s="721"/>
      <c r="IE29" s="721"/>
      <c r="IF29" s="721"/>
      <c r="IG29" s="721"/>
      <c r="IH29" s="721"/>
      <c r="II29" s="721"/>
      <c r="IJ29" s="721"/>
      <c r="IK29" s="721"/>
      <c r="IL29" s="721"/>
      <c r="IM29" s="721"/>
      <c r="IN29" s="721"/>
      <c r="IO29" s="721"/>
      <c r="IP29" s="721"/>
      <c r="IQ29" s="721"/>
      <c r="IR29" s="721"/>
      <c r="IS29" s="721"/>
      <c r="IT29" s="721"/>
      <c r="IU29" s="721"/>
      <c r="IV29" s="721"/>
      <c r="IW29" s="721"/>
    </row>
    <row r="30" customFormat="false" ht="12" hidden="false" customHeight="true" outlineLevel="0" collapsed="false">
      <c r="A30" s="76" t="s">
        <v>612</v>
      </c>
      <c r="B30" s="425"/>
      <c r="C30" s="425"/>
      <c r="D30" s="790" t="n">
        <f aca="false">C34</f>
        <v>0</v>
      </c>
      <c r="E30" s="790" t="n">
        <f aca="false">D34</f>
        <v>873.181638360743</v>
      </c>
      <c r="F30" s="790" t="n">
        <f aca="false">E34</f>
        <v>1678.28308120781</v>
      </c>
      <c r="G30" s="790" t="n">
        <f aca="false">F34</f>
        <v>2281.6989679721</v>
      </c>
      <c r="H30" s="790" t="n">
        <f aca="false">G34</f>
        <v>1960.93393294779</v>
      </c>
      <c r="I30" s="790" t="n">
        <f aca="false">H34</f>
        <v>877.26995045448</v>
      </c>
      <c r="J30" s="790" t="n">
        <f aca="false">I34</f>
        <v>0</v>
      </c>
      <c r="K30" s="790" t="n">
        <f aca="false">J34</f>
        <v>0</v>
      </c>
      <c r="L30" s="790" t="n">
        <f aca="false">K34</f>
        <v>0</v>
      </c>
      <c r="M30" s="790" t="n">
        <f aca="false">L34</f>
        <v>0</v>
      </c>
      <c r="N30" s="790" t="n">
        <f aca="false">M34</f>
        <v>0</v>
      </c>
      <c r="O30" s="790" t="n">
        <f aca="false">N34</f>
        <v>0</v>
      </c>
      <c r="P30" s="790" t="n">
        <f aca="false">O34</f>
        <v>0</v>
      </c>
      <c r="Q30" s="790" t="n">
        <f aca="false">P34</f>
        <v>0</v>
      </c>
      <c r="R30" s="790" t="n">
        <f aca="false">Q34</f>
        <v>0</v>
      </c>
      <c r="S30" s="790" t="n">
        <f aca="false">R34</f>
        <v>0</v>
      </c>
      <c r="T30" s="790" t="n">
        <f aca="false">S34</f>
        <v>0</v>
      </c>
      <c r="U30" s="790" t="n">
        <f aca="false">T34</f>
        <v>0</v>
      </c>
      <c r="V30" s="790" t="n">
        <f aca="false">U34</f>
        <v>0</v>
      </c>
      <c r="W30" s="790" t="n">
        <f aca="false">V34</f>
        <v>0</v>
      </c>
      <c r="X30" s="790" t="n">
        <f aca="false">W34</f>
        <v>0</v>
      </c>
      <c r="Y30" s="790" t="n">
        <f aca="false">X34</f>
        <v>0</v>
      </c>
      <c r="Z30" s="790" t="n">
        <f aca="false">Y34</f>
        <v>0</v>
      </c>
      <c r="AA30" s="790" t="n">
        <f aca="false">Z34</f>
        <v>0</v>
      </c>
      <c r="AB30" s="791" t="n">
        <f aca="false">AA34</f>
        <v>0</v>
      </c>
      <c r="AC30" s="425"/>
      <c r="AD30" s="425"/>
      <c r="AE30" s="721"/>
      <c r="AF30" s="721"/>
      <c r="AG30" s="721"/>
      <c r="AH30" s="721"/>
      <c r="AI30" s="721"/>
      <c r="AJ30" s="721"/>
      <c r="AK30" s="721"/>
      <c r="AL30" s="721"/>
      <c r="AM30" s="721"/>
      <c r="AN30" s="721"/>
      <c r="AO30" s="721"/>
      <c r="AP30" s="721"/>
      <c r="AQ30" s="721"/>
      <c r="AR30" s="721"/>
      <c r="AS30" s="721"/>
      <c r="AT30" s="721"/>
      <c r="AU30" s="721"/>
      <c r="AV30" s="721"/>
      <c r="AW30" s="721"/>
      <c r="AX30" s="721"/>
      <c r="AY30" s="721"/>
      <c r="AZ30" s="721"/>
      <c r="BA30" s="721"/>
      <c r="BB30" s="721"/>
      <c r="BC30" s="721"/>
      <c r="BD30" s="721"/>
      <c r="BE30" s="721"/>
      <c r="BF30" s="721"/>
      <c r="BG30" s="721"/>
      <c r="BH30" s="721"/>
      <c r="BI30" s="721"/>
      <c r="BJ30" s="721"/>
      <c r="BK30" s="721"/>
      <c r="BL30" s="721"/>
      <c r="BM30" s="721"/>
      <c r="BN30" s="721"/>
      <c r="BO30" s="721"/>
      <c r="BP30" s="721"/>
      <c r="BQ30" s="721"/>
      <c r="BR30" s="721"/>
      <c r="BS30" s="721"/>
      <c r="BT30" s="721"/>
      <c r="BU30" s="721"/>
      <c r="BV30" s="721"/>
      <c r="BW30" s="721"/>
      <c r="BX30" s="721"/>
      <c r="BY30" s="721"/>
      <c r="BZ30" s="721"/>
      <c r="CA30" s="721"/>
      <c r="CB30" s="721"/>
      <c r="CC30" s="721"/>
      <c r="CD30" s="721"/>
      <c r="CE30" s="721"/>
      <c r="CF30" s="721"/>
      <c r="CG30" s="721"/>
      <c r="CH30" s="721"/>
      <c r="CI30" s="721"/>
      <c r="CJ30" s="721"/>
      <c r="CK30" s="721"/>
      <c r="CL30" s="721"/>
      <c r="CM30" s="721"/>
      <c r="CN30" s="721"/>
      <c r="CO30" s="721"/>
      <c r="CP30" s="721"/>
      <c r="CQ30" s="721"/>
      <c r="CR30" s="721"/>
      <c r="CS30" s="721"/>
      <c r="CT30" s="721"/>
      <c r="CU30" s="721"/>
      <c r="CV30" s="721"/>
      <c r="CW30" s="721"/>
      <c r="CX30" s="721"/>
      <c r="CY30" s="721"/>
      <c r="CZ30" s="721"/>
      <c r="DA30" s="721"/>
      <c r="DB30" s="721"/>
      <c r="DC30" s="721"/>
      <c r="DD30" s="721"/>
      <c r="DE30" s="721"/>
      <c r="DF30" s="721"/>
      <c r="DG30" s="721"/>
      <c r="DH30" s="721"/>
      <c r="DI30" s="721"/>
      <c r="DJ30" s="721"/>
      <c r="DK30" s="721"/>
      <c r="DL30" s="721"/>
      <c r="DM30" s="721"/>
      <c r="DN30" s="721"/>
      <c r="DO30" s="721"/>
      <c r="DP30" s="721"/>
      <c r="DQ30" s="721"/>
      <c r="DR30" s="721"/>
      <c r="DS30" s="721"/>
      <c r="DT30" s="721"/>
      <c r="DU30" s="721"/>
      <c r="DV30" s="721"/>
      <c r="DW30" s="721"/>
      <c r="DX30" s="721"/>
      <c r="DY30" s="721"/>
      <c r="DZ30" s="721"/>
      <c r="EA30" s="721"/>
      <c r="EB30" s="721"/>
      <c r="EC30" s="721"/>
      <c r="ED30" s="721"/>
      <c r="EE30" s="721"/>
      <c r="EF30" s="721"/>
      <c r="EG30" s="721"/>
      <c r="EH30" s="721"/>
      <c r="EI30" s="721"/>
      <c r="EJ30" s="721"/>
      <c r="EK30" s="721"/>
      <c r="EL30" s="721"/>
      <c r="EM30" s="721"/>
      <c r="EN30" s="721"/>
      <c r="EO30" s="721"/>
      <c r="EP30" s="721"/>
      <c r="EQ30" s="721"/>
      <c r="ER30" s="721"/>
      <c r="ES30" s="721"/>
      <c r="ET30" s="721"/>
      <c r="EU30" s="721"/>
      <c r="EV30" s="721"/>
      <c r="EW30" s="721"/>
      <c r="EX30" s="721"/>
      <c r="EY30" s="721"/>
      <c r="EZ30" s="721"/>
      <c r="FA30" s="721"/>
      <c r="FB30" s="721"/>
      <c r="FC30" s="721"/>
      <c r="FD30" s="721"/>
      <c r="FE30" s="721"/>
      <c r="FF30" s="721"/>
      <c r="FG30" s="721"/>
      <c r="FH30" s="721"/>
      <c r="FI30" s="721"/>
      <c r="FJ30" s="721"/>
      <c r="FK30" s="721"/>
      <c r="FL30" s="721"/>
      <c r="FM30" s="721"/>
      <c r="FN30" s="721"/>
      <c r="FO30" s="721"/>
      <c r="FP30" s="721"/>
      <c r="FQ30" s="721"/>
      <c r="FR30" s="721"/>
      <c r="FS30" s="721"/>
      <c r="FT30" s="721"/>
      <c r="FU30" s="721"/>
      <c r="FV30" s="721"/>
      <c r="FW30" s="721"/>
      <c r="FX30" s="721"/>
      <c r="FY30" s="721"/>
      <c r="FZ30" s="721"/>
      <c r="GA30" s="721"/>
      <c r="GB30" s="721"/>
      <c r="GC30" s="721"/>
      <c r="GD30" s="721"/>
      <c r="GE30" s="721"/>
      <c r="GF30" s="721"/>
      <c r="GG30" s="721"/>
      <c r="GH30" s="721"/>
      <c r="GI30" s="721"/>
      <c r="GJ30" s="721"/>
      <c r="GK30" s="721"/>
      <c r="GL30" s="721"/>
      <c r="GM30" s="721"/>
      <c r="GN30" s="721"/>
      <c r="GO30" s="721"/>
      <c r="GP30" s="721"/>
      <c r="GQ30" s="721"/>
      <c r="GR30" s="721"/>
      <c r="GS30" s="721"/>
      <c r="GT30" s="721"/>
      <c r="GU30" s="721"/>
      <c r="GV30" s="721"/>
      <c r="GW30" s="721"/>
      <c r="GX30" s="721"/>
      <c r="GY30" s="721"/>
      <c r="GZ30" s="721"/>
      <c r="HA30" s="721"/>
      <c r="HB30" s="721"/>
      <c r="HC30" s="721"/>
      <c r="HD30" s="721"/>
      <c r="HE30" s="721"/>
      <c r="HF30" s="721"/>
      <c r="HG30" s="721"/>
      <c r="HH30" s="721"/>
      <c r="HI30" s="721"/>
      <c r="HJ30" s="721"/>
      <c r="HK30" s="721"/>
      <c r="HL30" s="721"/>
      <c r="HM30" s="721"/>
      <c r="HN30" s="721"/>
      <c r="HO30" s="721"/>
      <c r="HP30" s="721"/>
      <c r="HQ30" s="721"/>
      <c r="HR30" s="721"/>
      <c r="HS30" s="721"/>
      <c r="HT30" s="721"/>
      <c r="HU30" s="721"/>
      <c r="HV30" s="721"/>
      <c r="HW30" s="721"/>
      <c r="HX30" s="721"/>
      <c r="HY30" s="721"/>
      <c r="HZ30" s="721"/>
      <c r="IA30" s="721"/>
      <c r="IB30" s="721"/>
      <c r="IC30" s="721"/>
      <c r="ID30" s="721"/>
      <c r="IE30" s="721"/>
      <c r="IF30" s="721"/>
      <c r="IG30" s="721"/>
      <c r="IH30" s="721"/>
      <c r="II30" s="721"/>
      <c r="IJ30" s="721"/>
      <c r="IK30" s="721"/>
      <c r="IL30" s="721"/>
      <c r="IM30" s="721"/>
      <c r="IN30" s="721"/>
      <c r="IO30" s="721"/>
      <c r="IP30" s="721"/>
      <c r="IQ30" s="721"/>
      <c r="IR30" s="721"/>
      <c r="IS30" s="721"/>
      <c r="IT30" s="721"/>
      <c r="IU30" s="721"/>
      <c r="IV30" s="721"/>
      <c r="IW30" s="721"/>
    </row>
    <row r="31" customFormat="false" ht="12" hidden="false" customHeight="true" outlineLevel="0" collapsed="false">
      <c r="A31" s="76" t="s">
        <v>613</v>
      </c>
      <c r="B31" s="425"/>
      <c r="C31" s="425"/>
      <c r="D31" s="790" t="n">
        <f aca="false">IF(D4&gt;ProjectLife+1,0,IF(D28&lt;0,-D28,0))</f>
        <v>873.181638360743</v>
      </c>
      <c r="E31" s="790" t="n">
        <f aca="false">IF(E4&gt;ProjectLife+1,0,IF(E28&lt;0,-E28,0))</f>
        <v>805.101442847063</v>
      </c>
      <c r="F31" s="790" t="n">
        <f aca="false">IF(F4&gt;ProjectLife+1,0,IF(F28&lt;0,-F28,0))</f>
        <v>603.415886764297</v>
      </c>
      <c r="G31" s="790" t="n">
        <f aca="false">IF(G4&gt;ProjectLife+1,0,IF(G28&lt;0,-G28,0))</f>
        <v>0</v>
      </c>
      <c r="H31" s="790" t="n">
        <f aca="false">IF(H4&gt;ProjectLife+1,0,IF(H28&lt;0,-H28,0))</f>
        <v>0</v>
      </c>
      <c r="I31" s="790" t="n">
        <f aca="false">IF(I4&gt;ProjectLife+1,0,IF(I28&lt;0,-I28,0))</f>
        <v>0</v>
      </c>
      <c r="J31" s="790" t="n">
        <f aca="false">IF(J4&gt;ProjectLife+1,0,IF(J28&lt;0,-J28,0))</f>
        <v>0</v>
      </c>
      <c r="K31" s="790" t="n">
        <f aca="false">IF(K4&gt;ProjectLife+1,0,IF(K28&lt;0,-K28,0))</f>
        <v>0</v>
      </c>
      <c r="L31" s="790" t="n">
        <f aca="false">IF(L4&gt;ProjectLife+1,0,IF(L28&lt;0,-L28,0))</f>
        <v>0</v>
      </c>
      <c r="M31" s="790" t="n">
        <f aca="false">IF(M4&gt;ProjectLife+1,0,IF(M28&lt;0,-M28,0))</f>
        <v>0</v>
      </c>
      <c r="N31" s="790" t="n">
        <f aca="false">IF(N4&gt;ProjectLife+1,0,IF(N28&lt;0,-N28,0))</f>
        <v>0</v>
      </c>
      <c r="O31" s="790" t="n">
        <f aca="false">IF(O4&gt;ProjectLife+1,0,IF(O28&lt;0,-O28,0))</f>
        <v>0</v>
      </c>
      <c r="P31" s="790" t="n">
        <f aca="false">IF(P4&gt;ProjectLife+1,0,IF(P28&lt;0,-P28,0))</f>
        <v>0</v>
      </c>
      <c r="Q31" s="790" t="n">
        <f aca="false">IF(Q4&gt;ProjectLife+1,0,IF(Q28&lt;0,-Q28,0))</f>
        <v>0</v>
      </c>
      <c r="R31" s="790" t="n">
        <f aca="false">IF(R4&gt;ProjectLife+1,0,IF(R28&lt;0,-R28,0))</f>
        <v>0</v>
      </c>
      <c r="S31" s="790" t="n">
        <f aca="false">IF(S4&gt;ProjectLife+1,0,IF(S28&lt;0,-S28,0))</f>
        <v>0</v>
      </c>
      <c r="T31" s="790" t="n">
        <f aca="false">IF(T4&gt;ProjectLife+1,0,IF(T28&lt;0,-T28,0))</f>
        <v>0</v>
      </c>
      <c r="U31" s="790" t="n">
        <f aca="false">IF(U4&gt;ProjectLife+1,0,IF(U28&lt;0,-U28,0))</f>
        <v>0</v>
      </c>
      <c r="V31" s="790" t="n">
        <f aca="false">IF(V4&gt;ProjectLife+1,0,IF(V28&lt;0,-V28,0))</f>
        <v>0</v>
      </c>
      <c r="W31" s="790" t="n">
        <f aca="false">IF(W4&gt;ProjectLife+1,0,IF(W28&lt;0,-W28,0))</f>
        <v>0</v>
      </c>
      <c r="X31" s="790" t="n">
        <f aca="false">IF(X4&gt;ProjectLife+1,0,IF(X28&lt;0,-X28,0))</f>
        <v>0</v>
      </c>
      <c r="Y31" s="790" t="n">
        <f aca="false">IF(Y4&gt;ProjectLife+1,0,IF(Y28&lt;0,-Y28,0))</f>
        <v>0</v>
      </c>
      <c r="Z31" s="790" t="n">
        <f aca="false">IF(Z4&gt;ProjectLife+1,0,IF(Z28&lt;0,-Z28,0))</f>
        <v>0</v>
      </c>
      <c r="AA31" s="790" t="n">
        <f aca="false">IF(AA4&gt;ProjectLife+1,0,IF(AA28&lt;0,-AA28,0))</f>
        <v>0</v>
      </c>
      <c r="AB31" s="791" t="n">
        <f aca="false">IF(AB4&gt;ProjectLife+1,0,IF(AB28&lt;0,-AB28,0))</f>
        <v>0</v>
      </c>
      <c r="AC31" s="425"/>
      <c r="AD31" s="425"/>
      <c r="AE31" s="721"/>
      <c r="AF31" s="721"/>
      <c r="AG31" s="721"/>
      <c r="AH31" s="721"/>
      <c r="AI31" s="721"/>
      <c r="AJ31" s="721"/>
      <c r="AK31" s="721"/>
      <c r="AL31" s="721"/>
      <c r="AM31" s="721"/>
      <c r="AN31" s="721"/>
      <c r="AO31" s="721"/>
      <c r="AP31" s="721"/>
      <c r="AQ31" s="721"/>
      <c r="AR31" s="721"/>
      <c r="AS31" s="721"/>
      <c r="AT31" s="721"/>
      <c r="AU31" s="721"/>
      <c r="AV31" s="721"/>
      <c r="AW31" s="721"/>
      <c r="AX31" s="721"/>
      <c r="AY31" s="721"/>
      <c r="AZ31" s="721"/>
      <c r="BA31" s="721"/>
      <c r="BB31" s="721"/>
      <c r="BC31" s="721"/>
      <c r="BD31" s="721"/>
      <c r="BE31" s="721"/>
      <c r="BF31" s="721"/>
      <c r="BG31" s="721"/>
      <c r="BH31" s="721"/>
      <c r="BI31" s="721"/>
      <c r="BJ31" s="721"/>
      <c r="BK31" s="721"/>
      <c r="BL31" s="721"/>
      <c r="BM31" s="721"/>
      <c r="BN31" s="721"/>
      <c r="BO31" s="721"/>
      <c r="BP31" s="721"/>
      <c r="BQ31" s="721"/>
      <c r="BR31" s="721"/>
      <c r="BS31" s="721"/>
      <c r="BT31" s="721"/>
      <c r="BU31" s="721"/>
      <c r="BV31" s="721"/>
      <c r="BW31" s="721"/>
      <c r="BX31" s="721"/>
      <c r="BY31" s="721"/>
      <c r="BZ31" s="721"/>
      <c r="CA31" s="721"/>
      <c r="CB31" s="721"/>
      <c r="CC31" s="721"/>
      <c r="CD31" s="721"/>
      <c r="CE31" s="721"/>
      <c r="CF31" s="721"/>
      <c r="CG31" s="721"/>
      <c r="CH31" s="721"/>
      <c r="CI31" s="721"/>
      <c r="CJ31" s="721"/>
      <c r="CK31" s="721"/>
      <c r="CL31" s="721"/>
      <c r="CM31" s="721"/>
      <c r="CN31" s="721"/>
      <c r="CO31" s="721"/>
      <c r="CP31" s="721"/>
      <c r="CQ31" s="721"/>
      <c r="CR31" s="721"/>
      <c r="CS31" s="721"/>
      <c r="CT31" s="721"/>
      <c r="CU31" s="721"/>
      <c r="CV31" s="721"/>
      <c r="CW31" s="721"/>
      <c r="CX31" s="721"/>
      <c r="CY31" s="721"/>
      <c r="CZ31" s="721"/>
      <c r="DA31" s="721"/>
      <c r="DB31" s="721"/>
      <c r="DC31" s="721"/>
      <c r="DD31" s="721"/>
      <c r="DE31" s="721"/>
      <c r="DF31" s="721"/>
      <c r="DG31" s="721"/>
      <c r="DH31" s="721"/>
      <c r="DI31" s="721"/>
      <c r="DJ31" s="721"/>
      <c r="DK31" s="721"/>
      <c r="DL31" s="721"/>
      <c r="DM31" s="721"/>
      <c r="DN31" s="721"/>
      <c r="DO31" s="721"/>
      <c r="DP31" s="721"/>
      <c r="DQ31" s="721"/>
      <c r="DR31" s="721"/>
      <c r="DS31" s="721"/>
      <c r="DT31" s="721"/>
      <c r="DU31" s="721"/>
      <c r="DV31" s="721"/>
      <c r="DW31" s="721"/>
      <c r="DX31" s="721"/>
      <c r="DY31" s="721"/>
      <c r="DZ31" s="721"/>
      <c r="EA31" s="721"/>
      <c r="EB31" s="721"/>
      <c r="EC31" s="721"/>
      <c r="ED31" s="721"/>
      <c r="EE31" s="721"/>
      <c r="EF31" s="721"/>
      <c r="EG31" s="721"/>
      <c r="EH31" s="721"/>
      <c r="EI31" s="721"/>
      <c r="EJ31" s="721"/>
      <c r="EK31" s="721"/>
      <c r="EL31" s="721"/>
      <c r="EM31" s="721"/>
      <c r="EN31" s="721"/>
      <c r="EO31" s="721"/>
      <c r="EP31" s="721"/>
      <c r="EQ31" s="721"/>
      <c r="ER31" s="721"/>
      <c r="ES31" s="721"/>
      <c r="ET31" s="721"/>
      <c r="EU31" s="721"/>
      <c r="EV31" s="721"/>
      <c r="EW31" s="721"/>
      <c r="EX31" s="721"/>
      <c r="EY31" s="721"/>
      <c r="EZ31" s="721"/>
      <c r="FA31" s="721"/>
      <c r="FB31" s="721"/>
      <c r="FC31" s="721"/>
      <c r="FD31" s="721"/>
      <c r="FE31" s="721"/>
      <c r="FF31" s="721"/>
      <c r="FG31" s="721"/>
      <c r="FH31" s="721"/>
      <c r="FI31" s="721"/>
      <c r="FJ31" s="721"/>
      <c r="FK31" s="721"/>
      <c r="FL31" s="721"/>
      <c r="FM31" s="721"/>
      <c r="FN31" s="721"/>
      <c r="FO31" s="721"/>
      <c r="FP31" s="721"/>
      <c r="FQ31" s="721"/>
      <c r="FR31" s="721"/>
      <c r="FS31" s="721"/>
      <c r="FT31" s="721"/>
      <c r="FU31" s="721"/>
      <c r="FV31" s="721"/>
      <c r="FW31" s="721"/>
      <c r="FX31" s="721"/>
      <c r="FY31" s="721"/>
      <c r="FZ31" s="721"/>
      <c r="GA31" s="721"/>
      <c r="GB31" s="721"/>
      <c r="GC31" s="721"/>
      <c r="GD31" s="721"/>
      <c r="GE31" s="721"/>
      <c r="GF31" s="721"/>
      <c r="GG31" s="721"/>
      <c r="GH31" s="721"/>
      <c r="GI31" s="721"/>
      <c r="GJ31" s="721"/>
      <c r="GK31" s="721"/>
      <c r="GL31" s="721"/>
      <c r="GM31" s="721"/>
      <c r="GN31" s="721"/>
      <c r="GO31" s="721"/>
      <c r="GP31" s="721"/>
      <c r="GQ31" s="721"/>
      <c r="GR31" s="721"/>
      <c r="GS31" s="721"/>
      <c r="GT31" s="721"/>
      <c r="GU31" s="721"/>
      <c r="GV31" s="721"/>
      <c r="GW31" s="721"/>
      <c r="GX31" s="721"/>
      <c r="GY31" s="721"/>
      <c r="GZ31" s="721"/>
      <c r="HA31" s="721"/>
      <c r="HB31" s="721"/>
      <c r="HC31" s="721"/>
      <c r="HD31" s="721"/>
      <c r="HE31" s="721"/>
      <c r="HF31" s="721"/>
      <c r="HG31" s="721"/>
      <c r="HH31" s="721"/>
      <c r="HI31" s="721"/>
      <c r="HJ31" s="721"/>
      <c r="HK31" s="721"/>
      <c r="HL31" s="721"/>
      <c r="HM31" s="721"/>
      <c r="HN31" s="721"/>
      <c r="HO31" s="721"/>
      <c r="HP31" s="721"/>
      <c r="HQ31" s="721"/>
      <c r="HR31" s="721"/>
      <c r="HS31" s="721"/>
      <c r="HT31" s="721"/>
      <c r="HU31" s="721"/>
      <c r="HV31" s="721"/>
      <c r="HW31" s="721"/>
      <c r="HX31" s="721"/>
      <c r="HY31" s="721"/>
      <c r="HZ31" s="721"/>
      <c r="IA31" s="721"/>
      <c r="IB31" s="721"/>
      <c r="IC31" s="721"/>
      <c r="ID31" s="721"/>
      <c r="IE31" s="721"/>
      <c r="IF31" s="721"/>
      <c r="IG31" s="721"/>
      <c r="IH31" s="721"/>
      <c r="II31" s="721"/>
      <c r="IJ31" s="721"/>
      <c r="IK31" s="721"/>
      <c r="IL31" s="721"/>
      <c r="IM31" s="721"/>
      <c r="IN31" s="721"/>
      <c r="IO31" s="721"/>
      <c r="IP31" s="721"/>
      <c r="IQ31" s="721"/>
      <c r="IR31" s="721"/>
      <c r="IS31" s="721"/>
      <c r="IT31" s="721"/>
      <c r="IU31" s="721"/>
      <c r="IV31" s="721"/>
      <c r="IW31" s="721"/>
    </row>
    <row r="32" customFormat="false" ht="12" hidden="false" customHeight="true" outlineLevel="0" collapsed="false">
      <c r="A32" s="397" t="s">
        <v>614</v>
      </c>
      <c r="B32" s="600"/>
      <c r="C32" s="792"/>
      <c r="D32" s="793" t="n">
        <v>0</v>
      </c>
      <c r="E32" s="793" t="n">
        <v>0</v>
      </c>
      <c r="F32" s="793" t="n">
        <v>0</v>
      </c>
      <c r="G32" s="793" t="n">
        <v>0</v>
      </c>
      <c r="H32" s="793" t="n">
        <v>0</v>
      </c>
      <c r="I32" s="793" t="n">
        <v>0</v>
      </c>
      <c r="J32" s="793" t="n">
        <v>0</v>
      </c>
      <c r="K32" s="793" t="n">
        <v>0</v>
      </c>
      <c r="L32" s="793" t="n">
        <v>0</v>
      </c>
      <c r="M32" s="793" t="n">
        <v>0</v>
      </c>
      <c r="N32" s="793" t="n">
        <v>0</v>
      </c>
      <c r="O32" s="793" t="n">
        <v>0</v>
      </c>
      <c r="P32" s="793" t="n">
        <v>0</v>
      </c>
      <c r="Q32" s="793" t="n">
        <v>0</v>
      </c>
      <c r="R32" s="793" t="n">
        <v>0</v>
      </c>
      <c r="S32" s="793" t="n">
        <v>0</v>
      </c>
      <c r="T32" s="793" t="n">
        <v>0</v>
      </c>
      <c r="U32" s="793" t="n">
        <v>0</v>
      </c>
      <c r="V32" s="793" t="n">
        <v>0</v>
      </c>
      <c r="W32" s="793" t="n">
        <v>0</v>
      </c>
      <c r="X32" s="703" t="n">
        <f aca="false">IF(R31&gt;(SUM(S33:W33)+SUM(R32:W32))*-1,R31-(SUM(R33:W33)+SUM(R32:W32))*-1,0)</f>
        <v>0</v>
      </c>
      <c r="Y32" s="703" t="n">
        <f aca="false">IF(S31&gt;(SUM(T33:X33)+SUM(S32:X32))*-1,S31-(SUM(S33:X33)+SUM(S32:X32))*-1,0)</f>
        <v>0</v>
      </c>
      <c r="Z32" s="703" t="n">
        <f aca="false">IF(T31&gt;(SUM(U33:Y33)+SUM(T32:Y32))*-1,T31-(SUM(T33:Y33)+SUM(T32:Y32))*-1,0)</f>
        <v>0</v>
      </c>
      <c r="AA32" s="703" t="n">
        <f aca="false">IF(U31&gt;(SUM(V33:Z33)+SUM(U32:Z32))*-1,U31-(SUM(U33:Z33)+SUM(U32:Z32))*-1,0)</f>
        <v>0</v>
      </c>
      <c r="AB32" s="704" t="n">
        <f aca="false">IF(V31&gt;(SUM(W33:AA33)+SUM(V32:AA32))*-1,V31-(SUM(V33:AA33)+SUM(V32:AA32))*-1,0)</f>
        <v>0</v>
      </c>
      <c r="AC32" s="425"/>
      <c r="AD32" s="425"/>
      <c r="AE32" s="721"/>
      <c r="AF32" s="721"/>
      <c r="AG32" s="721"/>
      <c r="AH32" s="721"/>
      <c r="AI32" s="721"/>
      <c r="AJ32" s="721"/>
      <c r="AK32" s="721"/>
      <c r="AL32" s="721"/>
      <c r="AM32" s="721"/>
      <c r="AN32" s="721"/>
      <c r="AO32" s="721"/>
      <c r="AP32" s="721"/>
      <c r="AQ32" s="721"/>
      <c r="AR32" s="721"/>
      <c r="AS32" s="721"/>
      <c r="AT32" s="721"/>
      <c r="AU32" s="721"/>
      <c r="AV32" s="721"/>
      <c r="AW32" s="721"/>
      <c r="AX32" s="721"/>
      <c r="AY32" s="721"/>
      <c r="AZ32" s="721"/>
      <c r="BA32" s="721"/>
      <c r="BB32" s="721"/>
      <c r="BC32" s="721"/>
      <c r="BD32" s="721"/>
      <c r="BE32" s="721"/>
      <c r="BF32" s="721"/>
      <c r="BG32" s="721"/>
      <c r="BH32" s="721"/>
      <c r="BI32" s="721"/>
      <c r="BJ32" s="721"/>
      <c r="BK32" s="721"/>
      <c r="BL32" s="721"/>
      <c r="BM32" s="721"/>
      <c r="BN32" s="721"/>
      <c r="BO32" s="721"/>
      <c r="BP32" s="721"/>
      <c r="BQ32" s="721"/>
      <c r="BR32" s="721"/>
      <c r="BS32" s="721"/>
      <c r="BT32" s="721"/>
      <c r="BU32" s="721"/>
      <c r="BV32" s="721"/>
      <c r="BW32" s="721"/>
      <c r="BX32" s="721"/>
      <c r="BY32" s="721"/>
      <c r="BZ32" s="721"/>
      <c r="CA32" s="721"/>
      <c r="CB32" s="721"/>
      <c r="CC32" s="721"/>
      <c r="CD32" s="721"/>
      <c r="CE32" s="721"/>
      <c r="CF32" s="721"/>
      <c r="CG32" s="721"/>
      <c r="CH32" s="721"/>
      <c r="CI32" s="721"/>
      <c r="CJ32" s="721"/>
      <c r="CK32" s="721"/>
      <c r="CL32" s="721"/>
      <c r="CM32" s="721"/>
      <c r="CN32" s="721"/>
      <c r="CO32" s="721"/>
      <c r="CP32" s="721"/>
      <c r="CQ32" s="721"/>
      <c r="CR32" s="721"/>
      <c r="CS32" s="721"/>
      <c r="CT32" s="721"/>
      <c r="CU32" s="721"/>
      <c r="CV32" s="721"/>
      <c r="CW32" s="721"/>
      <c r="CX32" s="721"/>
      <c r="CY32" s="721"/>
      <c r="CZ32" s="721"/>
      <c r="DA32" s="721"/>
      <c r="DB32" s="721"/>
      <c r="DC32" s="721"/>
      <c r="DD32" s="721"/>
      <c r="DE32" s="721"/>
      <c r="DF32" s="721"/>
      <c r="DG32" s="721"/>
      <c r="DH32" s="721"/>
      <c r="DI32" s="721"/>
      <c r="DJ32" s="721"/>
      <c r="DK32" s="721"/>
      <c r="DL32" s="721"/>
      <c r="DM32" s="721"/>
      <c r="DN32" s="721"/>
      <c r="DO32" s="721"/>
      <c r="DP32" s="721"/>
      <c r="DQ32" s="721"/>
      <c r="DR32" s="721"/>
      <c r="DS32" s="721"/>
      <c r="DT32" s="721"/>
      <c r="DU32" s="721"/>
      <c r="DV32" s="721"/>
      <c r="DW32" s="721"/>
      <c r="DX32" s="721"/>
      <c r="DY32" s="721"/>
      <c r="DZ32" s="721"/>
      <c r="EA32" s="721"/>
      <c r="EB32" s="721"/>
      <c r="EC32" s="721"/>
      <c r="ED32" s="721"/>
      <c r="EE32" s="721"/>
      <c r="EF32" s="721"/>
      <c r="EG32" s="721"/>
      <c r="EH32" s="721"/>
      <c r="EI32" s="721"/>
      <c r="EJ32" s="721"/>
      <c r="EK32" s="721"/>
      <c r="EL32" s="721"/>
      <c r="EM32" s="721"/>
      <c r="EN32" s="721"/>
      <c r="EO32" s="721"/>
      <c r="EP32" s="721"/>
      <c r="EQ32" s="721"/>
      <c r="ER32" s="721"/>
      <c r="ES32" s="721"/>
      <c r="ET32" s="721"/>
      <c r="EU32" s="721"/>
      <c r="EV32" s="721"/>
      <c r="EW32" s="721"/>
      <c r="EX32" s="721"/>
      <c r="EY32" s="721"/>
      <c r="EZ32" s="721"/>
      <c r="FA32" s="721"/>
      <c r="FB32" s="721"/>
      <c r="FC32" s="721"/>
      <c r="FD32" s="721"/>
      <c r="FE32" s="721"/>
      <c r="FF32" s="721"/>
      <c r="FG32" s="721"/>
      <c r="FH32" s="721"/>
      <c r="FI32" s="721"/>
      <c r="FJ32" s="721"/>
      <c r="FK32" s="721"/>
      <c r="FL32" s="721"/>
      <c r="FM32" s="721"/>
      <c r="FN32" s="721"/>
      <c r="FO32" s="721"/>
      <c r="FP32" s="721"/>
      <c r="FQ32" s="721"/>
      <c r="FR32" s="721"/>
      <c r="FS32" s="721"/>
      <c r="FT32" s="721"/>
      <c r="FU32" s="721"/>
      <c r="FV32" s="721"/>
      <c r="FW32" s="721"/>
      <c r="FX32" s="721"/>
      <c r="FY32" s="721"/>
      <c r="FZ32" s="721"/>
      <c r="GA32" s="721"/>
      <c r="GB32" s="721"/>
      <c r="GC32" s="721"/>
      <c r="GD32" s="721"/>
      <c r="GE32" s="721"/>
      <c r="GF32" s="721"/>
      <c r="GG32" s="721"/>
      <c r="GH32" s="721"/>
      <c r="GI32" s="721"/>
      <c r="GJ32" s="721"/>
      <c r="GK32" s="721"/>
      <c r="GL32" s="721"/>
      <c r="GM32" s="721"/>
      <c r="GN32" s="721"/>
      <c r="GO32" s="721"/>
      <c r="GP32" s="721"/>
      <c r="GQ32" s="721"/>
      <c r="GR32" s="721"/>
      <c r="GS32" s="721"/>
      <c r="GT32" s="721"/>
      <c r="GU32" s="721"/>
      <c r="GV32" s="721"/>
      <c r="GW32" s="721"/>
      <c r="GX32" s="721"/>
      <c r="GY32" s="721"/>
      <c r="GZ32" s="721"/>
      <c r="HA32" s="721"/>
      <c r="HB32" s="721"/>
      <c r="HC32" s="721"/>
      <c r="HD32" s="721"/>
      <c r="HE32" s="721"/>
      <c r="HF32" s="721"/>
      <c r="HG32" s="721"/>
      <c r="HH32" s="721"/>
      <c r="HI32" s="721"/>
      <c r="HJ32" s="721"/>
      <c r="HK32" s="721"/>
      <c r="HL32" s="721"/>
      <c r="HM32" s="721"/>
      <c r="HN32" s="721"/>
      <c r="HO32" s="721"/>
      <c r="HP32" s="721"/>
      <c r="HQ32" s="721"/>
      <c r="HR32" s="721"/>
      <c r="HS32" s="721"/>
      <c r="HT32" s="721"/>
      <c r="HU32" s="721"/>
      <c r="HV32" s="721"/>
      <c r="HW32" s="721"/>
      <c r="HX32" s="721"/>
      <c r="HY32" s="721"/>
      <c r="HZ32" s="721"/>
      <c r="IA32" s="721"/>
      <c r="IB32" s="721"/>
      <c r="IC32" s="721"/>
      <c r="ID32" s="721"/>
      <c r="IE32" s="721"/>
      <c r="IF32" s="721"/>
      <c r="IG32" s="721"/>
      <c r="IH32" s="721"/>
      <c r="II32" s="721"/>
      <c r="IJ32" s="721"/>
      <c r="IK32" s="721"/>
      <c r="IL32" s="721"/>
      <c r="IM32" s="721"/>
      <c r="IN32" s="721"/>
      <c r="IO32" s="721"/>
      <c r="IP32" s="721"/>
      <c r="IQ32" s="721"/>
      <c r="IR32" s="721"/>
      <c r="IS32" s="721"/>
      <c r="IT32" s="721"/>
      <c r="IU32" s="721"/>
      <c r="IV32" s="721"/>
      <c r="IW32" s="721"/>
    </row>
    <row r="33" customFormat="false" ht="12" hidden="false" customHeight="true" outlineLevel="0" collapsed="false">
      <c r="A33" s="397" t="s">
        <v>615</v>
      </c>
      <c r="B33" s="600"/>
      <c r="C33" s="371"/>
      <c r="D33" s="496" t="n">
        <f aca="false">IF('Project Assumptions'!$C$66="No",0,IF(D4&lt;='Project Assumptions'!$C$66,IF(D28&lt;0,0,IF(D30&gt;D28,-D28,-D30)),0))</f>
        <v>0</v>
      </c>
      <c r="E33" s="496" t="n">
        <f aca="false">IF('Project Assumptions'!$C$66="No",0,IF(E4&lt;='Project Assumptions'!$C$66,IF(E28&lt;0,0,IF(E30&gt;E28,-E28,-E30)),0))</f>
        <v>0</v>
      </c>
      <c r="F33" s="496" t="n">
        <f aca="false">IF('Project Assumptions'!$C$66="No",0,IF(F4&lt;='Project Assumptions'!$C$66,IF(F28&lt;0,0,IF(F30&gt;F28,-F28,-F30)),0))</f>
        <v>0</v>
      </c>
      <c r="G33" s="496" t="n">
        <f aca="false">IF('Project Assumptions'!$C$66="No",0,IF(G4&lt;='Project Assumptions'!$C$66,IF(G28&lt;0,0,IF(G30&gt;G28,-G28,-G30)),0))</f>
        <v>-320.765035024315</v>
      </c>
      <c r="H33" s="496" t="n">
        <f aca="false">IF('Project Assumptions'!$C$66="No",0,IF(H4&lt;='Project Assumptions'!$C$66,IF(H28&lt;0,0,IF(H30&gt;H28,-H28,-H30)),0))</f>
        <v>-1083.66398249331</v>
      </c>
      <c r="I33" s="496" t="n">
        <f aca="false">IF('Project Assumptions'!$C$66="No",0,IF(I4&lt;='Project Assumptions'!$C$66,IF(I28&lt;0,0,IF(I30&gt;I28,-I28,-I30)),0))</f>
        <v>-877.26995045448</v>
      </c>
      <c r="J33" s="496" t="n">
        <f aca="false">IF('Project Assumptions'!$C$66="No",0,IF(J4&lt;='Project Assumptions'!$C$66,IF(J28&lt;0,0,IF(J30&gt;J28,-J28,-J30)),0))</f>
        <v>-0</v>
      </c>
      <c r="K33" s="496" t="n">
        <f aca="false">IF('Project Assumptions'!$C$66="No",0,IF(K4&lt;='Project Assumptions'!$C$66,IF(K28&lt;0,0,IF(K30&gt;K28,-K28,-K30)),0))</f>
        <v>-0</v>
      </c>
      <c r="L33" s="496" t="n">
        <f aca="false">IF('Project Assumptions'!$C$66="No",0,IF(L4&lt;='Project Assumptions'!$C$66,IF(L28&lt;0,0,IF(L30&gt;L28,-L28,-L30)),0))</f>
        <v>-0</v>
      </c>
      <c r="M33" s="496" t="n">
        <f aca="false">IF('Project Assumptions'!$C$66="No",0,IF(M4&lt;='Project Assumptions'!$C$66,IF(M28&lt;0,0,IF(M30&gt;M28,-M28,-M30)),0))</f>
        <v>-0</v>
      </c>
      <c r="N33" s="496" t="n">
        <f aca="false">IF('Project Assumptions'!$C$66="No",0,IF(N4&lt;='Project Assumptions'!$C$66,IF(N28&lt;0,0,IF(N30&gt;N28,-N28,-N30)),0))</f>
        <v>-0</v>
      </c>
      <c r="O33" s="496" t="n">
        <f aca="false">IF('Project Assumptions'!$C$66="No",0,IF(O4&lt;='Project Assumptions'!$C$66,IF(O28&lt;0,0,IF(O30&gt;O28,-O28,-O30)),0))</f>
        <v>-0</v>
      </c>
      <c r="P33" s="496" t="n">
        <f aca="false">IF('Project Assumptions'!$C$66="No",0,IF(P4&lt;='Project Assumptions'!$C$66,IF(P28&lt;0,0,IF(P30&gt;P28,-P28,-P30)),0))</f>
        <v>-0</v>
      </c>
      <c r="Q33" s="496" t="n">
        <f aca="false">IF('Project Assumptions'!$C$66="No",0,IF(Q4&lt;='Project Assumptions'!$C$66,IF(Q28&lt;0,0,IF(Q30&gt;Q28,-Q28,-Q30)),0))</f>
        <v>-0</v>
      </c>
      <c r="R33" s="496" t="n">
        <f aca="false">IF('Project Assumptions'!$C$66="No",0,IF(R4&lt;='Project Assumptions'!$C$66,IF(R28&lt;0,0,IF(R30&gt;R28,-R28,-R30)),0))</f>
        <v>-0</v>
      </c>
      <c r="S33" s="496" t="n">
        <f aca="false">IF('Project Assumptions'!$C$66="No",0,IF(S4&lt;='Project Assumptions'!$C$66,IF(S28&lt;0,0,IF(S30&gt;S28,-S28,-S30)),0))</f>
        <v>-0</v>
      </c>
      <c r="T33" s="496" t="n">
        <f aca="false">IF('Project Assumptions'!$C$66="No",0,IF(T4&lt;='Project Assumptions'!$C$66,IF(T28&lt;0,0,IF(T30&gt;T28,-T28,-T30)),0))</f>
        <v>-0</v>
      </c>
      <c r="U33" s="496" t="n">
        <f aca="false">IF('Project Assumptions'!$C$66="No",0,IF(U4&lt;='Project Assumptions'!$C$66,IF(U28&lt;0,0,IF(U30&gt;U28,-U28,-U30)),0))</f>
        <v>-0</v>
      </c>
      <c r="V33" s="496" t="n">
        <f aca="false">IF('Project Assumptions'!$C$66="No",0,IF(V4&lt;='Project Assumptions'!$C$66,IF(V28&lt;0,0,IF(V30&gt;V28,-V28,-V30)),0))</f>
        <v>-0</v>
      </c>
      <c r="W33" s="496" t="n">
        <f aca="false">IF('Project Assumptions'!$C$66="No",0,IF(W4&lt;='Project Assumptions'!$C$66,IF(W28&lt;0,0,IF(W30&gt;W28,-W28,-W30)),0))</f>
        <v>-0</v>
      </c>
      <c r="X33" s="496" t="n">
        <f aca="false">IF('Project Assumptions'!$C$66="No",0,IF(X4&lt;='Project Assumptions'!$C$66,IF(X28&lt;0,0,IF(X30&gt;X28,-X28,-X30)),0))</f>
        <v>-0</v>
      </c>
      <c r="Y33" s="496" t="n">
        <f aca="false">IF('Project Assumptions'!$C$66="No",0,IF(Y4&lt;='Project Assumptions'!$C$66,IF(Y28&lt;0,0,IF(Y30&gt;Y28,-Y28,-Y30)),0))</f>
        <v>-0</v>
      </c>
      <c r="Z33" s="496" t="n">
        <f aca="false">IF('Project Assumptions'!$C$66="No",0,IF(Z4&lt;='Project Assumptions'!$C$66,IF(Z28&lt;0,0,IF(Z30&gt;Z28,-Z28,-Z30)),0))</f>
        <v>-0</v>
      </c>
      <c r="AA33" s="496" t="n">
        <f aca="false">IF('Project Assumptions'!$C$66="No",0,IF(AA4&lt;='Project Assumptions'!$C$66,IF(AA28&lt;0,0,IF(AA30&gt;AA28,-AA28,-AA30)),0))</f>
        <v>-0</v>
      </c>
      <c r="AB33" s="497" t="n">
        <f aca="false">IF('Project Assumptions'!$C$66="No",0,IF(AB4&lt;='Project Assumptions'!$C$66,IF(AB28&lt;0,0,IF(AB30&gt;AB28,-AB28,-AB30)),0))</f>
        <v>-0</v>
      </c>
      <c r="AC33" s="425"/>
      <c r="AD33" s="425"/>
      <c r="AE33" s="721"/>
      <c r="AF33" s="721"/>
      <c r="AG33" s="721"/>
      <c r="AH33" s="721"/>
      <c r="AI33" s="721"/>
      <c r="AJ33" s="721"/>
      <c r="AK33" s="721"/>
      <c r="AL33" s="721"/>
      <c r="AM33" s="721"/>
      <c r="AN33" s="721"/>
      <c r="AO33" s="721"/>
      <c r="AP33" s="721"/>
      <c r="AQ33" s="721"/>
      <c r="AR33" s="721"/>
      <c r="AS33" s="721"/>
      <c r="AT33" s="721"/>
      <c r="AU33" s="721"/>
      <c r="AV33" s="721"/>
      <c r="AW33" s="721"/>
      <c r="AX33" s="721"/>
      <c r="AY33" s="721"/>
      <c r="AZ33" s="721"/>
      <c r="BA33" s="721"/>
      <c r="BB33" s="721"/>
      <c r="BC33" s="721"/>
      <c r="BD33" s="721"/>
      <c r="BE33" s="721"/>
      <c r="BF33" s="721"/>
      <c r="BG33" s="721"/>
      <c r="BH33" s="721"/>
      <c r="BI33" s="721"/>
      <c r="BJ33" s="721"/>
      <c r="BK33" s="721"/>
      <c r="BL33" s="721"/>
      <c r="BM33" s="721"/>
      <c r="BN33" s="721"/>
      <c r="BO33" s="721"/>
      <c r="BP33" s="721"/>
      <c r="BQ33" s="721"/>
      <c r="BR33" s="721"/>
      <c r="BS33" s="721"/>
      <c r="BT33" s="721"/>
      <c r="BU33" s="721"/>
      <c r="BV33" s="721"/>
      <c r="BW33" s="721"/>
      <c r="BX33" s="721"/>
      <c r="BY33" s="721"/>
      <c r="BZ33" s="721"/>
      <c r="CA33" s="721"/>
      <c r="CB33" s="721"/>
      <c r="CC33" s="721"/>
      <c r="CD33" s="721"/>
      <c r="CE33" s="721"/>
      <c r="CF33" s="721"/>
      <c r="CG33" s="721"/>
      <c r="CH33" s="721"/>
      <c r="CI33" s="721"/>
      <c r="CJ33" s="721"/>
      <c r="CK33" s="721"/>
      <c r="CL33" s="721"/>
      <c r="CM33" s="721"/>
      <c r="CN33" s="721"/>
      <c r="CO33" s="721"/>
      <c r="CP33" s="721"/>
      <c r="CQ33" s="721"/>
      <c r="CR33" s="721"/>
      <c r="CS33" s="721"/>
      <c r="CT33" s="721"/>
      <c r="CU33" s="721"/>
      <c r="CV33" s="721"/>
      <c r="CW33" s="721"/>
      <c r="CX33" s="721"/>
      <c r="CY33" s="721"/>
      <c r="CZ33" s="721"/>
      <c r="DA33" s="721"/>
      <c r="DB33" s="721"/>
      <c r="DC33" s="721"/>
      <c r="DD33" s="721"/>
      <c r="DE33" s="721"/>
      <c r="DF33" s="721"/>
      <c r="DG33" s="721"/>
      <c r="DH33" s="721"/>
      <c r="DI33" s="721"/>
      <c r="DJ33" s="721"/>
      <c r="DK33" s="721"/>
      <c r="DL33" s="721"/>
      <c r="DM33" s="721"/>
      <c r="DN33" s="721"/>
      <c r="DO33" s="721"/>
      <c r="DP33" s="721"/>
      <c r="DQ33" s="721"/>
      <c r="DR33" s="721"/>
      <c r="DS33" s="721"/>
      <c r="DT33" s="721"/>
      <c r="DU33" s="721"/>
      <c r="DV33" s="721"/>
      <c r="DW33" s="721"/>
      <c r="DX33" s="721"/>
      <c r="DY33" s="721"/>
      <c r="DZ33" s="721"/>
      <c r="EA33" s="721"/>
      <c r="EB33" s="721"/>
      <c r="EC33" s="721"/>
      <c r="ED33" s="721"/>
      <c r="EE33" s="721"/>
      <c r="EF33" s="721"/>
      <c r="EG33" s="721"/>
      <c r="EH33" s="721"/>
      <c r="EI33" s="721"/>
      <c r="EJ33" s="721"/>
      <c r="EK33" s="721"/>
      <c r="EL33" s="721"/>
      <c r="EM33" s="721"/>
      <c r="EN33" s="721"/>
      <c r="EO33" s="721"/>
      <c r="EP33" s="721"/>
      <c r="EQ33" s="721"/>
      <c r="ER33" s="721"/>
      <c r="ES33" s="721"/>
      <c r="ET33" s="721"/>
      <c r="EU33" s="721"/>
      <c r="EV33" s="721"/>
      <c r="EW33" s="721"/>
      <c r="EX33" s="721"/>
      <c r="EY33" s="721"/>
      <c r="EZ33" s="721"/>
      <c r="FA33" s="721"/>
      <c r="FB33" s="721"/>
      <c r="FC33" s="721"/>
      <c r="FD33" s="721"/>
      <c r="FE33" s="721"/>
      <c r="FF33" s="721"/>
      <c r="FG33" s="721"/>
      <c r="FH33" s="721"/>
      <c r="FI33" s="721"/>
      <c r="FJ33" s="721"/>
      <c r="FK33" s="721"/>
      <c r="FL33" s="721"/>
      <c r="FM33" s="721"/>
      <c r="FN33" s="721"/>
      <c r="FO33" s="721"/>
      <c r="FP33" s="721"/>
      <c r="FQ33" s="721"/>
      <c r="FR33" s="721"/>
      <c r="FS33" s="721"/>
      <c r="FT33" s="721"/>
      <c r="FU33" s="721"/>
      <c r="FV33" s="721"/>
      <c r="FW33" s="721"/>
      <c r="FX33" s="721"/>
      <c r="FY33" s="721"/>
      <c r="FZ33" s="721"/>
      <c r="GA33" s="721"/>
      <c r="GB33" s="721"/>
      <c r="GC33" s="721"/>
      <c r="GD33" s="721"/>
      <c r="GE33" s="721"/>
      <c r="GF33" s="721"/>
      <c r="GG33" s="721"/>
      <c r="GH33" s="721"/>
      <c r="GI33" s="721"/>
      <c r="GJ33" s="721"/>
      <c r="GK33" s="721"/>
      <c r="GL33" s="721"/>
      <c r="GM33" s="721"/>
      <c r="GN33" s="721"/>
      <c r="GO33" s="721"/>
      <c r="GP33" s="721"/>
      <c r="GQ33" s="721"/>
      <c r="GR33" s="721"/>
      <c r="GS33" s="721"/>
      <c r="GT33" s="721"/>
      <c r="GU33" s="721"/>
      <c r="GV33" s="721"/>
      <c r="GW33" s="721"/>
      <c r="GX33" s="721"/>
      <c r="GY33" s="721"/>
      <c r="GZ33" s="721"/>
      <c r="HA33" s="721"/>
      <c r="HB33" s="721"/>
      <c r="HC33" s="721"/>
      <c r="HD33" s="721"/>
      <c r="HE33" s="721"/>
      <c r="HF33" s="721"/>
      <c r="HG33" s="721"/>
      <c r="HH33" s="721"/>
      <c r="HI33" s="721"/>
      <c r="HJ33" s="721"/>
      <c r="HK33" s="721"/>
      <c r="HL33" s="721"/>
      <c r="HM33" s="721"/>
      <c r="HN33" s="721"/>
      <c r="HO33" s="721"/>
      <c r="HP33" s="721"/>
      <c r="HQ33" s="721"/>
      <c r="HR33" s="721"/>
      <c r="HS33" s="721"/>
      <c r="HT33" s="721"/>
      <c r="HU33" s="721"/>
      <c r="HV33" s="721"/>
      <c r="HW33" s="721"/>
      <c r="HX33" s="721"/>
      <c r="HY33" s="721"/>
      <c r="HZ33" s="721"/>
      <c r="IA33" s="721"/>
      <c r="IB33" s="721"/>
      <c r="IC33" s="721"/>
      <c r="ID33" s="721"/>
      <c r="IE33" s="721"/>
      <c r="IF33" s="721"/>
      <c r="IG33" s="721"/>
      <c r="IH33" s="721"/>
      <c r="II33" s="721"/>
      <c r="IJ33" s="721"/>
      <c r="IK33" s="721"/>
      <c r="IL33" s="721"/>
      <c r="IM33" s="721"/>
      <c r="IN33" s="721"/>
      <c r="IO33" s="721"/>
      <c r="IP33" s="721"/>
      <c r="IQ33" s="721"/>
      <c r="IR33" s="721"/>
      <c r="IS33" s="721"/>
      <c r="IT33" s="721"/>
      <c r="IU33" s="721"/>
      <c r="IV33" s="721"/>
      <c r="IW33" s="721"/>
    </row>
    <row r="34" customFormat="false" ht="12" hidden="false" customHeight="true" outlineLevel="0" collapsed="false">
      <c r="A34" s="397" t="s">
        <v>616</v>
      </c>
      <c r="B34" s="600"/>
      <c r="C34" s="371"/>
      <c r="D34" s="496" t="n">
        <f aca="false">SUM(D30:D33)</f>
        <v>873.181638360743</v>
      </c>
      <c r="E34" s="496" t="n">
        <f aca="false">SUM(E30:E33)</f>
        <v>1678.28308120781</v>
      </c>
      <c r="F34" s="496" t="n">
        <f aca="false">SUM(F30:F33)</f>
        <v>2281.6989679721</v>
      </c>
      <c r="G34" s="496" t="n">
        <f aca="false">SUM(G30:G33)</f>
        <v>1960.93393294779</v>
      </c>
      <c r="H34" s="496" t="n">
        <f aca="false">SUM(H30:H33)</f>
        <v>877.26995045448</v>
      </c>
      <c r="I34" s="496" t="n">
        <f aca="false">SUM(I30:I33)</f>
        <v>0</v>
      </c>
      <c r="J34" s="496" t="n">
        <f aca="false">SUM(J30:J33)</f>
        <v>0</v>
      </c>
      <c r="K34" s="496" t="n">
        <f aca="false">SUM(K30:K33)</f>
        <v>0</v>
      </c>
      <c r="L34" s="496" t="n">
        <f aca="false">SUM(L30:L33)</f>
        <v>0</v>
      </c>
      <c r="M34" s="496" t="n">
        <f aca="false">SUM(M30:M33)</f>
        <v>0</v>
      </c>
      <c r="N34" s="496" t="n">
        <f aca="false">SUM(N30:N33)</f>
        <v>0</v>
      </c>
      <c r="O34" s="496" t="n">
        <f aca="false">SUM(O30:O33)</f>
        <v>0</v>
      </c>
      <c r="P34" s="496" t="n">
        <f aca="false">SUM(P30:P33)</f>
        <v>0</v>
      </c>
      <c r="Q34" s="496" t="n">
        <f aca="false">SUM(Q30:Q33)</f>
        <v>0</v>
      </c>
      <c r="R34" s="496" t="n">
        <f aca="false">SUM(R30:R33)</f>
        <v>0</v>
      </c>
      <c r="S34" s="496" t="n">
        <f aca="false">SUM(S30:S33)</f>
        <v>0</v>
      </c>
      <c r="T34" s="496" t="n">
        <f aca="false">SUM(T30:T33)</f>
        <v>0</v>
      </c>
      <c r="U34" s="496" t="n">
        <f aca="false">SUM(U30:U33)</f>
        <v>0</v>
      </c>
      <c r="V34" s="496" t="n">
        <f aca="false">SUM(V30:V33)</f>
        <v>0</v>
      </c>
      <c r="W34" s="496" t="n">
        <f aca="false">SUM(W30:W33)</f>
        <v>0</v>
      </c>
      <c r="X34" s="496" t="n">
        <f aca="false">SUM(X30:X33)</f>
        <v>0</v>
      </c>
      <c r="Y34" s="496" t="n">
        <f aca="false">SUM(Y30:Y33)</f>
        <v>0</v>
      </c>
      <c r="Z34" s="496" t="n">
        <f aca="false">SUM(Z30:Z33)</f>
        <v>0</v>
      </c>
      <c r="AA34" s="496" t="n">
        <f aca="false">SUM(AA30:AA33)</f>
        <v>0</v>
      </c>
      <c r="AB34" s="497" t="n">
        <f aca="false">SUM(AB30:AB33)</f>
        <v>0</v>
      </c>
      <c r="AC34" s="425"/>
      <c r="AD34" s="425"/>
      <c r="AE34" s="721"/>
      <c r="AF34" s="721"/>
      <c r="AG34" s="721"/>
      <c r="AH34" s="721"/>
      <c r="AI34" s="721"/>
      <c r="AJ34" s="721"/>
      <c r="AK34" s="721"/>
      <c r="AL34" s="721"/>
      <c r="AM34" s="721"/>
      <c r="AN34" s="721"/>
      <c r="AO34" s="721"/>
      <c r="AP34" s="721"/>
      <c r="AQ34" s="721"/>
      <c r="AR34" s="721"/>
      <c r="AS34" s="721"/>
      <c r="AT34" s="721"/>
      <c r="AU34" s="721"/>
      <c r="AV34" s="721"/>
      <c r="AW34" s="721"/>
      <c r="AX34" s="721"/>
      <c r="AY34" s="721"/>
      <c r="AZ34" s="721"/>
      <c r="BA34" s="721"/>
      <c r="BB34" s="721"/>
      <c r="BC34" s="721"/>
      <c r="BD34" s="721"/>
      <c r="BE34" s="721"/>
      <c r="BF34" s="721"/>
      <c r="BG34" s="721"/>
      <c r="BH34" s="721"/>
      <c r="BI34" s="721"/>
      <c r="BJ34" s="721"/>
      <c r="BK34" s="721"/>
      <c r="BL34" s="721"/>
      <c r="BM34" s="721"/>
      <c r="BN34" s="721"/>
      <c r="BO34" s="721"/>
      <c r="BP34" s="721"/>
      <c r="BQ34" s="721"/>
      <c r="BR34" s="721"/>
      <c r="BS34" s="721"/>
      <c r="BT34" s="721"/>
      <c r="BU34" s="721"/>
      <c r="BV34" s="721"/>
      <c r="BW34" s="721"/>
      <c r="BX34" s="721"/>
      <c r="BY34" s="721"/>
      <c r="BZ34" s="721"/>
      <c r="CA34" s="721"/>
      <c r="CB34" s="721"/>
      <c r="CC34" s="721"/>
      <c r="CD34" s="721"/>
      <c r="CE34" s="721"/>
      <c r="CF34" s="721"/>
      <c r="CG34" s="721"/>
      <c r="CH34" s="721"/>
      <c r="CI34" s="721"/>
      <c r="CJ34" s="721"/>
      <c r="CK34" s="721"/>
      <c r="CL34" s="721"/>
      <c r="CM34" s="721"/>
      <c r="CN34" s="721"/>
      <c r="CO34" s="721"/>
      <c r="CP34" s="721"/>
      <c r="CQ34" s="721"/>
      <c r="CR34" s="721"/>
      <c r="CS34" s="721"/>
      <c r="CT34" s="721"/>
      <c r="CU34" s="721"/>
      <c r="CV34" s="721"/>
      <c r="CW34" s="721"/>
      <c r="CX34" s="721"/>
      <c r="CY34" s="721"/>
      <c r="CZ34" s="721"/>
      <c r="DA34" s="721"/>
      <c r="DB34" s="721"/>
      <c r="DC34" s="721"/>
      <c r="DD34" s="721"/>
      <c r="DE34" s="721"/>
      <c r="DF34" s="721"/>
      <c r="DG34" s="721"/>
      <c r="DH34" s="721"/>
      <c r="DI34" s="721"/>
      <c r="DJ34" s="721"/>
      <c r="DK34" s="721"/>
      <c r="DL34" s="721"/>
      <c r="DM34" s="721"/>
      <c r="DN34" s="721"/>
      <c r="DO34" s="721"/>
      <c r="DP34" s="721"/>
      <c r="DQ34" s="721"/>
      <c r="DR34" s="721"/>
      <c r="DS34" s="721"/>
      <c r="DT34" s="721"/>
      <c r="DU34" s="721"/>
      <c r="DV34" s="721"/>
      <c r="DW34" s="721"/>
      <c r="DX34" s="721"/>
      <c r="DY34" s="721"/>
      <c r="DZ34" s="721"/>
      <c r="EA34" s="721"/>
      <c r="EB34" s="721"/>
      <c r="EC34" s="721"/>
      <c r="ED34" s="721"/>
      <c r="EE34" s="721"/>
      <c r="EF34" s="721"/>
      <c r="EG34" s="721"/>
      <c r="EH34" s="721"/>
      <c r="EI34" s="721"/>
      <c r="EJ34" s="721"/>
      <c r="EK34" s="721"/>
      <c r="EL34" s="721"/>
      <c r="EM34" s="721"/>
      <c r="EN34" s="721"/>
      <c r="EO34" s="721"/>
      <c r="EP34" s="721"/>
      <c r="EQ34" s="721"/>
      <c r="ER34" s="721"/>
      <c r="ES34" s="721"/>
      <c r="ET34" s="721"/>
      <c r="EU34" s="721"/>
      <c r="EV34" s="721"/>
      <c r="EW34" s="721"/>
      <c r="EX34" s="721"/>
      <c r="EY34" s="721"/>
      <c r="EZ34" s="721"/>
      <c r="FA34" s="721"/>
      <c r="FB34" s="721"/>
      <c r="FC34" s="721"/>
      <c r="FD34" s="721"/>
      <c r="FE34" s="721"/>
      <c r="FF34" s="721"/>
      <c r="FG34" s="721"/>
      <c r="FH34" s="721"/>
      <c r="FI34" s="721"/>
      <c r="FJ34" s="721"/>
      <c r="FK34" s="721"/>
      <c r="FL34" s="721"/>
      <c r="FM34" s="721"/>
      <c r="FN34" s="721"/>
      <c r="FO34" s="721"/>
      <c r="FP34" s="721"/>
      <c r="FQ34" s="721"/>
      <c r="FR34" s="721"/>
      <c r="FS34" s="721"/>
      <c r="FT34" s="721"/>
      <c r="FU34" s="721"/>
      <c r="FV34" s="721"/>
      <c r="FW34" s="721"/>
      <c r="FX34" s="721"/>
      <c r="FY34" s="721"/>
      <c r="FZ34" s="721"/>
      <c r="GA34" s="721"/>
      <c r="GB34" s="721"/>
      <c r="GC34" s="721"/>
      <c r="GD34" s="721"/>
      <c r="GE34" s="721"/>
      <c r="GF34" s="721"/>
      <c r="GG34" s="721"/>
      <c r="GH34" s="721"/>
      <c r="GI34" s="721"/>
      <c r="GJ34" s="721"/>
      <c r="GK34" s="721"/>
      <c r="GL34" s="721"/>
      <c r="GM34" s="721"/>
      <c r="GN34" s="721"/>
      <c r="GO34" s="721"/>
      <c r="GP34" s="721"/>
      <c r="GQ34" s="721"/>
      <c r="GR34" s="721"/>
      <c r="GS34" s="721"/>
      <c r="GT34" s="721"/>
      <c r="GU34" s="721"/>
      <c r="GV34" s="721"/>
      <c r="GW34" s="721"/>
      <c r="GX34" s="721"/>
      <c r="GY34" s="721"/>
      <c r="GZ34" s="721"/>
      <c r="HA34" s="721"/>
      <c r="HB34" s="721"/>
      <c r="HC34" s="721"/>
      <c r="HD34" s="721"/>
      <c r="HE34" s="721"/>
      <c r="HF34" s="721"/>
      <c r="HG34" s="721"/>
      <c r="HH34" s="721"/>
      <c r="HI34" s="721"/>
      <c r="HJ34" s="721"/>
      <c r="HK34" s="721"/>
      <c r="HL34" s="721"/>
      <c r="HM34" s="721"/>
      <c r="HN34" s="721"/>
      <c r="HO34" s="721"/>
      <c r="HP34" s="721"/>
      <c r="HQ34" s="721"/>
      <c r="HR34" s="721"/>
      <c r="HS34" s="721"/>
      <c r="HT34" s="721"/>
      <c r="HU34" s="721"/>
      <c r="HV34" s="721"/>
      <c r="HW34" s="721"/>
      <c r="HX34" s="721"/>
      <c r="HY34" s="721"/>
      <c r="HZ34" s="721"/>
      <c r="IA34" s="721"/>
      <c r="IB34" s="721"/>
      <c r="IC34" s="721"/>
      <c r="ID34" s="721"/>
      <c r="IE34" s="721"/>
      <c r="IF34" s="721"/>
      <c r="IG34" s="721"/>
      <c r="IH34" s="721"/>
      <c r="II34" s="721"/>
      <c r="IJ34" s="721"/>
      <c r="IK34" s="721"/>
      <c r="IL34" s="721"/>
      <c r="IM34" s="721"/>
      <c r="IN34" s="721"/>
      <c r="IO34" s="721"/>
      <c r="IP34" s="721"/>
      <c r="IQ34" s="721"/>
      <c r="IR34" s="721"/>
      <c r="IS34" s="721"/>
      <c r="IT34" s="721"/>
      <c r="IU34" s="721"/>
      <c r="IV34" s="721"/>
      <c r="IW34" s="721"/>
    </row>
    <row r="35" customFormat="false" ht="12" hidden="false" customHeight="true" outlineLevel="0" collapsed="false">
      <c r="A35" s="449"/>
      <c r="B35" s="794"/>
      <c r="C35" s="467"/>
      <c r="D35" s="730"/>
      <c r="E35" s="730"/>
      <c r="F35" s="730"/>
      <c r="G35" s="730"/>
      <c r="H35" s="730"/>
      <c r="I35" s="730"/>
      <c r="J35" s="730"/>
      <c r="K35" s="730"/>
      <c r="L35" s="730"/>
      <c r="M35" s="730"/>
      <c r="N35" s="730"/>
      <c r="O35" s="730"/>
      <c r="P35" s="730"/>
      <c r="Q35" s="730"/>
      <c r="R35" s="730"/>
      <c r="S35" s="730"/>
      <c r="T35" s="730"/>
      <c r="U35" s="730"/>
      <c r="V35" s="730"/>
      <c r="W35" s="730"/>
      <c r="X35" s="730"/>
      <c r="Y35" s="730"/>
      <c r="Z35" s="730"/>
      <c r="AA35" s="730"/>
      <c r="AB35" s="731"/>
      <c r="AC35" s="425"/>
      <c r="AD35" s="425"/>
      <c r="AE35" s="721"/>
      <c r="AF35" s="721"/>
      <c r="AG35" s="721"/>
      <c r="AH35" s="721"/>
      <c r="AI35" s="721"/>
      <c r="AJ35" s="721"/>
      <c r="AK35" s="721"/>
      <c r="AL35" s="721"/>
      <c r="AM35" s="721"/>
      <c r="AN35" s="721"/>
      <c r="AO35" s="721"/>
      <c r="AP35" s="721"/>
      <c r="AQ35" s="721"/>
      <c r="AR35" s="721"/>
      <c r="AS35" s="721"/>
      <c r="AT35" s="721"/>
      <c r="AU35" s="721"/>
      <c r="AV35" s="721"/>
      <c r="AW35" s="721"/>
      <c r="AX35" s="721"/>
      <c r="AY35" s="721"/>
      <c r="AZ35" s="721"/>
      <c r="BA35" s="721"/>
      <c r="BB35" s="721"/>
      <c r="BC35" s="721"/>
      <c r="BD35" s="721"/>
      <c r="BE35" s="721"/>
      <c r="BF35" s="721"/>
      <c r="BG35" s="721"/>
      <c r="BH35" s="721"/>
      <c r="BI35" s="721"/>
      <c r="BJ35" s="721"/>
      <c r="BK35" s="721"/>
      <c r="BL35" s="721"/>
      <c r="BM35" s="721"/>
      <c r="BN35" s="721"/>
      <c r="BO35" s="721"/>
      <c r="BP35" s="721"/>
      <c r="BQ35" s="721"/>
      <c r="BR35" s="721"/>
      <c r="BS35" s="721"/>
      <c r="BT35" s="721"/>
      <c r="BU35" s="721"/>
      <c r="BV35" s="721"/>
      <c r="BW35" s="721"/>
      <c r="BX35" s="721"/>
      <c r="BY35" s="721"/>
      <c r="BZ35" s="721"/>
      <c r="CA35" s="721"/>
      <c r="CB35" s="721"/>
      <c r="CC35" s="721"/>
      <c r="CD35" s="721"/>
      <c r="CE35" s="721"/>
      <c r="CF35" s="721"/>
      <c r="CG35" s="721"/>
      <c r="CH35" s="721"/>
      <c r="CI35" s="721"/>
      <c r="CJ35" s="721"/>
      <c r="CK35" s="721"/>
      <c r="CL35" s="721"/>
      <c r="CM35" s="721"/>
      <c r="CN35" s="721"/>
      <c r="CO35" s="721"/>
      <c r="CP35" s="721"/>
      <c r="CQ35" s="721"/>
      <c r="CR35" s="721"/>
      <c r="CS35" s="721"/>
      <c r="CT35" s="721"/>
      <c r="CU35" s="721"/>
      <c r="CV35" s="721"/>
      <c r="CW35" s="721"/>
      <c r="CX35" s="721"/>
      <c r="CY35" s="721"/>
      <c r="CZ35" s="721"/>
      <c r="DA35" s="721"/>
      <c r="DB35" s="721"/>
      <c r="DC35" s="721"/>
      <c r="DD35" s="721"/>
      <c r="DE35" s="721"/>
      <c r="DF35" s="721"/>
      <c r="DG35" s="721"/>
      <c r="DH35" s="721"/>
      <c r="DI35" s="721"/>
      <c r="DJ35" s="721"/>
      <c r="DK35" s="721"/>
      <c r="DL35" s="721"/>
      <c r="DM35" s="721"/>
      <c r="DN35" s="721"/>
      <c r="DO35" s="721"/>
      <c r="DP35" s="721"/>
      <c r="DQ35" s="721"/>
      <c r="DR35" s="721"/>
      <c r="DS35" s="721"/>
      <c r="DT35" s="721"/>
      <c r="DU35" s="721"/>
      <c r="DV35" s="721"/>
      <c r="DW35" s="721"/>
      <c r="DX35" s="721"/>
      <c r="DY35" s="721"/>
      <c r="DZ35" s="721"/>
      <c r="EA35" s="721"/>
      <c r="EB35" s="721"/>
      <c r="EC35" s="721"/>
      <c r="ED35" s="721"/>
      <c r="EE35" s="721"/>
      <c r="EF35" s="721"/>
      <c r="EG35" s="721"/>
      <c r="EH35" s="721"/>
      <c r="EI35" s="721"/>
      <c r="EJ35" s="721"/>
      <c r="EK35" s="721"/>
      <c r="EL35" s="721"/>
      <c r="EM35" s="721"/>
      <c r="EN35" s="721"/>
      <c r="EO35" s="721"/>
      <c r="EP35" s="721"/>
      <c r="EQ35" s="721"/>
      <c r="ER35" s="721"/>
      <c r="ES35" s="721"/>
      <c r="ET35" s="721"/>
      <c r="EU35" s="721"/>
      <c r="EV35" s="721"/>
      <c r="EW35" s="721"/>
      <c r="EX35" s="721"/>
      <c r="EY35" s="721"/>
      <c r="EZ35" s="721"/>
      <c r="FA35" s="721"/>
      <c r="FB35" s="721"/>
      <c r="FC35" s="721"/>
      <c r="FD35" s="721"/>
      <c r="FE35" s="721"/>
      <c r="FF35" s="721"/>
      <c r="FG35" s="721"/>
      <c r="FH35" s="721"/>
      <c r="FI35" s="721"/>
      <c r="FJ35" s="721"/>
      <c r="FK35" s="721"/>
      <c r="FL35" s="721"/>
      <c r="FM35" s="721"/>
      <c r="FN35" s="721"/>
      <c r="FO35" s="721"/>
      <c r="FP35" s="721"/>
      <c r="FQ35" s="721"/>
      <c r="FR35" s="721"/>
      <c r="FS35" s="721"/>
      <c r="FT35" s="721"/>
      <c r="FU35" s="721"/>
      <c r="FV35" s="721"/>
      <c r="FW35" s="721"/>
      <c r="FX35" s="721"/>
      <c r="FY35" s="721"/>
      <c r="FZ35" s="721"/>
      <c r="GA35" s="721"/>
      <c r="GB35" s="721"/>
      <c r="GC35" s="721"/>
      <c r="GD35" s="721"/>
      <c r="GE35" s="721"/>
      <c r="GF35" s="721"/>
      <c r="GG35" s="721"/>
      <c r="GH35" s="721"/>
      <c r="GI35" s="721"/>
      <c r="GJ35" s="721"/>
      <c r="GK35" s="721"/>
      <c r="GL35" s="721"/>
      <c r="GM35" s="721"/>
      <c r="GN35" s="721"/>
      <c r="GO35" s="721"/>
      <c r="GP35" s="721"/>
      <c r="GQ35" s="721"/>
      <c r="GR35" s="721"/>
      <c r="GS35" s="721"/>
      <c r="GT35" s="721"/>
      <c r="GU35" s="721"/>
      <c r="GV35" s="721"/>
      <c r="GW35" s="721"/>
      <c r="GX35" s="721"/>
      <c r="GY35" s="721"/>
      <c r="GZ35" s="721"/>
      <c r="HA35" s="721"/>
      <c r="HB35" s="721"/>
      <c r="HC35" s="721"/>
      <c r="HD35" s="721"/>
      <c r="HE35" s="721"/>
      <c r="HF35" s="721"/>
      <c r="HG35" s="721"/>
      <c r="HH35" s="721"/>
      <c r="HI35" s="721"/>
      <c r="HJ35" s="721"/>
      <c r="HK35" s="721"/>
      <c r="HL35" s="721"/>
      <c r="HM35" s="721"/>
      <c r="HN35" s="721"/>
      <c r="HO35" s="721"/>
      <c r="HP35" s="721"/>
      <c r="HQ35" s="721"/>
      <c r="HR35" s="721"/>
      <c r="HS35" s="721"/>
      <c r="HT35" s="721"/>
      <c r="HU35" s="721"/>
      <c r="HV35" s="721"/>
      <c r="HW35" s="721"/>
      <c r="HX35" s="721"/>
      <c r="HY35" s="721"/>
      <c r="HZ35" s="721"/>
      <c r="IA35" s="721"/>
      <c r="IB35" s="721"/>
      <c r="IC35" s="721"/>
      <c r="ID35" s="721"/>
      <c r="IE35" s="721"/>
      <c r="IF35" s="721"/>
      <c r="IG35" s="721"/>
      <c r="IH35" s="721"/>
      <c r="II35" s="721"/>
      <c r="IJ35" s="721"/>
      <c r="IK35" s="721"/>
      <c r="IL35" s="721"/>
      <c r="IM35" s="721"/>
      <c r="IN35" s="721"/>
      <c r="IO35" s="721"/>
      <c r="IP35" s="721"/>
      <c r="IQ35" s="721"/>
      <c r="IR35" s="721"/>
      <c r="IS35" s="721"/>
      <c r="IT35" s="721"/>
      <c r="IU35" s="721"/>
      <c r="IV35" s="721"/>
      <c r="IW35" s="721"/>
    </row>
    <row r="36" customFormat="false" ht="12" hidden="false" customHeight="true" outlineLevel="0" collapsed="false">
      <c r="A36" s="717" t="s">
        <v>617</v>
      </c>
      <c r="B36" s="794"/>
      <c r="C36" s="467"/>
      <c r="D36" s="795" t="n">
        <f aca="false">IF(AND('Project Assumptions'!$C$66="No",D28&lt;0),0,IF(AND('Project Assumptions'!$C$66="No",D28&gt;0),D28,IF(D28&lt;0,0,(D28+D33))))</f>
        <v>0</v>
      </c>
      <c r="E36" s="795" t="n">
        <f aca="false">IF(AND('Project Assumptions'!$C$66="No",E28&lt;0),0,IF(AND('Project Assumptions'!$C$66="No",E28&gt;0),E28,IF(E28&lt;0,0,(E28+E33))))</f>
        <v>0</v>
      </c>
      <c r="F36" s="795" t="n">
        <f aca="false">IF(AND('Project Assumptions'!$C$66="No",F28&lt;0),0,IF(AND('Project Assumptions'!$C$66="No",F28&gt;0),F28,IF(F28&lt;0,0,(F28+F33))))</f>
        <v>0</v>
      </c>
      <c r="G36" s="795" t="n">
        <f aca="false">IF(AND('Project Assumptions'!$C$66="No",G28&lt;0),0,IF(AND('Project Assumptions'!$C$66="No",G28&gt;0),G28,IF(G28&lt;0,0,(G28+G33))))</f>
        <v>0</v>
      </c>
      <c r="H36" s="795" t="n">
        <f aca="false">IF(AND('Project Assumptions'!$C$66="No",H28&lt;0),0,IF(AND('Project Assumptions'!$C$66="No",H28&gt;0),H28,IF(H28&lt;0,0,(H28+H33))))</f>
        <v>0</v>
      </c>
      <c r="I36" s="795" t="n">
        <f aca="false">IF(AND('Project Assumptions'!$C$66="No",I28&lt;0),0,IF(AND('Project Assumptions'!$C$66="No",I28&gt;0),I28,IF(I28&lt;0,0,(I28+I33))))</f>
        <v>486.273199665942</v>
      </c>
      <c r="J36" s="795" t="n">
        <f aca="false">IF(AND('Project Assumptions'!$C$66="No",J28&lt;0),0,IF(AND('Project Assumptions'!$C$66="No",J28&gt;0),J28,IF(J28&lt;0,0,(J28+J33))))</f>
        <v>1455.06662592635</v>
      </c>
      <c r="K36" s="795" t="n">
        <f aca="false">IF(AND('Project Assumptions'!$C$66="No",K28&lt;0),0,IF(AND('Project Assumptions'!$C$66="No",K28&gt;0),K28,IF(K28&lt;0,0,(K28+K33))))</f>
        <v>1538.42770229818</v>
      </c>
      <c r="L36" s="795" t="n">
        <f aca="false">IF(AND('Project Assumptions'!$C$66="No",L28&lt;0),0,IF(AND('Project Assumptions'!$C$66="No",L28&gt;0),L28,IF(L28&lt;0,0,(L28+L33))))</f>
        <v>1624.72044708293</v>
      </c>
      <c r="M36" s="795" t="n">
        <f aca="false">IF(AND('Project Assumptions'!$C$66="No",M28&lt;0),0,IF(AND('Project Assumptions'!$C$66="No",M28&gt;0),M28,IF(M28&lt;0,0,(M28+M33))))</f>
        <v>1739.28319335774</v>
      </c>
      <c r="N36" s="795" t="n">
        <f aca="false">IF(AND('Project Assumptions'!$C$66="No",N28&lt;0),0,IF(AND('Project Assumptions'!$C$66="No",N28&gt;0),N28,IF(N28&lt;0,0,(N28+N33))))</f>
        <v>1874.16212270288</v>
      </c>
      <c r="O36" s="795" t="n">
        <f aca="false">IF(AND('Project Assumptions'!$C$66="No",O28&lt;0),0,IF(AND('Project Assumptions'!$C$66="No",O28&gt;0),O28,IF(O28&lt;0,0,(O28+O33))))</f>
        <v>1930.59105507074</v>
      </c>
      <c r="P36" s="795" t="n">
        <f aca="false">IF(AND('Project Assumptions'!$C$66="No",P28&lt;0),0,IF(AND('Project Assumptions'!$C$66="No",P28&gt;0),P28,IF(P28&lt;0,0,(P28+P33))))</f>
        <v>1995.4319569881</v>
      </c>
      <c r="Q36" s="795" t="n">
        <f aca="false">IF(AND('Project Assumptions'!$C$66="No",Q28&lt;0),0,IF(AND('Project Assumptions'!$C$66="No",Q28&gt;0),Q28,IF(Q28&lt;0,0,(Q28+Q33))))</f>
        <v>2058.62977779421</v>
      </c>
      <c r="R36" s="795" t="n">
        <f aca="false">IF(AND('Project Assumptions'!$C$66="No",R28&lt;0),0,IF(AND('Project Assumptions'!$C$66="No",R28&gt;0),R28,IF(R28&lt;0,0,(R28+R33))))</f>
        <v>2121.19648773322</v>
      </c>
      <c r="S36" s="795" t="n">
        <f aca="false">IF(AND('Project Assumptions'!$C$66="No",S28&lt;0),0,IF(AND('Project Assumptions'!$C$66="No",S28&gt;0),S28,IF(S28&lt;0,0,(S28+S33))))</f>
        <v>2712.57699856583</v>
      </c>
      <c r="T36" s="795" t="n">
        <f aca="false">IF(AND('Project Assumptions'!$C$66="No",T28&lt;0),0,IF(AND('Project Assumptions'!$C$66="No",T28&gt;0),T28,IF(T28&lt;0,0,(T28+T33))))</f>
        <v>3302.56596819477</v>
      </c>
      <c r="U36" s="795" t="n">
        <f aca="false">IF(AND('Project Assumptions'!$C$66="No",U28&lt;0),0,IF(AND('Project Assumptions'!$C$66="No",U28&gt;0),U28,IF(U28&lt;0,0,(U28+U33))))</f>
        <v>3391.21987784594</v>
      </c>
      <c r="V36" s="795" t="n">
        <f aca="false">IF(AND('Project Assumptions'!$C$66="No",V28&lt;0),0,IF(AND('Project Assumptions'!$C$66="No",V28&gt;0),V28,IF(V28&lt;0,0,(V28+V33))))</f>
        <v>3486.81004587883</v>
      </c>
      <c r="W36" s="795" t="n">
        <f aca="false">IF(AND('Project Assumptions'!$C$66="No",W28&lt;0),0,IF(AND('Project Assumptions'!$C$66="No",W28&gt;0),W28,IF(W28&lt;0,0,(W28+W33))))</f>
        <v>3511.58097752754</v>
      </c>
      <c r="X36" s="795" t="n">
        <f aca="false">IF(AND('Project Assumptions'!$C$66="No",X28&lt;0),0,IF(AND('Project Assumptions'!$C$66="No",X28&gt;0),X28,IF(X28&lt;0,0,(X28+X33))))</f>
        <v>1401.74408691679</v>
      </c>
      <c r="Y36" s="795" t="n">
        <f aca="false">IF(AND('Project Assumptions'!$C$66="No",Y28&lt;0),0,IF(AND('Project Assumptions'!$C$66="No",Y28&gt;0),Y28,IF(Y28&lt;0,0,(Y28+Y33))))</f>
        <v>0</v>
      </c>
      <c r="Z36" s="795" t="n">
        <f aca="false">IF(AND('Project Assumptions'!$C$66="No",Z28&lt;0),0,IF(AND('Project Assumptions'!$C$66="No",Z28&gt;0),Z28,IF(Z28&lt;0,0,(Z28+Z33))))</f>
        <v>0</v>
      </c>
      <c r="AA36" s="795" t="n">
        <f aca="false">IF(AND('Project Assumptions'!$C$66="No",AA28&lt;0),0,IF(AND('Project Assumptions'!$C$66="No",AA28&gt;0),AA28,IF(AA28&lt;0,0,(AA28+AA33))))</f>
        <v>0</v>
      </c>
      <c r="AB36" s="796" t="n">
        <f aca="false">IF(AND('Project Assumptions'!$C$66="No",AB28&lt;0),0,IF(AND('Project Assumptions'!$C$66="No",AB28&gt;0),AB28,IF(AB28&lt;0,0,(AB28+AB33))))</f>
        <v>0</v>
      </c>
      <c r="AC36" s="425"/>
      <c r="AD36" s="425"/>
      <c r="AE36" s="721"/>
      <c r="AF36" s="721"/>
      <c r="AG36" s="721"/>
      <c r="AH36" s="721"/>
      <c r="AI36" s="721"/>
      <c r="AJ36" s="721"/>
      <c r="AK36" s="721"/>
      <c r="AL36" s="721"/>
      <c r="AM36" s="721"/>
      <c r="AN36" s="721"/>
      <c r="AO36" s="721"/>
      <c r="AP36" s="721"/>
      <c r="AQ36" s="721"/>
      <c r="AR36" s="721"/>
      <c r="AS36" s="721"/>
      <c r="AT36" s="721"/>
      <c r="AU36" s="721"/>
      <c r="AV36" s="721"/>
      <c r="AW36" s="721"/>
      <c r="AX36" s="721"/>
      <c r="AY36" s="721"/>
      <c r="AZ36" s="721"/>
      <c r="BA36" s="721"/>
      <c r="BB36" s="721"/>
      <c r="BC36" s="721"/>
      <c r="BD36" s="721"/>
      <c r="BE36" s="721"/>
      <c r="BF36" s="721"/>
      <c r="BG36" s="721"/>
      <c r="BH36" s="721"/>
      <c r="BI36" s="721"/>
      <c r="BJ36" s="721"/>
      <c r="BK36" s="721"/>
      <c r="BL36" s="721"/>
      <c r="BM36" s="721"/>
      <c r="BN36" s="721"/>
      <c r="BO36" s="721"/>
      <c r="BP36" s="721"/>
      <c r="BQ36" s="721"/>
      <c r="BR36" s="721"/>
      <c r="BS36" s="721"/>
      <c r="BT36" s="721"/>
      <c r="BU36" s="721"/>
      <c r="BV36" s="721"/>
      <c r="BW36" s="721"/>
      <c r="BX36" s="721"/>
      <c r="BY36" s="721"/>
      <c r="BZ36" s="721"/>
      <c r="CA36" s="721"/>
      <c r="CB36" s="721"/>
      <c r="CC36" s="721"/>
      <c r="CD36" s="721"/>
      <c r="CE36" s="721"/>
      <c r="CF36" s="721"/>
      <c r="CG36" s="721"/>
      <c r="CH36" s="721"/>
      <c r="CI36" s="721"/>
      <c r="CJ36" s="721"/>
      <c r="CK36" s="721"/>
      <c r="CL36" s="721"/>
      <c r="CM36" s="721"/>
      <c r="CN36" s="721"/>
      <c r="CO36" s="721"/>
      <c r="CP36" s="721"/>
      <c r="CQ36" s="721"/>
      <c r="CR36" s="721"/>
      <c r="CS36" s="721"/>
      <c r="CT36" s="721"/>
      <c r="CU36" s="721"/>
      <c r="CV36" s="721"/>
      <c r="CW36" s="721"/>
      <c r="CX36" s="721"/>
      <c r="CY36" s="721"/>
      <c r="CZ36" s="721"/>
      <c r="DA36" s="721"/>
      <c r="DB36" s="721"/>
      <c r="DC36" s="721"/>
      <c r="DD36" s="721"/>
      <c r="DE36" s="721"/>
      <c r="DF36" s="721"/>
      <c r="DG36" s="721"/>
      <c r="DH36" s="721"/>
      <c r="DI36" s="721"/>
      <c r="DJ36" s="721"/>
      <c r="DK36" s="721"/>
      <c r="DL36" s="721"/>
      <c r="DM36" s="721"/>
      <c r="DN36" s="721"/>
      <c r="DO36" s="721"/>
      <c r="DP36" s="721"/>
      <c r="DQ36" s="721"/>
      <c r="DR36" s="721"/>
      <c r="DS36" s="721"/>
      <c r="DT36" s="721"/>
      <c r="DU36" s="721"/>
      <c r="DV36" s="721"/>
      <c r="DW36" s="721"/>
      <c r="DX36" s="721"/>
      <c r="DY36" s="721"/>
      <c r="DZ36" s="721"/>
      <c r="EA36" s="721"/>
      <c r="EB36" s="721"/>
      <c r="EC36" s="721"/>
      <c r="ED36" s="721"/>
      <c r="EE36" s="721"/>
      <c r="EF36" s="721"/>
      <c r="EG36" s="721"/>
      <c r="EH36" s="721"/>
      <c r="EI36" s="721"/>
      <c r="EJ36" s="721"/>
      <c r="EK36" s="721"/>
      <c r="EL36" s="721"/>
      <c r="EM36" s="721"/>
      <c r="EN36" s="721"/>
      <c r="EO36" s="721"/>
      <c r="EP36" s="721"/>
      <c r="EQ36" s="721"/>
      <c r="ER36" s="721"/>
      <c r="ES36" s="721"/>
      <c r="ET36" s="721"/>
      <c r="EU36" s="721"/>
      <c r="EV36" s="721"/>
      <c r="EW36" s="721"/>
      <c r="EX36" s="721"/>
      <c r="EY36" s="721"/>
      <c r="EZ36" s="721"/>
      <c r="FA36" s="721"/>
      <c r="FB36" s="721"/>
      <c r="FC36" s="721"/>
      <c r="FD36" s="721"/>
      <c r="FE36" s="721"/>
      <c r="FF36" s="721"/>
      <c r="FG36" s="721"/>
      <c r="FH36" s="721"/>
      <c r="FI36" s="721"/>
      <c r="FJ36" s="721"/>
      <c r="FK36" s="721"/>
      <c r="FL36" s="721"/>
      <c r="FM36" s="721"/>
      <c r="FN36" s="721"/>
      <c r="FO36" s="721"/>
      <c r="FP36" s="721"/>
      <c r="FQ36" s="721"/>
      <c r="FR36" s="721"/>
      <c r="FS36" s="721"/>
      <c r="FT36" s="721"/>
      <c r="FU36" s="721"/>
      <c r="FV36" s="721"/>
      <c r="FW36" s="721"/>
      <c r="FX36" s="721"/>
      <c r="FY36" s="721"/>
      <c r="FZ36" s="721"/>
      <c r="GA36" s="721"/>
      <c r="GB36" s="721"/>
      <c r="GC36" s="721"/>
      <c r="GD36" s="721"/>
      <c r="GE36" s="721"/>
      <c r="GF36" s="721"/>
      <c r="GG36" s="721"/>
      <c r="GH36" s="721"/>
      <c r="GI36" s="721"/>
      <c r="GJ36" s="721"/>
      <c r="GK36" s="721"/>
      <c r="GL36" s="721"/>
      <c r="GM36" s="721"/>
      <c r="GN36" s="721"/>
      <c r="GO36" s="721"/>
      <c r="GP36" s="721"/>
      <c r="GQ36" s="721"/>
      <c r="GR36" s="721"/>
      <c r="GS36" s="721"/>
      <c r="GT36" s="721"/>
      <c r="GU36" s="721"/>
      <c r="GV36" s="721"/>
      <c r="GW36" s="721"/>
      <c r="GX36" s="721"/>
      <c r="GY36" s="721"/>
      <c r="GZ36" s="721"/>
      <c r="HA36" s="721"/>
      <c r="HB36" s="721"/>
      <c r="HC36" s="721"/>
      <c r="HD36" s="721"/>
      <c r="HE36" s="721"/>
      <c r="HF36" s="721"/>
      <c r="HG36" s="721"/>
      <c r="HH36" s="721"/>
      <c r="HI36" s="721"/>
      <c r="HJ36" s="721"/>
      <c r="HK36" s="721"/>
      <c r="HL36" s="721"/>
      <c r="HM36" s="721"/>
      <c r="HN36" s="721"/>
      <c r="HO36" s="721"/>
      <c r="HP36" s="721"/>
      <c r="HQ36" s="721"/>
      <c r="HR36" s="721"/>
      <c r="HS36" s="721"/>
      <c r="HT36" s="721"/>
      <c r="HU36" s="721"/>
      <c r="HV36" s="721"/>
      <c r="HW36" s="721"/>
      <c r="HX36" s="721"/>
      <c r="HY36" s="721"/>
      <c r="HZ36" s="721"/>
      <c r="IA36" s="721"/>
      <c r="IB36" s="721"/>
      <c r="IC36" s="721"/>
      <c r="ID36" s="721"/>
      <c r="IE36" s="721"/>
      <c r="IF36" s="721"/>
      <c r="IG36" s="721"/>
      <c r="IH36" s="721"/>
      <c r="II36" s="721"/>
      <c r="IJ36" s="721"/>
      <c r="IK36" s="721"/>
      <c r="IL36" s="721"/>
      <c r="IM36" s="721"/>
      <c r="IN36" s="721"/>
      <c r="IO36" s="721"/>
      <c r="IP36" s="721"/>
      <c r="IQ36" s="721"/>
      <c r="IR36" s="721"/>
      <c r="IS36" s="721"/>
      <c r="IT36" s="721"/>
      <c r="IU36" s="721"/>
      <c r="IV36" s="721"/>
      <c r="IW36" s="721"/>
    </row>
    <row r="37" customFormat="false" ht="11.25" hidden="false" customHeight="false" outlineLevel="0" collapsed="false">
      <c r="A37" s="371"/>
    </row>
    <row r="38" customFormat="false" ht="12" hidden="false" customHeight="true" outlineLevel="0" collapsed="false">
      <c r="A38" s="797" t="s">
        <v>618</v>
      </c>
      <c r="B38" s="367"/>
      <c r="C38" s="367"/>
      <c r="D38" s="367"/>
      <c r="E38" s="367"/>
      <c r="F38" s="367"/>
      <c r="G38" s="367"/>
      <c r="H38" s="367"/>
      <c r="I38" s="367"/>
      <c r="J38" s="367"/>
      <c r="K38" s="367"/>
      <c r="L38" s="367"/>
      <c r="M38" s="367"/>
      <c r="N38" s="367"/>
      <c r="O38" s="367"/>
      <c r="P38" s="367"/>
      <c r="Q38" s="367"/>
      <c r="R38" s="367"/>
      <c r="S38" s="367"/>
      <c r="T38" s="367"/>
      <c r="U38" s="367"/>
      <c r="V38" s="367"/>
      <c r="W38" s="367"/>
      <c r="X38" s="367"/>
      <c r="Y38" s="367"/>
      <c r="Z38" s="367"/>
      <c r="AA38" s="367"/>
      <c r="AB38" s="502"/>
      <c r="AC38" s="371"/>
      <c r="AD38" s="371"/>
    </row>
    <row r="39" customFormat="false" ht="12" hidden="false" customHeight="true" outlineLevel="0" collapsed="false">
      <c r="A39" s="76" t="s">
        <v>604</v>
      </c>
      <c r="B39" s="371"/>
      <c r="C39" s="784"/>
      <c r="D39" s="798" t="n">
        <f aca="false">D20</f>
        <v>-3999.82115044211</v>
      </c>
      <c r="E39" s="798" t="n">
        <f aca="false">E20</f>
        <v>5109.85399263144</v>
      </c>
      <c r="F39" s="798" t="n">
        <f aca="false">F20</f>
        <v>5533.18076142484</v>
      </c>
      <c r="G39" s="798" t="n">
        <f aca="false">G20</f>
        <v>16270.2396344389</v>
      </c>
      <c r="H39" s="798" t="n">
        <f aca="false">H20</f>
        <v>24961.9294988477</v>
      </c>
      <c r="I39" s="798" t="n">
        <f aca="false">I20</f>
        <v>27102.1101671864</v>
      </c>
      <c r="J39" s="798" t="n">
        <f aca="false">J20</f>
        <v>27548.1059591247</v>
      </c>
      <c r="K39" s="798" t="n">
        <f aca="false">K20</f>
        <v>28734.235991291</v>
      </c>
      <c r="L39" s="798" t="n">
        <f aca="false">L20</f>
        <v>29910.9725490491</v>
      </c>
      <c r="M39" s="798" t="n">
        <f aca="false">M20</f>
        <v>31531.6662288894</v>
      </c>
      <c r="N39" s="798" t="n">
        <f aca="false">N20</f>
        <v>33385.0905938952</v>
      </c>
      <c r="O39" s="798" t="n">
        <f aca="false">O20</f>
        <v>34196.1211273991</v>
      </c>
      <c r="P39" s="798" t="n">
        <f aca="false">P20</f>
        <v>35074.0855003746</v>
      </c>
      <c r="Q39" s="798" t="n">
        <f aca="false">Q20</f>
        <v>35979.3902461105</v>
      </c>
      <c r="R39" s="798" t="n">
        <f aca="false">R20</f>
        <v>36825.6806361006</v>
      </c>
      <c r="S39" s="798" t="n">
        <f aca="false">S20</f>
        <v>37654.0626584573</v>
      </c>
      <c r="T39" s="798" t="n">
        <f aca="false">T20</f>
        <v>38463.0638841054</v>
      </c>
      <c r="U39" s="798" t="n">
        <f aca="false">U20</f>
        <v>39697.7980018097</v>
      </c>
      <c r="V39" s="798" t="n">
        <f aca="false">V20</f>
        <v>41029.1373894545</v>
      </c>
      <c r="W39" s="798" t="n">
        <f aca="false">W20</f>
        <v>41374.1364374866</v>
      </c>
      <c r="X39" s="798" t="n">
        <f aca="false">X20</f>
        <v>11989.2215264735</v>
      </c>
      <c r="Y39" s="798" t="n">
        <f aca="false">Y20</f>
        <v>0</v>
      </c>
      <c r="Z39" s="798" t="n">
        <f aca="false">Z20</f>
        <v>0</v>
      </c>
      <c r="AA39" s="798" t="n">
        <f aca="false">AA20</f>
        <v>0</v>
      </c>
      <c r="AB39" s="799" t="n">
        <f aca="false">AB20</f>
        <v>0</v>
      </c>
      <c r="AC39" s="798"/>
      <c r="AD39" s="798"/>
    </row>
    <row r="40" customFormat="false" ht="12" hidden="false" customHeight="true" outlineLevel="0" collapsed="false">
      <c r="A40" s="76" t="s">
        <v>606</v>
      </c>
      <c r="B40" s="371"/>
      <c r="C40" s="784"/>
      <c r="D40" s="800" t="n">
        <f aca="false">D22</f>
        <v>4574.77697833333</v>
      </c>
      <c r="E40" s="800" t="n">
        <f aca="false">E22</f>
        <v>7842.47482</v>
      </c>
      <c r="F40" s="800" t="n">
        <f aca="false">F22</f>
        <v>7842.47482</v>
      </c>
      <c r="G40" s="800" t="n">
        <f aca="false">G22</f>
        <v>7842.47482</v>
      </c>
      <c r="H40" s="800" t="n">
        <f aca="false">H22</f>
        <v>7842.47482</v>
      </c>
      <c r="I40" s="800" t="n">
        <f aca="false">I22</f>
        <v>7662.34253666667</v>
      </c>
      <c r="J40" s="800" t="n">
        <f aca="false">J22</f>
        <v>7533.67662</v>
      </c>
      <c r="K40" s="800" t="n">
        <f aca="false">K22</f>
        <v>7533.67662</v>
      </c>
      <c r="L40" s="800" t="n">
        <f aca="false">L22</f>
        <v>7533.67662</v>
      </c>
      <c r="M40" s="800" t="n">
        <f aca="false">M22</f>
        <v>7533.67662</v>
      </c>
      <c r="N40" s="800" t="n">
        <f aca="false">N22</f>
        <v>7533.67662</v>
      </c>
      <c r="O40" s="800" t="n">
        <f aca="false">O22</f>
        <v>7533.67662</v>
      </c>
      <c r="P40" s="800" t="n">
        <f aca="false">P22</f>
        <v>7533.67662</v>
      </c>
      <c r="Q40" s="800" t="n">
        <f aca="false">Q22</f>
        <v>7533.67662</v>
      </c>
      <c r="R40" s="800" t="n">
        <f aca="false">R22</f>
        <v>7533.67662</v>
      </c>
      <c r="S40" s="800" t="n">
        <f aca="false">S22</f>
        <v>7533.67662</v>
      </c>
      <c r="T40" s="800" t="n">
        <f aca="false">T22</f>
        <v>7533.67662</v>
      </c>
      <c r="U40" s="800" t="n">
        <f aca="false">U22</f>
        <v>7533.67662</v>
      </c>
      <c r="V40" s="800" t="n">
        <f aca="false">V22</f>
        <v>7533.67662</v>
      </c>
      <c r="W40" s="800" t="n">
        <f aca="false">W22</f>
        <v>7533.67662</v>
      </c>
      <c r="X40" s="800" t="n">
        <f aca="false">X22</f>
        <v>7533.67662</v>
      </c>
      <c r="Y40" s="800" t="n">
        <f aca="false">Y22</f>
        <v>0</v>
      </c>
      <c r="Z40" s="800" t="n">
        <f aca="false">Z22</f>
        <v>0</v>
      </c>
      <c r="AA40" s="800" t="n">
        <f aca="false">AA22</f>
        <v>0</v>
      </c>
      <c r="AB40" s="801" t="n">
        <f aca="false">AB22</f>
        <v>0</v>
      </c>
      <c r="AC40" s="700"/>
      <c r="AD40" s="700"/>
    </row>
    <row r="41" customFormat="false" ht="12" hidden="false" customHeight="true" outlineLevel="0" collapsed="false">
      <c r="A41" s="742"/>
      <c r="B41" s="703"/>
      <c r="C41" s="703"/>
      <c r="D41" s="703" t="n">
        <f aca="false">SUM(D39:D40)</f>
        <v>574.955827891229</v>
      </c>
      <c r="E41" s="703" t="n">
        <f aca="false">SUM(E39:E40)</f>
        <v>12952.3288126314</v>
      </c>
      <c r="F41" s="703" t="n">
        <f aca="false">SUM(F39:F40)</f>
        <v>13375.6555814248</v>
      </c>
      <c r="G41" s="703" t="n">
        <f aca="false">SUM(G39:G40)</f>
        <v>24112.7144544389</v>
      </c>
      <c r="H41" s="703" t="n">
        <f aca="false">SUM(H39:H40)</f>
        <v>32804.4043188477</v>
      </c>
      <c r="I41" s="703" t="n">
        <f aca="false">SUM(I39:I40)</f>
        <v>34764.452703853</v>
      </c>
      <c r="J41" s="703" t="n">
        <f aca="false">SUM(J39:J40)</f>
        <v>35081.7825791247</v>
      </c>
      <c r="K41" s="703" t="n">
        <f aca="false">SUM(K39:K40)</f>
        <v>36267.912611291</v>
      </c>
      <c r="L41" s="703" t="n">
        <f aca="false">SUM(L39:L40)</f>
        <v>37444.6491690491</v>
      </c>
      <c r="M41" s="703" t="n">
        <f aca="false">SUM(M39:M40)</f>
        <v>39065.3428488894</v>
      </c>
      <c r="N41" s="703" t="n">
        <f aca="false">SUM(N39:N40)</f>
        <v>40918.7672138952</v>
      </c>
      <c r="O41" s="703" t="n">
        <f aca="false">SUM(O39:O40)</f>
        <v>41729.7977473991</v>
      </c>
      <c r="P41" s="703" t="n">
        <f aca="false">SUM(P39:P40)</f>
        <v>42607.7621203746</v>
      </c>
      <c r="Q41" s="703" t="n">
        <f aca="false">SUM(Q39:Q40)</f>
        <v>43513.0668661105</v>
      </c>
      <c r="R41" s="703" t="n">
        <f aca="false">SUM(R39:R40)</f>
        <v>44359.3572561006</v>
      </c>
      <c r="S41" s="703" t="n">
        <f aca="false">SUM(S39:S40)</f>
        <v>45187.7392784573</v>
      </c>
      <c r="T41" s="703" t="n">
        <f aca="false">SUM(T39:T40)</f>
        <v>45996.7405041054</v>
      </c>
      <c r="U41" s="703" t="n">
        <f aca="false">SUM(U39:U40)</f>
        <v>47231.4746218097</v>
      </c>
      <c r="V41" s="703" t="n">
        <f aca="false">SUM(V39:V40)</f>
        <v>48562.8140094545</v>
      </c>
      <c r="W41" s="703" t="n">
        <f aca="false">SUM(W39:W40)</f>
        <v>48907.8130574866</v>
      </c>
      <c r="X41" s="703" t="n">
        <f aca="false">SUM(X39:X40)</f>
        <v>19522.8981464735</v>
      </c>
      <c r="Y41" s="703" t="n">
        <f aca="false">SUM(Y39:Y40)</f>
        <v>0</v>
      </c>
      <c r="Z41" s="703" t="n">
        <f aca="false">SUM(Z39:Z40)</f>
        <v>0</v>
      </c>
      <c r="AA41" s="703" t="n">
        <f aca="false">SUM(AA39:AA40)</f>
        <v>0</v>
      </c>
      <c r="AB41" s="704" t="n">
        <f aca="false">SUM(AB39:AB40)</f>
        <v>0</v>
      </c>
      <c r="AC41" s="703"/>
      <c r="AD41" s="703"/>
      <c r="AE41" s="716"/>
      <c r="AF41" s="716"/>
      <c r="AG41" s="716"/>
      <c r="AH41" s="716"/>
      <c r="AI41" s="716"/>
      <c r="AJ41" s="716"/>
      <c r="AK41" s="716"/>
      <c r="AL41" s="716"/>
      <c r="AM41" s="716"/>
      <c r="AN41" s="716"/>
      <c r="AO41" s="716"/>
      <c r="AP41" s="716"/>
      <c r="AQ41" s="716"/>
      <c r="AR41" s="716"/>
      <c r="AS41" s="716"/>
      <c r="AT41" s="716"/>
      <c r="AU41" s="716"/>
      <c r="AV41" s="716"/>
      <c r="AW41" s="716"/>
      <c r="AX41" s="716"/>
      <c r="AY41" s="716"/>
      <c r="AZ41" s="716"/>
      <c r="BA41" s="716"/>
      <c r="BB41" s="716"/>
      <c r="BC41" s="716"/>
      <c r="BD41" s="716"/>
      <c r="BE41" s="716"/>
      <c r="BF41" s="716"/>
      <c r="BG41" s="716"/>
      <c r="BH41" s="716"/>
      <c r="BI41" s="716"/>
      <c r="BJ41" s="716"/>
      <c r="BK41" s="716"/>
      <c r="BL41" s="716"/>
      <c r="BM41" s="716"/>
      <c r="BN41" s="716"/>
      <c r="BO41" s="716"/>
      <c r="BP41" s="716"/>
      <c r="BQ41" s="716"/>
      <c r="BR41" s="716"/>
      <c r="BS41" s="716"/>
      <c r="BT41" s="716"/>
      <c r="BU41" s="716"/>
      <c r="BV41" s="716"/>
      <c r="BW41" s="716"/>
      <c r="BX41" s="716"/>
      <c r="BY41" s="716"/>
      <c r="BZ41" s="716"/>
      <c r="CA41" s="716"/>
      <c r="CB41" s="716"/>
      <c r="CC41" s="716"/>
      <c r="CD41" s="716"/>
      <c r="CE41" s="716"/>
      <c r="CF41" s="716"/>
      <c r="CG41" s="716"/>
      <c r="CH41" s="716"/>
      <c r="CI41" s="716"/>
      <c r="CJ41" s="716"/>
      <c r="CK41" s="716"/>
      <c r="CL41" s="716"/>
      <c r="CM41" s="716"/>
      <c r="CN41" s="716"/>
      <c r="CO41" s="716"/>
      <c r="CP41" s="716"/>
      <c r="CQ41" s="716"/>
      <c r="CR41" s="716"/>
      <c r="CS41" s="716"/>
      <c r="CT41" s="716"/>
      <c r="CU41" s="716"/>
      <c r="CV41" s="716"/>
      <c r="CW41" s="716"/>
      <c r="CX41" s="716"/>
      <c r="CY41" s="716"/>
      <c r="CZ41" s="716"/>
      <c r="DA41" s="716"/>
      <c r="DB41" s="716"/>
      <c r="DC41" s="716"/>
      <c r="DD41" s="716"/>
      <c r="DE41" s="716"/>
      <c r="DF41" s="716"/>
      <c r="DG41" s="716"/>
      <c r="DH41" s="716"/>
      <c r="DI41" s="716"/>
      <c r="DJ41" s="716"/>
      <c r="DK41" s="716"/>
      <c r="DL41" s="716"/>
      <c r="DM41" s="716"/>
      <c r="DN41" s="716"/>
      <c r="DO41" s="716"/>
      <c r="DP41" s="716"/>
      <c r="DQ41" s="716"/>
      <c r="DR41" s="716"/>
      <c r="DS41" s="716"/>
      <c r="DT41" s="716"/>
      <c r="DU41" s="716"/>
      <c r="DV41" s="716"/>
      <c r="DW41" s="716"/>
      <c r="DX41" s="716"/>
      <c r="DY41" s="716"/>
      <c r="DZ41" s="716"/>
      <c r="EA41" s="716"/>
      <c r="EB41" s="716"/>
      <c r="EC41" s="716"/>
      <c r="ED41" s="716"/>
      <c r="EE41" s="716"/>
      <c r="EF41" s="716"/>
      <c r="EG41" s="716"/>
      <c r="EH41" s="716"/>
      <c r="EI41" s="716"/>
      <c r="EJ41" s="716"/>
      <c r="EK41" s="716"/>
      <c r="EL41" s="716"/>
      <c r="EM41" s="716"/>
      <c r="EN41" s="716"/>
      <c r="EO41" s="716"/>
      <c r="EP41" s="716"/>
      <c r="EQ41" s="716"/>
      <c r="ER41" s="716"/>
      <c r="ES41" s="716"/>
      <c r="ET41" s="716"/>
      <c r="EU41" s="716"/>
      <c r="EV41" s="716"/>
      <c r="EW41" s="716"/>
      <c r="EX41" s="716"/>
      <c r="EY41" s="716"/>
      <c r="EZ41" s="716"/>
      <c r="FA41" s="716"/>
      <c r="FB41" s="716"/>
      <c r="FC41" s="716"/>
      <c r="FD41" s="716"/>
      <c r="FE41" s="716"/>
      <c r="FF41" s="716"/>
      <c r="FG41" s="716"/>
      <c r="FH41" s="716"/>
      <c r="FI41" s="716"/>
      <c r="FJ41" s="716"/>
      <c r="FK41" s="716"/>
      <c r="FL41" s="716"/>
      <c r="FM41" s="716"/>
      <c r="FN41" s="716"/>
      <c r="FO41" s="716"/>
      <c r="FP41" s="716"/>
      <c r="FQ41" s="716"/>
      <c r="FR41" s="716"/>
      <c r="FS41" s="716"/>
      <c r="FT41" s="716"/>
      <c r="FU41" s="716"/>
      <c r="FV41" s="716"/>
      <c r="FW41" s="716"/>
      <c r="FX41" s="716"/>
      <c r="FY41" s="716"/>
      <c r="FZ41" s="716"/>
      <c r="GA41" s="716"/>
      <c r="GB41" s="716"/>
      <c r="GC41" s="716"/>
      <c r="GD41" s="716"/>
      <c r="GE41" s="716"/>
      <c r="GF41" s="716"/>
      <c r="GG41" s="716"/>
      <c r="GH41" s="716"/>
      <c r="GI41" s="716"/>
      <c r="GJ41" s="716"/>
      <c r="GK41" s="716"/>
      <c r="GL41" s="716"/>
      <c r="GM41" s="716"/>
      <c r="GN41" s="716"/>
      <c r="GO41" s="716"/>
      <c r="GP41" s="716"/>
      <c r="GQ41" s="716"/>
      <c r="GR41" s="716"/>
      <c r="GS41" s="716"/>
      <c r="GT41" s="716"/>
      <c r="GU41" s="716"/>
      <c r="GV41" s="716"/>
      <c r="GW41" s="716"/>
      <c r="GX41" s="716"/>
      <c r="GY41" s="716"/>
      <c r="GZ41" s="716"/>
      <c r="HA41" s="716"/>
      <c r="HB41" s="716"/>
      <c r="HC41" s="716"/>
      <c r="HD41" s="716"/>
      <c r="HE41" s="716"/>
      <c r="HF41" s="716"/>
      <c r="HG41" s="716"/>
      <c r="HH41" s="716"/>
      <c r="HI41" s="716"/>
      <c r="HJ41" s="716"/>
      <c r="HK41" s="716"/>
      <c r="HL41" s="716"/>
      <c r="HM41" s="716"/>
      <c r="HN41" s="716"/>
      <c r="HO41" s="716"/>
      <c r="HP41" s="716"/>
      <c r="HQ41" s="716"/>
      <c r="HR41" s="716"/>
      <c r="HS41" s="716"/>
      <c r="HT41" s="716"/>
      <c r="HU41" s="716"/>
      <c r="HV41" s="716"/>
      <c r="HW41" s="716"/>
      <c r="HX41" s="716"/>
      <c r="HY41" s="716"/>
      <c r="HZ41" s="716"/>
      <c r="IA41" s="716"/>
      <c r="IB41" s="716"/>
      <c r="IC41" s="716"/>
      <c r="ID41" s="716"/>
      <c r="IE41" s="716"/>
      <c r="IF41" s="716"/>
      <c r="IG41" s="716"/>
      <c r="IH41" s="716"/>
      <c r="II41" s="716"/>
      <c r="IJ41" s="716"/>
      <c r="IK41" s="716"/>
      <c r="IL41" s="716"/>
      <c r="IM41" s="716"/>
      <c r="IN41" s="716"/>
      <c r="IO41" s="716"/>
      <c r="IP41" s="716"/>
      <c r="IQ41" s="716"/>
      <c r="IR41" s="716"/>
      <c r="IS41" s="716"/>
      <c r="IT41" s="716"/>
      <c r="IU41" s="716"/>
      <c r="IV41" s="716"/>
      <c r="IW41" s="716"/>
    </row>
    <row r="42" customFormat="false" ht="12" hidden="false" customHeight="true" outlineLevel="0" collapsed="false">
      <c r="A42" s="76" t="s">
        <v>619</v>
      </c>
      <c r="B42" s="703"/>
      <c r="C42" s="703"/>
      <c r="D42" s="703" t="n">
        <f aca="false">IF(D4&lt;='Project Assumptions'!$I$15+1,Depreciation!D15*-1,0)</f>
        <v>-12736.2599833333</v>
      </c>
      <c r="E42" s="703" t="n">
        <f aca="false">IF(E4&lt;='Project Assumptions'!$I$15+1,Depreciation!E15*-1,0)</f>
        <v>-24165.44083</v>
      </c>
      <c r="F42" s="703" t="n">
        <f aca="false">IF(F4&lt;='Project Assumptions'!$I$15+1,Depreciation!F15*-1,0)</f>
        <v>-21779.776567</v>
      </c>
      <c r="G42" s="703" t="n">
        <f aca="false">IF(G4&lt;='Project Assumptions'!$I$15+1,Depreciation!G15*-1,0)</f>
        <v>-19645.234858</v>
      </c>
      <c r="H42" s="703" t="n">
        <f aca="false">IF(H4&lt;='Project Assumptions'!$I$15+1,Depreciation!H15*-1,0)</f>
        <v>-17711.5911922</v>
      </c>
      <c r="I42" s="703" t="n">
        <f aca="false">IF(I4&lt;='Project Assumptions'!$I$15+1,Depreciation!I15*-1,0)</f>
        <v>-15773.6010308667</v>
      </c>
      <c r="J42" s="703" t="n">
        <f aca="false">IF(J4&lt;='Project Assumptions'!$I$15+1,Depreciation!J15*-1,0)</f>
        <v>-14816.230686</v>
      </c>
      <c r="K42" s="703" t="n">
        <f aca="false">IF(K4&lt;='Project Assumptions'!$I$15+1,Depreciation!K15*-1,0)</f>
        <v>-14841.3429414</v>
      </c>
      <c r="L42" s="703" t="n">
        <f aca="false">IF(L4&lt;='Project Assumptions'!$I$15+1,Depreciation!L15*-1,0)</f>
        <v>-14816.230686</v>
      </c>
      <c r="M42" s="703" t="n">
        <f aca="false">IF(M4&lt;='Project Assumptions'!$I$15+1,Depreciation!M15*-1,0)</f>
        <v>-14841.3429414</v>
      </c>
      <c r="N42" s="703" t="n">
        <f aca="false">IF(N4&lt;='Project Assumptions'!$I$15+1,Depreciation!N15*-1,0)</f>
        <v>-14816.230686</v>
      </c>
      <c r="O42" s="703" t="n">
        <f aca="false">IF(O4&lt;='Project Assumptions'!$I$15+1,Depreciation!O15*-1,0)</f>
        <v>-14841.3429414</v>
      </c>
      <c r="P42" s="703" t="n">
        <f aca="false">IF(P4&lt;='Project Assumptions'!$I$15+1,Depreciation!P15*-1,0)</f>
        <v>-14816.230686</v>
      </c>
      <c r="Q42" s="703" t="n">
        <f aca="false">IF(Q4&lt;='Project Assumptions'!$I$15+1,Depreciation!Q15*-1,0)</f>
        <v>-14841.3429414</v>
      </c>
      <c r="R42" s="703" t="n">
        <f aca="false">IF(R4&lt;='Project Assumptions'!$I$15+1,Depreciation!R15*-1,0)</f>
        <v>-14816.230686</v>
      </c>
      <c r="S42" s="703" t="n">
        <f aca="false">IF(S4&lt;='Project Assumptions'!$I$15+1,Depreciation!S15*-1,0)</f>
        <v>-7408.115343</v>
      </c>
      <c r="T42" s="703" t="n">
        <f aca="false">IF(T4&lt;='Project Assumptions'!$I$15+1,Depreciation!T15*-1,0)</f>
        <v>-0</v>
      </c>
      <c r="U42" s="703" t="n">
        <f aca="false">IF(U4&lt;='Project Assumptions'!$I$15+1,Depreciation!U15*-1,0)</f>
        <v>-0</v>
      </c>
      <c r="V42" s="703" t="n">
        <f aca="false">IF(V4&lt;='Project Assumptions'!$I$15+1,Depreciation!V15*-1,0)</f>
        <v>-0</v>
      </c>
      <c r="W42" s="703" t="n">
        <f aca="false">IF(W4&lt;='Project Assumptions'!$I$15+1,Depreciation!W15*-1,0)</f>
        <v>-0</v>
      </c>
      <c r="X42" s="703" t="n">
        <f aca="false">IF(X4&lt;='Project Assumptions'!$I$15+1,Depreciation!X15*-1,0)</f>
        <v>-0</v>
      </c>
      <c r="Y42" s="703" t="n">
        <f aca="false">IF(Y4&lt;='Project Assumptions'!$I$15+1,Depreciation!Y15*-1,0)</f>
        <v>0</v>
      </c>
      <c r="Z42" s="703" t="n">
        <f aca="false">IF(Z4&lt;='Project Assumptions'!$I$15+1,Depreciation!Z15*-1,0)</f>
        <v>0</v>
      </c>
      <c r="AA42" s="703" t="n">
        <f aca="false">IF(AA4&lt;='Project Assumptions'!$I$15+1,Depreciation!AA15*-1,0)</f>
        <v>0</v>
      </c>
      <c r="AB42" s="704" t="n">
        <f aca="false">IF(AB4&lt;='Project Assumptions'!$I$15+1,Depreciation!AB15*-1,0)</f>
        <v>0</v>
      </c>
      <c r="AC42" s="703"/>
      <c r="AD42" s="703"/>
      <c r="AE42" s="716"/>
      <c r="AF42" s="716"/>
      <c r="AG42" s="716"/>
      <c r="AH42" s="716"/>
      <c r="AI42" s="716"/>
      <c r="AJ42" s="716"/>
      <c r="AK42" s="716"/>
      <c r="AL42" s="716"/>
      <c r="AM42" s="716"/>
      <c r="AN42" s="716"/>
      <c r="AO42" s="716"/>
      <c r="AP42" s="716"/>
      <c r="AQ42" s="716"/>
      <c r="AR42" s="716"/>
      <c r="AS42" s="716"/>
      <c r="AT42" s="716"/>
      <c r="AU42" s="716"/>
      <c r="AV42" s="716"/>
      <c r="AW42" s="716"/>
      <c r="AX42" s="716"/>
      <c r="AY42" s="716"/>
      <c r="AZ42" s="716"/>
      <c r="BA42" s="716"/>
      <c r="BB42" s="716"/>
      <c r="BC42" s="716"/>
      <c r="BD42" s="716"/>
      <c r="BE42" s="716"/>
      <c r="BF42" s="716"/>
      <c r="BG42" s="716"/>
      <c r="BH42" s="716"/>
      <c r="BI42" s="716"/>
      <c r="BJ42" s="716"/>
      <c r="BK42" s="716"/>
      <c r="BL42" s="716"/>
      <c r="BM42" s="716"/>
      <c r="BN42" s="716"/>
      <c r="BO42" s="716"/>
      <c r="BP42" s="716"/>
      <c r="BQ42" s="716"/>
      <c r="BR42" s="716"/>
      <c r="BS42" s="716"/>
      <c r="BT42" s="716"/>
      <c r="BU42" s="716"/>
      <c r="BV42" s="716"/>
      <c r="BW42" s="716"/>
      <c r="BX42" s="716"/>
      <c r="BY42" s="716"/>
      <c r="BZ42" s="716"/>
      <c r="CA42" s="716"/>
      <c r="CB42" s="716"/>
      <c r="CC42" s="716"/>
      <c r="CD42" s="716"/>
      <c r="CE42" s="716"/>
      <c r="CF42" s="716"/>
      <c r="CG42" s="716"/>
      <c r="CH42" s="716"/>
      <c r="CI42" s="716"/>
      <c r="CJ42" s="716"/>
      <c r="CK42" s="716"/>
      <c r="CL42" s="716"/>
      <c r="CM42" s="716"/>
      <c r="CN42" s="716"/>
      <c r="CO42" s="716"/>
      <c r="CP42" s="716"/>
      <c r="CQ42" s="716"/>
      <c r="CR42" s="716"/>
      <c r="CS42" s="716"/>
      <c r="CT42" s="716"/>
      <c r="CU42" s="716"/>
      <c r="CV42" s="716"/>
      <c r="CW42" s="716"/>
      <c r="CX42" s="716"/>
      <c r="CY42" s="716"/>
      <c r="CZ42" s="716"/>
      <c r="DA42" s="716"/>
      <c r="DB42" s="716"/>
      <c r="DC42" s="716"/>
      <c r="DD42" s="716"/>
      <c r="DE42" s="716"/>
      <c r="DF42" s="716"/>
      <c r="DG42" s="716"/>
      <c r="DH42" s="716"/>
      <c r="DI42" s="716"/>
      <c r="DJ42" s="716"/>
      <c r="DK42" s="716"/>
      <c r="DL42" s="716"/>
      <c r="DM42" s="716"/>
      <c r="DN42" s="716"/>
      <c r="DO42" s="716"/>
      <c r="DP42" s="716"/>
      <c r="DQ42" s="716"/>
      <c r="DR42" s="716"/>
      <c r="DS42" s="716"/>
      <c r="DT42" s="716"/>
      <c r="DU42" s="716"/>
      <c r="DV42" s="716"/>
      <c r="DW42" s="716"/>
      <c r="DX42" s="716"/>
      <c r="DY42" s="716"/>
      <c r="DZ42" s="716"/>
      <c r="EA42" s="716"/>
      <c r="EB42" s="716"/>
      <c r="EC42" s="716"/>
      <c r="ED42" s="716"/>
      <c r="EE42" s="716"/>
      <c r="EF42" s="716"/>
      <c r="EG42" s="716"/>
      <c r="EH42" s="716"/>
      <c r="EI42" s="716"/>
      <c r="EJ42" s="716"/>
      <c r="EK42" s="716"/>
      <c r="EL42" s="716"/>
      <c r="EM42" s="716"/>
      <c r="EN42" s="716"/>
      <c r="EO42" s="716"/>
      <c r="EP42" s="716"/>
      <c r="EQ42" s="716"/>
      <c r="ER42" s="716"/>
      <c r="ES42" s="716"/>
      <c r="ET42" s="716"/>
      <c r="EU42" s="716"/>
      <c r="EV42" s="716"/>
      <c r="EW42" s="716"/>
      <c r="EX42" s="716"/>
      <c r="EY42" s="716"/>
      <c r="EZ42" s="716"/>
      <c r="FA42" s="716"/>
      <c r="FB42" s="716"/>
      <c r="FC42" s="716"/>
      <c r="FD42" s="716"/>
      <c r="FE42" s="716"/>
      <c r="FF42" s="716"/>
      <c r="FG42" s="716"/>
      <c r="FH42" s="716"/>
      <c r="FI42" s="716"/>
      <c r="FJ42" s="716"/>
      <c r="FK42" s="716"/>
      <c r="FL42" s="716"/>
      <c r="FM42" s="716"/>
      <c r="FN42" s="716"/>
      <c r="FO42" s="716"/>
      <c r="FP42" s="716"/>
      <c r="FQ42" s="716"/>
      <c r="FR42" s="716"/>
      <c r="FS42" s="716"/>
      <c r="FT42" s="716"/>
      <c r="FU42" s="716"/>
      <c r="FV42" s="716"/>
      <c r="FW42" s="716"/>
      <c r="FX42" s="716"/>
      <c r="FY42" s="716"/>
      <c r="FZ42" s="716"/>
      <c r="GA42" s="716"/>
      <c r="GB42" s="716"/>
      <c r="GC42" s="716"/>
      <c r="GD42" s="716"/>
      <c r="GE42" s="716"/>
      <c r="GF42" s="716"/>
      <c r="GG42" s="716"/>
      <c r="GH42" s="716"/>
      <c r="GI42" s="716"/>
      <c r="GJ42" s="716"/>
      <c r="GK42" s="716"/>
      <c r="GL42" s="716"/>
      <c r="GM42" s="716"/>
      <c r="GN42" s="716"/>
      <c r="GO42" s="716"/>
      <c r="GP42" s="716"/>
      <c r="GQ42" s="716"/>
      <c r="GR42" s="716"/>
      <c r="GS42" s="716"/>
      <c r="GT42" s="716"/>
      <c r="GU42" s="716"/>
      <c r="GV42" s="716"/>
      <c r="GW42" s="716"/>
      <c r="GX42" s="716"/>
      <c r="GY42" s="716"/>
      <c r="GZ42" s="716"/>
      <c r="HA42" s="716"/>
      <c r="HB42" s="716"/>
      <c r="HC42" s="716"/>
      <c r="HD42" s="716"/>
      <c r="HE42" s="716"/>
      <c r="HF42" s="716"/>
      <c r="HG42" s="716"/>
      <c r="HH42" s="716"/>
      <c r="HI42" s="716"/>
      <c r="HJ42" s="716"/>
      <c r="HK42" s="716"/>
      <c r="HL42" s="716"/>
      <c r="HM42" s="716"/>
      <c r="HN42" s="716"/>
      <c r="HO42" s="716"/>
      <c r="HP42" s="716"/>
      <c r="HQ42" s="716"/>
      <c r="HR42" s="716"/>
      <c r="HS42" s="716"/>
      <c r="HT42" s="716"/>
      <c r="HU42" s="716"/>
      <c r="HV42" s="716"/>
      <c r="HW42" s="716"/>
      <c r="HX42" s="716"/>
      <c r="HY42" s="716"/>
      <c r="HZ42" s="716"/>
      <c r="IA42" s="716"/>
      <c r="IB42" s="716"/>
      <c r="IC42" s="716"/>
      <c r="ID42" s="716"/>
      <c r="IE42" s="716"/>
      <c r="IF42" s="716"/>
      <c r="IG42" s="716"/>
      <c r="IH42" s="716"/>
      <c r="II42" s="716"/>
      <c r="IJ42" s="716"/>
      <c r="IK42" s="716"/>
      <c r="IL42" s="716"/>
      <c r="IM42" s="716"/>
      <c r="IN42" s="716"/>
      <c r="IO42" s="716"/>
      <c r="IP42" s="716"/>
      <c r="IQ42" s="716"/>
      <c r="IR42" s="716"/>
      <c r="IS42" s="716"/>
      <c r="IT42" s="716"/>
      <c r="IU42" s="716"/>
      <c r="IV42" s="716"/>
      <c r="IW42" s="716"/>
    </row>
    <row r="43" customFormat="false" ht="12" hidden="false" customHeight="true" outlineLevel="0" collapsed="false">
      <c r="A43" s="76" t="s">
        <v>620</v>
      </c>
      <c r="B43" s="703"/>
      <c r="C43" s="703"/>
      <c r="D43" s="800" t="n">
        <f aca="false">-D36</f>
        <v>-0</v>
      </c>
      <c r="E43" s="800" t="n">
        <f aca="false">-E36</f>
        <v>-0</v>
      </c>
      <c r="F43" s="800" t="n">
        <f aca="false">-F36</f>
        <v>-0</v>
      </c>
      <c r="G43" s="800" t="n">
        <f aca="false">-G36</f>
        <v>-0</v>
      </c>
      <c r="H43" s="800" t="n">
        <f aca="false">-H36</f>
        <v>-0</v>
      </c>
      <c r="I43" s="800" t="n">
        <f aca="false">-I36</f>
        <v>-486.273199665942</v>
      </c>
      <c r="J43" s="800" t="n">
        <f aca="false">-J36</f>
        <v>-1455.06662592635</v>
      </c>
      <c r="K43" s="800" t="n">
        <f aca="false">-K36</f>
        <v>-1538.42770229818</v>
      </c>
      <c r="L43" s="800" t="n">
        <f aca="false">-L36</f>
        <v>-1624.72044708293</v>
      </c>
      <c r="M43" s="800" t="n">
        <f aca="false">-M36</f>
        <v>-1739.28319335774</v>
      </c>
      <c r="N43" s="800" t="n">
        <f aca="false">-N36</f>
        <v>-1874.16212270288</v>
      </c>
      <c r="O43" s="800" t="n">
        <f aca="false">-O36</f>
        <v>-1930.59105507074</v>
      </c>
      <c r="P43" s="800" t="n">
        <f aca="false">-P36</f>
        <v>-1995.4319569881</v>
      </c>
      <c r="Q43" s="800" t="n">
        <f aca="false">-Q36</f>
        <v>-2058.62977779421</v>
      </c>
      <c r="R43" s="800" t="n">
        <f aca="false">-R36</f>
        <v>-2121.19648773322</v>
      </c>
      <c r="S43" s="800" t="n">
        <f aca="false">-S36</f>
        <v>-2712.57699856583</v>
      </c>
      <c r="T43" s="800" t="n">
        <f aca="false">-T36</f>
        <v>-3302.56596819477</v>
      </c>
      <c r="U43" s="800" t="n">
        <f aca="false">-U36</f>
        <v>-3391.21987784594</v>
      </c>
      <c r="V43" s="800" t="n">
        <f aca="false">-V36</f>
        <v>-3486.81004587883</v>
      </c>
      <c r="W43" s="800" t="n">
        <f aca="false">-W36</f>
        <v>-3511.58097752754</v>
      </c>
      <c r="X43" s="800" t="n">
        <f aca="false">-X36</f>
        <v>-1401.74408691679</v>
      </c>
      <c r="Y43" s="800" t="n">
        <f aca="false">-Y36</f>
        <v>-0</v>
      </c>
      <c r="Z43" s="800" t="n">
        <f aca="false">-Z36</f>
        <v>-0</v>
      </c>
      <c r="AA43" s="800" t="n">
        <f aca="false">-AA36</f>
        <v>-0</v>
      </c>
      <c r="AB43" s="801" t="n">
        <f aca="false">-AB36</f>
        <v>-0</v>
      </c>
      <c r="AC43" s="703"/>
      <c r="AD43" s="703"/>
      <c r="AE43" s="716"/>
      <c r="AF43" s="716"/>
      <c r="AG43" s="716"/>
      <c r="AH43" s="716"/>
      <c r="AI43" s="716"/>
      <c r="AJ43" s="716"/>
      <c r="AK43" s="716"/>
      <c r="AL43" s="716"/>
      <c r="AM43" s="716"/>
      <c r="AN43" s="716"/>
      <c r="AO43" s="716"/>
      <c r="AP43" s="716"/>
      <c r="AQ43" s="716"/>
      <c r="AR43" s="716"/>
      <c r="AS43" s="716"/>
      <c r="AT43" s="716"/>
      <c r="AU43" s="716"/>
      <c r="AV43" s="716"/>
      <c r="AW43" s="716"/>
      <c r="AX43" s="716"/>
      <c r="AY43" s="716"/>
      <c r="AZ43" s="716"/>
      <c r="BA43" s="716"/>
      <c r="BB43" s="716"/>
      <c r="BC43" s="716"/>
      <c r="BD43" s="716"/>
      <c r="BE43" s="716"/>
      <c r="BF43" s="716"/>
      <c r="BG43" s="716"/>
      <c r="BH43" s="716"/>
      <c r="BI43" s="716"/>
      <c r="BJ43" s="716"/>
      <c r="BK43" s="716"/>
      <c r="BL43" s="716"/>
      <c r="BM43" s="716"/>
      <c r="BN43" s="716"/>
      <c r="BO43" s="716"/>
      <c r="BP43" s="716"/>
      <c r="BQ43" s="716"/>
      <c r="BR43" s="716"/>
      <c r="BS43" s="716"/>
      <c r="BT43" s="716"/>
      <c r="BU43" s="716"/>
      <c r="BV43" s="716"/>
      <c r="BW43" s="716"/>
      <c r="BX43" s="716"/>
      <c r="BY43" s="716"/>
      <c r="BZ43" s="716"/>
      <c r="CA43" s="716"/>
      <c r="CB43" s="716"/>
      <c r="CC43" s="716"/>
      <c r="CD43" s="716"/>
      <c r="CE43" s="716"/>
      <c r="CF43" s="716"/>
      <c r="CG43" s="716"/>
      <c r="CH43" s="716"/>
      <c r="CI43" s="716"/>
      <c r="CJ43" s="716"/>
      <c r="CK43" s="716"/>
      <c r="CL43" s="716"/>
      <c r="CM43" s="716"/>
      <c r="CN43" s="716"/>
      <c r="CO43" s="716"/>
      <c r="CP43" s="716"/>
      <c r="CQ43" s="716"/>
      <c r="CR43" s="716"/>
      <c r="CS43" s="716"/>
      <c r="CT43" s="716"/>
      <c r="CU43" s="716"/>
      <c r="CV43" s="716"/>
      <c r="CW43" s="716"/>
      <c r="CX43" s="716"/>
      <c r="CY43" s="716"/>
      <c r="CZ43" s="716"/>
      <c r="DA43" s="716"/>
      <c r="DB43" s="716"/>
      <c r="DC43" s="716"/>
      <c r="DD43" s="716"/>
      <c r="DE43" s="716"/>
      <c r="DF43" s="716"/>
      <c r="DG43" s="716"/>
      <c r="DH43" s="716"/>
      <c r="DI43" s="716"/>
      <c r="DJ43" s="716"/>
      <c r="DK43" s="716"/>
      <c r="DL43" s="716"/>
      <c r="DM43" s="716"/>
      <c r="DN43" s="716"/>
      <c r="DO43" s="716"/>
      <c r="DP43" s="716"/>
      <c r="DQ43" s="716"/>
      <c r="DR43" s="716"/>
      <c r="DS43" s="716"/>
      <c r="DT43" s="716"/>
      <c r="DU43" s="716"/>
      <c r="DV43" s="716"/>
      <c r="DW43" s="716"/>
      <c r="DX43" s="716"/>
      <c r="DY43" s="716"/>
      <c r="DZ43" s="716"/>
      <c r="EA43" s="716"/>
      <c r="EB43" s="716"/>
      <c r="EC43" s="716"/>
      <c r="ED43" s="716"/>
      <c r="EE43" s="716"/>
      <c r="EF43" s="716"/>
      <c r="EG43" s="716"/>
      <c r="EH43" s="716"/>
      <c r="EI43" s="716"/>
      <c r="EJ43" s="716"/>
      <c r="EK43" s="716"/>
      <c r="EL43" s="716"/>
      <c r="EM43" s="716"/>
      <c r="EN43" s="716"/>
      <c r="EO43" s="716"/>
      <c r="EP43" s="716"/>
      <c r="EQ43" s="716"/>
      <c r="ER43" s="716"/>
      <c r="ES43" s="716"/>
      <c r="ET43" s="716"/>
      <c r="EU43" s="716"/>
      <c r="EV43" s="716"/>
      <c r="EW43" s="716"/>
      <c r="EX43" s="716"/>
      <c r="EY43" s="716"/>
      <c r="EZ43" s="716"/>
      <c r="FA43" s="716"/>
      <c r="FB43" s="716"/>
      <c r="FC43" s="716"/>
      <c r="FD43" s="716"/>
      <c r="FE43" s="716"/>
      <c r="FF43" s="716"/>
      <c r="FG43" s="716"/>
      <c r="FH43" s="716"/>
      <c r="FI43" s="716"/>
      <c r="FJ43" s="716"/>
      <c r="FK43" s="716"/>
      <c r="FL43" s="716"/>
      <c r="FM43" s="716"/>
      <c r="FN43" s="716"/>
      <c r="FO43" s="716"/>
      <c r="FP43" s="716"/>
      <c r="FQ43" s="716"/>
      <c r="FR43" s="716"/>
      <c r="FS43" s="716"/>
      <c r="FT43" s="716"/>
      <c r="FU43" s="716"/>
      <c r="FV43" s="716"/>
      <c r="FW43" s="716"/>
      <c r="FX43" s="716"/>
      <c r="FY43" s="716"/>
      <c r="FZ43" s="716"/>
      <c r="GA43" s="716"/>
      <c r="GB43" s="716"/>
      <c r="GC43" s="716"/>
      <c r="GD43" s="716"/>
      <c r="GE43" s="716"/>
      <c r="GF43" s="716"/>
      <c r="GG43" s="716"/>
      <c r="GH43" s="716"/>
      <c r="GI43" s="716"/>
      <c r="GJ43" s="716"/>
      <c r="GK43" s="716"/>
      <c r="GL43" s="716"/>
      <c r="GM43" s="716"/>
      <c r="GN43" s="716"/>
      <c r="GO43" s="716"/>
      <c r="GP43" s="716"/>
      <c r="GQ43" s="716"/>
      <c r="GR43" s="716"/>
      <c r="GS43" s="716"/>
      <c r="GT43" s="716"/>
      <c r="GU43" s="716"/>
      <c r="GV43" s="716"/>
      <c r="GW43" s="716"/>
      <c r="GX43" s="716"/>
      <c r="GY43" s="716"/>
      <c r="GZ43" s="716"/>
      <c r="HA43" s="716"/>
      <c r="HB43" s="716"/>
      <c r="HC43" s="716"/>
      <c r="HD43" s="716"/>
      <c r="HE43" s="716"/>
      <c r="HF43" s="716"/>
      <c r="HG43" s="716"/>
      <c r="HH43" s="716"/>
      <c r="HI43" s="716"/>
      <c r="HJ43" s="716"/>
      <c r="HK43" s="716"/>
      <c r="HL43" s="716"/>
      <c r="HM43" s="716"/>
      <c r="HN43" s="716"/>
      <c r="HO43" s="716"/>
      <c r="HP43" s="716"/>
      <c r="HQ43" s="716"/>
      <c r="HR43" s="716"/>
      <c r="HS43" s="716"/>
      <c r="HT43" s="716"/>
      <c r="HU43" s="716"/>
      <c r="HV43" s="716"/>
      <c r="HW43" s="716"/>
      <c r="HX43" s="716"/>
      <c r="HY43" s="716"/>
      <c r="HZ43" s="716"/>
      <c r="IA43" s="716"/>
      <c r="IB43" s="716"/>
      <c r="IC43" s="716"/>
      <c r="ID43" s="716"/>
      <c r="IE43" s="716"/>
      <c r="IF43" s="716"/>
      <c r="IG43" s="716"/>
      <c r="IH43" s="716"/>
      <c r="II43" s="716"/>
      <c r="IJ43" s="716"/>
      <c r="IK43" s="716"/>
      <c r="IL43" s="716"/>
      <c r="IM43" s="716"/>
      <c r="IN43" s="716"/>
      <c r="IO43" s="716"/>
      <c r="IP43" s="716"/>
      <c r="IQ43" s="716"/>
      <c r="IR43" s="716"/>
      <c r="IS43" s="716"/>
      <c r="IT43" s="716"/>
      <c r="IU43" s="716"/>
      <c r="IV43" s="716"/>
      <c r="IW43" s="716"/>
    </row>
    <row r="44" customFormat="false" ht="12" hidden="false" customHeight="true" outlineLevel="0" collapsed="false">
      <c r="A44" s="697" t="s">
        <v>609</v>
      </c>
      <c r="B44" s="802"/>
      <c r="C44" s="802"/>
      <c r="D44" s="803" t="n">
        <f aca="false">SUM(D41:D43)</f>
        <v>-12161.3041554421</v>
      </c>
      <c r="E44" s="803" t="n">
        <f aca="false">SUM(E41:E43)</f>
        <v>-11213.1120173686</v>
      </c>
      <c r="F44" s="803" t="n">
        <f aca="false">SUM(F41:F43)</f>
        <v>-8404.12098557516</v>
      </c>
      <c r="G44" s="803" t="n">
        <f aca="false">SUM(G41:G43)</f>
        <v>4467.47959643893</v>
      </c>
      <c r="H44" s="803" t="n">
        <f aca="false">SUM(H41:H43)</f>
        <v>15092.8131266477</v>
      </c>
      <c r="I44" s="803" t="n">
        <f aca="false">SUM(I41:I43)</f>
        <v>18504.5784733204</v>
      </c>
      <c r="J44" s="803" t="n">
        <f aca="false">SUM(J41:J43)</f>
        <v>18810.4852671984</v>
      </c>
      <c r="K44" s="803" t="n">
        <f aca="false">SUM(K41:K43)</f>
        <v>19888.1419675929</v>
      </c>
      <c r="L44" s="803" t="n">
        <f aca="false">SUM(L41:L43)</f>
        <v>21003.6980359662</v>
      </c>
      <c r="M44" s="803" t="n">
        <f aca="false">SUM(M41:M43)</f>
        <v>22484.7167141317</v>
      </c>
      <c r="N44" s="803" t="n">
        <f aca="false">SUM(N41:N43)</f>
        <v>24228.3744051923</v>
      </c>
      <c r="O44" s="803" t="n">
        <f aca="false">SUM(O41:O43)</f>
        <v>24957.8637509284</v>
      </c>
      <c r="P44" s="803" t="n">
        <f aca="false">SUM(P41:P43)</f>
        <v>25796.0994773865</v>
      </c>
      <c r="Q44" s="803" t="n">
        <f aca="false">SUM(Q41:Q43)</f>
        <v>26613.0941469162</v>
      </c>
      <c r="R44" s="803" t="n">
        <f aca="false">SUM(R41:R43)</f>
        <v>27421.9300823674</v>
      </c>
      <c r="S44" s="803" t="n">
        <f aca="false">SUM(S41:S43)</f>
        <v>35067.0469368914</v>
      </c>
      <c r="T44" s="803" t="n">
        <f aca="false">SUM(T41:T43)</f>
        <v>42694.1745359106</v>
      </c>
      <c r="U44" s="803" t="n">
        <f aca="false">SUM(U41:U43)</f>
        <v>43840.2547439637</v>
      </c>
      <c r="V44" s="803" t="n">
        <f aca="false">SUM(V41:V43)</f>
        <v>45076.0039635757</v>
      </c>
      <c r="W44" s="803" t="n">
        <f aca="false">SUM(W41:W43)</f>
        <v>45396.232079959</v>
      </c>
      <c r="X44" s="803" t="n">
        <f aca="false">SUM(X41:X43)</f>
        <v>18121.1540595567</v>
      </c>
      <c r="Y44" s="803" t="n">
        <f aca="false">SUM(Y41:Y43)</f>
        <v>0</v>
      </c>
      <c r="Z44" s="803" t="n">
        <f aca="false">SUM(Z41:Z43)</f>
        <v>0</v>
      </c>
      <c r="AA44" s="803" t="n">
        <f aca="false">SUM(AA41:AA43)</f>
        <v>0</v>
      </c>
      <c r="AB44" s="804" t="n">
        <f aca="false">SUM(AB41:AB43)</f>
        <v>0</v>
      </c>
      <c r="AC44" s="703"/>
      <c r="AD44" s="703"/>
      <c r="AE44" s="716"/>
      <c r="AF44" s="716"/>
      <c r="AG44" s="716"/>
      <c r="AH44" s="716"/>
      <c r="AI44" s="716"/>
      <c r="AJ44" s="716"/>
      <c r="AK44" s="716"/>
      <c r="AL44" s="716"/>
      <c r="AM44" s="716"/>
      <c r="AN44" s="716"/>
      <c r="AO44" s="716"/>
      <c r="AP44" s="716"/>
      <c r="AQ44" s="716"/>
      <c r="AR44" s="716"/>
      <c r="AS44" s="716"/>
      <c r="AT44" s="716"/>
      <c r="AU44" s="716"/>
      <c r="AV44" s="716"/>
      <c r="AW44" s="716"/>
      <c r="AX44" s="716"/>
      <c r="AY44" s="716"/>
      <c r="AZ44" s="716"/>
      <c r="BA44" s="716"/>
      <c r="BB44" s="716"/>
      <c r="BC44" s="716"/>
      <c r="BD44" s="716"/>
      <c r="BE44" s="716"/>
      <c r="BF44" s="716"/>
      <c r="BG44" s="716"/>
      <c r="BH44" s="716"/>
      <c r="BI44" s="716"/>
      <c r="BJ44" s="716"/>
      <c r="BK44" s="716"/>
      <c r="BL44" s="716"/>
      <c r="BM44" s="716"/>
      <c r="BN44" s="716"/>
      <c r="BO44" s="716"/>
      <c r="BP44" s="716"/>
      <c r="BQ44" s="716"/>
      <c r="BR44" s="716"/>
      <c r="BS44" s="716"/>
      <c r="BT44" s="716"/>
      <c r="BU44" s="716"/>
      <c r="BV44" s="716"/>
      <c r="BW44" s="716"/>
      <c r="BX44" s="716"/>
      <c r="BY44" s="716"/>
      <c r="BZ44" s="716"/>
      <c r="CA44" s="716"/>
      <c r="CB44" s="716"/>
      <c r="CC44" s="716"/>
      <c r="CD44" s="716"/>
      <c r="CE44" s="716"/>
      <c r="CF44" s="716"/>
      <c r="CG44" s="716"/>
      <c r="CH44" s="716"/>
      <c r="CI44" s="716"/>
      <c r="CJ44" s="716"/>
      <c r="CK44" s="716"/>
      <c r="CL44" s="716"/>
      <c r="CM44" s="716"/>
      <c r="CN44" s="716"/>
      <c r="CO44" s="716"/>
      <c r="CP44" s="716"/>
      <c r="CQ44" s="716"/>
      <c r="CR44" s="716"/>
      <c r="CS44" s="716"/>
      <c r="CT44" s="716"/>
      <c r="CU44" s="716"/>
      <c r="CV44" s="716"/>
      <c r="CW44" s="716"/>
      <c r="CX44" s="716"/>
      <c r="CY44" s="716"/>
      <c r="CZ44" s="716"/>
      <c r="DA44" s="716"/>
      <c r="DB44" s="716"/>
      <c r="DC44" s="716"/>
      <c r="DD44" s="716"/>
      <c r="DE44" s="716"/>
      <c r="DF44" s="716"/>
      <c r="DG44" s="716"/>
      <c r="DH44" s="716"/>
      <c r="DI44" s="716"/>
      <c r="DJ44" s="716"/>
      <c r="DK44" s="716"/>
      <c r="DL44" s="716"/>
      <c r="DM44" s="716"/>
      <c r="DN44" s="716"/>
      <c r="DO44" s="716"/>
      <c r="DP44" s="716"/>
      <c r="DQ44" s="716"/>
      <c r="DR44" s="716"/>
      <c r="DS44" s="716"/>
      <c r="DT44" s="716"/>
      <c r="DU44" s="716"/>
      <c r="DV44" s="716"/>
      <c r="DW44" s="716"/>
      <c r="DX44" s="716"/>
      <c r="DY44" s="716"/>
      <c r="DZ44" s="716"/>
      <c r="EA44" s="716"/>
      <c r="EB44" s="716"/>
      <c r="EC44" s="716"/>
      <c r="ED44" s="716"/>
      <c r="EE44" s="716"/>
      <c r="EF44" s="716"/>
      <c r="EG44" s="716"/>
      <c r="EH44" s="716"/>
      <c r="EI44" s="716"/>
      <c r="EJ44" s="716"/>
      <c r="EK44" s="716"/>
      <c r="EL44" s="716"/>
      <c r="EM44" s="716"/>
      <c r="EN44" s="716"/>
      <c r="EO44" s="716"/>
      <c r="EP44" s="716"/>
      <c r="EQ44" s="716"/>
      <c r="ER44" s="716"/>
      <c r="ES44" s="716"/>
      <c r="ET44" s="716"/>
      <c r="EU44" s="716"/>
      <c r="EV44" s="716"/>
      <c r="EW44" s="716"/>
      <c r="EX44" s="716"/>
      <c r="EY44" s="716"/>
      <c r="EZ44" s="716"/>
      <c r="FA44" s="716"/>
      <c r="FB44" s="716"/>
      <c r="FC44" s="716"/>
      <c r="FD44" s="716"/>
      <c r="FE44" s="716"/>
      <c r="FF44" s="716"/>
      <c r="FG44" s="716"/>
      <c r="FH44" s="716"/>
      <c r="FI44" s="716"/>
      <c r="FJ44" s="716"/>
      <c r="FK44" s="716"/>
      <c r="FL44" s="716"/>
      <c r="FM44" s="716"/>
      <c r="FN44" s="716"/>
      <c r="FO44" s="716"/>
      <c r="FP44" s="716"/>
      <c r="FQ44" s="716"/>
      <c r="FR44" s="716"/>
      <c r="FS44" s="716"/>
      <c r="FT44" s="716"/>
      <c r="FU44" s="716"/>
      <c r="FV44" s="716"/>
      <c r="FW44" s="716"/>
      <c r="FX44" s="716"/>
      <c r="FY44" s="716"/>
      <c r="FZ44" s="716"/>
      <c r="GA44" s="716"/>
      <c r="GB44" s="716"/>
      <c r="GC44" s="716"/>
      <c r="GD44" s="716"/>
      <c r="GE44" s="716"/>
      <c r="GF44" s="716"/>
      <c r="GG44" s="716"/>
      <c r="GH44" s="716"/>
      <c r="GI44" s="716"/>
      <c r="GJ44" s="716"/>
      <c r="GK44" s="716"/>
      <c r="GL44" s="716"/>
      <c r="GM44" s="716"/>
      <c r="GN44" s="716"/>
      <c r="GO44" s="716"/>
      <c r="GP44" s="716"/>
      <c r="GQ44" s="716"/>
      <c r="GR44" s="716"/>
      <c r="GS44" s="716"/>
      <c r="GT44" s="716"/>
      <c r="GU44" s="716"/>
      <c r="GV44" s="716"/>
      <c r="GW44" s="716"/>
      <c r="GX44" s="716"/>
      <c r="GY44" s="716"/>
      <c r="GZ44" s="716"/>
      <c r="HA44" s="716"/>
      <c r="HB44" s="716"/>
      <c r="HC44" s="716"/>
      <c r="HD44" s="716"/>
      <c r="HE44" s="716"/>
      <c r="HF44" s="716"/>
      <c r="HG44" s="716"/>
      <c r="HH44" s="716"/>
      <c r="HI44" s="716"/>
      <c r="HJ44" s="716"/>
      <c r="HK44" s="716"/>
      <c r="HL44" s="716"/>
      <c r="HM44" s="716"/>
      <c r="HN44" s="716"/>
      <c r="HO44" s="716"/>
      <c r="HP44" s="716"/>
      <c r="HQ44" s="716"/>
      <c r="HR44" s="716"/>
      <c r="HS44" s="716"/>
      <c r="HT44" s="716"/>
      <c r="HU44" s="716"/>
      <c r="HV44" s="716"/>
      <c r="HW44" s="716"/>
      <c r="HX44" s="716"/>
      <c r="HY44" s="716"/>
      <c r="HZ44" s="716"/>
      <c r="IA44" s="716"/>
      <c r="IB44" s="716"/>
      <c r="IC44" s="716"/>
      <c r="ID44" s="716"/>
      <c r="IE44" s="716"/>
      <c r="IF44" s="716"/>
      <c r="IG44" s="716"/>
      <c r="IH44" s="716"/>
      <c r="II44" s="716"/>
      <c r="IJ44" s="716"/>
      <c r="IK44" s="716"/>
      <c r="IL44" s="716"/>
      <c r="IM44" s="716"/>
      <c r="IN44" s="716"/>
      <c r="IO44" s="716"/>
      <c r="IP44" s="716"/>
      <c r="IQ44" s="716"/>
      <c r="IR44" s="716"/>
      <c r="IS44" s="716"/>
      <c r="IT44" s="716"/>
      <c r="IU44" s="716"/>
      <c r="IV44" s="716"/>
      <c r="IW44" s="716"/>
    </row>
    <row r="45" customFormat="false" ht="12" hidden="false" customHeight="true" outlineLevel="0" collapsed="false">
      <c r="A45" s="76"/>
      <c r="B45" s="371"/>
      <c r="C45" s="805"/>
      <c r="D45" s="371"/>
      <c r="E45" s="371"/>
      <c r="F45" s="371"/>
      <c r="G45" s="371"/>
      <c r="H45" s="371"/>
      <c r="I45" s="371"/>
      <c r="J45" s="371"/>
      <c r="K45" s="371"/>
      <c r="L45" s="371"/>
      <c r="M45" s="371"/>
      <c r="N45" s="371"/>
      <c r="O45" s="371"/>
      <c r="P45" s="371"/>
      <c r="Q45" s="371"/>
      <c r="R45" s="371"/>
      <c r="S45" s="371"/>
      <c r="T45" s="371"/>
      <c r="U45" s="371"/>
      <c r="V45" s="371"/>
      <c r="W45" s="371"/>
      <c r="X45" s="371"/>
      <c r="Y45" s="371"/>
      <c r="Z45" s="371"/>
      <c r="AA45" s="371"/>
      <c r="AB45" s="402"/>
      <c r="AC45" s="371"/>
      <c r="AD45" s="371"/>
    </row>
    <row r="46" customFormat="false" ht="12" hidden="false" customHeight="true" outlineLevel="0" collapsed="false">
      <c r="A46" s="76" t="s">
        <v>621</v>
      </c>
      <c r="B46" s="371"/>
      <c r="C46" s="805"/>
      <c r="D46" s="393" t="n">
        <f aca="false">IF(D4&gt;ProjectLife+1,0,'Project Assumptions'!$N$63)</f>
        <v>0.35</v>
      </c>
      <c r="E46" s="393" t="n">
        <f aca="false">IF(E4&gt;ProjectLife+1,0,'Project Assumptions'!$N$63)</f>
        <v>0.35</v>
      </c>
      <c r="F46" s="393" t="n">
        <f aca="false">IF(F4&gt;ProjectLife+1,0,'Project Assumptions'!$N$63)</f>
        <v>0.35</v>
      </c>
      <c r="G46" s="393" t="n">
        <f aca="false">IF(G4&gt;ProjectLife+1,0,'Project Assumptions'!$N$63)</f>
        <v>0.35</v>
      </c>
      <c r="H46" s="393" t="n">
        <f aca="false">IF(H4&gt;ProjectLife+1,0,'Project Assumptions'!$N$63)</f>
        <v>0.35</v>
      </c>
      <c r="I46" s="393" t="n">
        <f aca="false">IF(I4&gt;ProjectLife+1,0,'Project Assumptions'!$N$63)</f>
        <v>0.35</v>
      </c>
      <c r="J46" s="393" t="n">
        <f aca="false">IF(J4&gt;ProjectLife+1,0,'Project Assumptions'!$N$63)</f>
        <v>0.35</v>
      </c>
      <c r="K46" s="393" t="n">
        <f aca="false">IF(K4&gt;ProjectLife+1,0,'Project Assumptions'!$N$63)</f>
        <v>0.35</v>
      </c>
      <c r="L46" s="393" t="n">
        <f aca="false">IF(L4&gt;ProjectLife+1,0,'Project Assumptions'!$N$63)</f>
        <v>0.35</v>
      </c>
      <c r="M46" s="393" t="n">
        <f aca="false">IF(M4&gt;ProjectLife+1,0,'Project Assumptions'!$N$63)</f>
        <v>0.35</v>
      </c>
      <c r="N46" s="393" t="n">
        <f aca="false">IF(N4&gt;ProjectLife+1,0,'Project Assumptions'!$N$63)</f>
        <v>0.35</v>
      </c>
      <c r="O46" s="393" t="n">
        <f aca="false">IF(O4&gt;ProjectLife+1,0,'Project Assumptions'!$N$63)</f>
        <v>0.35</v>
      </c>
      <c r="P46" s="393" t="n">
        <f aca="false">IF(P4&gt;ProjectLife+1,0,'Project Assumptions'!$N$63)</f>
        <v>0.35</v>
      </c>
      <c r="Q46" s="393" t="n">
        <f aca="false">IF(Q4&gt;ProjectLife+1,0,'Project Assumptions'!$N$63)</f>
        <v>0.35</v>
      </c>
      <c r="R46" s="393" t="n">
        <f aca="false">IF(R4&gt;ProjectLife+1,0,'Project Assumptions'!$N$63)</f>
        <v>0.35</v>
      </c>
      <c r="S46" s="393" t="n">
        <f aca="false">IF(S4&gt;ProjectLife+1,0,'Project Assumptions'!$N$63)</f>
        <v>0.35</v>
      </c>
      <c r="T46" s="393" t="n">
        <f aca="false">IF(T4&gt;ProjectLife+1,0,'Project Assumptions'!$N$63)</f>
        <v>0.35</v>
      </c>
      <c r="U46" s="393" t="n">
        <f aca="false">IF(U4&gt;ProjectLife+1,0,'Project Assumptions'!$N$63)</f>
        <v>0.35</v>
      </c>
      <c r="V46" s="393" t="n">
        <f aca="false">IF(V4&gt;ProjectLife+1,0,'Project Assumptions'!$N$63)</f>
        <v>0.35</v>
      </c>
      <c r="W46" s="393" t="n">
        <f aca="false">IF(W4&gt;ProjectLife+1,0,'Project Assumptions'!$N$63)</f>
        <v>0.35</v>
      </c>
      <c r="X46" s="393" t="n">
        <f aca="false">IF(X4&gt;ProjectLife+1,0,'Project Assumptions'!$N$63)</f>
        <v>0.35</v>
      </c>
      <c r="Y46" s="393" t="n">
        <f aca="false">IF(Y4&gt;ProjectLife+1,0,'Project Assumptions'!$N$63)</f>
        <v>0</v>
      </c>
      <c r="Z46" s="393" t="n">
        <f aca="false">IF(Z4&gt;ProjectLife+1,0,'Project Assumptions'!$N$63)</f>
        <v>0</v>
      </c>
      <c r="AA46" s="393" t="n">
        <f aca="false">IF(AA4&gt;ProjectLife+1,0,'Project Assumptions'!$N$63)</f>
        <v>0</v>
      </c>
      <c r="AB46" s="806" t="n">
        <f aca="false">IF(AB4&gt;ProjectLife+1,0,'Project Assumptions'!$N$63)</f>
        <v>0</v>
      </c>
      <c r="AC46" s="371"/>
      <c r="AD46" s="371"/>
    </row>
    <row r="47" customFormat="false" ht="12" hidden="false" customHeight="true" outlineLevel="0" collapsed="false">
      <c r="A47" s="76" t="s">
        <v>622</v>
      </c>
      <c r="B47" s="371"/>
      <c r="C47" s="784"/>
      <c r="D47" s="807" t="n">
        <f aca="false">D44*D46</f>
        <v>-4256.45645440474</v>
      </c>
      <c r="E47" s="807" t="n">
        <f aca="false">E44*E46</f>
        <v>-3924.589206079</v>
      </c>
      <c r="F47" s="807" t="n">
        <f aca="false">F44*F46</f>
        <v>-2941.44234495131</v>
      </c>
      <c r="G47" s="807" t="n">
        <f aca="false">G44*G46</f>
        <v>1563.61785875363</v>
      </c>
      <c r="H47" s="807" t="n">
        <f aca="false">H44*H46</f>
        <v>5282.48459432671</v>
      </c>
      <c r="I47" s="807" t="n">
        <f aca="false">I44*I46</f>
        <v>6476.60246566215</v>
      </c>
      <c r="J47" s="807" t="n">
        <f aca="false">J44*J46</f>
        <v>6583.66984351943</v>
      </c>
      <c r="K47" s="807" t="n">
        <f aca="false">K44*K46</f>
        <v>6960.8496886575</v>
      </c>
      <c r="L47" s="807" t="n">
        <f aca="false">L44*L46</f>
        <v>7351.29431258817</v>
      </c>
      <c r="M47" s="807" t="n">
        <f aca="false">M44*M46</f>
        <v>7869.65084994609</v>
      </c>
      <c r="N47" s="807" t="n">
        <f aca="false">N44*N46</f>
        <v>8479.93104181732</v>
      </c>
      <c r="O47" s="807" t="n">
        <f aca="false">O44*O46</f>
        <v>8735.25231282493</v>
      </c>
      <c r="P47" s="807" t="n">
        <f aca="false">P44*P46</f>
        <v>9028.63481708528</v>
      </c>
      <c r="Q47" s="807" t="n">
        <f aca="false">Q44*Q46</f>
        <v>9314.58295142068</v>
      </c>
      <c r="R47" s="807" t="n">
        <f aca="false">R44*R46</f>
        <v>9597.67552882859</v>
      </c>
      <c r="S47" s="807" t="n">
        <f aca="false">S44*S46</f>
        <v>12273.466427912</v>
      </c>
      <c r="T47" s="807" t="n">
        <f aca="false">T44*T46</f>
        <v>14942.9610875687</v>
      </c>
      <c r="U47" s="807" t="n">
        <f aca="false">U44*U46</f>
        <v>15344.0891603873</v>
      </c>
      <c r="V47" s="807" t="n">
        <f aca="false">V44*V46</f>
        <v>15776.6013872515</v>
      </c>
      <c r="W47" s="807" t="n">
        <f aca="false">W44*W46</f>
        <v>15888.6812279857</v>
      </c>
      <c r="X47" s="807" t="n">
        <f aca="false">X44*X46</f>
        <v>6342.40392084483</v>
      </c>
      <c r="Y47" s="807" t="n">
        <f aca="false">Y44*Y46</f>
        <v>0</v>
      </c>
      <c r="Z47" s="807" t="n">
        <f aca="false">Z44*Z46</f>
        <v>0</v>
      </c>
      <c r="AA47" s="807" t="n">
        <f aca="false">AA44*AA46</f>
        <v>0</v>
      </c>
      <c r="AB47" s="808" t="n">
        <f aca="false">AB44*AB46</f>
        <v>0</v>
      </c>
      <c r="AC47" s="798"/>
      <c r="AD47" s="798"/>
    </row>
    <row r="48" customFormat="false" ht="11.25" hidden="false" customHeight="false" outlineLevel="0" collapsed="false">
      <c r="A48" s="397"/>
      <c r="B48" s="371"/>
      <c r="C48" s="371"/>
      <c r="D48" s="371"/>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402"/>
      <c r="AC48" s="371"/>
      <c r="AD48" s="371"/>
    </row>
    <row r="49" customFormat="false" ht="11.25" hidden="false" customHeight="false" outlineLevel="0" collapsed="false">
      <c r="A49" s="397" t="s">
        <v>623</v>
      </c>
      <c r="B49" s="600"/>
      <c r="C49" s="371"/>
      <c r="D49" s="703" t="n">
        <f aca="false">IF(D4&gt;'Project Assumptions'!$I$15+1,0,IF(C49-C50+IF(D47&lt;0,-1*D47,0)&gt;0,C49-C50+IF(D47&lt;0,-1*D47,0),0))</f>
        <v>4256.45645440474</v>
      </c>
      <c r="E49" s="703" t="n">
        <f aca="false">IF(E4&gt;'Project Assumptions'!$I$15+1,0,IF(D49-D50+IF(E47&lt;0,-1*E47,0)&gt;0,D49-D50+IF(E47&lt;0,-1*E47,0),0))</f>
        <v>8181.04566048373</v>
      </c>
      <c r="F49" s="703" t="n">
        <f aca="false">IF(F4&gt;'Project Assumptions'!$I$15+1,0,IF(E49-E50+IF(F47&lt;0,-1*F47,0)&gt;0,E49-E50+IF(F47&lt;0,-1*F47,0),0))</f>
        <v>11122.488005435</v>
      </c>
      <c r="G49" s="703" t="n">
        <f aca="false">IF(G4&gt;'Project Assumptions'!$I$15+1,0,IF(F49-F50+IF(G47&lt;0,-1*G47,0)&gt;0,F49-F50+IF(G47&lt;0,-1*G47,0),0))</f>
        <v>11122.488005435</v>
      </c>
      <c r="H49" s="703" t="n">
        <f aca="false">IF(H4&gt;'Project Assumptions'!$I$15+1,0,IF(G49-G50+IF(H47&lt;0,-1*H47,0)&gt;0,G49-G50+IF(H47&lt;0,-1*H47,0),0))</f>
        <v>9558.87014668142</v>
      </c>
      <c r="I49" s="703" t="n">
        <f aca="false">IF(I4&gt;'Project Assumptions'!$I$15+1,0,IF(H49-H50+IF(I47&lt;0,-1*I47,0)&gt;0,H49-H50+IF(I47&lt;0,-1*I47,0),0))</f>
        <v>4276.38555235471</v>
      </c>
      <c r="J49" s="703" t="n">
        <f aca="false">IF(J4&gt;'Project Assumptions'!$I$15+1,0,IF(I49-I50+IF(J47&lt;0,-1*J47,0)&gt;0,I49-I50+IF(J47&lt;0,-1*J47,0),0))</f>
        <v>0</v>
      </c>
      <c r="K49" s="703" t="n">
        <f aca="false">IF(K4&gt;'Project Assumptions'!$I$15+1,0,IF(J49-J50+IF(K47&lt;0,-1*K47,0)&gt;0,J49-J50+IF(K47&lt;0,-1*K47,0),0))</f>
        <v>0</v>
      </c>
      <c r="L49" s="703" t="n">
        <f aca="false">IF(L4&gt;'Project Assumptions'!$I$15+1,0,IF(K49-K50+IF(L47&lt;0,-1*L47,0)&gt;0,K49-K50+IF(L47&lt;0,-1*L47,0),0))</f>
        <v>0</v>
      </c>
      <c r="M49" s="703" t="n">
        <f aca="false">IF(M4&gt;'Project Assumptions'!$I$15+1,0,IF(L49-L50+IF(M47&lt;0,-1*M47,0)&gt;0,L49-L50+IF(M47&lt;0,-1*M47,0),0))</f>
        <v>0</v>
      </c>
      <c r="N49" s="703" t="n">
        <f aca="false">IF(N4&gt;'Project Assumptions'!$I$15+1,0,IF(M49-M50+IF(N47&lt;0,-1*N47,0)&gt;0,M49-M50+IF(N47&lt;0,-1*N47,0),0))</f>
        <v>0</v>
      </c>
      <c r="O49" s="703" t="n">
        <f aca="false">IF(O4&gt;'Project Assumptions'!$I$15+1,0,IF(N49-N50+IF(O47&lt;0,-1*O47,0)&gt;0,N49-N50+IF(O47&lt;0,-1*O47,0),0))</f>
        <v>0</v>
      </c>
      <c r="P49" s="703" t="n">
        <f aca="false">IF(P4&gt;'Project Assumptions'!$I$15+1,0,IF(O49-O50+IF(P47&lt;0,-1*P47,0)&gt;0,O49-O50+IF(P47&lt;0,-1*P47,0),0))</f>
        <v>0</v>
      </c>
      <c r="Q49" s="703" t="n">
        <f aca="false">IF(Q4&gt;'Project Assumptions'!$I$15+1,0,IF(P49-P50+IF(Q47&lt;0,-1*Q47,0)&gt;0,P49-P50+IF(Q47&lt;0,-1*Q47,0),0))</f>
        <v>0</v>
      </c>
      <c r="R49" s="703" t="n">
        <f aca="false">IF(R4&gt;'Project Assumptions'!$I$15+1,0,IF(Q49-Q50+IF(R47&lt;0,-1*R47,0)&gt;0,Q49-Q50+IF(R47&lt;0,-1*R47,0),0))</f>
        <v>0</v>
      </c>
      <c r="S49" s="703" t="n">
        <f aca="false">IF(S4&gt;'Project Assumptions'!$I$15+1,0,IF(R49-R50+IF(S47&lt;0,-1*S47,0)&gt;0,R49-R50+IF(S47&lt;0,-1*S47,0),0))</f>
        <v>0</v>
      </c>
      <c r="T49" s="703" t="n">
        <f aca="false">IF(T4&gt;'Project Assumptions'!$I$15+1,0,IF(S49-S50+IF(T47&lt;0,-1*T47,0)&gt;0,S49-S50+IF(T47&lt;0,-1*T47,0),0))</f>
        <v>0</v>
      </c>
      <c r="U49" s="703" t="n">
        <f aca="false">IF(U4&gt;'Project Assumptions'!$I$15+1,0,IF(T49-T50+IF(U47&lt;0,-1*U47,0)&gt;0,T49-T50+IF(U47&lt;0,-1*U47,0),0))</f>
        <v>0</v>
      </c>
      <c r="V49" s="703" t="n">
        <f aca="false">IF(V4&gt;'Project Assumptions'!$I$15+1,0,IF(U49-U50+IF(V47&lt;0,-1*V47,0)&gt;0,U49-U50+IF(V47&lt;0,-1*V47,0),0))</f>
        <v>0</v>
      </c>
      <c r="W49" s="703" t="n">
        <f aca="false">IF(W4&gt;'Project Assumptions'!$I$15+1,0,IF(V49-V50+IF(W47&lt;0,-1*W47,0)&gt;0,V49-V50+IF(W47&lt;0,-1*W47,0),0))</f>
        <v>0</v>
      </c>
      <c r="X49" s="703" t="n">
        <f aca="false">IF(X4&gt;'Project Assumptions'!$I$15+1,0,IF(W49-W50+IF(X47&lt;0,-1*X47,0)&gt;0,W49-W50+IF(X47&lt;0,-1*X47,0),0))</f>
        <v>0</v>
      </c>
      <c r="Y49" s="703" t="n">
        <f aca="false">IF(Y4&gt;'Project Assumptions'!$I$15+1,0,IF(X49-X50+IF(Y47&lt;0,-1*Y47,0)&gt;0,X49-X50+IF(Y47&lt;0,-1*Y47,0),0))</f>
        <v>0</v>
      </c>
      <c r="Z49" s="703" t="n">
        <f aca="false">IF(Z4&gt;'Project Assumptions'!$I$15+1,0,IF(Y49-Y50+IF(Z47&lt;0,-1*Z47,0)&gt;0,Y49-Y50+IF(Z47&lt;0,-1*Z47,0),0))</f>
        <v>0</v>
      </c>
      <c r="AA49" s="703" t="n">
        <f aca="false">IF(AA4&gt;'Project Assumptions'!$I$15+1,0,IF(Z49-Z50+IF(AA47&lt;0,-1*AA47,0)&gt;0,Z49-Z50+IF(AA47&lt;0,-1*AA47,0),0))</f>
        <v>0</v>
      </c>
      <c r="AB49" s="704" t="n">
        <f aca="false">IF(AB4&gt;'Project Assumptions'!$I$15+1,0,IF(AA49-AA50+IF(AB47&lt;0,-1*AB47,0)&gt;0,AA49-AA50+IF(AB47&lt;0,-1*AB47,0),0))</f>
        <v>0</v>
      </c>
      <c r="AC49" s="371"/>
      <c r="AD49" s="371"/>
      <c r="AE49" s="809"/>
      <c r="AF49" s="809"/>
      <c r="AG49" s="809"/>
      <c r="AH49" s="809"/>
      <c r="AI49" s="809"/>
      <c r="AJ49" s="809"/>
      <c r="AK49" s="809"/>
      <c r="AL49" s="809"/>
      <c r="AM49" s="809"/>
      <c r="AN49" s="809"/>
      <c r="AO49" s="809"/>
      <c r="AP49" s="809"/>
      <c r="AQ49" s="809"/>
      <c r="AR49" s="809"/>
      <c r="AS49" s="809"/>
      <c r="AT49" s="809"/>
      <c r="AU49" s="809"/>
      <c r="AV49" s="809"/>
      <c r="AW49" s="809"/>
      <c r="AX49" s="809"/>
      <c r="AY49" s="809"/>
      <c r="AZ49" s="809"/>
      <c r="BA49" s="809"/>
      <c r="BB49" s="809"/>
      <c r="BC49" s="809"/>
      <c r="BD49" s="809"/>
      <c r="BE49" s="809"/>
      <c r="BF49" s="809"/>
      <c r="BG49" s="809"/>
      <c r="BH49" s="809"/>
      <c r="BI49" s="809"/>
      <c r="BJ49" s="809"/>
      <c r="BK49" s="809"/>
      <c r="BL49" s="809"/>
      <c r="BM49" s="809"/>
      <c r="BN49" s="809"/>
      <c r="BO49" s="809"/>
      <c r="BP49" s="809"/>
      <c r="BQ49" s="809"/>
      <c r="BR49" s="809"/>
      <c r="BS49" s="809"/>
      <c r="BT49" s="809"/>
      <c r="BU49" s="809"/>
      <c r="BV49" s="809"/>
      <c r="BW49" s="809"/>
      <c r="BX49" s="809"/>
      <c r="BY49" s="809"/>
      <c r="BZ49" s="809"/>
      <c r="CA49" s="809"/>
      <c r="CB49" s="809"/>
      <c r="CC49" s="809"/>
      <c r="CD49" s="809"/>
      <c r="CE49" s="809"/>
      <c r="CF49" s="809"/>
      <c r="CG49" s="809"/>
      <c r="CH49" s="809"/>
      <c r="CI49" s="809"/>
      <c r="CJ49" s="809"/>
      <c r="CK49" s="809"/>
      <c r="CL49" s="809"/>
      <c r="CM49" s="809"/>
      <c r="CN49" s="809"/>
      <c r="CO49" s="809"/>
      <c r="CP49" s="809"/>
      <c r="CQ49" s="809"/>
      <c r="CR49" s="809"/>
      <c r="CS49" s="809"/>
      <c r="CT49" s="809"/>
      <c r="CU49" s="809"/>
      <c r="CV49" s="809"/>
      <c r="CW49" s="809"/>
      <c r="CX49" s="809"/>
      <c r="CY49" s="809"/>
      <c r="CZ49" s="809"/>
      <c r="DA49" s="809"/>
      <c r="DB49" s="809"/>
      <c r="DC49" s="809"/>
      <c r="DD49" s="809"/>
      <c r="DE49" s="809"/>
      <c r="DF49" s="809"/>
      <c r="DG49" s="809"/>
      <c r="DH49" s="809"/>
      <c r="DI49" s="809"/>
      <c r="DJ49" s="809"/>
      <c r="DK49" s="809"/>
      <c r="DL49" s="809"/>
      <c r="DM49" s="809"/>
      <c r="DN49" s="809"/>
      <c r="DO49" s="809"/>
      <c r="DP49" s="809"/>
      <c r="DQ49" s="809"/>
      <c r="DR49" s="809"/>
      <c r="DS49" s="809"/>
      <c r="DT49" s="809"/>
      <c r="DU49" s="809"/>
      <c r="DV49" s="809"/>
      <c r="DW49" s="809"/>
      <c r="DX49" s="809"/>
      <c r="DY49" s="809"/>
      <c r="DZ49" s="809"/>
      <c r="EA49" s="809"/>
      <c r="EB49" s="809"/>
      <c r="EC49" s="809"/>
      <c r="ED49" s="809"/>
      <c r="EE49" s="809"/>
      <c r="EF49" s="809"/>
      <c r="EG49" s="809"/>
      <c r="EH49" s="809"/>
      <c r="EI49" s="809"/>
      <c r="EJ49" s="809"/>
      <c r="EK49" s="809"/>
      <c r="EL49" s="809"/>
      <c r="EM49" s="809"/>
      <c r="EN49" s="809"/>
      <c r="EO49" s="809"/>
      <c r="EP49" s="809"/>
      <c r="EQ49" s="809"/>
      <c r="ER49" s="809"/>
      <c r="ES49" s="809"/>
      <c r="ET49" s="809"/>
      <c r="EU49" s="809"/>
      <c r="EV49" s="809"/>
      <c r="EW49" s="809"/>
      <c r="EX49" s="809"/>
      <c r="EY49" s="809"/>
      <c r="EZ49" s="809"/>
      <c r="FA49" s="809"/>
      <c r="FB49" s="809"/>
      <c r="FC49" s="809"/>
      <c r="FD49" s="809"/>
      <c r="FE49" s="809"/>
      <c r="FF49" s="809"/>
      <c r="FG49" s="809"/>
      <c r="FH49" s="809"/>
      <c r="FI49" s="809"/>
      <c r="FJ49" s="809"/>
      <c r="FK49" s="809"/>
      <c r="FL49" s="809"/>
      <c r="FM49" s="809"/>
      <c r="FN49" s="809"/>
      <c r="FO49" s="809"/>
      <c r="FP49" s="809"/>
      <c r="FQ49" s="809"/>
      <c r="FR49" s="809"/>
      <c r="FS49" s="809"/>
      <c r="FT49" s="809"/>
      <c r="FU49" s="809"/>
      <c r="FV49" s="809"/>
      <c r="FW49" s="809"/>
      <c r="FX49" s="809"/>
      <c r="FY49" s="809"/>
      <c r="FZ49" s="809"/>
      <c r="GA49" s="809"/>
      <c r="GB49" s="809"/>
      <c r="GC49" s="809"/>
      <c r="GD49" s="809"/>
      <c r="GE49" s="809"/>
      <c r="GF49" s="809"/>
      <c r="GG49" s="809"/>
      <c r="GH49" s="809"/>
      <c r="GI49" s="809"/>
      <c r="GJ49" s="809"/>
      <c r="GK49" s="809"/>
      <c r="GL49" s="809"/>
      <c r="GM49" s="809"/>
      <c r="GN49" s="809"/>
      <c r="GO49" s="809"/>
      <c r="GP49" s="809"/>
      <c r="GQ49" s="809"/>
      <c r="GR49" s="809"/>
      <c r="GS49" s="809"/>
      <c r="GT49" s="809"/>
      <c r="GU49" s="809"/>
      <c r="GV49" s="809"/>
      <c r="GW49" s="809"/>
      <c r="GX49" s="809"/>
      <c r="GY49" s="809"/>
      <c r="GZ49" s="809"/>
      <c r="HA49" s="809"/>
      <c r="HB49" s="809"/>
      <c r="HC49" s="809"/>
      <c r="HD49" s="809"/>
      <c r="HE49" s="809"/>
      <c r="HF49" s="809"/>
      <c r="HG49" s="809"/>
      <c r="HH49" s="809"/>
      <c r="HI49" s="809"/>
      <c r="HJ49" s="809"/>
      <c r="HK49" s="809"/>
      <c r="HL49" s="809"/>
      <c r="HM49" s="809"/>
      <c r="HN49" s="809"/>
      <c r="HO49" s="809"/>
      <c r="HP49" s="809"/>
      <c r="HQ49" s="809"/>
      <c r="HR49" s="809"/>
      <c r="HS49" s="809"/>
      <c r="HT49" s="809"/>
      <c r="HU49" s="809"/>
      <c r="HV49" s="809"/>
      <c r="HW49" s="809"/>
      <c r="HX49" s="809"/>
      <c r="HY49" s="809"/>
      <c r="HZ49" s="809"/>
      <c r="IA49" s="809"/>
      <c r="IB49" s="809"/>
      <c r="IC49" s="809"/>
      <c r="ID49" s="809"/>
      <c r="IE49" s="809"/>
      <c r="IF49" s="809"/>
      <c r="IG49" s="809"/>
      <c r="IH49" s="809"/>
      <c r="II49" s="809"/>
      <c r="IJ49" s="809"/>
      <c r="IK49" s="809"/>
      <c r="IL49" s="809"/>
      <c r="IM49" s="809"/>
      <c r="IN49" s="809"/>
      <c r="IO49" s="809"/>
      <c r="IP49" s="809"/>
      <c r="IQ49" s="809"/>
      <c r="IR49" s="809"/>
      <c r="IS49" s="809"/>
      <c r="IT49" s="809"/>
      <c r="IU49" s="809"/>
      <c r="IV49" s="809"/>
      <c r="IW49" s="809"/>
    </row>
    <row r="50" customFormat="false" ht="11.25" hidden="false" customHeight="false" outlineLevel="0" collapsed="false">
      <c r="A50" s="397" t="s">
        <v>615</v>
      </c>
      <c r="B50" s="600"/>
      <c r="C50" s="371"/>
      <c r="D50" s="703" t="n">
        <f aca="false">IF('Project Assumptions'!$C$65="No",0,IF(D4&lt;='Project Assumptions'!$C$67,IF(D47&lt;0,0,IF(D49&gt;D47,D47,D49)),0))</f>
        <v>0</v>
      </c>
      <c r="E50" s="703" t="n">
        <f aca="false">IF('Project Assumptions'!$C$65="No",0,IF(E4&lt;='Project Assumptions'!$C$67,IF(E47&lt;0,0,IF(E49&gt;E47,E47,E49)),0))</f>
        <v>0</v>
      </c>
      <c r="F50" s="703" t="n">
        <f aca="false">IF('Project Assumptions'!$C$65="No",0,IF(F4&lt;='Project Assumptions'!$C$67,IF(F47&lt;0,0,IF(F49&gt;F47,F47,F49)),0))</f>
        <v>0</v>
      </c>
      <c r="G50" s="703" t="n">
        <f aca="false">IF('Project Assumptions'!$C$65="No",0,IF(G4&lt;='Project Assumptions'!$C$67,IF(G47&lt;0,0,IF(G49&gt;G47,G47,G49)),0))</f>
        <v>1563.61785875363</v>
      </c>
      <c r="H50" s="703" t="n">
        <f aca="false">IF('Project Assumptions'!$C$65="No",0,IF(H4&lt;='Project Assumptions'!$C$67,IF(H47&lt;0,0,IF(H49&gt;H47,H47,H49)),0))</f>
        <v>5282.48459432671</v>
      </c>
      <c r="I50" s="703" t="n">
        <f aca="false">IF('Project Assumptions'!$C$65="No",0,IF(I4&lt;='Project Assumptions'!$C$67,IF(I47&lt;0,0,IF(I49&gt;I47,I47,I49)),0))</f>
        <v>4276.38555235471</v>
      </c>
      <c r="J50" s="703" t="n">
        <f aca="false">IF('Project Assumptions'!$C$65="No",0,IF(J4&lt;='Project Assumptions'!$C$67,IF(J47&lt;0,0,IF(J49&gt;J47,J47,J49)),0))</f>
        <v>0</v>
      </c>
      <c r="K50" s="703" t="n">
        <f aca="false">IF('Project Assumptions'!$C$65="No",0,IF(K4&lt;='Project Assumptions'!$C$67,IF(K47&lt;0,0,IF(K49&gt;K47,K47,K49)),0))</f>
        <v>0</v>
      </c>
      <c r="L50" s="703" t="n">
        <f aca="false">IF('Project Assumptions'!$C$65="No",0,IF(L4&lt;='Project Assumptions'!$C$67,IF(L47&lt;0,0,IF(L49&gt;L47,L47,L49)),0))</f>
        <v>0</v>
      </c>
      <c r="M50" s="703" t="n">
        <f aca="false">IF('Project Assumptions'!$C$65="No",0,IF(M4&lt;='Project Assumptions'!$C$67,IF(M47&lt;0,0,IF(M49&gt;M47,M47,M49)),0))</f>
        <v>0</v>
      </c>
      <c r="N50" s="703" t="n">
        <f aca="false">IF('Project Assumptions'!$C$65="No",0,IF(N4&lt;='Project Assumptions'!$C$67,IF(N47&lt;0,0,IF(N49&gt;N47,N47,N49)),0))</f>
        <v>0</v>
      </c>
      <c r="O50" s="703" t="n">
        <f aca="false">IF('Project Assumptions'!$C$65="No",0,IF(O4&lt;='Project Assumptions'!$C$67,IF(O47&lt;0,0,IF(O49&gt;O47,O47,O49)),0))</f>
        <v>0</v>
      </c>
      <c r="P50" s="703" t="n">
        <f aca="false">IF('Project Assumptions'!$C$65="No",0,IF(P4&lt;='Project Assumptions'!$C$67,IF(P47&lt;0,0,IF(P49&gt;P47,P47,P49)),0))</f>
        <v>0</v>
      </c>
      <c r="Q50" s="703" t="n">
        <f aca="false">IF('Project Assumptions'!$C$65="No",0,IF(Q4&lt;='Project Assumptions'!$C$67,IF(Q47&lt;0,0,IF(Q49&gt;Q47,Q47,Q49)),0))</f>
        <v>0</v>
      </c>
      <c r="R50" s="703" t="n">
        <f aca="false">IF('Project Assumptions'!$C$65="No",0,IF(R4&lt;='Project Assumptions'!$C$67,IF(R47&lt;0,0,IF(R49&gt;R47,R47,R49)),0))</f>
        <v>0</v>
      </c>
      <c r="S50" s="703" t="n">
        <f aca="false">IF('Project Assumptions'!$C$65="No",0,IF(S4&lt;='Project Assumptions'!$C$67,IF(S47&lt;0,0,IF(S49&gt;S47,S47,S49)),0))</f>
        <v>0</v>
      </c>
      <c r="T50" s="703" t="n">
        <f aca="false">IF('Project Assumptions'!$C$65="No",0,IF(T4&lt;='Project Assumptions'!$C$67,IF(T47&lt;0,0,IF(T49&gt;T47,T47,T49)),0))</f>
        <v>0</v>
      </c>
      <c r="U50" s="703" t="n">
        <f aca="false">IF('Project Assumptions'!$C$65="No",0,IF(U4&lt;='Project Assumptions'!$C$67,IF(U47&lt;0,0,IF(U49&gt;U47,U47,U49)),0))</f>
        <v>0</v>
      </c>
      <c r="V50" s="703" t="n">
        <f aca="false">IF('Project Assumptions'!$C$65="No",0,IF(V4&lt;='Project Assumptions'!$C$67,IF(V47&lt;0,0,IF(V49&gt;V47,V47,V49)),0))</f>
        <v>0</v>
      </c>
      <c r="W50" s="703" t="n">
        <f aca="false">IF('Project Assumptions'!$C$65="No",0,IF(W4&lt;='Project Assumptions'!$C$67,IF(W47&lt;0,0,IF(W49&gt;W47,W47,W49)),0))</f>
        <v>0</v>
      </c>
      <c r="X50" s="703" t="n">
        <f aca="false">IF('Project Assumptions'!$C$65="No",0,IF(X4&lt;='Project Assumptions'!$C$67,IF(X47&lt;0,0,IF(X49&gt;X47,X47,X49)),0))</f>
        <v>0</v>
      </c>
      <c r="Y50" s="703" t="n">
        <f aca="false">IF('Project Assumptions'!$C$65="No",0,IF(Y4&lt;='Project Assumptions'!$C$67,IF(Y47&lt;0,0,IF(Y49&gt;Y47,Y47,Y49)),0))</f>
        <v>0</v>
      </c>
      <c r="Z50" s="703" t="n">
        <f aca="false">IF('Project Assumptions'!$C$65="No",0,IF(Z4&lt;='Project Assumptions'!$C$67,IF(Z47&lt;0,0,IF(Z49&gt;Z47,Z47,Z49)),0))</f>
        <v>0</v>
      </c>
      <c r="AA50" s="703" t="n">
        <f aca="false">IF('Project Assumptions'!$C$65="No",0,IF(AA4&lt;='Project Assumptions'!$C$67,IF(AA47&lt;0,0,IF(AA49&gt;AA47,AA47,AA49)),0))</f>
        <v>0</v>
      </c>
      <c r="AB50" s="704" t="n">
        <f aca="false">IF('Project Assumptions'!$C$65="No",0,IF(AB4&lt;='Project Assumptions'!$C$67,IF(AB47&lt;0,0,IF(AB49&gt;AB47,AB47,AB49)),0))</f>
        <v>0</v>
      </c>
      <c r="AE50" s="809"/>
      <c r="AF50" s="809"/>
      <c r="AG50" s="809"/>
      <c r="AH50" s="809"/>
      <c r="AI50" s="809"/>
      <c r="AJ50" s="809"/>
      <c r="AK50" s="809"/>
      <c r="AL50" s="809"/>
      <c r="AM50" s="809"/>
      <c r="AN50" s="809"/>
      <c r="AO50" s="809"/>
      <c r="AP50" s="809"/>
      <c r="AQ50" s="809"/>
      <c r="AR50" s="809"/>
      <c r="AS50" s="809"/>
      <c r="AT50" s="809"/>
      <c r="AU50" s="809"/>
      <c r="AV50" s="809"/>
      <c r="AW50" s="809"/>
      <c r="AX50" s="809"/>
      <c r="AY50" s="809"/>
      <c r="AZ50" s="809"/>
      <c r="BA50" s="809"/>
      <c r="BB50" s="809"/>
      <c r="BC50" s="809"/>
      <c r="BD50" s="809"/>
      <c r="BE50" s="809"/>
      <c r="BF50" s="809"/>
      <c r="BG50" s="809"/>
      <c r="BH50" s="809"/>
      <c r="BI50" s="809"/>
      <c r="BJ50" s="809"/>
      <c r="BK50" s="809"/>
      <c r="BL50" s="809"/>
      <c r="BM50" s="809"/>
      <c r="BN50" s="809"/>
      <c r="BO50" s="809"/>
      <c r="BP50" s="809"/>
      <c r="BQ50" s="809"/>
      <c r="BR50" s="809"/>
      <c r="BS50" s="809"/>
      <c r="BT50" s="809"/>
      <c r="BU50" s="809"/>
      <c r="BV50" s="809"/>
      <c r="BW50" s="809"/>
      <c r="BX50" s="809"/>
      <c r="BY50" s="809"/>
      <c r="BZ50" s="809"/>
      <c r="CA50" s="809"/>
      <c r="CB50" s="809"/>
      <c r="CC50" s="809"/>
      <c r="CD50" s="809"/>
      <c r="CE50" s="809"/>
      <c r="CF50" s="809"/>
      <c r="CG50" s="809"/>
      <c r="CH50" s="809"/>
      <c r="CI50" s="809"/>
      <c r="CJ50" s="809"/>
      <c r="CK50" s="809"/>
      <c r="CL50" s="809"/>
      <c r="CM50" s="809"/>
      <c r="CN50" s="809"/>
      <c r="CO50" s="809"/>
      <c r="CP50" s="809"/>
      <c r="CQ50" s="809"/>
      <c r="CR50" s="809"/>
      <c r="CS50" s="809"/>
      <c r="CT50" s="809"/>
      <c r="CU50" s="809"/>
      <c r="CV50" s="809"/>
      <c r="CW50" s="809"/>
      <c r="CX50" s="809"/>
      <c r="CY50" s="809"/>
      <c r="CZ50" s="809"/>
      <c r="DA50" s="809"/>
      <c r="DB50" s="809"/>
      <c r="DC50" s="809"/>
      <c r="DD50" s="809"/>
      <c r="DE50" s="809"/>
      <c r="DF50" s="809"/>
      <c r="DG50" s="809"/>
      <c r="DH50" s="809"/>
      <c r="DI50" s="809"/>
      <c r="DJ50" s="809"/>
      <c r="DK50" s="809"/>
      <c r="DL50" s="809"/>
      <c r="DM50" s="809"/>
      <c r="DN50" s="809"/>
      <c r="DO50" s="809"/>
      <c r="DP50" s="809"/>
      <c r="DQ50" s="809"/>
      <c r="DR50" s="809"/>
      <c r="DS50" s="809"/>
      <c r="DT50" s="809"/>
      <c r="DU50" s="809"/>
      <c r="DV50" s="809"/>
      <c r="DW50" s="809"/>
      <c r="DX50" s="809"/>
      <c r="DY50" s="809"/>
      <c r="DZ50" s="809"/>
      <c r="EA50" s="809"/>
      <c r="EB50" s="809"/>
      <c r="EC50" s="809"/>
      <c r="ED50" s="809"/>
      <c r="EE50" s="809"/>
      <c r="EF50" s="809"/>
      <c r="EG50" s="809"/>
      <c r="EH50" s="809"/>
      <c r="EI50" s="809"/>
      <c r="EJ50" s="809"/>
      <c r="EK50" s="809"/>
      <c r="EL50" s="809"/>
      <c r="EM50" s="809"/>
      <c r="EN50" s="809"/>
      <c r="EO50" s="809"/>
      <c r="EP50" s="809"/>
      <c r="EQ50" s="809"/>
      <c r="ER50" s="809"/>
      <c r="ES50" s="809"/>
      <c r="ET50" s="809"/>
      <c r="EU50" s="809"/>
      <c r="EV50" s="809"/>
      <c r="EW50" s="809"/>
      <c r="EX50" s="809"/>
      <c r="EY50" s="809"/>
      <c r="EZ50" s="809"/>
      <c r="FA50" s="809"/>
      <c r="FB50" s="809"/>
      <c r="FC50" s="809"/>
      <c r="FD50" s="809"/>
      <c r="FE50" s="809"/>
      <c r="FF50" s="809"/>
      <c r="FG50" s="809"/>
      <c r="FH50" s="809"/>
      <c r="FI50" s="809"/>
      <c r="FJ50" s="809"/>
      <c r="FK50" s="809"/>
      <c r="FL50" s="809"/>
      <c r="FM50" s="809"/>
      <c r="FN50" s="809"/>
      <c r="FO50" s="809"/>
      <c r="FP50" s="809"/>
      <c r="FQ50" s="809"/>
      <c r="FR50" s="809"/>
      <c r="FS50" s="809"/>
      <c r="FT50" s="809"/>
      <c r="FU50" s="809"/>
      <c r="FV50" s="809"/>
      <c r="FW50" s="809"/>
      <c r="FX50" s="809"/>
      <c r="FY50" s="809"/>
      <c r="FZ50" s="809"/>
      <c r="GA50" s="809"/>
      <c r="GB50" s="809"/>
      <c r="GC50" s="809"/>
      <c r="GD50" s="809"/>
      <c r="GE50" s="809"/>
      <c r="GF50" s="809"/>
      <c r="GG50" s="809"/>
      <c r="GH50" s="809"/>
      <c r="GI50" s="809"/>
      <c r="GJ50" s="809"/>
      <c r="GK50" s="809"/>
      <c r="GL50" s="809"/>
      <c r="GM50" s="809"/>
      <c r="GN50" s="809"/>
      <c r="GO50" s="809"/>
      <c r="GP50" s="809"/>
      <c r="GQ50" s="809"/>
      <c r="GR50" s="809"/>
      <c r="GS50" s="809"/>
      <c r="GT50" s="809"/>
      <c r="GU50" s="809"/>
      <c r="GV50" s="809"/>
      <c r="GW50" s="809"/>
      <c r="GX50" s="809"/>
      <c r="GY50" s="809"/>
      <c r="GZ50" s="809"/>
      <c r="HA50" s="809"/>
      <c r="HB50" s="809"/>
      <c r="HC50" s="809"/>
      <c r="HD50" s="809"/>
      <c r="HE50" s="809"/>
      <c r="HF50" s="809"/>
      <c r="HG50" s="809"/>
      <c r="HH50" s="809"/>
      <c r="HI50" s="809"/>
      <c r="HJ50" s="809"/>
      <c r="HK50" s="809"/>
      <c r="HL50" s="809"/>
      <c r="HM50" s="809"/>
      <c r="HN50" s="809"/>
      <c r="HO50" s="809"/>
      <c r="HP50" s="809"/>
      <c r="HQ50" s="809"/>
      <c r="HR50" s="809"/>
      <c r="HS50" s="809"/>
      <c r="HT50" s="809"/>
      <c r="HU50" s="809"/>
      <c r="HV50" s="809"/>
      <c r="HW50" s="809"/>
      <c r="HX50" s="809"/>
      <c r="HY50" s="809"/>
      <c r="HZ50" s="809"/>
      <c r="IA50" s="809"/>
      <c r="IB50" s="809"/>
      <c r="IC50" s="809"/>
      <c r="ID50" s="809"/>
      <c r="IE50" s="809"/>
      <c r="IF50" s="809"/>
      <c r="IG50" s="809"/>
      <c r="IH50" s="809"/>
      <c r="II50" s="809"/>
      <c r="IJ50" s="809"/>
      <c r="IK50" s="809"/>
      <c r="IL50" s="809"/>
      <c r="IM50" s="809"/>
      <c r="IN50" s="809"/>
      <c r="IO50" s="809"/>
      <c r="IP50" s="809"/>
      <c r="IQ50" s="809"/>
      <c r="IR50" s="809"/>
      <c r="IS50" s="809"/>
      <c r="IT50" s="809"/>
      <c r="IU50" s="809"/>
      <c r="IV50" s="809"/>
      <c r="IW50" s="809"/>
    </row>
    <row r="51" customFormat="false" ht="11.25" hidden="false" customHeight="false" outlineLevel="0" collapsed="false">
      <c r="A51" s="397"/>
      <c r="B51" s="600"/>
      <c r="C51" s="371"/>
      <c r="D51" s="703"/>
      <c r="E51" s="703"/>
      <c r="F51" s="703"/>
      <c r="G51" s="703"/>
      <c r="H51" s="703"/>
      <c r="I51" s="703"/>
      <c r="J51" s="703"/>
      <c r="K51" s="703"/>
      <c r="L51" s="703"/>
      <c r="M51" s="703"/>
      <c r="N51" s="703"/>
      <c r="O51" s="703"/>
      <c r="P51" s="703"/>
      <c r="Q51" s="703"/>
      <c r="R51" s="703"/>
      <c r="S51" s="703"/>
      <c r="T51" s="703"/>
      <c r="U51" s="703"/>
      <c r="V51" s="703"/>
      <c r="W51" s="703"/>
      <c r="X51" s="703"/>
      <c r="Y51" s="703"/>
      <c r="Z51" s="703"/>
      <c r="AA51" s="703"/>
      <c r="AB51" s="704"/>
      <c r="AE51" s="809"/>
      <c r="AF51" s="809"/>
      <c r="AG51" s="809"/>
      <c r="AH51" s="809"/>
      <c r="AI51" s="809"/>
      <c r="AJ51" s="809"/>
      <c r="AK51" s="809"/>
      <c r="AL51" s="809"/>
      <c r="AM51" s="809"/>
      <c r="AN51" s="809"/>
      <c r="AO51" s="809"/>
      <c r="AP51" s="809"/>
      <c r="AQ51" s="809"/>
      <c r="AR51" s="809"/>
      <c r="AS51" s="809"/>
      <c r="AT51" s="809"/>
      <c r="AU51" s="809"/>
      <c r="AV51" s="809"/>
      <c r="AW51" s="809"/>
      <c r="AX51" s="809"/>
      <c r="AY51" s="809"/>
      <c r="AZ51" s="809"/>
      <c r="BA51" s="809"/>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c r="CD51" s="809"/>
      <c r="CE51" s="809"/>
      <c r="CF51" s="809"/>
      <c r="CG51" s="809"/>
      <c r="CH51" s="809"/>
      <c r="CI51" s="809"/>
      <c r="CJ51" s="809"/>
      <c r="CK51" s="809"/>
      <c r="CL51" s="809"/>
      <c r="CM51" s="809"/>
      <c r="CN51" s="809"/>
      <c r="CO51" s="809"/>
      <c r="CP51" s="809"/>
      <c r="CQ51" s="809"/>
      <c r="CR51" s="809"/>
      <c r="CS51" s="809"/>
      <c r="CT51" s="809"/>
      <c r="CU51" s="809"/>
      <c r="CV51" s="809"/>
      <c r="CW51" s="809"/>
      <c r="CX51" s="809"/>
      <c r="CY51" s="809"/>
      <c r="CZ51" s="809"/>
      <c r="DA51" s="809"/>
      <c r="DB51" s="809"/>
      <c r="DC51" s="809"/>
      <c r="DD51" s="809"/>
      <c r="DE51" s="809"/>
      <c r="DF51" s="809"/>
      <c r="DG51" s="809"/>
      <c r="DH51" s="809"/>
      <c r="DI51" s="809"/>
      <c r="DJ51" s="809"/>
      <c r="DK51" s="809"/>
      <c r="DL51" s="809"/>
      <c r="DM51" s="809"/>
      <c r="DN51" s="809"/>
      <c r="DO51" s="809"/>
      <c r="DP51" s="809"/>
      <c r="DQ51" s="809"/>
      <c r="DR51" s="809"/>
      <c r="DS51" s="809"/>
      <c r="DT51" s="809"/>
      <c r="DU51" s="809"/>
      <c r="DV51" s="809"/>
      <c r="DW51" s="809"/>
      <c r="DX51" s="809"/>
      <c r="DY51" s="809"/>
      <c r="DZ51" s="809"/>
      <c r="EA51" s="809"/>
      <c r="EB51" s="809"/>
      <c r="EC51" s="809"/>
      <c r="ED51" s="809"/>
      <c r="EE51" s="809"/>
      <c r="EF51" s="809"/>
      <c r="EG51" s="809"/>
      <c r="EH51" s="809"/>
      <c r="EI51" s="809"/>
      <c r="EJ51" s="809"/>
      <c r="EK51" s="809"/>
      <c r="EL51" s="809"/>
      <c r="EM51" s="809"/>
      <c r="EN51" s="809"/>
      <c r="EO51" s="809"/>
      <c r="EP51" s="809"/>
      <c r="EQ51" s="809"/>
      <c r="ER51" s="809"/>
      <c r="ES51" s="809"/>
      <c r="ET51" s="809"/>
      <c r="EU51" s="809"/>
      <c r="EV51" s="809"/>
      <c r="EW51" s="809"/>
      <c r="EX51" s="809"/>
      <c r="EY51" s="809"/>
      <c r="EZ51" s="809"/>
      <c r="FA51" s="809"/>
      <c r="FB51" s="809"/>
      <c r="FC51" s="809"/>
      <c r="FD51" s="809"/>
      <c r="FE51" s="809"/>
      <c r="FF51" s="809"/>
      <c r="FG51" s="809"/>
      <c r="FH51" s="809"/>
      <c r="FI51" s="809"/>
      <c r="FJ51" s="809"/>
      <c r="FK51" s="809"/>
      <c r="FL51" s="809"/>
      <c r="FM51" s="809"/>
      <c r="FN51" s="809"/>
      <c r="FO51" s="809"/>
      <c r="FP51" s="809"/>
      <c r="FQ51" s="809"/>
      <c r="FR51" s="809"/>
      <c r="FS51" s="809"/>
      <c r="FT51" s="809"/>
      <c r="FU51" s="809"/>
      <c r="FV51" s="809"/>
      <c r="FW51" s="809"/>
      <c r="FX51" s="809"/>
      <c r="FY51" s="809"/>
      <c r="FZ51" s="809"/>
      <c r="GA51" s="809"/>
      <c r="GB51" s="809"/>
      <c r="GC51" s="809"/>
      <c r="GD51" s="809"/>
      <c r="GE51" s="809"/>
      <c r="GF51" s="809"/>
      <c r="GG51" s="809"/>
      <c r="GH51" s="809"/>
      <c r="GI51" s="809"/>
      <c r="GJ51" s="809"/>
      <c r="GK51" s="809"/>
      <c r="GL51" s="809"/>
      <c r="GM51" s="809"/>
      <c r="GN51" s="809"/>
      <c r="GO51" s="809"/>
      <c r="GP51" s="809"/>
      <c r="GQ51" s="809"/>
      <c r="GR51" s="809"/>
      <c r="GS51" s="809"/>
      <c r="GT51" s="809"/>
      <c r="GU51" s="809"/>
      <c r="GV51" s="809"/>
      <c r="GW51" s="809"/>
      <c r="GX51" s="809"/>
      <c r="GY51" s="809"/>
      <c r="GZ51" s="809"/>
      <c r="HA51" s="809"/>
      <c r="HB51" s="809"/>
      <c r="HC51" s="809"/>
      <c r="HD51" s="809"/>
      <c r="HE51" s="809"/>
      <c r="HF51" s="809"/>
      <c r="HG51" s="809"/>
      <c r="HH51" s="809"/>
      <c r="HI51" s="809"/>
      <c r="HJ51" s="809"/>
      <c r="HK51" s="809"/>
      <c r="HL51" s="809"/>
      <c r="HM51" s="809"/>
      <c r="HN51" s="809"/>
      <c r="HO51" s="809"/>
      <c r="HP51" s="809"/>
      <c r="HQ51" s="809"/>
      <c r="HR51" s="809"/>
      <c r="HS51" s="809"/>
      <c r="HT51" s="809"/>
      <c r="HU51" s="809"/>
      <c r="HV51" s="809"/>
      <c r="HW51" s="809"/>
      <c r="HX51" s="809"/>
      <c r="HY51" s="809"/>
      <c r="HZ51" s="809"/>
      <c r="IA51" s="809"/>
      <c r="IB51" s="809"/>
      <c r="IC51" s="809"/>
      <c r="ID51" s="809"/>
      <c r="IE51" s="809"/>
      <c r="IF51" s="809"/>
      <c r="IG51" s="809"/>
      <c r="IH51" s="809"/>
      <c r="II51" s="809"/>
      <c r="IJ51" s="809"/>
      <c r="IK51" s="809"/>
      <c r="IL51" s="809"/>
      <c r="IM51" s="809"/>
      <c r="IN51" s="809"/>
      <c r="IO51" s="809"/>
      <c r="IP51" s="809"/>
      <c r="IQ51" s="809"/>
      <c r="IR51" s="809"/>
      <c r="IS51" s="809"/>
      <c r="IT51" s="809"/>
      <c r="IU51" s="809"/>
      <c r="IV51" s="809"/>
      <c r="IW51" s="809"/>
    </row>
    <row r="52" customFormat="false" ht="11.25" hidden="false" customHeight="false" outlineLevel="0" collapsed="false">
      <c r="A52" s="810" t="s">
        <v>624</v>
      </c>
      <c r="B52" s="811"/>
      <c r="C52" s="812"/>
      <c r="D52" s="813" t="n">
        <f aca="false">IF(AND('Project Assumptions'!$C$65="No",D47&lt;0),D47,IF(AND('Project Assumptions'!$C$65="No",D47&gt;0),D47,IF(D47&lt;0,0,(D47-D50))))</f>
        <v>0</v>
      </c>
      <c r="E52" s="813" t="n">
        <f aca="false">IF(AND('Project Assumptions'!$C$65="No",E47&lt;0),E47,IF(AND('Project Assumptions'!$C$65="No",E47&gt;0),E47,IF(E47&lt;0,0,(E47-E50))))</f>
        <v>0</v>
      </c>
      <c r="F52" s="813" t="n">
        <f aca="false">IF(AND('Project Assumptions'!$C$65="No",F47&lt;0),F47,IF(AND('Project Assumptions'!$C$65="No",F47&gt;0),F47,IF(F47&lt;0,0,(F47-F50))))</f>
        <v>0</v>
      </c>
      <c r="G52" s="813" t="n">
        <f aca="false">IF(AND('Project Assumptions'!$C$65="No",G47&lt;0),G47,IF(AND('Project Assumptions'!$C$65="No",G47&gt;0),G47,IF(G47&lt;0,0,(G47-G50))))</f>
        <v>0</v>
      </c>
      <c r="H52" s="813" t="n">
        <f aca="false">IF(AND('Project Assumptions'!$C$65="No",H47&lt;0),H47,IF(AND('Project Assumptions'!$C$65="No",H47&gt;0),H47,IF(H47&lt;0,0,(H47-H50))))</f>
        <v>0</v>
      </c>
      <c r="I52" s="813" t="n">
        <f aca="false">IF(AND('Project Assumptions'!$C$65="No",I47&lt;0),I47,IF(AND('Project Assumptions'!$C$65="No",I47&gt;0),I47,IF(I47&lt;0,0,(I47-I50))))</f>
        <v>2200.21691330745</v>
      </c>
      <c r="J52" s="813" t="n">
        <f aca="false">IF(AND('Project Assumptions'!$C$65="No",J47&lt;0),J47,IF(AND('Project Assumptions'!$C$65="No",J47&gt;0),J47,IF(J47&lt;0,0,(J47-J50))))</f>
        <v>6583.66984351943</v>
      </c>
      <c r="K52" s="813" t="n">
        <f aca="false">IF(AND('Project Assumptions'!$C$65="No",K47&lt;0),K47,IF(AND('Project Assumptions'!$C$65="No",K47&gt;0),K47,IF(K47&lt;0,0,(K47-K50))))</f>
        <v>6960.8496886575</v>
      </c>
      <c r="L52" s="813" t="n">
        <f aca="false">IF(AND('Project Assumptions'!$C$65="No",L47&lt;0),L47,IF(AND('Project Assumptions'!$C$65="No",L47&gt;0),L47,IF(L47&lt;0,0,(L47-L50))))</f>
        <v>7351.29431258817</v>
      </c>
      <c r="M52" s="813" t="n">
        <f aca="false">IF(AND('Project Assumptions'!$C$65="No",M47&lt;0),M47,IF(AND('Project Assumptions'!$C$65="No",M47&gt;0),M47,IF(M47&lt;0,0,(M47-M50))))</f>
        <v>7869.65084994609</v>
      </c>
      <c r="N52" s="813" t="n">
        <f aca="false">IF(AND('Project Assumptions'!$C$65="No",N47&lt;0),N47,IF(AND('Project Assumptions'!$C$65="No",N47&gt;0),N47,IF(N47&lt;0,0,(N47-N50))))</f>
        <v>8479.93104181732</v>
      </c>
      <c r="O52" s="813" t="n">
        <f aca="false">IF(AND('Project Assumptions'!$C$65="No",O47&lt;0),O47,IF(AND('Project Assumptions'!$C$65="No",O47&gt;0),O47,IF(O47&lt;0,0,(O47-O50))))</f>
        <v>8735.25231282493</v>
      </c>
      <c r="P52" s="813" t="n">
        <f aca="false">IF(AND('Project Assumptions'!$C$65="No",P47&lt;0),P47,IF(AND('Project Assumptions'!$C$65="No",P47&gt;0),P47,IF(P47&lt;0,0,(P47-P50))))</f>
        <v>9028.63481708528</v>
      </c>
      <c r="Q52" s="813" t="n">
        <f aca="false">IF(AND('Project Assumptions'!$C$65="No",Q47&lt;0),Q47,IF(AND('Project Assumptions'!$C$65="No",Q47&gt;0),Q47,IF(Q47&lt;0,0,(Q47-Q50))))</f>
        <v>9314.58295142068</v>
      </c>
      <c r="R52" s="813" t="n">
        <f aca="false">IF(AND('Project Assumptions'!$C$65="No",R47&lt;0),R47,IF(AND('Project Assumptions'!$C$65="No",R47&gt;0),R47,IF(R47&lt;0,0,(R47-R50))))</f>
        <v>9597.67552882859</v>
      </c>
      <c r="S52" s="813" t="n">
        <f aca="false">IF(AND('Project Assumptions'!$C$65="No",S47&lt;0),S47,IF(AND('Project Assumptions'!$C$65="No",S47&gt;0),S47,IF(S47&lt;0,0,(S47-S50))))</f>
        <v>12273.466427912</v>
      </c>
      <c r="T52" s="813" t="n">
        <f aca="false">IF(AND('Project Assumptions'!$C$65="No",T47&lt;0),T47,IF(AND('Project Assumptions'!$C$65="No",T47&gt;0),T47,IF(T47&lt;0,0,(T47-T50))))</f>
        <v>14942.9610875687</v>
      </c>
      <c r="U52" s="813" t="n">
        <f aca="false">IF(AND('Project Assumptions'!$C$65="No",U47&lt;0),U47,IF(AND('Project Assumptions'!$C$65="No",U47&gt;0),U47,IF(U47&lt;0,0,(U47-U50))))</f>
        <v>15344.0891603873</v>
      </c>
      <c r="V52" s="813" t="n">
        <f aca="false">IF(AND('Project Assumptions'!$C$65="No",V47&lt;0),V47,IF(AND('Project Assumptions'!$C$65="No",V47&gt;0),V47,IF(V47&lt;0,0,(V47-V50))))</f>
        <v>15776.6013872515</v>
      </c>
      <c r="W52" s="813" t="n">
        <f aca="false">IF(AND('Project Assumptions'!$C$65="No",W47&lt;0),W47,IF(AND('Project Assumptions'!$C$65="No",W47&gt;0),W47,IF(W47&lt;0,0,(W47-W50))))</f>
        <v>15888.6812279857</v>
      </c>
      <c r="X52" s="813" t="n">
        <f aca="false">IF(AND('Project Assumptions'!$C$65="No",X47&lt;0),X47,IF(AND('Project Assumptions'!$C$65="No",X47&gt;0),X47,IF(X47&lt;0,0,(X47-X50))))</f>
        <v>6342.40392084483</v>
      </c>
      <c r="Y52" s="813" t="n">
        <f aca="false">IF(AND('Project Assumptions'!$C$65="No",Y47&lt;0),Y47,IF(AND('Project Assumptions'!$C$65="No",Y47&gt;0),Y47,IF(Y47&lt;0,0,(Y47-Y50))))</f>
        <v>0</v>
      </c>
      <c r="Z52" s="813" t="n">
        <f aca="false">IF(AND('Project Assumptions'!$C$65="No",Z47&lt;0),Z47,IF(AND('Project Assumptions'!$C$65="No",Z47&gt;0),Z47,IF(Z47&lt;0,0,(Z47-Z50))))</f>
        <v>0</v>
      </c>
      <c r="AA52" s="813" t="n">
        <f aca="false">IF(AND('Project Assumptions'!$C$65="No",AA47&lt;0),AA47,IF(AND('Project Assumptions'!$C$65="No",AA47&gt;0),AA47,IF(AA47&lt;0,0,(AA47-AA50))))</f>
        <v>0</v>
      </c>
      <c r="AB52" s="814" t="n">
        <f aca="false">IF(AND('Project Assumptions'!$C$65="No",AB47&lt;0),AB47,IF(AND('Project Assumptions'!$C$65="No",AB47&gt;0),AB47,IF(AB47&lt;0,0,(AB47-AB50))))</f>
        <v>0</v>
      </c>
      <c r="AE52" s="809"/>
      <c r="AF52" s="809"/>
      <c r="AG52" s="809"/>
      <c r="AH52" s="809"/>
      <c r="AI52" s="809"/>
      <c r="AJ52" s="809"/>
      <c r="AK52" s="809"/>
      <c r="AL52" s="809"/>
      <c r="AM52" s="809"/>
      <c r="AN52" s="809"/>
      <c r="AO52" s="809"/>
      <c r="AP52" s="809"/>
      <c r="AQ52" s="809"/>
      <c r="AR52" s="809"/>
      <c r="AS52" s="809"/>
      <c r="AT52" s="809"/>
      <c r="AU52" s="809"/>
      <c r="AV52" s="809"/>
      <c r="AW52" s="809"/>
      <c r="AX52" s="809"/>
      <c r="AY52" s="809"/>
      <c r="AZ52" s="809"/>
      <c r="BA52" s="809"/>
      <c r="BB52" s="809"/>
      <c r="BC52" s="809"/>
      <c r="BD52" s="809"/>
      <c r="BE52" s="809"/>
      <c r="BF52" s="809"/>
      <c r="BG52" s="809"/>
      <c r="BH52" s="809"/>
      <c r="BI52" s="809"/>
      <c r="BJ52" s="809"/>
      <c r="BK52" s="809"/>
      <c r="BL52" s="809"/>
      <c r="BM52" s="809"/>
      <c r="BN52" s="809"/>
      <c r="BO52" s="809"/>
      <c r="BP52" s="809"/>
      <c r="BQ52" s="809"/>
      <c r="BR52" s="809"/>
      <c r="BS52" s="809"/>
      <c r="BT52" s="809"/>
      <c r="BU52" s="809"/>
      <c r="BV52" s="809"/>
      <c r="BW52" s="809"/>
      <c r="BX52" s="809"/>
      <c r="BY52" s="809"/>
      <c r="BZ52" s="809"/>
      <c r="CA52" s="809"/>
      <c r="CB52" s="809"/>
      <c r="CC52" s="809"/>
      <c r="CD52" s="809"/>
      <c r="CE52" s="809"/>
      <c r="CF52" s="809"/>
      <c r="CG52" s="809"/>
      <c r="CH52" s="809"/>
      <c r="CI52" s="809"/>
      <c r="CJ52" s="809"/>
      <c r="CK52" s="809"/>
      <c r="CL52" s="809"/>
      <c r="CM52" s="809"/>
      <c r="CN52" s="809"/>
      <c r="CO52" s="809"/>
      <c r="CP52" s="809"/>
      <c r="CQ52" s="809"/>
      <c r="CR52" s="809"/>
      <c r="CS52" s="809"/>
      <c r="CT52" s="809"/>
      <c r="CU52" s="809"/>
      <c r="CV52" s="809"/>
      <c r="CW52" s="809"/>
      <c r="CX52" s="809"/>
      <c r="CY52" s="809"/>
      <c r="CZ52" s="809"/>
      <c r="DA52" s="809"/>
      <c r="DB52" s="809"/>
      <c r="DC52" s="809"/>
      <c r="DD52" s="809"/>
      <c r="DE52" s="809"/>
      <c r="DF52" s="809"/>
      <c r="DG52" s="809"/>
      <c r="DH52" s="809"/>
      <c r="DI52" s="809"/>
      <c r="DJ52" s="809"/>
      <c r="DK52" s="809"/>
      <c r="DL52" s="809"/>
      <c r="DM52" s="809"/>
      <c r="DN52" s="809"/>
      <c r="DO52" s="809"/>
      <c r="DP52" s="809"/>
      <c r="DQ52" s="809"/>
      <c r="DR52" s="809"/>
      <c r="DS52" s="809"/>
      <c r="DT52" s="809"/>
      <c r="DU52" s="809"/>
      <c r="DV52" s="809"/>
      <c r="DW52" s="809"/>
      <c r="DX52" s="809"/>
      <c r="DY52" s="809"/>
      <c r="DZ52" s="809"/>
      <c r="EA52" s="809"/>
      <c r="EB52" s="809"/>
      <c r="EC52" s="809"/>
      <c r="ED52" s="809"/>
      <c r="EE52" s="809"/>
      <c r="EF52" s="809"/>
      <c r="EG52" s="809"/>
      <c r="EH52" s="809"/>
      <c r="EI52" s="809"/>
      <c r="EJ52" s="809"/>
      <c r="EK52" s="809"/>
      <c r="EL52" s="809"/>
      <c r="EM52" s="809"/>
      <c r="EN52" s="809"/>
      <c r="EO52" s="809"/>
      <c r="EP52" s="809"/>
      <c r="EQ52" s="809"/>
      <c r="ER52" s="809"/>
      <c r="ES52" s="809"/>
      <c r="ET52" s="809"/>
      <c r="EU52" s="809"/>
      <c r="EV52" s="809"/>
      <c r="EW52" s="809"/>
      <c r="EX52" s="809"/>
      <c r="EY52" s="809"/>
      <c r="EZ52" s="809"/>
      <c r="FA52" s="809"/>
      <c r="FB52" s="809"/>
      <c r="FC52" s="809"/>
      <c r="FD52" s="809"/>
      <c r="FE52" s="809"/>
      <c r="FF52" s="809"/>
      <c r="FG52" s="809"/>
      <c r="FH52" s="809"/>
      <c r="FI52" s="809"/>
      <c r="FJ52" s="809"/>
      <c r="FK52" s="809"/>
      <c r="FL52" s="809"/>
      <c r="FM52" s="809"/>
      <c r="FN52" s="809"/>
      <c r="FO52" s="809"/>
      <c r="FP52" s="809"/>
      <c r="FQ52" s="809"/>
      <c r="FR52" s="809"/>
      <c r="FS52" s="809"/>
      <c r="FT52" s="809"/>
      <c r="FU52" s="809"/>
      <c r="FV52" s="809"/>
      <c r="FW52" s="809"/>
      <c r="FX52" s="809"/>
      <c r="FY52" s="809"/>
      <c r="FZ52" s="809"/>
      <c r="GA52" s="809"/>
      <c r="GB52" s="809"/>
      <c r="GC52" s="809"/>
      <c r="GD52" s="809"/>
      <c r="GE52" s="809"/>
      <c r="GF52" s="809"/>
      <c r="GG52" s="809"/>
      <c r="GH52" s="809"/>
      <c r="GI52" s="809"/>
      <c r="GJ52" s="809"/>
      <c r="GK52" s="809"/>
      <c r="GL52" s="809"/>
      <c r="GM52" s="809"/>
      <c r="GN52" s="809"/>
      <c r="GO52" s="809"/>
      <c r="GP52" s="809"/>
      <c r="GQ52" s="809"/>
      <c r="GR52" s="809"/>
      <c r="GS52" s="809"/>
      <c r="GT52" s="809"/>
      <c r="GU52" s="809"/>
      <c r="GV52" s="809"/>
      <c r="GW52" s="809"/>
      <c r="GX52" s="809"/>
      <c r="GY52" s="809"/>
      <c r="GZ52" s="809"/>
      <c r="HA52" s="809"/>
      <c r="HB52" s="809"/>
      <c r="HC52" s="809"/>
      <c r="HD52" s="809"/>
      <c r="HE52" s="809"/>
      <c r="HF52" s="809"/>
      <c r="HG52" s="809"/>
      <c r="HH52" s="809"/>
      <c r="HI52" s="809"/>
      <c r="HJ52" s="809"/>
      <c r="HK52" s="809"/>
      <c r="HL52" s="809"/>
      <c r="HM52" s="809"/>
      <c r="HN52" s="809"/>
      <c r="HO52" s="809"/>
      <c r="HP52" s="809"/>
      <c r="HQ52" s="809"/>
      <c r="HR52" s="809"/>
      <c r="HS52" s="809"/>
      <c r="HT52" s="809"/>
      <c r="HU52" s="809"/>
      <c r="HV52" s="809"/>
      <c r="HW52" s="809"/>
      <c r="HX52" s="809"/>
      <c r="HY52" s="809"/>
      <c r="HZ52" s="809"/>
      <c r="IA52" s="809"/>
      <c r="IB52" s="809"/>
      <c r="IC52" s="809"/>
      <c r="ID52" s="809"/>
      <c r="IE52" s="809"/>
      <c r="IF52" s="809"/>
      <c r="IG52" s="809"/>
      <c r="IH52" s="809"/>
      <c r="II52" s="809"/>
      <c r="IJ52" s="809"/>
      <c r="IK52" s="809"/>
      <c r="IL52" s="809"/>
      <c r="IM52" s="809"/>
      <c r="IN52" s="809"/>
      <c r="IO52" s="809"/>
      <c r="IP52" s="809"/>
      <c r="IQ52" s="809"/>
      <c r="IR52" s="809"/>
      <c r="IS52" s="809"/>
      <c r="IT52" s="809"/>
      <c r="IU52" s="809"/>
      <c r="IV52" s="809"/>
      <c r="IW52" s="809"/>
    </row>
    <row r="53" customFormat="false" ht="12.75" hidden="false" customHeight="false" outlineLevel="0" collapsed="false">
      <c r="A53" s="432"/>
      <c r="B53" s="600"/>
      <c r="D53" s="703"/>
      <c r="E53" s="703"/>
      <c r="F53" s="703"/>
      <c r="G53" s="703"/>
      <c r="H53" s="703"/>
      <c r="I53" s="703"/>
      <c r="J53" s="703"/>
      <c r="K53" s="703"/>
      <c r="L53" s="703"/>
      <c r="M53" s="703"/>
      <c r="N53" s="703"/>
      <c r="O53" s="703"/>
      <c r="P53" s="703"/>
      <c r="Q53" s="703"/>
      <c r="R53" s="703"/>
      <c r="S53" s="703"/>
      <c r="T53" s="703"/>
      <c r="U53" s="703"/>
      <c r="V53" s="703"/>
      <c r="W53" s="703"/>
      <c r="X53" s="703"/>
      <c r="Y53" s="703"/>
      <c r="Z53" s="703"/>
      <c r="AA53" s="703"/>
      <c r="AB53" s="703"/>
    </row>
    <row r="54" customFormat="false" ht="12.75" hidden="false" customHeight="false" outlineLevel="0" collapsed="false">
      <c r="A54" s="815" t="s">
        <v>580</v>
      </c>
      <c r="B54" s="515"/>
      <c r="C54" s="816"/>
      <c r="D54" s="816"/>
      <c r="E54" s="816"/>
      <c r="F54" s="816"/>
      <c r="G54" s="816"/>
      <c r="H54" s="816"/>
      <c r="I54" s="816"/>
      <c r="J54" s="816"/>
      <c r="K54" s="816"/>
      <c r="L54" s="816"/>
      <c r="M54" s="816"/>
      <c r="N54" s="816"/>
      <c r="O54" s="816"/>
      <c r="P54" s="816"/>
      <c r="Q54" s="816"/>
      <c r="R54" s="816"/>
      <c r="S54" s="816"/>
      <c r="T54" s="816"/>
      <c r="U54" s="816"/>
      <c r="V54" s="816"/>
      <c r="W54" s="816"/>
      <c r="X54" s="816"/>
      <c r="Y54" s="816"/>
      <c r="Z54" s="816"/>
      <c r="AA54" s="816"/>
      <c r="AB54" s="817"/>
    </row>
    <row r="55" customFormat="false" ht="11.25" hidden="false" customHeight="false" outlineLevel="0" collapsed="false">
      <c r="A55" s="397"/>
      <c r="B55" s="371"/>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402"/>
    </row>
    <row r="56" customFormat="false" ht="11.25" hidden="false" customHeight="false" outlineLevel="0" collapsed="false">
      <c r="A56" s="397" t="s">
        <v>625</v>
      </c>
      <c r="B56" s="371"/>
      <c r="C56" s="371"/>
      <c r="D56" s="21" t="n">
        <f aca="false">'Cash Flow Statement'!D22+'Cash Flow Statement'!D10</f>
        <v>0</v>
      </c>
      <c r="E56" s="21" t="n">
        <f aca="false">'Cash Flow Statement'!E22+'Cash Flow Statement'!E10</f>
        <v>349.8690210156</v>
      </c>
      <c r="F56" s="21" t="n">
        <f aca="false">'Cash Flow Statement'!F22+'Cash Flow Statement'!F10</f>
        <v>349.8690210156</v>
      </c>
      <c r="G56" s="21" t="n">
        <f aca="false">'Cash Flow Statement'!G22+'Cash Flow Statement'!G10</f>
        <v>349.8690210156</v>
      </c>
      <c r="H56" s="21" t="n">
        <f aca="false">'Cash Flow Statement'!H22+'Cash Flow Statement'!H10</f>
        <v>349.8690210156</v>
      </c>
      <c r="I56" s="21" t="n">
        <f aca="false">'Cash Flow Statement'!I22+'Cash Flow Statement'!I10</f>
        <v>3036.35913398899</v>
      </c>
      <c r="J56" s="21" t="n">
        <f aca="false">'Cash Flow Statement'!J22+'Cash Flow Statement'!J10</f>
        <v>8346.62120793951</v>
      </c>
      <c r="K56" s="21" t="n">
        <f aca="false">'Cash Flow Statement'!K22+'Cash Flow Statement'!K10</f>
        <v>8807.1621294494</v>
      </c>
      <c r="L56" s="21" t="n">
        <f aca="false">'Cash Flow Statement'!L22+'Cash Flow Statement'!L10</f>
        <v>9283.89949816483</v>
      </c>
      <c r="M56" s="21" t="n">
        <f aca="false">'Cash Flow Statement'!M22+'Cash Flow Statement'!M10</f>
        <v>9916.81878179756</v>
      </c>
      <c r="N56" s="21" t="n">
        <f aca="false">'Cash Flow Statement'!N22+'Cash Flow Statement'!N10</f>
        <v>10619.9936204921</v>
      </c>
      <c r="O56" s="21" t="n">
        <f aca="false">'Cash Flow Statement'!O22+'Cash Flow Statement'!O10</f>
        <v>10931.7438238675</v>
      </c>
      <c r="P56" s="21" t="n">
        <f aca="false">'Cash Flow Statement'!P22+'Cash Flow Statement'!P10</f>
        <v>11289.9672300452</v>
      </c>
      <c r="Q56" s="21" t="n">
        <f aca="false">'Cash Flow Statement'!Q22+'Cash Flow Statement'!Q10</f>
        <v>11639.1131851868</v>
      </c>
      <c r="R56" s="21" t="n">
        <f aca="false">'Cash Flow Statement'!R22+'Cash Flow Statement'!R10</f>
        <v>11942.7881900118</v>
      </c>
      <c r="S56" s="21" t="n">
        <f aca="false">'Cash Flow Statement'!S22+'Cash Flow Statement'!S10</f>
        <v>15209.9595999278</v>
      </c>
      <c r="T56" s="21" t="n">
        <f aca="false">'Cash Flow Statement'!T22+'Cash Flow Statement'!T10</f>
        <v>18469.4432292135</v>
      </c>
      <c r="U56" s="21" t="n">
        <f aca="false">'Cash Flow Statement'!U22+'Cash Flow Statement'!U10</f>
        <v>18959.2252116832</v>
      </c>
      <c r="V56" s="21" t="n">
        <f aca="false">'Cash Flow Statement'!V22+'Cash Flow Statement'!V10</f>
        <v>19445.3433240584</v>
      </c>
      <c r="W56" s="21" t="n">
        <f aca="false">'Cash Flow Statement'!W22+'Cash Flow Statement'!W10</f>
        <v>19582.1940964413</v>
      </c>
      <c r="X56" s="21" t="n">
        <f aca="false">'Cash Flow Statement'!X22+'Cash Flow Statement'!X10</f>
        <v>7926.07989868974</v>
      </c>
      <c r="Y56" s="21" t="n">
        <f aca="false">'Cash Flow Statement'!Y22+'Cash Flow Statement'!Y10</f>
        <v>0</v>
      </c>
      <c r="Z56" s="21" t="n">
        <f aca="false">'Cash Flow Statement'!Z22+'Cash Flow Statement'!Z10</f>
        <v>0</v>
      </c>
      <c r="AA56" s="21" t="n">
        <f aca="false">'Cash Flow Statement'!AA22+'Cash Flow Statement'!AA10</f>
        <v>0</v>
      </c>
      <c r="AB56" s="22" t="n">
        <f aca="false">'Cash Flow Statement'!AB22+'Cash Flow Statement'!AB10</f>
        <v>0</v>
      </c>
    </row>
    <row r="57" customFormat="false" ht="11.25" hidden="false" customHeight="false" outlineLevel="0" collapsed="false">
      <c r="A57" s="397" t="s">
        <v>626</v>
      </c>
      <c r="B57" s="371"/>
      <c r="C57" s="371"/>
      <c r="D57" s="818" t="n">
        <f aca="false">'Book Income Statement'!D76+'Book Income Statement'!D55</f>
        <v>-1236.74003473027</v>
      </c>
      <c r="E57" s="818" t="n">
        <f aca="false">'Book Income Statement'!E76+'Book Income Statement'!E55</f>
        <v>2376.79480427271</v>
      </c>
      <c r="F57" s="818" t="n">
        <f aca="false">'Book Income Statement'!F76+'Book Income Statement'!F55</f>
        <v>2544.71583364999</v>
      </c>
      <c r="G57" s="818" t="n">
        <f aca="false">'Book Income Statement'!G76+'Book Income Statement'!G55</f>
        <v>6803.78497680849</v>
      </c>
      <c r="H57" s="818" t="n">
        <f aca="false">'Book Income Statement'!H76+'Book Income Statement'!H55</f>
        <v>10251.5175953235</v>
      </c>
      <c r="I57" s="818" t="n">
        <f aca="false">'Book Income Statement'!I76+'Book Income Statement'!I55</f>
        <v>11058.4787785115</v>
      </c>
      <c r="J57" s="818" t="n">
        <f aca="false">'Book Income Statement'!J76+'Book Income Statement'!J55</f>
        <v>11235.3919292997</v>
      </c>
      <c r="K57" s="818" t="n">
        <f aca="false">'Book Income Statement'!K76+'Book Income Statement'!K55</f>
        <v>11705.8941291591</v>
      </c>
      <c r="L57" s="818" t="n">
        <f aca="false">'Book Income Statement'!L76+'Book Income Statement'!L55</f>
        <v>12172.670219525</v>
      </c>
      <c r="M57" s="818" t="n">
        <f aca="false">'Book Income Statement'!M76+'Book Income Statement'!M55</f>
        <v>12773.5664989854</v>
      </c>
      <c r="N57" s="818" t="n">
        <f aca="false">'Book Income Statement'!N76+'Book Income Statement'!N55</f>
        <v>13508.7643418523</v>
      </c>
      <c r="O57" s="818" t="n">
        <f aca="false">'Book Income Statement'!O76+'Book Income Statement'!O55</f>
        <v>13830.4758235773</v>
      </c>
      <c r="P57" s="818" t="n">
        <f aca="false">'Book Income Statement'!P76+'Book Income Statement'!P55</f>
        <v>14178.7379514054</v>
      </c>
      <c r="Q57" s="818" t="n">
        <f aca="false">'Book Income Statement'!Q76+'Book Income Statement'!Q55</f>
        <v>14495.8609023746</v>
      </c>
      <c r="R57" s="818" t="n">
        <f aca="false">'Book Income Statement'!R76+'Book Income Statement'!R55</f>
        <v>14831.558911372</v>
      </c>
      <c r="S57" s="818" t="n">
        <f aca="false">'Book Income Statement'!S76+'Book Income Statement'!S55</f>
        <v>15160.1532081802</v>
      </c>
      <c r="T57" s="818" t="n">
        <f aca="false">'Book Income Statement'!T76+'Book Income Statement'!T55</f>
        <v>15481.0597243581</v>
      </c>
      <c r="U57" s="818" t="n">
        <f aca="false">'Book Income Statement'!U76+'Book Income Statement'!U55</f>
        <v>15928.857424306</v>
      </c>
      <c r="V57" s="818" t="n">
        <f aca="false">'Book Income Statement'!V76+'Book Income Statement'!V55</f>
        <v>16456.959819203</v>
      </c>
      <c r="W57" s="818" t="n">
        <f aca="false">'Book Income Statement'!W76+'Book Income Statement'!W55</f>
        <v>16593.8105915859</v>
      </c>
      <c r="X57" s="818" t="n">
        <f aca="false">'Book Income Statement'!X76+'Book Income Statement'!X55</f>
        <v>4937.69639383434</v>
      </c>
      <c r="Y57" s="818" t="n">
        <f aca="false">'Book Income Statement'!Y76+'Book Income Statement'!Y55</f>
        <v>0</v>
      </c>
      <c r="Z57" s="818" t="n">
        <f aca="false">'Book Income Statement'!Z76+'Book Income Statement'!Z55</f>
        <v>0</v>
      </c>
      <c r="AA57" s="818" t="n">
        <f aca="false">'Book Income Statement'!AA76+'Book Income Statement'!AA55</f>
        <v>0</v>
      </c>
      <c r="AB57" s="819" t="n">
        <f aca="false">'Book Income Statement'!AB76+'Book Income Statement'!AB55</f>
        <v>0</v>
      </c>
    </row>
    <row r="58" customFormat="false" ht="11.25" hidden="false" customHeight="false" outlineLevel="0" collapsed="false">
      <c r="A58" s="397" t="s">
        <v>627</v>
      </c>
      <c r="B58" s="371"/>
      <c r="C58" s="371"/>
      <c r="D58" s="21" t="n">
        <f aca="false">D57-D56</f>
        <v>-1236.74003473027</v>
      </c>
      <c r="E58" s="21" t="n">
        <f aca="false">E57-E56</f>
        <v>2026.92578325711</v>
      </c>
      <c r="F58" s="21" t="n">
        <f aca="false">F57-F56</f>
        <v>2194.84681263439</v>
      </c>
      <c r="G58" s="21" t="n">
        <f aca="false">G57-G56</f>
        <v>6453.91595579289</v>
      </c>
      <c r="H58" s="21" t="n">
        <f aca="false">H57-H56</f>
        <v>9901.64857430793</v>
      </c>
      <c r="I58" s="21" t="n">
        <f aca="false">I57-I56</f>
        <v>8022.11964452256</v>
      </c>
      <c r="J58" s="21" t="n">
        <f aca="false">J57-J56</f>
        <v>2888.77072136022</v>
      </c>
      <c r="K58" s="21" t="n">
        <f aca="false">K57-K56</f>
        <v>2898.73199970974</v>
      </c>
      <c r="L58" s="21" t="n">
        <f aca="false">L57-L56</f>
        <v>2888.77072136022</v>
      </c>
      <c r="M58" s="21" t="n">
        <f aca="false">M57-M56</f>
        <v>2856.74771718786</v>
      </c>
      <c r="N58" s="21" t="n">
        <f aca="false">N57-N56</f>
        <v>2888.77072136022</v>
      </c>
      <c r="O58" s="21" t="n">
        <f aca="false">O57-O56</f>
        <v>2898.73199970974</v>
      </c>
      <c r="P58" s="21" t="n">
        <f aca="false">P57-P56</f>
        <v>2888.77072136022</v>
      </c>
      <c r="Q58" s="21" t="n">
        <f aca="false">Q57-Q56</f>
        <v>2856.74771718787</v>
      </c>
      <c r="R58" s="21" t="n">
        <f aca="false">R57-R56</f>
        <v>2888.77072136022</v>
      </c>
      <c r="S58" s="21" t="n">
        <f aca="false">S57-S56</f>
        <v>-49.8063917475902</v>
      </c>
      <c r="T58" s="21" t="n">
        <f aca="false">T57-T56</f>
        <v>-2988.3835048554</v>
      </c>
      <c r="U58" s="21" t="n">
        <f aca="false">U57-U56</f>
        <v>-3030.36778737727</v>
      </c>
      <c r="V58" s="21" t="n">
        <f aca="false">V57-V56</f>
        <v>-2988.3835048554</v>
      </c>
      <c r="W58" s="21" t="n">
        <f aca="false">W57-W56</f>
        <v>-2988.3835048554</v>
      </c>
      <c r="X58" s="21" t="n">
        <f aca="false">X57-X56</f>
        <v>-2988.3835048554</v>
      </c>
      <c r="Y58" s="21" t="n">
        <f aca="false">Y57-Y56</f>
        <v>0</v>
      </c>
      <c r="Z58" s="21" t="n">
        <f aca="false">Z57-Z56</f>
        <v>0</v>
      </c>
      <c r="AA58" s="21" t="n">
        <f aca="false">AA57-AA56</f>
        <v>0</v>
      </c>
      <c r="AB58" s="22" t="n">
        <f aca="false">AB57-AB56</f>
        <v>0</v>
      </c>
    </row>
    <row r="59" customFormat="false" ht="11.25" hidden="false" customHeight="false" outlineLevel="0" collapsed="false">
      <c r="A59" s="397"/>
      <c r="B59" s="371"/>
      <c r="C59" s="371"/>
      <c r="D59" s="371"/>
      <c r="E59" s="371"/>
      <c r="F59" s="371"/>
      <c r="G59" s="371"/>
      <c r="H59" s="371"/>
      <c r="I59" s="371"/>
      <c r="J59" s="371"/>
      <c r="K59" s="371"/>
      <c r="L59" s="371"/>
      <c r="M59" s="371"/>
      <c r="N59" s="371"/>
      <c r="O59" s="371"/>
      <c r="P59" s="371"/>
      <c r="Q59" s="371"/>
      <c r="R59" s="371"/>
      <c r="S59" s="371"/>
      <c r="T59" s="371"/>
      <c r="U59" s="371"/>
      <c r="V59" s="371"/>
      <c r="W59" s="371"/>
      <c r="X59" s="371"/>
      <c r="Y59" s="371"/>
      <c r="Z59" s="371"/>
      <c r="AA59" s="371"/>
      <c r="AB59" s="402"/>
    </row>
    <row r="60" customFormat="false" ht="11.25" hidden="false" customHeight="false" outlineLevel="0" collapsed="false">
      <c r="A60" s="449" t="s">
        <v>628</v>
      </c>
      <c r="B60" s="467"/>
      <c r="C60" s="467"/>
      <c r="D60" s="26" t="n">
        <f aca="false">D58+C60</f>
        <v>-1236.74003473027</v>
      </c>
      <c r="E60" s="26" t="n">
        <f aca="false">E58+D60</f>
        <v>790.185748526842</v>
      </c>
      <c r="F60" s="26" t="n">
        <f aca="false">F58+E60</f>
        <v>2985.03256116123</v>
      </c>
      <c r="G60" s="26" t="n">
        <f aca="false">G58+F60</f>
        <v>9438.94851695412</v>
      </c>
      <c r="H60" s="26" t="n">
        <f aca="false">H58+G60</f>
        <v>19340.5970912621</v>
      </c>
      <c r="I60" s="26" t="n">
        <f aca="false">I58+H60</f>
        <v>27362.7167357846</v>
      </c>
      <c r="J60" s="26" t="n">
        <f aca="false">J58+I60</f>
        <v>30251.4874571448</v>
      </c>
      <c r="K60" s="26" t="n">
        <f aca="false">K58+J60</f>
        <v>33150.2194568546</v>
      </c>
      <c r="L60" s="26" t="n">
        <f aca="false">L58+K60</f>
        <v>36038.9901782148</v>
      </c>
      <c r="M60" s="26" t="n">
        <f aca="false">M58+L60</f>
        <v>38895.7378954027</v>
      </c>
      <c r="N60" s="26" t="n">
        <f aca="false">N58+M60</f>
        <v>41784.5086167629</v>
      </c>
      <c r="O60" s="26" t="n">
        <f aca="false">O58+N60</f>
        <v>44683.2406164726</v>
      </c>
      <c r="P60" s="26" t="n">
        <f aca="false">P58+O60</f>
        <v>47572.0113378328</v>
      </c>
      <c r="Q60" s="26" t="n">
        <f aca="false">Q58+P60</f>
        <v>50428.7590550207</v>
      </c>
      <c r="R60" s="26" t="n">
        <f aca="false">R58+Q60</f>
        <v>53317.5297763809</v>
      </c>
      <c r="S60" s="26" t="n">
        <f aca="false">S58+R60</f>
        <v>53267.7233846333</v>
      </c>
      <c r="T60" s="26" t="n">
        <f aca="false">T58+S60</f>
        <v>50279.3398797779</v>
      </c>
      <c r="U60" s="26" t="n">
        <f aca="false">U58+T60</f>
        <v>47248.9720924007</v>
      </c>
      <c r="V60" s="26" t="n">
        <f aca="false">V58+U60</f>
        <v>44260.5885875453</v>
      </c>
      <c r="W60" s="26" t="n">
        <f aca="false">W58+V60</f>
        <v>41272.2050826899</v>
      </c>
      <c r="X60" s="26" t="n">
        <f aca="false">X58+W60</f>
        <v>38283.8215778344</v>
      </c>
      <c r="Y60" s="467"/>
      <c r="Z60" s="467"/>
      <c r="AA60" s="467"/>
      <c r="AB60" s="820"/>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2" manualBreakCount="2">
    <brk id="16" man="true" max="65535" min="0"/>
    <brk id="32" man="true" max="65535" min="0"/>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97"/>
  <sheetViews>
    <sheetView showFormulas="false" showGridLines="true" showRowColHeaders="true" showZeros="true" rightToLeft="false" tabSelected="false" showOutlineSymbols="true" defaultGridColor="true" view="normal" topLeftCell="A18" colorId="64" zoomScale="75" zoomScaleNormal="75" zoomScalePageLayoutView="85" workbookViewId="0">
      <selection pane="topLeft" activeCell="D51" activeCellId="0" sqref="D51"/>
    </sheetView>
  </sheetViews>
  <sheetFormatPr defaultColWidth="9.28125" defaultRowHeight="11.25" customHeight="true" zeroHeight="false" outlineLevelRow="1" outlineLevelCol="0"/>
  <cols>
    <col collapsed="false" customWidth="true" hidden="false" outlineLevel="0" max="1" min="1" style="1" width="23.99"/>
    <col collapsed="false" customWidth="false" hidden="false" outlineLevel="0" max="257" min="2" style="1" width="9.28"/>
  </cols>
  <sheetData>
    <row r="1" customFormat="false" ht="20.25" hidden="false" customHeight="false" outlineLevel="0" collapsed="false">
      <c r="A1" s="358" t="str">
        <f aca="false">'Project Assumptions'!$A$2</f>
        <v>WILTON CENTER, Will County, IL</v>
      </c>
      <c r="B1" s="627"/>
      <c r="C1" s="821"/>
      <c r="D1" s="822"/>
      <c r="E1" s="434"/>
      <c r="F1" s="434"/>
      <c r="G1" s="434"/>
      <c r="H1" s="434"/>
      <c r="I1" s="434"/>
      <c r="J1" s="434"/>
      <c r="K1" s="434"/>
      <c r="L1" s="434"/>
      <c r="M1" s="434"/>
      <c r="N1" s="434"/>
      <c r="O1" s="434"/>
      <c r="P1" s="434"/>
      <c r="Q1" s="434"/>
      <c r="R1" s="434"/>
      <c r="S1" s="434"/>
      <c r="T1" s="434"/>
      <c r="U1" s="434"/>
      <c r="V1" s="434"/>
      <c r="W1" s="434"/>
      <c r="X1" s="434"/>
      <c r="Y1" s="434"/>
      <c r="Z1" s="434"/>
      <c r="AA1" s="434"/>
      <c r="AB1" s="434"/>
      <c r="AC1" s="473"/>
      <c r="AD1" s="473"/>
      <c r="AE1" s="473"/>
      <c r="AF1" s="473"/>
      <c r="AG1" s="473"/>
      <c r="AH1" s="473"/>
      <c r="AI1" s="473"/>
      <c r="AJ1" s="473"/>
      <c r="AK1" s="473"/>
      <c r="AL1" s="473"/>
      <c r="AM1" s="473"/>
      <c r="AN1" s="473"/>
      <c r="AO1" s="473"/>
      <c r="AP1" s="473"/>
      <c r="AQ1" s="473"/>
      <c r="AR1" s="473"/>
      <c r="AS1" s="473"/>
      <c r="AT1" s="473"/>
      <c r="AU1" s="473"/>
      <c r="AV1" s="473"/>
      <c r="AW1" s="473"/>
      <c r="AX1" s="473"/>
      <c r="AY1" s="473"/>
      <c r="AZ1" s="473"/>
      <c r="BA1" s="473"/>
      <c r="BB1" s="473"/>
      <c r="BC1" s="473"/>
      <c r="BD1" s="473"/>
      <c r="BE1" s="473"/>
      <c r="BF1" s="473"/>
      <c r="BG1" s="473"/>
      <c r="BH1" s="473"/>
      <c r="BI1" s="473"/>
      <c r="BJ1" s="473"/>
      <c r="BK1" s="473"/>
      <c r="BL1" s="473"/>
      <c r="BM1" s="473"/>
      <c r="BN1" s="473"/>
      <c r="BO1" s="473"/>
      <c r="BP1" s="473"/>
      <c r="BQ1" s="473"/>
      <c r="BR1" s="473"/>
      <c r="BS1" s="473"/>
      <c r="BT1" s="473"/>
      <c r="BU1" s="473"/>
      <c r="BV1" s="473"/>
      <c r="BW1" s="473"/>
      <c r="BX1" s="473"/>
      <c r="BY1" s="473"/>
      <c r="BZ1" s="473"/>
      <c r="CA1" s="473"/>
      <c r="CB1" s="473"/>
      <c r="CC1" s="473"/>
      <c r="CD1" s="473"/>
      <c r="CE1" s="473"/>
      <c r="CF1" s="473"/>
      <c r="CG1" s="473"/>
      <c r="CH1" s="473"/>
      <c r="CI1" s="473"/>
      <c r="CJ1" s="473"/>
      <c r="CK1" s="473"/>
      <c r="CL1" s="473"/>
      <c r="CM1" s="473"/>
      <c r="CN1" s="473"/>
      <c r="CO1" s="473"/>
      <c r="CP1" s="473"/>
      <c r="CQ1" s="473"/>
      <c r="CR1" s="473"/>
      <c r="CS1" s="473"/>
      <c r="CT1" s="473"/>
      <c r="CU1" s="473"/>
      <c r="CV1" s="473"/>
      <c r="CW1" s="473"/>
      <c r="CX1" s="473"/>
      <c r="CY1" s="473"/>
      <c r="CZ1" s="473"/>
      <c r="DA1" s="473"/>
      <c r="DB1" s="473"/>
      <c r="DC1" s="473"/>
      <c r="DD1" s="473"/>
      <c r="DE1" s="473"/>
      <c r="DF1" s="473"/>
      <c r="DG1" s="473"/>
      <c r="DH1" s="473"/>
      <c r="DI1" s="473"/>
      <c r="DJ1" s="473"/>
      <c r="DK1" s="473"/>
      <c r="DL1" s="473"/>
      <c r="DM1" s="473"/>
      <c r="DN1" s="473"/>
      <c r="DO1" s="473"/>
      <c r="DP1" s="473"/>
      <c r="DQ1" s="473"/>
      <c r="DR1" s="473"/>
      <c r="DS1" s="473"/>
      <c r="DT1" s="473"/>
      <c r="DU1" s="473"/>
      <c r="DV1" s="473"/>
      <c r="DW1" s="473"/>
      <c r="DX1" s="473"/>
      <c r="DY1" s="473"/>
      <c r="DZ1" s="473"/>
      <c r="EA1" s="473"/>
      <c r="EB1" s="473"/>
      <c r="EC1" s="473"/>
      <c r="ED1" s="473"/>
      <c r="EE1" s="473"/>
      <c r="EF1" s="473"/>
      <c r="EG1" s="473"/>
      <c r="EH1" s="473"/>
      <c r="EI1" s="473"/>
      <c r="EJ1" s="473"/>
      <c r="EK1" s="473"/>
      <c r="EL1" s="473"/>
      <c r="EM1" s="473"/>
      <c r="EN1" s="473"/>
      <c r="EO1" s="473"/>
      <c r="EP1" s="473"/>
      <c r="EQ1" s="473"/>
      <c r="ER1" s="473"/>
      <c r="ES1" s="473"/>
      <c r="ET1" s="473"/>
      <c r="EU1" s="473"/>
      <c r="EV1" s="473"/>
      <c r="EW1" s="473"/>
      <c r="EX1" s="473"/>
      <c r="EY1" s="473"/>
      <c r="EZ1" s="473"/>
      <c r="FA1" s="473"/>
      <c r="FB1" s="473"/>
      <c r="FC1" s="473"/>
      <c r="FD1" s="473"/>
      <c r="FE1" s="473"/>
      <c r="FF1" s="473"/>
      <c r="FG1" s="473"/>
      <c r="FH1" s="473"/>
      <c r="FI1" s="473"/>
      <c r="FJ1" s="473"/>
      <c r="FK1" s="473"/>
      <c r="FL1" s="473"/>
      <c r="FM1" s="473"/>
      <c r="FN1" s="473"/>
      <c r="FO1" s="473"/>
      <c r="FP1" s="473"/>
      <c r="FQ1" s="473"/>
      <c r="FR1" s="473"/>
      <c r="FS1" s="473"/>
      <c r="FT1" s="473"/>
      <c r="FU1" s="473"/>
      <c r="FV1" s="473"/>
      <c r="FW1" s="473"/>
      <c r="FX1" s="473"/>
      <c r="FY1" s="473"/>
      <c r="FZ1" s="473"/>
      <c r="GA1" s="473"/>
      <c r="GB1" s="473"/>
      <c r="GC1" s="473"/>
      <c r="GD1" s="473"/>
      <c r="GE1" s="473"/>
      <c r="GF1" s="473"/>
      <c r="GG1" s="473"/>
      <c r="GH1" s="473"/>
      <c r="GI1" s="473"/>
      <c r="GJ1" s="473"/>
      <c r="GK1" s="473"/>
      <c r="GL1" s="473"/>
      <c r="GM1" s="473"/>
      <c r="GN1" s="473"/>
      <c r="GO1" s="473"/>
      <c r="GP1" s="473"/>
      <c r="GQ1" s="473"/>
      <c r="GR1" s="473"/>
      <c r="GS1" s="473"/>
      <c r="GT1" s="473"/>
      <c r="GU1" s="473"/>
      <c r="GV1" s="473"/>
      <c r="GW1" s="473"/>
      <c r="GX1" s="473"/>
      <c r="GY1" s="473"/>
      <c r="GZ1" s="473"/>
      <c r="HA1" s="473"/>
      <c r="HB1" s="473"/>
      <c r="HC1" s="473"/>
      <c r="HD1" s="473"/>
      <c r="HE1" s="473"/>
      <c r="HF1" s="473"/>
      <c r="HG1" s="473"/>
      <c r="HH1" s="473"/>
      <c r="HI1" s="473"/>
      <c r="HJ1" s="473"/>
      <c r="HK1" s="473"/>
      <c r="HL1" s="473"/>
      <c r="HM1" s="473"/>
      <c r="HN1" s="473"/>
      <c r="HO1" s="473"/>
      <c r="HP1" s="473"/>
      <c r="HQ1" s="473"/>
      <c r="HR1" s="473"/>
      <c r="HS1" s="473"/>
      <c r="HT1" s="473"/>
      <c r="HU1" s="473"/>
      <c r="HV1" s="473"/>
      <c r="HW1" s="473"/>
      <c r="HX1" s="473"/>
      <c r="HY1" s="473"/>
      <c r="HZ1" s="473"/>
      <c r="IA1" s="473"/>
      <c r="IB1" s="473"/>
      <c r="IC1" s="473"/>
      <c r="ID1" s="473"/>
      <c r="IE1" s="473"/>
      <c r="IF1" s="473"/>
      <c r="IG1" s="473"/>
      <c r="IH1" s="473"/>
      <c r="II1" s="473"/>
      <c r="IJ1" s="473"/>
      <c r="IK1" s="473"/>
      <c r="IL1" s="473"/>
      <c r="IM1" s="473"/>
      <c r="IN1" s="473"/>
      <c r="IO1" s="473"/>
      <c r="IP1" s="473"/>
      <c r="IQ1" s="473"/>
      <c r="IR1" s="473"/>
      <c r="IS1" s="473"/>
      <c r="IT1" s="473"/>
      <c r="IU1" s="473"/>
      <c r="IV1" s="473"/>
      <c r="IW1" s="473"/>
    </row>
    <row r="2" customFormat="false" ht="12.75" hidden="false" customHeight="false" outlineLevel="0" collapsed="false">
      <c r="A2" s="362" t="s">
        <v>629</v>
      </c>
      <c r="B2" s="823"/>
      <c r="C2" s="823"/>
      <c r="D2" s="824"/>
      <c r="E2" s="404"/>
      <c r="F2" s="404"/>
      <c r="G2" s="404"/>
      <c r="H2" s="404"/>
      <c r="I2" s="404"/>
      <c r="J2" s="404"/>
      <c r="K2" s="404"/>
      <c r="L2" s="404"/>
      <c r="M2" s="404"/>
      <c r="N2" s="404"/>
      <c r="O2" s="404"/>
      <c r="P2" s="404"/>
      <c r="Q2" s="404"/>
      <c r="R2" s="404"/>
      <c r="S2" s="404"/>
      <c r="T2" s="404"/>
      <c r="U2" s="404"/>
      <c r="V2" s="404"/>
      <c r="W2" s="404"/>
      <c r="X2" s="404"/>
      <c r="Y2" s="404"/>
      <c r="Z2" s="404"/>
      <c r="AA2" s="404"/>
      <c r="AB2" s="404"/>
      <c r="AC2" s="473"/>
      <c r="AD2" s="473"/>
      <c r="AE2" s="473"/>
      <c r="AF2" s="473"/>
      <c r="AG2" s="473"/>
      <c r="AH2" s="473"/>
      <c r="AI2" s="473"/>
      <c r="AJ2" s="473"/>
      <c r="AK2" s="473"/>
      <c r="AL2" s="473"/>
      <c r="AM2" s="473"/>
      <c r="AN2" s="473"/>
      <c r="AO2" s="473"/>
      <c r="AP2" s="473"/>
      <c r="AQ2" s="473"/>
      <c r="AR2" s="473"/>
      <c r="AS2" s="473"/>
      <c r="AT2" s="473"/>
      <c r="AU2" s="473"/>
      <c r="AV2" s="473"/>
      <c r="AW2" s="473"/>
      <c r="AX2" s="473"/>
      <c r="AY2" s="473"/>
      <c r="AZ2" s="473"/>
      <c r="BA2" s="473"/>
      <c r="BB2" s="473"/>
      <c r="BC2" s="473"/>
      <c r="BD2" s="473"/>
      <c r="BE2" s="473"/>
      <c r="BF2" s="473"/>
      <c r="BG2" s="473"/>
      <c r="BH2" s="473"/>
      <c r="BI2" s="473"/>
      <c r="BJ2" s="473"/>
      <c r="BK2" s="473"/>
      <c r="BL2" s="473"/>
      <c r="BM2" s="473"/>
      <c r="BN2" s="473"/>
      <c r="BO2" s="473"/>
      <c r="BP2" s="473"/>
      <c r="BQ2" s="473"/>
      <c r="BR2" s="473"/>
      <c r="BS2" s="473"/>
      <c r="BT2" s="473"/>
      <c r="BU2" s="473"/>
      <c r="BV2" s="473"/>
      <c r="BW2" s="473"/>
      <c r="BX2" s="473"/>
      <c r="BY2" s="473"/>
      <c r="BZ2" s="473"/>
      <c r="CA2" s="473"/>
      <c r="CB2" s="473"/>
      <c r="CC2" s="473"/>
      <c r="CD2" s="473"/>
      <c r="CE2" s="473"/>
      <c r="CF2" s="473"/>
      <c r="CG2" s="473"/>
      <c r="CH2" s="473"/>
      <c r="CI2" s="473"/>
      <c r="CJ2" s="473"/>
      <c r="CK2" s="473"/>
      <c r="CL2" s="473"/>
      <c r="CM2" s="473"/>
      <c r="CN2" s="473"/>
      <c r="CO2" s="473"/>
      <c r="CP2" s="473"/>
      <c r="CQ2" s="473"/>
      <c r="CR2" s="473"/>
      <c r="CS2" s="473"/>
      <c r="CT2" s="473"/>
      <c r="CU2" s="473"/>
      <c r="CV2" s="473"/>
      <c r="CW2" s="473"/>
      <c r="CX2" s="473"/>
      <c r="CY2" s="473"/>
      <c r="CZ2" s="473"/>
      <c r="DA2" s="473"/>
      <c r="DB2" s="473"/>
      <c r="DC2" s="473"/>
      <c r="DD2" s="473"/>
      <c r="DE2" s="473"/>
      <c r="DF2" s="473"/>
      <c r="DG2" s="473"/>
      <c r="DH2" s="473"/>
      <c r="DI2" s="473"/>
      <c r="DJ2" s="473"/>
      <c r="DK2" s="473"/>
      <c r="DL2" s="473"/>
      <c r="DM2" s="473"/>
      <c r="DN2" s="473"/>
      <c r="DO2" s="473"/>
      <c r="DP2" s="473"/>
      <c r="DQ2" s="473"/>
      <c r="DR2" s="473"/>
      <c r="DS2" s="473"/>
      <c r="DT2" s="473"/>
      <c r="DU2" s="473"/>
      <c r="DV2" s="473"/>
      <c r="DW2" s="473"/>
      <c r="DX2" s="473"/>
      <c r="DY2" s="473"/>
      <c r="DZ2" s="473"/>
      <c r="EA2" s="473"/>
      <c r="EB2" s="473"/>
      <c r="EC2" s="473"/>
      <c r="ED2" s="473"/>
      <c r="EE2" s="473"/>
      <c r="EF2" s="473"/>
      <c r="EG2" s="473"/>
      <c r="EH2" s="473"/>
      <c r="EI2" s="473"/>
      <c r="EJ2" s="473"/>
      <c r="EK2" s="473"/>
      <c r="EL2" s="473"/>
      <c r="EM2" s="473"/>
      <c r="EN2" s="473"/>
      <c r="EO2" s="473"/>
      <c r="EP2" s="473"/>
      <c r="EQ2" s="473"/>
      <c r="ER2" s="473"/>
      <c r="ES2" s="473"/>
      <c r="ET2" s="473"/>
      <c r="EU2" s="473"/>
      <c r="EV2" s="473"/>
      <c r="EW2" s="473"/>
      <c r="EX2" s="473"/>
      <c r="EY2" s="473"/>
      <c r="EZ2" s="473"/>
      <c r="FA2" s="473"/>
      <c r="FB2" s="473"/>
      <c r="FC2" s="473"/>
      <c r="FD2" s="473"/>
      <c r="FE2" s="473"/>
      <c r="FF2" s="473"/>
      <c r="FG2" s="473"/>
      <c r="FH2" s="473"/>
      <c r="FI2" s="473"/>
      <c r="FJ2" s="473"/>
      <c r="FK2" s="473"/>
      <c r="FL2" s="473"/>
      <c r="FM2" s="473"/>
      <c r="FN2" s="473"/>
      <c r="FO2" s="473"/>
      <c r="FP2" s="473"/>
      <c r="FQ2" s="473"/>
      <c r="FR2" s="473"/>
      <c r="FS2" s="473"/>
      <c r="FT2" s="473"/>
      <c r="FU2" s="473"/>
      <c r="FV2" s="473"/>
      <c r="FW2" s="473"/>
      <c r="FX2" s="473"/>
      <c r="FY2" s="473"/>
      <c r="FZ2" s="473"/>
      <c r="GA2" s="473"/>
      <c r="GB2" s="473"/>
      <c r="GC2" s="473"/>
      <c r="GD2" s="473"/>
      <c r="GE2" s="473"/>
      <c r="GF2" s="473"/>
      <c r="GG2" s="473"/>
      <c r="GH2" s="473"/>
      <c r="GI2" s="473"/>
      <c r="GJ2" s="473"/>
      <c r="GK2" s="473"/>
      <c r="GL2" s="473"/>
      <c r="GM2" s="473"/>
      <c r="GN2" s="473"/>
      <c r="GO2" s="473"/>
      <c r="GP2" s="473"/>
      <c r="GQ2" s="473"/>
      <c r="GR2" s="473"/>
      <c r="GS2" s="473"/>
      <c r="GT2" s="473"/>
      <c r="GU2" s="473"/>
      <c r="GV2" s="473"/>
      <c r="GW2" s="473"/>
      <c r="GX2" s="473"/>
      <c r="GY2" s="473"/>
      <c r="GZ2" s="473"/>
      <c r="HA2" s="473"/>
      <c r="HB2" s="473"/>
      <c r="HC2" s="473"/>
      <c r="HD2" s="473"/>
      <c r="HE2" s="473"/>
      <c r="HF2" s="473"/>
      <c r="HG2" s="473"/>
      <c r="HH2" s="473"/>
      <c r="HI2" s="473"/>
      <c r="HJ2" s="473"/>
      <c r="HK2" s="473"/>
      <c r="HL2" s="473"/>
      <c r="HM2" s="473"/>
      <c r="HN2" s="473"/>
      <c r="HO2" s="473"/>
      <c r="HP2" s="473"/>
      <c r="HQ2" s="473"/>
      <c r="HR2" s="473"/>
      <c r="HS2" s="473"/>
      <c r="HT2" s="473"/>
      <c r="HU2" s="473"/>
      <c r="HV2" s="473"/>
      <c r="HW2" s="473"/>
      <c r="HX2" s="473"/>
      <c r="HY2" s="473"/>
      <c r="HZ2" s="473"/>
      <c r="IA2" s="473"/>
      <c r="IB2" s="473"/>
      <c r="IC2" s="473"/>
      <c r="ID2" s="473"/>
      <c r="IE2" s="473"/>
      <c r="IF2" s="473"/>
      <c r="IG2" s="473"/>
      <c r="IH2" s="473"/>
      <c r="II2" s="473"/>
      <c r="IJ2" s="473"/>
      <c r="IK2" s="473"/>
      <c r="IL2" s="473"/>
      <c r="IM2" s="473"/>
      <c r="IN2" s="473"/>
      <c r="IO2" s="473"/>
      <c r="IP2" s="473"/>
      <c r="IQ2" s="473"/>
      <c r="IR2" s="473"/>
      <c r="IS2" s="473"/>
      <c r="IT2" s="473"/>
      <c r="IU2" s="473"/>
      <c r="IV2" s="473"/>
      <c r="IW2" s="473"/>
    </row>
    <row r="3" customFormat="false" ht="15.6" hidden="false" customHeight="true" outlineLevel="0" collapsed="false"/>
    <row r="4" customFormat="false" ht="11.25" hidden="false" customHeight="false" outlineLevel="0" collapsed="false">
      <c r="D4" s="473" t="n">
        <v>1</v>
      </c>
      <c r="E4" s="473" t="n">
        <f aca="false">D4+1</f>
        <v>2</v>
      </c>
      <c r="F4" s="473" t="n">
        <f aca="false">E4+1</f>
        <v>3</v>
      </c>
      <c r="G4" s="473" t="n">
        <f aca="false">F4+1</f>
        <v>4</v>
      </c>
      <c r="H4" s="473" t="n">
        <f aca="false">G4+1</f>
        <v>5</v>
      </c>
      <c r="I4" s="825" t="n">
        <f aca="false">H4+1</f>
        <v>6</v>
      </c>
      <c r="J4" s="473" t="n">
        <f aca="false">I4+1</f>
        <v>7</v>
      </c>
      <c r="K4" s="474" t="n">
        <f aca="false">J4+1</f>
        <v>8</v>
      </c>
      <c r="L4" s="473" t="n">
        <f aca="false">K4+1</f>
        <v>9</v>
      </c>
      <c r="M4" s="473" t="n">
        <f aca="false">L4+1</f>
        <v>10</v>
      </c>
      <c r="N4" s="473" t="n">
        <f aca="false">M4+1</f>
        <v>11</v>
      </c>
      <c r="O4" s="473" t="n">
        <f aca="false">N4+1</f>
        <v>12</v>
      </c>
      <c r="P4" s="473" t="n">
        <f aca="false">O4+1</f>
        <v>13</v>
      </c>
      <c r="Q4" s="474" t="n">
        <f aca="false">P4+1</f>
        <v>14</v>
      </c>
      <c r="R4" s="473" t="n">
        <f aca="false">Q4+1</f>
        <v>15</v>
      </c>
      <c r="S4" s="473" t="n">
        <f aca="false">R4+1</f>
        <v>16</v>
      </c>
      <c r="T4" s="473" t="n">
        <f aca="false">S4+1</f>
        <v>17</v>
      </c>
      <c r="U4" s="473" t="n">
        <f aca="false">T4+1</f>
        <v>18</v>
      </c>
      <c r="V4" s="473" t="n">
        <f aca="false">U4+1</f>
        <v>19</v>
      </c>
      <c r="W4" s="474" t="n">
        <f aca="false">V4+1</f>
        <v>20</v>
      </c>
      <c r="X4" s="473" t="n">
        <f aca="false">W4+1</f>
        <v>21</v>
      </c>
      <c r="Y4" s="473" t="n">
        <f aca="false">X4+1</f>
        <v>22</v>
      </c>
      <c r="Z4" s="473" t="n">
        <f aca="false">Y4+1</f>
        <v>23</v>
      </c>
      <c r="AA4" s="473" t="n">
        <f aca="false">Z4+1</f>
        <v>24</v>
      </c>
      <c r="AB4" s="473" t="n">
        <f aca="false">AA4+1</f>
        <v>25</v>
      </c>
    </row>
    <row r="5" customFormat="false" ht="12" hidden="false" customHeight="true" outlineLevel="0" collapsed="false">
      <c r="A5" s="826" t="s">
        <v>630</v>
      </c>
      <c r="B5" s="367"/>
      <c r="C5" s="827"/>
      <c r="D5" s="368" t="n">
        <f aca="false">YEAR('Project Assumptions'!G16)</f>
        <v>2000</v>
      </c>
      <c r="E5" s="368" t="n">
        <f aca="false">D5+1</f>
        <v>2001</v>
      </c>
      <c r="F5" s="368" t="n">
        <f aca="false">E5+1</f>
        <v>2002</v>
      </c>
      <c r="G5" s="368" t="n">
        <f aca="false">F5+1</f>
        <v>2003</v>
      </c>
      <c r="H5" s="368" t="n">
        <f aca="false">G5+1</f>
        <v>2004</v>
      </c>
      <c r="I5" s="368" t="n">
        <f aca="false">H5+1</f>
        <v>2005</v>
      </c>
      <c r="J5" s="368" t="n">
        <f aca="false">I5+1</f>
        <v>2006</v>
      </c>
      <c r="K5" s="368" t="n">
        <f aca="false">J5+1</f>
        <v>2007</v>
      </c>
      <c r="L5" s="368" t="n">
        <f aca="false">K5+1</f>
        <v>2008</v>
      </c>
      <c r="M5" s="368" t="n">
        <f aca="false">L5+1</f>
        <v>2009</v>
      </c>
      <c r="N5" s="368" t="n">
        <f aca="false">M5+1</f>
        <v>2010</v>
      </c>
      <c r="O5" s="368" t="n">
        <f aca="false">N5+1</f>
        <v>2011</v>
      </c>
      <c r="P5" s="368" t="n">
        <f aca="false">O5+1</f>
        <v>2012</v>
      </c>
      <c r="Q5" s="368" t="n">
        <f aca="false">P5+1</f>
        <v>2013</v>
      </c>
      <c r="R5" s="368" t="n">
        <f aca="false">Q5+1</f>
        <v>2014</v>
      </c>
      <c r="S5" s="368" t="n">
        <f aca="false">R5+1</f>
        <v>2015</v>
      </c>
      <c r="T5" s="368" t="n">
        <f aca="false">S5+1</f>
        <v>2016</v>
      </c>
      <c r="U5" s="368" t="n">
        <f aca="false">T5+1</f>
        <v>2017</v>
      </c>
      <c r="V5" s="368" t="n">
        <f aca="false">U5+1</f>
        <v>2018</v>
      </c>
      <c r="W5" s="368" t="n">
        <f aca="false">V5+1</f>
        <v>2019</v>
      </c>
      <c r="X5" s="368" t="n">
        <f aca="false">W5+1</f>
        <v>2020</v>
      </c>
      <c r="Y5" s="368" t="n">
        <f aca="false">X5+1</f>
        <v>2021</v>
      </c>
      <c r="Z5" s="368" t="n">
        <f aca="false">Y5+1</f>
        <v>2022</v>
      </c>
      <c r="AA5" s="368" t="n">
        <f aca="false">Z5+1</f>
        <v>2023</v>
      </c>
      <c r="AB5" s="369" t="n">
        <f aca="false">AA5+1</f>
        <v>2024</v>
      </c>
      <c r="AC5" s="828"/>
      <c r="AD5" s="828"/>
    </row>
    <row r="6" customFormat="false" ht="12" hidden="false" customHeight="true" outlineLevel="0" collapsed="false">
      <c r="A6" s="397"/>
      <c r="B6" s="693" t="s">
        <v>290</v>
      </c>
      <c r="C6" s="371"/>
      <c r="D6" s="829"/>
      <c r="E6" s="830"/>
      <c r="F6" s="830"/>
      <c r="G6" s="830"/>
      <c r="H6" s="830"/>
      <c r="I6" s="830"/>
      <c r="J6" s="830"/>
      <c r="K6" s="830"/>
      <c r="L6" s="830"/>
      <c r="M6" s="830"/>
      <c r="N6" s="830"/>
      <c r="O6" s="830"/>
      <c r="P6" s="830"/>
      <c r="Q6" s="830"/>
      <c r="R6" s="830"/>
      <c r="S6" s="371"/>
      <c r="T6" s="371"/>
      <c r="U6" s="371"/>
      <c r="V6" s="371"/>
      <c r="W6" s="371"/>
      <c r="X6" s="371"/>
      <c r="Y6" s="371"/>
      <c r="Z6" s="371"/>
      <c r="AA6" s="371"/>
      <c r="AB6" s="402"/>
      <c r="AE6" s="831"/>
    </row>
    <row r="7" customFormat="false" ht="12" hidden="false" customHeight="true" outlineLevel="0" collapsed="false">
      <c r="A7" s="76" t="s">
        <v>631</v>
      </c>
      <c r="B7" s="832" t="n">
        <v>15</v>
      </c>
      <c r="C7" s="784"/>
      <c r="D7" s="463" t="n">
        <f aca="false">IF(D4&gt;$B$7+1,0,IF($B$7=15,VLOOKUP(D4,$A$57:$B$72,2),VLOOKUP(D4,$A$77:$B$97,2)))</f>
        <v>0.05</v>
      </c>
      <c r="E7" s="463" t="n">
        <f aca="false">IF(E4&gt;$B$7+1,0,IF($B$7=15,VLOOKUP(E4,$A$57:$B$72,2),VLOOKUP(E4,$A$77:$B$97,2)))</f>
        <v>0.095</v>
      </c>
      <c r="F7" s="463" t="n">
        <f aca="false">IF(F4&gt;$B$7+1,0,IF($B$7=15,VLOOKUP(F4,$A$57:$B$72,2),VLOOKUP(F4,$A$77:$B$97,2)))</f>
        <v>0.0855</v>
      </c>
      <c r="G7" s="463" t="n">
        <f aca="false">IF(G4&gt;$B$7+1,0,IF($B$7=15,VLOOKUP(G4,$A$57:$B$72,2),VLOOKUP(G4,$A$77:$B$97,2)))</f>
        <v>0.077</v>
      </c>
      <c r="H7" s="463" t="n">
        <f aca="false">IF(H4&gt;$B$7+1,0,IF($B$7=15,VLOOKUP(H4,$A$57:$B$72,2),VLOOKUP(H4,$A$77:$B$97,2)))</f>
        <v>0.0693</v>
      </c>
      <c r="I7" s="463" t="n">
        <f aca="false">IF(I4&gt;$B$7+1,0,IF($B$7=15,VLOOKUP(I4,$A$57:$B$72,2),VLOOKUP(I4,$A$77:$B$97,2)))</f>
        <v>0.0623</v>
      </c>
      <c r="J7" s="463" t="n">
        <f aca="false">IF(J4&gt;$B$7+1,0,IF($B$7=15,VLOOKUP(J4,$A$57:$B$72,2),VLOOKUP(J4,$A$77:$B$97,2)))</f>
        <v>0.059</v>
      </c>
      <c r="K7" s="463" t="n">
        <f aca="false">IF(K4&gt;$B$7+1,0,IF($B$7=15,VLOOKUP(K4,$A$57:$B$72,2),VLOOKUP(K4,$A$77:$B$97,2)))</f>
        <v>0.0591</v>
      </c>
      <c r="L7" s="463" t="n">
        <f aca="false">IF(L4&gt;$B$7+1,0,IF($B$7=15,VLOOKUP(L4,$A$57:$B$72,2),VLOOKUP(L4,$A$77:$B$97,2)))</f>
        <v>0.059</v>
      </c>
      <c r="M7" s="463" t="n">
        <f aca="false">IF(M4&gt;$B$7+1,0,IF($B$7=15,VLOOKUP(M4,$A$57:$B$72,2),VLOOKUP(M4,$A$77:$B$97,2)))</f>
        <v>0.0591</v>
      </c>
      <c r="N7" s="463" t="n">
        <f aca="false">IF(N4&gt;$B$7+1,0,IF($B$7=15,VLOOKUP(N4,$A$57:$B$72,2),VLOOKUP(N4,$A$77:$B$97,2)))</f>
        <v>0.059</v>
      </c>
      <c r="O7" s="463" t="n">
        <f aca="false">IF(O4&gt;$B$7+1,0,IF($B$7=15,VLOOKUP(O4,$A$57:$B$72,2),VLOOKUP(O4,$A$77:$B$97,2)))</f>
        <v>0.0591</v>
      </c>
      <c r="P7" s="463" t="n">
        <f aca="false">IF(P4&gt;$B$7+1,0,IF($B$7=15,VLOOKUP(P4,$A$57:$B$72,2),VLOOKUP(P4,$A$77:$B$97,2)))</f>
        <v>0.059</v>
      </c>
      <c r="Q7" s="463" t="n">
        <f aca="false">IF(Q4&gt;$B$7+1,0,IF($B$7=15,VLOOKUP(Q4,$A$57:$B$72,2),VLOOKUP(Q4,$A$77:$B$97,2)))</f>
        <v>0.0591</v>
      </c>
      <c r="R7" s="463" t="n">
        <f aca="false">IF(R4&gt;$B$7+1,0,IF($B$7=15,VLOOKUP(R4,$A$57:$B$72,2),VLOOKUP(R4,$A$77:$B$97,2)))</f>
        <v>0.059</v>
      </c>
      <c r="S7" s="463" t="n">
        <f aca="false">IF(S4&gt;$B$7+1,0,IF($B$7=15,VLOOKUP(S4,$A$57:$B$72,2),VLOOKUP(S4,$A$77:$B$97,2)))</f>
        <v>0.0295</v>
      </c>
      <c r="T7" s="463" t="n">
        <f aca="false">IF(T4&gt;$B$7+1,0,IF($B$7=15,VLOOKUP(T4,$A$57:$B$72,2),VLOOKUP(T4,$A$77:$B$97,2)))</f>
        <v>0</v>
      </c>
      <c r="U7" s="463" t="n">
        <f aca="false">IF(U4&gt;$B$7+1,0,IF($B$7=15,VLOOKUP(U4,$A$57:$B$72,2),VLOOKUP(U4,$A$77:$B$97,2)))</f>
        <v>0</v>
      </c>
      <c r="V7" s="463" t="n">
        <f aca="false">IF(V4&gt;$B$7+1,0,IF($B$7=15,VLOOKUP(V4,$A$57:$B$72,2),VLOOKUP(V4,$A$77:$B$97,2)))</f>
        <v>0</v>
      </c>
      <c r="W7" s="463" t="n">
        <f aca="false">IF(W4&gt;$B$7+1,0,IF($B$7=15,VLOOKUP(W4,$A$57:$B$72,2),VLOOKUP(W4,$A$77:$B$97,2)))</f>
        <v>0</v>
      </c>
      <c r="X7" s="463" t="n">
        <f aca="false">IF(X4&gt;$B$7+1,0,IF($B$7=15,VLOOKUP(X4,$A$57:$B$72,2),VLOOKUP(X4,$A$77:$B$97,2)))</f>
        <v>0</v>
      </c>
      <c r="Y7" s="463" t="n">
        <f aca="false">IF(Y4&gt;$B$7+1,0,IF($B$7=15,VLOOKUP(Y4,$A$57:$B$72,2),VLOOKUP(Y4,$A$77:$B$97,2)))</f>
        <v>0</v>
      </c>
      <c r="Z7" s="463" t="n">
        <f aca="false">IF(Z4&gt;$B$7+1,0,IF($B$7=15,VLOOKUP(Z4,$A$57:$B$72,2),VLOOKUP(Z4,$A$77:$B$97,2)))</f>
        <v>0</v>
      </c>
      <c r="AA7" s="463" t="n">
        <f aca="false">IF(AA4&gt;$B$7+1,0,IF($B$7=15,VLOOKUP(AA4,$A$57:$B$72,2),VLOOKUP(AA4,$A$77:$B$97,2)))</f>
        <v>0</v>
      </c>
      <c r="AB7" s="508" t="n">
        <f aca="false">IF(AB4&gt;$B$7+1,0,IF($B$7=15,VLOOKUP(AB4,$A$57:$B$72,2),VLOOKUP(AB4,$A$77:$B$97,2)))</f>
        <v>0</v>
      </c>
      <c r="AC7" s="833"/>
      <c r="AD7" s="833"/>
      <c r="AE7" s="834"/>
    </row>
    <row r="8" customFormat="false" ht="12" hidden="false" customHeight="true" outlineLevel="0" collapsed="false">
      <c r="A8" s="76" t="s">
        <v>632</v>
      </c>
      <c r="B8" s="832" t="n">
        <v>5</v>
      </c>
      <c r="C8" s="835"/>
      <c r="D8" s="463" t="n">
        <f aca="false">IF(D4&gt;$B$8,0,1/$B$8)*'Book Income Statement'!D$7/12</f>
        <v>0.116666666666667</v>
      </c>
      <c r="E8" s="463" t="n">
        <f aca="false">IF(E$4&lt;=$B8,(1/$B8),IF(E$4=$B8+1,(1/$B8)-$D8,0))</f>
        <v>0.2</v>
      </c>
      <c r="F8" s="463" t="n">
        <f aca="false">IF(F4&lt;=$B$8,(1/$B$8),IF(F4=$B$8+1,(1/$B$8)-$D$8,0))</f>
        <v>0.2</v>
      </c>
      <c r="G8" s="463" t="n">
        <f aca="false">IF(G4&lt;=$B$8,(1/$B$8),IF(G4=$B$8+1,(1/$B$8)-$D$8,0))</f>
        <v>0.2</v>
      </c>
      <c r="H8" s="463" t="n">
        <f aca="false">IF(H4&lt;=$B$8,(1/$B$8),IF(H4=$B$8+1,(1/$B$8)-$D$8,0))</f>
        <v>0.2</v>
      </c>
      <c r="I8" s="463" t="n">
        <f aca="false">IF(I4&lt;=$B$8,(1/$B$8),IF(I4=$B$8+1,(1/$B$8)-$D$8,0))</f>
        <v>0.0833333333333333</v>
      </c>
      <c r="J8" s="463" t="n">
        <f aca="false">IF(J4&lt;=$B$8,(1/$B$8),IF(J4=$B$8+1,(1/$B$8)-$D$8,0))</f>
        <v>0</v>
      </c>
      <c r="K8" s="463" t="n">
        <f aca="false">IF(K4&lt;=$B$8,(1/$B$8),IF(K4=$B$8+1,(1/$B$8)-$D$8,0))</f>
        <v>0</v>
      </c>
      <c r="L8" s="463" t="n">
        <f aca="false">IF(L4&lt;=$B$8,(1/$B$8),IF(L4=$B$8+1,(1/$B$8)-$D$8,0))</f>
        <v>0</v>
      </c>
      <c r="M8" s="463" t="n">
        <f aca="false">IF(M4&lt;=$B$8,(1/$B$8),IF(M4=$B$8+1,(1/$B$8)-$D$8,0))</f>
        <v>0</v>
      </c>
      <c r="N8" s="463" t="n">
        <f aca="false">IF(N4&lt;=$B$8,(1/$B$8),IF(N4=$B$8+1,(1/$B$8)-$D$8,0))</f>
        <v>0</v>
      </c>
      <c r="O8" s="463" t="n">
        <f aca="false">IF(O4&lt;=$B$8,(1/$B$8),IF(O4=$B$8+1,(1/$B$8)-$D$8,0))</f>
        <v>0</v>
      </c>
      <c r="P8" s="463" t="n">
        <f aca="false">IF(P4&lt;=$B$8,(1/$B$8),IF(P4=$B$8+1,(1/$B$8)-$D$8,0))</f>
        <v>0</v>
      </c>
      <c r="Q8" s="463" t="n">
        <f aca="false">IF(Q4&lt;=$B$8,(1/$B$8),IF(Q4=$B$8+1,(1/$B$8)-$D$8,0))</f>
        <v>0</v>
      </c>
      <c r="R8" s="463" t="n">
        <f aca="false">IF(R4&lt;=$B$8,(1/$B$8),IF(R4=$B$8+1,(1/$B$8)-$D$8,0))</f>
        <v>0</v>
      </c>
      <c r="S8" s="463" t="n">
        <f aca="false">IF(S4&lt;=$B$8,(1/$B$8),IF(S4=$B$8+1,(1/$B$8)-$D$8,0))</f>
        <v>0</v>
      </c>
      <c r="T8" s="463" t="n">
        <f aca="false">IF(T4&lt;=$B$8,(1/$B$8),IF(T4=$B$8+1,(1/$B$8)-$D$8,0))</f>
        <v>0</v>
      </c>
      <c r="U8" s="463" t="n">
        <f aca="false">IF(U4&lt;=$B$8,(1/$B$8),IF(U4=$B$8+1,(1/$B$8)-$D$8,0))</f>
        <v>0</v>
      </c>
      <c r="V8" s="463" t="n">
        <f aca="false">IF(V4&lt;=$B$8,(1/$B$8),IF(V4=$B$8+1,(1/$B$8)-$D$8,0))</f>
        <v>0</v>
      </c>
      <c r="W8" s="463" t="n">
        <f aca="false">IF(W4&lt;=$B$8,(1/$B$8),IF(W4=$B$8+1,(1/$B$8)-$D$8,0))</f>
        <v>0</v>
      </c>
      <c r="X8" s="463" t="n">
        <f aca="false">IF(X4&lt;=$B$8,(1/$B$8),IF(X4=$B$8+1,(1/$B$8)-$D$8,0))</f>
        <v>0</v>
      </c>
      <c r="Y8" s="463" t="n">
        <f aca="false">IF(Y4&lt;=$B$8,(1/$B$8),IF(Y4=$B$8+1,(1/$B$8)-$D$8,0))</f>
        <v>0</v>
      </c>
      <c r="Z8" s="463" t="n">
        <f aca="false">IF(Z4&lt;=$B$8,(1/$B$8),IF(Z4=$B$8+1,(1/$B$8)-$D$8,0))</f>
        <v>0</v>
      </c>
      <c r="AA8" s="463" t="n">
        <f aca="false">IF(AA4&lt;=$B$8,(1/$B$8),IF(AA4=$B$8+1,(1/$B$8)-$D$8,0))</f>
        <v>0</v>
      </c>
      <c r="AB8" s="508" t="n">
        <f aca="false">IF(AB4&lt;=$B$8,(1/$B$8),IF(AB4=$B$8+1,(1/$B$8)-$D$8,0))</f>
        <v>0</v>
      </c>
      <c r="AC8" s="833"/>
      <c r="AD8" s="833"/>
      <c r="AE8" s="834"/>
    </row>
    <row r="9" customFormat="false" ht="12" hidden="false" customHeight="true" outlineLevel="0" collapsed="false">
      <c r="A9" s="76" t="s">
        <v>633</v>
      </c>
      <c r="B9" s="835" t="n">
        <f aca="false">MAX('Project Assumptions'!$F$39,'Project Assumptions'!$G$39,'Project Assumptions'!$H$39)</f>
        <v>20</v>
      </c>
      <c r="C9" s="836"/>
      <c r="D9" s="463" t="n">
        <f aca="false">IF(D4&gt;$B$9,0,(1/$B$9))*'Book Income Statement'!D$7/12</f>
        <v>0.0291666666666667</v>
      </c>
      <c r="E9" s="463" t="n">
        <f aca="false">IF(E$4&lt;=$B$9,(1/$B$9),IF(E$4=$B$9+1,(1/$B$9)-$D$9,0))</f>
        <v>0.05</v>
      </c>
      <c r="F9" s="463" t="n">
        <f aca="false">IF(F$4&lt;=$B$9,(1/$B$9),IF(F$4=$B$9+1,(1/$B$9)-$D$9,0))</f>
        <v>0.05</v>
      </c>
      <c r="G9" s="463" t="n">
        <f aca="false">IF(G$4&lt;=$B$9,(1/$B$9),IF(G$4=$B$9+1,(1/$B$9)-$D$9,0))</f>
        <v>0.05</v>
      </c>
      <c r="H9" s="463" t="n">
        <f aca="false">IF(H$4&lt;=$B$9,(1/$B$9),IF(H$4=$B$9+1,(1/$B$9)-$D$9,0))</f>
        <v>0.05</v>
      </c>
      <c r="I9" s="463" t="n">
        <f aca="false">IF(I$4&lt;=$B$9,(1/$B$9),IF(I$4=$B$9+1,(1/$B$9)-$D$9,0))</f>
        <v>0.05</v>
      </c>
      <c r="J9" s="463" t="n">
        <f aca="false">IF(J$4&lt;=$B$9,(1/$B$9),IF(J$4=$B$9+1,(1/$B$9)-$D$9,0))</f>
        <v>0.05</v>
      </c>
      <c r="K9" s="463" t="n">
        <f aca="false">IF(K$4&lt;=$B$9,(1/$B$9),IF(K$4=$B$9+1,(1/$B$9)-$D$9,0))</f>
        <v>0.05</v>
      </c>
      <c r="L9" s="463" t="n">
        <f aca="false">IF(L$4&lt;=$B$9,(1/$B$9),IF(L$4=$B$9+1,(1/$B$9)-$D$9,0))</f>
        <v>0.05</v>
      </c>
      <c r="M9" s="463" t="n">
        <f aca="false">IF(M$4&lt;=$B$9,(1/$B$9),IF(M$4=$B$9+1,(1/$B$9)-$D$9,0))</f>
        <v>0.05</v>
      </c>
      <c r="N9" s="463" t="n">
        <f aca="false">IF(N$4&lt;=$B$9,(1/$B$9),IF(N$4=$B$9+1,(1/$B$9)-$D$9,0))</f>
        <v>0.05</v>
      </c>
      <c r="O9" s="463" t="n">
        <f aca="false">IF(O$4&lt;=$B$9,(1/$B$9),IF(O$4=$B$9+1,(1/$B$9)-$D$9,0))</f>
        <v>0.05</v>
      </c>
      <c r="P9" s="463" t="n">
        <f aca="false">IF(P$4&lt;=$B$9,(1/$B$9),IF(P$4=$B$9+1,(1/$B$9)-$D$9,0))</f>
        <v>0.05</v>
      </c>
      <c r="Q9" s="463" t="n">
        <f aca="false">IF(Q$4&lt;=$B$9,(1/$B$9),IF(Q$4=$B$9+1,(1/$B$9)-$D$9,0))</f>
        <v>0.05</v>
      </c>
      <c r="R9" s="463" t="n">
        <f aca="false">IF(R$4&lt;=$B$9,(1/$B$9),IF(R$4=$B$9+1,(1/$B$9)-$D$9,0))</f>
        <v>0.05</v>
      </c>
      <c r="S9" s="463" t="n">
        <f aca="false">IF(S$4&lt;=$B$9,(1/$B$9),IF(S$4=$B$9+1,(1/$B$9)-$D$9,0))</f>
        <v>0.05</v>
      </c>
      <c r="T9" s="463" t="n">
        <f aca="false">IF(T$4&lt;=$B$9,(1/$B$9),IF(T$4=$B$9+1,(1/$B$9)-$D$9,0))</f>
        <v>0.05</v>
      </c>
      <c r="U9" s="463" t="n">
        <f aca="false">IF(U$4&lt;=$B$9,(1/$B$9),IF(U$4=$B$9+1,(1/$B$9)-$D$9,0))</f>
        <v>0.05</v>
      </c>
      <c r="V9" s="463" t="n">
        <f aca="false">IF(V$4&lt;=$B$9,(1/$B$9),IF(V$4=$B$9+1,(1/$B$9)-$D$9,0))</f>
        <v>0.05</v>
      </c>
      <c r="W9" s="463" t="n">
        <f aca="false">IF(W$4&lt;=$B$9,(1/$B$9),IF(W$4=$B$9+1,(1/$B$9)-$D$9,0))</f>
        <v>0.05</v>
      </c>
      <c r="X9" s="463" t="n">
        <f aca="false">IF(X$4&lt;=$B$9,(1/$B$9),IF(X$4=$B$9+1,(1/$B$9)-$D$9,0))</f>
        <v>0.0208333333333333</v>
      </c>
      <c r="Y9" s="463" t="n">
        <f aca="false">IF(Y$4&lt;=$B$9,(1/$B$9),IF(Y$4=$B$9+1,(1/$B$9)-$D$9,0))</f>
        <v>0</v>
      </c>
      <c r="Z9" s="463" t="n">
        <f aca="false">IF(Z$4&lt;=$B$9,(1/$B$9),IF(Z$4=$B$9+1,(1/$B$9)-$D$9,0))</f>
        <v>0</v>
      </c>
      <c r="AA9" s="463" t="n">
        <f aca="false">IF(AA$4&lt;=$B$9,(1/$B$9),IF(AA$4=$B$9+1,(1/$B$9)-$D$9,0))</f>
        <v>0</v>
      </c>
      <c r="AB9" s="508" t="n">
        <f aca="false">IF(AB$4&lt;=$B$9,(1/$B$9),IF(AB$4=$B$9+1,(1/$B$9)-$D$9,0))</f>
        <v>0</v>
      </c>
      <c r="AC9" s="833"/>
      <c r="AD9" s="833"/>
      <c r="AE9" s="834"/>
    </row>
    <row r="10" customFormat="false" ht="12" hidden="false" customHeight="true" outlineLevel="0" collapsed="false">
      <c r="A10" s="397"/>
      <c r="B10" s="835"/>
      <c r="C10" s="371"/>
      <c r="D10" s="830"/>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402"/>
    </row>
    <row r="11" customFormat="false" ht="12" hidden="false" customHeight="true" outlineLevel="0" collapsed="false">
      <c r="A11" s="76" t="s">
        <v>634</v>
      </c>
      <c r="B11" s="425" t="n">
        <f aca="false">'Project Assumptions'!C30-'Project Assumptions'!C25+'Project Assumptions'!C53+'Project Assumptions'!C57+'Project Assumptions'!C33</f>
        <v>251122.554</v>
      </c>
      <c r="C11" s="784"/>
      <c r="D11" s="425" t="n">
        <f aca="false">$B$11*D7</f>
        <v>12556.1277</v>
      </c>
      <c r="E11" s="425" t="n">
        <f aca="false">$B$11*E7</f>
        <v>23856.64263</v>
      </c>
      <c r="F11" s="425" t="n">
        <f aca="false">$B$11*F7</f>
        <v>21470.978367</v>
      </c>
      <c r="G11" s="425" t="n">
        <f aca="false">$B$11*G7</f>
        <v>19336.436658</v>
      </c>
      <c r="H11" s="425" t="n">
        <f aca="false">$B$11*H7</f>
        <v>17402.7929922</v>
      </c>
      <c r="I11" s="425" t="n">
        <f aca="false">$B$11*I7</f>
        <v>15644.9351142</v>
      </c>
      <c r="J11" s="425" t="n">
        <f aca="false">$B$11*J7</f>
        <v>14816.230686</v>
      </c>
      <c r="K11" s="425" t="n">
        <f aca="false">$B$11*K7</f>
        <v>14841.3429414</v>
      </c>
      <c r="L11" s="425" t="n">
        <f aca="false">$B$11*L7</f>
        <v>14816.230686</v>
      </c>
      <c r="M11" s="425" t="n">
        <f aca="false">$B$11*M7</f>
        <v>14841.3429414</v>
      </c>
      <c r="N11" s="425" t="n">
        <f aca="false">$B$11*N7</f>
        <v>14816.230686</v>
      </c>
      <c r="O11" s="425" t="n">
        <f aca="false">$B$11*O7</f>
        <v>14841.3429414</v>
      </c>
      <c r="P11" s="425" t="n">
        <f aca="false">$B$11*P7</f>
        <v>14816.230686</v>
      </c>
      <c r="Q11" s="425" t="n">
        <f aca="false">$B$11*Q7</f>
        <v>14841.3429414</v>
      </c>
      <c r="R11" s="425" t="n">
        <f aca="false">$B$11*R7</f>
        <v>14816.230686</v>
      </c>
      <c r="S11" s="425" t="n">
        <f aca="false">$B$11*S7</f>
        <v>7408.115343</v>
      </c>
      <c r="T11" s="425" t="n">
        <f aca="false">$B$11*T7</f>
        <v>0</v>
      </c>
      <c r="U11" s="425" t="n">
        <f aca="false">$B$11*U7</f>
        <v>0</v>
      </c>
      <c r="V11" s="425" t="n">
        <f aca="false">$B$11*V7</f>
        <v>0</v>
      </c>
      <c r="W11" s="425" t="n">
        <f aca="false">$B$11*W7</f>
        <v>0</v>
      </c>
      <c r="X11" s="425" t="n">
        <f aca="false">$B$11*X7</f>
        <v>0</v>
      </c>
      <c r="Y11" s="425" t="n">
        <f aca="false">$B$11*Y7</f>
        <v>0</v>
      </c>
      <c r="Z11" s="425" t="n">
        <f aca="false">$B$11*Z7</f>
        <v>0</v>
      </c>
      <c r="AA11" s="425" t="n">
        <f aca="false">$B$11*AA7</f>
        <v>0</v>
      </c>
      <c r="AB11" s="426" t="n">
        <f aca="false">$B$11*AB7</f>
        <v>0</v>
      </c>
      <c r="AC11" s="837"/>
      <c r="AD11" s="837"/>
      <c r="AE11" s="837"/>
    </row>
    <row r="12" customFormat="false" ht="12" hidden="false" customHeight="true" outlineLevel="0" collapsed="false">
      <c r="A12" s="76" t="s">
        <v>635</v>
      </c>
      <c r="B12" s="703" t="n">
        <f aca="false">'Project Assumptions'!C42-'Project Assumptions'!C33-'Project Assumptions'!C40-'Project Assumptions'!C37</f>
        <v>1543.991</v>
      </c>
      <c r="C12" s="784"/>
      <c r="D12" s="703" t="n">
        <f aca="false">$B$12*D8</f>
        <v>180.132283333333</v>
      </c>
      <c r="E12" s="703" t="n">
        <f aca="false">$B$12*E8</f>
        <v>308.7982</v>
      </c>
      <c r="F12" s="703" t="n">
        <f aca="false">$B$12*F8</f>
        <v>308.7982</v>
      </c>
      <c r="G12" s="703" t="n">
        <f aca="false">$B$12*G8</f>
        <v>308.7982</v>
      </c>
      <c r="H12" s="703" t="n">
        <f aca="false">$B$12*H8</f>
        <v>308.7982</v>
      </c>
      <c r="I12" s="703" t="n">
        <f aca="false">$B$12*I8</f>
        <v>128.665916666667</v>
      </c>
      <c r="J12" s="703" t="n">
        <f aca="false">$B$12*J8</f>
        <v>0</v>
      </c>
      <c r="K12" s="703" t="n">
        <f aca="false">$B$12*K8</f>
        <v>0</v>
      </c>
      <c r="L12" s="703" t="n">
        <f aca="false">$B$12*L8</f>
        <v>0</v>
      </c>
      <c r="M12" s="703" t="n">
        <f aca="false">$B$12*M8</f>
        <v>0</v>
      </c>
      <c r="N12" s="703" t="n">
        <f aca="false">$B$12*N8</f>
        <v>0</v>
      </c>
      <c r="O12" s="703" t="n">
        <f aca="false">$B$12*O8</f>
        <v>0</v>
      </c>
      <c r="P12" s="703" t="n">
        <f aca="false">$B$12*P8</f>
        <v>0</v>
      </c>
      <c r="Q12" s="703" t="n">
        <f aca="false">$B$12*Q8</f>
        <v>0</v>
      </c>
      <c r="R12" s="703" t="n">
        <f aca="false">$B$12*R8</f>
        <v>0</v>
      </c>
      <c r="S12" s="703" t="n">
        <f aca="false">$B$12*S8</f>
        <v>0</v>
      </c>
      <c r="T12" s="703" t="n">
        <f aca="false">$B$12*T8</f>
        <v>0</v>
      </c>
      <c r="U12" s="703" t="n">
        <f aca="false">$B$12*U8</f>
        <v>0</v>
      </c>
      <c r="V12" s="703" t="n">
        <f aca="false">$B$12*V8</f>
        <v>0</v>
      </c>
      <c r="W12" s="703" t="n">
        <f aca="false">$B$12*W8</f>
        <v>0</v>
      </c>
      <c r="X12" s="703" t="n">
        <f aca="false">$B$12*X8</f>
        <v>0</v>
      </c>
      <c r="Y12" s="703" t="n">
        <f aca="false">$B$12*Y8</f>
        <v>0</v>
      </c>
      <c r="Z12" s="703" t="n">
        <f aca="false">$B$12*Z8</f>
        <v>0</v>
      </c>
      <c r="AA12" s="703" t="n">
        <f aca="false">$B$12*AA8</f>
        <v>0</v>
      </c>
      <c r="AB12" s="704" t="n">
        <f aca="false">$B$12*AB8</f>
        <v>0</v>
      </c>
      <c r="AC12" s="837"/>
      <c r="AD12" s="837"/>
      <c r="AE12" s="838"/>
    </row>
    <row r="13" customFormat="false" ht="12" hidden="false" customHeight="true" outlineLevel="0" collapsed="false">
      <c r="A13" s="76" t="s">
        <v>636</v>
      </c>
      <c r="B13" s="703" t="n">
        <f aca="false">'Project Assumptions'!C45+'Project Assumptions'!C46+'Project Assumptions'!C47</f>
        <v>0</v>
      </c>
      <c r="C13" s="784"/>
      <c r="D13" s="703" t="n">
        <f aca="false">$B$13*D9</f>
        <v>0</v>
      </c>
      <c r="E13" s="703" t="n">
        <f aca="false">$B$13*E9</f>
        <v>0</v>
      </c>
      <c r="F13" s="703" t="n">
        <f aca="false">$B$13*F9</f>
        <v>0</v>
      </c>
      <c r="G13" s="703" t="n">
        <f aca="false">$B$13*G9</f>
        <v>0</v>
      </c>
      <c r="H13" s="703" t="n">
        <f aca="false">$B$13*H9</f>
        <v>0</v>
      </c>
      <c r="I13" s="703" t="n">
        <f aca="false">$B$13*I9</f>
        <v>0</v>
      </c>
      <c r="J13" s="703" t="n">
        <f aca="false">$B$13*J9</f>
        <v>0</v>
      </c>
      <c r="K13" s="703" t="n">
        <f aca="false">$B$13*K9</f>
        <v>0</v>
      </c>
      <c r="L13" s="703" t="n">
        <f aca="false">$B$13*L9</f>
        <v>0</v>
      </c>
      <c r="M13" s="703" t="n">
        <f aca="false">$B$13*M9</f>
        <v>0</v>
      </c>
      <c r="N13" s="703" t="n">
        <f aca="false">$B$13*N9</f>
        <v>0</v>
      </c>
      <c r="O13" s="703" t="n">
        <f aca="false">$B$13*O9</f>
        <v>0</v>
      </c>
      <c r="P13" s="703" t="n">
        <f aca="false">$B$13*P9</f>
        <v>0</v>
      </c>
      <c r="Q13" s="703" t="n">
        <f aca="false">$B$13*Q9</f>
        <v>0</v>
      </c>
      <c r="R13" s="703" t="n">
        <f aca="false">$B$13*R9</f>
        <v>0</v>
      </c>
      <c r="S13" s="703" t="n">
        <f aca="false">$B$13*S9</f>
        <v>0</v>
      </c>
      <c r="T13" s="703" t="n">
        <f aca="false">$B$13*T9</f>
        <v>0</v>
      </c>
      <c r="U13" s="703" t="n">
        <f aca="false">$B$13*U9</f>
        <v>0</v>
      </c>
      <c r="V13" s="703" t="n">
        <f aca="false">$B$13*V9</f>
        <v>0</v>
      </c>
      <c r="W13" s="703" t="n">
        <f aca="false">$B$13*W9</f>
        <v>0</v>
      </c>
      <c r="X13" s="703" t="n">
        <f aca="false">$B$13*X9</f>
        <v>0</v>
      </c>
      <c r="Y13" s="703" t="n">
        <f aca="false">$B$13*Y9</f>
        <v>0</v>
      </c>
      <c r="Z13" s="703" t="n">
        <f aca="false">$B$13*Z9</f>
        <v>0</v>
      </c>
      <c r="AA13" s="703" t="n">
        <f aca="false">$B$13*AA9</f>
        <v>0</v>
      </c>
      <c r="AB13" s="704" t="n">
        <f aca="false">$B$13*AB9</f>
        <v>0</v>
      </c>
      <c r="AC13" s="837"/>
      <c r="AD13" s="837"/>
      <c r="AE13" s="838"/>
    </row>
    <row r="14" customFormat="false" ht="12" hidden="false" customHeight="true" outlineLevel="0" collapsed="false">
      <c r="A14" s="76" t="s">
        <v>637</v>
      </c>
      <c r="B14" s="496" t="n">
        <v>0</v>
      </c>
      <c r="C14" s="784"/>
      <c r="D14" s="496" t="n">
        <f aca="false">B14</f>
        <v>0</v>
      </c>
      <c r="E14" s="839" t="n">
        <v>0</v>
      </c>
      <c r="F14" s="839" t="n">
        <v>0</v>
      </c>
      <c r="G14" s="839" t="n">
        <v>0</v>
      </c>
      <c r="H14" s="839" t="n">
        <v>0</v>
      </c>
      <c r="I14" s="839" t="n">
        <v>0</v>
      </c>
      <c r="J14" s="839" t="n">
        <v>0</v>
      </c>
      <c r="K14" s="839" t="n">
        <v>0</v>
      </c>
      <c r="L14" s="839" t="n">
        <v>0</v>
      </c>
      <c r="M14" s="839" t="n">
        <v>0</v>
      </c>
      <c r="N14" s="839" t="n">
        <v>0</v>
      </c>
      <c r="O14" s="839" t="n">
        <v>0</v>
      </c>
      <c r="P14" s="839" t="n">
        <v>0</v>
      </c>
      <c r="Q14" s="839" t="n">
        <v>0</v>
      </c>
      <c r="R14" s="839" t="n">
        <v>0</v>
      </c>
      <c r="S14" s="839" t="n">
        <v>0</v>
      </c>
      <c r="T14" s="839" t="n">
        <v>0</v>
      </c>
      <c r="U14" s="839" t="n">
        <v>0</v>
      </c>
      <c r="V14" s="839" t="n">
        <v>0</v>
      </c>
      <c r="W14" s="839" t="n">
        <v>0</v>
      </c>
      <c r="X14" s="839" t="n">
        <v>0</v>
      </c>
      <c r="Y14" s="839" t="n">
        <v>0</v>
      </c>
      <c r="Z14" s="839" t="n">
        <v>0</v>
      </c>
      <c r="AA14" s="839" t="n">
        <v>0</v>
      </c>
      <c r="AB14" s="840" t="n">
        <v>0</v>
      </c>
      <c r="AC14" s="837"/>
      <c r="AD14" s="837"/>
      <c r="AE14" s="838"/>
    </row>
    <row r="15" customFormat="false" ht="12" hidden="false" customHeight="true" outlineLevel="0" collapsed="false">
      <c r="A15" s="841" t="s">
        <v>638</v>
      </c>
      <c r="B15" s="653" t="n">
        <f aca="false">SUM(B11:B14)</f>
        <v>252666.545</v>
      </c>
      <c r="C15" s="842"/>
      <c r="D15" s="653" t="n">
        <f aca="false">SUM(D11:D14)</f>
        <v>12736.2599833333</v>
      </c>
      <c r="E15" s="653" t="n">
        <f aca="false">SUM(E11:E14)</f>
        <v>24165.44083</v>
      </c>
      <c r="F15" s="653" t="n">
        <f aca="false">SUM(F11:F14)</f>
        <v>21779.776567</v>
      </c>
      <c r="G15" s="653" t="n">
        <f aca="false">SUM(G11:G14)</f>
        <v>19645.234858</v>
      </c>
      <c r="H15" s="653" t="n">
        <f aca="false">SUM(H11:H14)</f>
        <v>17711.5911922</v>
      </c>
      <c r="I15" s="653" t="n">
        <f aca="false">SUM(I11:I14)</f>
        <v>15773.6010308667</v>
      </c>
      <c r="J15" s="653" t="n">
        <f aca="false">SUM(J11:J14)</f>
        <v>14816.230686</v>
      </c>
      <c r="K15" s="653" t="n">
        <f aca="false">SUM(K11:K14)</f>
        <v>14841.3429414</v>
      </c>
      <c r="L15" s="653" t="n">
        <f aca="false">SUM(L11:L14)</f>
        <v>14816.230686</v>
      </c>
      <c r="M15" s="653" t="n">
        <f aca="false">SUM(M11:M14)</f>
        <v>14841.3429414</v>
      </c>
      <c r="N15" s="653" t="n">
        <f aca="false">SUM(N11:N14)</f>
        <v>14816.230686</v>
      </c>
      <c r="O15" s="653" t="n">
        <f aca="false">SUM(O11:O14)</f>
        <v>14841.3429414</v>
      </c>
      <c r="P15" s="653" t="n">
        <f aca="false">SUM(P11:P14)</f>
        <v>14816.230686</v>
      </c>
      <c r="Q15" s="653" t="n">
        <f aca="false">SUM(Q11:Q14)</f>
        <v>14841.3429414</v>
      </c>
      <c r="R15" s="653" t="n">
        <f aca="false">SUM(R11:R14)</f>
        <v>14816.230686</v>
      </c>
      <c r="S15" s="653" t="n">
        <f aca="false">SUM(S11:S14)</f>
        <v>7408.115343</v>
      </c>
      <c r="T15" s="653" t="n">
        <f aca="false">SUM(T11:T14)</f>
        <v>0</v>
      </c>
      <c r="U15" s="653" t="n">
        <f aca="false">SUM(U11:U14)</f>
        <v>0</v>
      </c>
      <c r="V15" s="653" t="n">
        <f aca="false">SUM(V11:V14)</f>
        <v>0</v>
      </c>
      <c r="W15" s="653" t="n">
        <f aca="false">SUM(W11:W14)</f>
        <v>0</v>
      </c>
      <c r="X15" s="653" t="n">
        <f aca="false">SUM(X11:X14)</f>
        <v>0</v>
      </c>
      <c r="Y15" s="653" t="n">
        <f aca="false">SUM(Y11:Y14)</f>
        <v>0</v>
      </c>
      <c r="Z15" s="653" t="n">
        <f aca="false">SUM(Z11:Z14)</f>
        <v>0</v>
      </c>
      <c r="AA15" s="653" t="n">
        <f aca="false">SUM(AA11:AA14)</f>
        <v>0</v>
      </c>
      <c r="AB15" s="654" t="n">
        <f aca="false">SUM(AB11:AB14)</f>
        <v>0</v>
      </c>
      <c r="AC15" s="837"/>
      <c r="AD15" s="837"/>
      <c r="AE15" s="837"/>
    </row>
    <row r="16" customFormat="false" ht="12" hidden="false" customHeight="true" outlineLevel="0" collapsed="false">
      <c r="A16" s="843"/>
      <c r="B16" s="837"/>
      <c r="C16" s="837"/>
      <c r="D16" s="837"/>
      <c r="E16" s="837"/>
      <c r="F16" s="837"/>
      <c r="G16" s="837"/>
      <c r="H16" s="837"/>
      <c r="I16" s="837"/>
      <c r="J16" s="837"/>
      <c r="K16" s="837"/>
      <c r="L16" s="837"/>
      <c r="M16" s="837"/>
      <c r="N16" s="837"/>
      <c r="O16" s="837"/>
      <c r="P16" s="837"/>
      <c r="Q16" s="837"/>
      <c r="R16" s="837"/>
      <c r="S16" s="837"/>
      <c r="T16" s="837"/>
      <c r="U16" s="837"/>
      <c r="V16" s="837"/>
      <c r="W16" s="837"/>
      <c r="X16" s="837"/>
      <c r="Y16" s="837"/>
      <c r="Z16" s="837"/>
      <c r="AA16" s="837"/>
      <c r="AB16" s="837"/>
      <c r="AC16" s="837"/>
      <c r="AD16" s="837"/>
      <c r="AE16" s="838"/>
    </row>
    <row r="17" customFormat="false" ht="12" hidden="false" customHeight="true" outlineLevel="0" collapsed="false">
      <c r="A17" s="826" t="s">
        <v>639</v>
      </c>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502"/>
      <c r="AE17" s="831"/>
    </row>
    <row r="18" customFormat="false" ht="12" hidden="false" customHeight="true" outlineLevel="0" collapsed="false">
      <c r="A18" s="844"/>
      <c r="B18" s="693" t="s">
        <v>290</v>
      </c>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402"/>
      <c r="AE18" s="831"/>
    </row>
    <row r="19" customFormat="false" ht="12" hidden="false" customHeight="true" outlineLevel="0" collapsed="false">
      <c r="A19" s="76" t="s">
        <v>631</v>
      </c>
      <c r="B19" s="832" t="n">
        <f aca="false">B7</f>
        <v>15</v>
      </c>
      <c r="C19" s="845"/>
      <c r="D19" s="463" t="n">
        <f aca="false">IF(D4&gt;$B$19+1,0,IF($B$19=15,VLOOKUP(D4,$A$57:$B$72,2),VLOOKUP(D4,$A$77:$B$97,2)))</f>
        <v>0.05</v>
      </c>
      <c r="E19" s="463" t="n">
        <f aca="false">IF(E4&gt;$B$19+1,0,IF($B$19=15,VLOOKUP(E4,$A$57:$B$72,2),VLOOKUP(E4,$A$77:$B$97,2)))</f>
        <v>0.095</v>
      </c>
      <c r="F19" s="463" t="n">
        <f aca="false">IF(F4&gt;$B$19+1,0,IF($B$19=15,VLOOKUP(F4,$A$57:$B$72,2),VLOOKUP(F4,$A$77:$B$97,2)))</f>
        <v>0.0855</v>
      </c>
      <c r="G19" s="463" t="n">
        <f aca="false">IF(G4&gt;$B$19+1,0,IF($B$19=15,VLOOKUP(G4,$A$57:$B$72,2),VLOOKUP(G4,$A$77:$B$97,2)))</f>
        <v>0.077</v>
      </c>
      <c r="H19" s="463" t="n">
        <f aca="false">IF(H4&gt;$B$19+1,0,IF($B$19=15,VLOOKUP(H4,$A$57:$B$72,2),VLOOKUP(H4,$A$77:$B$97,2)))</f>
        <v>0.0693</v>
      </c>
      <c r="I19" s="463" t="n">
        <f aca="false">IF(I4&gt;$B$19+1,0,IF($B$19=15,VLOOKUP(I4,$A$57:$B$72,2),VLOOKUP(I4,$A$77:$B$97,2)))</f>
        <v>0.0623</v>
      </c>
      <c r="J19" s="463" t="n">
        <f aca="false">IF(J4&gt;$B$19+1,0,IF($B$19=15,VLOOKUP(J4,$A$57:$B$72,2),VLOOKUP(J4,$A$77:$B$97,2)))</f>
        <v>0.059</v>
      </c>
      <c r="K19" s="463" t="n">
        <f aca="false">IF(K4&gt;$B$19+1,0,IF($B$19=15,VLOOKUP(K4,$A$57:$B$72,2),VLOOKUP(K4,$A$77:$B$97,2)))</f>
        <v>0.0591</v>
      </c>
      <c r="L19" s="463" t="n">
        <f aca="false">IF(L4&gt;$B$19+1,0,IF($B$19=15,VLOOKUP(L4,$A$57:$B$72,2),VLOOKUP(L4,$A$77:$B$97,2)))</f>
        <v>0.059</v>
      </c>
      <c r="M19" s="463" t="n">
        <f aca="false">IF(M4&gt;$B$19+1,0,IF($B$19=15,VLOOKUP(M4,$A$57:$B$72,2),VLOOKUP(M4,$A$77:$B$97,2)))</f>
        <v>0.0591</v>
      </c>
      <c r="N19" s="463" t="n">
        <f aca="false">IF(N4&gt;$B$19+1,0,IF($B$19=15,VLOOKUP(N4,$A$57:$B$72,2),VLOOKUP(N4,$A$77:$B$97,2)))</f>
        <v>0.059</v>
      </c>
      <c r="O19" s="463" t="n">
        <f aca="false">IF(O4&gt;$B$19+1,0,IF($B$19=15,VLOOKUP(O4,$A$57:$B$72,2),VLOOKUP(O4,$A$77:$B$97,2)))</f>
        <v>0.0591</v>
      </c>
      <c r="P19" s="463" t="n">
        <f aca="false">IF(P4&gt;$B$19+1,0,IF($B$19=15,VLOOKUP(P4,$A$57:$B$72,2),VLOOKUP(P4,$A$77:$B$97,2)))</f>
        <v>0.059</v>
      </c>
      <c r="Q19" s="463" t="n">
        <f aca="false">IF(Q4&gt;$B$19+1,0,IF($B$19=15,VLOOKUP(Q4,$A$57:$B$72,2),VLOOKUP(Q4,$A$77:$B$97,2)))</f>
        <v>0.0591</v>
      </c>
      <c r="R19" s="463" t="n">
        <f aca="false">IF(R4&gt;$B$19+1,0,IF($B$19=15,VLOOKUP(R4,$A$57:$B$72,2),VLOOKUP(R4,$A$77:$B$97,2)))</f>
        <v>0.059</v>
      </c>
      <c r="S19" s="463" t="n">
        <f aca="false">IF(S4&gt;$B$19+1,0,IF($B$19=15,VLOOKUP(S4,$A$57:$B$72,2),VLOOKUP(S4,$A$77:$B$97,2)))</f>
        <v>0.0295</v>
      </c>
      <c r="T19" s="463" t="n">
        <f aca="false">IF(T4&gt;$B$19+1,0,IF($B$19=15,VLOOKUP(T4,$A$57:$B$72,2),VLOOKUP(T4,$A$77:$B$97,2)))</f>
        <v>0</v>
      </c>
      <c r="U19" s="463" t="n">
        <f aca="false">IF(U4&gt;$B$19+1,0,IF($B$19=15,VLOOKUP(U4,$A$57:$B$72,2),VLOOKUP(U4,$A$77:$B$97,2)))</f>
        <v>0</v>
      </c>
      <c r="V19" s="463" t="n">
        <f aca="false">IF(V4&gt;$B$19+1,0,IF($B$19=15,VLOOKUP(V4,$A$57:$B$72,2),VLOOKUP(V4,$A$77:$B$97,2)))</f>
        <v>0</v>
      </c>
      <c r="W19" s="463" t="n">
        <f aca="false">IF(W4&gt;$B$19+1,0,IF($B$19=15,VLOOKUP(W4,$A$57:$B$72,2),VLOOKUP(W4,$A$77:$B$97,2)))</f>
        <v>0</v>
      </c>
      <c r="X19" s="463" t="n">
        <f aca="false">IF(X4&gt;$B$19+1,0,IF($B$19=15,VLOOKUP(X4,$A$57:$B$72,2),VLOOKUP(X4,$A$77:$B$97,2)))</f>
        <v>0</v>
      </c>
      <c r="Y19" s="463" t="n">
        <f aca="false">IF(Y4&gt;$B$19+1,0,IF($B$19=15,VLOOKUP(Y4,$A$57:$B$72,2),VLOOKUP(Y4,$A$77:$B$97,2)))</f>
        <v>0</v>
      </c>
      <c r="Z19" s="463" t="n">
        <f aca="false">IF(Z4&gt;$B$19+1,0,IF($B$19=15,VLOOKUP(Z4,$A$57:$B$72,2),VLOOKUP(Z4,$A$77:$B$97,2)))</f>
        <v>0</v>
      </c>
      <c r="AA19" s="463" t="n">
        <f aca="false">IF(AA4&gt;$B$19+1,0,IF($B$19=15,VLOOKUP(AA4,$A$57:$B$72,2),VLOOKUP(AA4,$A$77:$B$97,2)))</f>
        <v>0</v>
      </c>
      <c r="AB19" s="508" t="n">
        <f aca="false">IF(AB4&gt;$B$19+1,0,IF($B$19=15,VLOOKUP(AB4,$A$57:$B$72,2),VLOOKUP(AB4,$A$77:$B$97,2)))</f>
        <v>0</v>
      </c>
      <c r="AC19" s="833"/>
      <c r="AD19" s="833"/>
      <c r="AE19" s="834"/>
    </row>
    <row r="20" customFormat="false" ht="12" hidden="false" customHeight="true" outlineLevel="0" collapsed="false">
      <c r="A20" s="76" t="s">
        <v>632</v>
      </c>
      <c r="B20" s="832" t="n">
        <v>5</v>
      </c>
      <c r="C20" s="371"/>
      <c r="D20" s="463" t="n">
        <f aca="false">IF(D16&gt;$B$20,0,1/$B$20)*'Book Income Statement'!D$7/12</f>
        <v>0.116666666666667</v>
      </c>
      <c r="E20" s="463" t="n">
        <f aca="false">IF(E$4&lt;=$B20,(1/$B20),IF(E$4=$B20+1,(1/$B20)-$D20,0))</f>
        <v>0.2</v>
      </c>
      <c r="F20" s="463" t="n">
        <f aca="false">IF(F$4&lt;=$B20,(1/$B20),IF(F$4=$B20+1,(1/$B20)-$D20,0))</f>
        <v>0.2</v>
      </c>
      <c r="G20" s="463" t="n">
        <f aca="false">IF(G$4&lt;=$B20,(1/$B20),IF(G$4=$B20+1,(1/$B20)-$D20,0))</f>
        <v>0.2</v>
      </c>
      <c r="H20" s="463" t="n">
        <f aca="false">IF(H$4&lt;=$B20,(1/$B20),IF(H$4=$B20+1,(1/$B20)-$D20,0))</f>
        <v>0.2</v>
      </c>
      <c r="I20" s="463" t="n">
        <f aca="false">IF(I$4&lt;=$B20,(1/$B20),IF(I$4=$B20+1,(1/$B20)-$D20,0))</f>
        <v>0.0833333333333333</v>
      </c>
      <c r="J20" s="463" t="n">
        <f aca="false">IF(J$4&lt;=$B20,(1/$B20),IF(J$4=$B20+1,(1/$B20)-$D20,0))</f>
        <v>0</v>
      </c>
      <c r="K20" s="463" t="n">
        <f aca="false">IF(K$4&lt;=$B20,(1/$B20),IF(K$4=$B20+1,(1/$B20)-$D20,0))</f>
        <v>0</v>
      </c>
      <c r="L20" s="463" t="n">
        <f aca="false">IF(L$4&lt;=$B20,(1/$B20),IF(L$4=$B20+1,(1/$B20)-$D20,0))</f>
        <v>0</v>
      </c>
      <c r="M20" s="463" t="n">
        <f aca="false">IF(M$4&lt;=$B20,(1/$B20),IF(M$4=$B20+1,(1/$B20)-$D20,0))</f>
        <v>0</v>
      </c>
      <c r="N20" s="463" t="n">
        <f aca="false">IF(N$4&lt;=$B20,(1/$B20),IF(N$4=$B20+1,(1/$B20)-$D20,0))</f>
        <v>0</v>
      </c>
      <c r="O20" s="463" t="n">
        <f aca="false">IF(O$4&lt;=$B20,(1/$B20),IF(O$4=$B20+1,(1/$B20)-$D20,0))</f>
        <v>0</v>
      </c>
      <c r="P20" s="463" t="n">
        <f aca="false">IF(P$4&lt;=$B20,(1/$B20),IF(P$4=$B20+1,(1/$B20)-$D20,0))</f>
        <v>0</v>
      </c>
      <c r="Q20" s="463" t="n">
        <f aca="false">IF(Q$4&lt;=$B20,(1/$B20),IF(Q$4=$B20+1,(1/$B20)-$D20,0))</f>
        <v>0</v>
      </c>
      <c r="R20" s="463" t="n">
        <f aca="false">IF(R$4&lt;=$B20,(1/$B20),IF(R$4=$B20+1,(1/$B20)-$D20,0))</f>
        <v>0</v>
      </c>
      <c r="S20" s="463" t="n">
        <f aca="false">IF(S$4&lt;=$B20,(1/$B20),IF(S$4=$B20+1,(1/$B20)-$D20,0))</f>
        <v>0</v>
      </c>
      <c r="T20" s="463" t="n">
        <f aca="false">IF(T$4&lt;=$B20,(1/$B20),IF(T$4=$B20+1,(1/$B20)-$D20,0))</f>
        <v>0</v>
      </c>
      <c r="U20" s="463" t="n">
        <f aca="false">IF(U$4&lt;=$B20,(1/$B20),IF(U$4=$B20+1,(1/$B20)-$D20,0))</f>
        <v>0</v>
      </c>
      <c r="V20" s="463" t="n">
        <f aca="false">IF(V$4&lt;=$B20,(1/$B20),IF(V$4=$B20+1,(1/$B20)-$D20,0))</f>
        <v>0</v>
      </c>
      <c r="W20" s="463" t="n">
        <f aca="false">IF(W$4&lt;=$B20,(1/$B20),IF(W$4=$B20+1,(1/$B20)-$D20,0))</f>
        <v>0</v>
      </c>
      <c r="X20" s="463" t="n">
        <f aca="false">IF(X$4&lt;=$B20,(1/$B20),IF(X$4=$B20+1,(1/$B20)-$D20,0))</f>
        <v>0</v>
      </c>
      <c r="Y20" s="463" t="n">
        <f aca="false">IF(Y$4&lt;=$B20,(1/$B20),IF(Y$4=$B20+1,(1/$B20)-$D20,0))</f>
        <v>0</v>
      </c>
      <c r="Z20" s="463" t="n">
        <f aca="false">IF(Z$4&lt;=$B20,(1/$B20),IF(Z$4=$B20+1,(1/$B20)-$D20,0))</f>
        <v>0</v>
      </c>
      <c r="AA20" s="463" t="n">
        <f aca="false">IF(AA$4&lt;=$B20,(1/$B20),IF(AA$4=$B20+1,(1/$B20)-$D20,0))</f>
        <v>0</v>
      </c>
      <c r="AB20" s="508" t="n">
        <f aca="false">IF(AB$4&lt;=$B20,(1/$B20),IF(AB$4=$B20+1,(1/$B20)-$D20,0))</f>
        <v>0</v>
      </c>
      <c r="AC20" s="833"/>
      <c r="AD20" s="833"/>
      <c r="AE20" s="834"/>
    </row>
    <row r="21" customFormat="false" ht="12" hidden="false" customHeight="true" outlineLevel="0" collapsed="false">
      <c r="A21" s="76" t="s">
        <v>633</v>
      </c>
      <c r="B21" s="835" t="n">
        <f aca="false">MAX('Project Assumptions'!$F$39,'Project Assumptions'!$G$39,'Project Assumptions'!$H$39)</f>
        <v>20</v>
      </c>
      <c r="C21" s="371"/>
      <c r="D21" s="463" t="n">
        <f aca="false">IF(D16&gt;$B$21,0,(1/$B$21))*'Book Income Statement'!D$7/12</f>
        <v>0.0291666666666667</v>
      </c>
      <c r="E21" s="463" t="n">
        <f aca="false">IF(E$4&lt;=$B$21,(1/$B$21),IF(E$4=$B$21+1,(1/$B$21)-$D$21,0))</f>
        <v>0.05</v>
      </c>
      <c r="F21" s="463" t="n">
        <f aca="false">IF(F$4&lt;=$B$21,(1/$B$21),IF(F$4=$B$21+1,(1/$B$21)-$D$21,0))</f>
        <v>0.05</v>
      </c>
      <c r="G21" s="463" t="n">
        <f aca="false">IF(G$4&lt;=$B$21,(1/$B$21),IF(G$4=$B$21+1,(1/$B$21)-$D$21,0))</f>
        <v>0.05</v>
      </c>
      <c r="H21" s="463" t="n">
        <f aca="false">IF(H$4&lt;=$B$21,(1/$B$21),IF(H$4=$B$21+1,(1/$B$21)-$D$21,0))</f>
        <v>0.05</v>
      </c>
      <c r="I21" s="463" t="n">
        <f aca="false">IF(I$4&lt;=$B$21,(1/$B$21),IF(I$4=$B$21+1,(1/$B$21)-$D$21,0))</f>
        <v>0.05</v>
      </c>
      <c r="J21" s="463" t="n">
        <f aca="false">IF(J$4&lt;=$B$21,(1/$B$21),IF(J$4=$B$21+1,(1/$B$21)-$D$21,0))</f>
        <v>0.05</v>
      </c>
      <c r="K21" s="463" t="n">
        <f aca="false">IF(K$4&lt;=$B$21,(1/$B$21),IF(K$4=$B$21+1,(1/$B$21)-$D$21,0))</f>
        <v>0.05</v>
      </c>
      <c r="L21" s="463" t="n">
        <f aca="false">IF(L$4&lt;=$B$21,(1/$B$21),IF(L$4=$B$21+1,(1/$B$21)-$D$21,0))</f>
        <v>0.05</v>
      </c>
      <c r="M21" s="463" t="n">
        <f aca="false">IF(M$4&lt;=$B$21,(1/$B$21),IF(M$4=$B$21+1,(1/$B$21)-$D$21,0))</f>
        <v>0.05</v>
      </c>
      <c r="N21" s="463" t="n">
        <f aca="false">IF(N$4&lt;=$B$21,(1/$B$21),IF(N$4=$B$21+1,(1/$B$21)-$D$21,0))</f>
        <v>0.05</v>
      </c>
      <c r="O21" s="463" t="n">
        <f aca="false">IF(O$4&lt;=$B$21,(1/$B$21),IF(O$4=$B$21+1,(1/$B$21)-$D$21,0))</f>
        <v>0.05</v>
      </c>
      <c r="P21" s="463" t="n">
        <f aca="false">IF(P$4&lt;=$B$21,(1/$B$21),IF(P$4=$B$21+1,(1/$B$21)-$D$21,0))</f>
        <v>0.05</v>
      </c>
      <c r="Q21" s="463" t="n">
        <f aca="false">IF(Q$4&lt;=$B$21,(1/$B$21),IF(Q$4=$B$21+1,(1/$B$21)-$D$21,0))</f>
        <v>0.05</v>
      </c>
      <c r="R21" s="463" t="n">
        <f aca="false">IF(R$4&lt;=$B$21,(1/$B$21),IF(R$4=$B$21+1,(1/$B$21)-$D$21,0))</f>
        <v>0.05</v>
      </c>
      <c r="S21" s="463" t="n">
        <f aca="false">IF(S$4&lt;=$B$21,(1/$B$21),IF(S$4=$B$21+1,(1/$B$21)-$D$21,0))</f>
        <v>0.05</v>
      </c>
      <c r="T21" s="463" t="n">
        <f aca="false">IF(T$4&lt;=$B$21,(1/$B$21),IF(T$4=$B$21+1,(1/$B$21)-$D$21,0))</f>
        <v>0.05</v>
      </c>
      <c r="U21" s="463" t="n">
        <f aca="false">IF(U$4&lt;=$B$21,(1/$B$21),IF(U$4=$B$21+1,(1/$B$21)-$D$21,0))</f>
        <v>0.05</v>
      </c>
      <c r="V21" s="463" t="n">
        <f aca="false">IF(V$4&lt;=$B$21,(1/$B$21),IF(V$4=$B$21+1,(1/$B$21)-$D$21,0))</f>
        <v>0.05</v>
      </c>
      <c r="W21" s="463" t="n">
        <f aca="false">IF(W$4&lt;=$B$21,(1/$B$21),IF(W$4=$B$21+1,(1/$B$21)-$D$21,0))</f>
        <v>0.05</v>
      </c>
      <c r="X21" s="463" t="n">
        <f aca="false">IF(X$4&lt;=$B$21,(1/$B$21),IF(X$4=$B$21+1,(1/$B$21)-$D$21,0))</f>
        <v>0.0208333333333333</v>
      </c>
      <c r="Y21" s="463" t="n">
        <f aca="false">IF(Y$4&lt;=$B$21,(1/$B$21),IF(Y$4=$B$21+1,(1/$B$21)-$D$21,0))</f>
        <v>0</v>
      </c>
      <c r="Z21" s="463" t="n">
        <f aca="false">IF(Z$4&lt;=$B$21,(1/$B$21),IF(Z$4=$B$21+1,(1/$B$21)-$D$21,0))</f>
        <v>0</v>
      </c>
      <c r="AA21" s="463" t="n">
        <f aca="false">IF(AA$4&lt;=$B$21,(1/$B$21),IF(AA$4=$B$21+1,(1/$B$21)-$D$21,0))</f>
        <v>0</v>
      </c>
      <c r="AB21" s="508" t="n">
        <f aca="false">IF(AB$4&lt;=$B$21,(1/$B$21),IF(AB$4=$B$21+1,(1/$B$21)-$D$21,0))</f>
        <v>0</v>
      </c>
      <c r="AC21" s="833"/>
      <c r="AD21" s="833"/>
      <c r="AE21" s="834"/>
    </row>
    <row r="22" customFormat="false" ht="12" hidden="false" customHeight="true" outlineLevel="0" collapsed="false">
      <c r="A22" s="76"/>
      <c r="B22" s="832"/>
      <c r="C22" s="371"/>
      <c r="D22" s="846"/>
      <c r="E22" s="846"/>
      <c r="F22" s="846"/>
      <c r="G22" s="846"/>
      <c r="H22" s="846"/>
      <c r="I22" s="846"/>
      <c r="J22" s="846"/>
      <c r="K22" s="846"/>
      <c r="L22" s="846"/>
      <c r="M22" s="846"/>
      <c r="N22" s="846"/>
      <c r="O22" s="846"/>
      <c r="P22" s="846"/>
      <c r="Q22" s="846"/>
      <c r="R22" s="846"/>
      <c r="S22" s="846"/>
      <c r="T22" s="846"/>
      <c r="U22" s="846"/>
      <c r="V22" s="846"/>
      <c r="W22" s="846"/>
      <c r="X22" s="846"/>
      <c r="Y22" s="846"/>
      <c r="Z22" s="846"/>
      <c r="AA22" s="846"/>
      <c r="AB22" s="847"/>
      <c r="AC22" s="833"/>
      <c r="AD22" s="833"/>
      <c r="AE22" s="834"/>
    </row>
    <row r="23" customFormat="false" ht="12" hidden="false" customHeight="true" outlineLevel="0" collapsed="false">
      <c r="A23" s="397"/>
      <c r="B23" s="693"/>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402"/>
    </row>
    <row r="24" customFormat="false" ht="12" hidden="false" customHeight="true" outlineLevel="0" collapsed="false">
      <c r="A24" s="76" t="s">
        <v>634</v>
      </c>
      <c r="B24" s="425" t="n">
        <f aca="false">B11</f>
        <v>251122.554</v>
      </c>
      <c r="C24" s="703"/>
      <c r="D24" s="425" t="n">
        <f aca="false">$B$24*D19</f>
        <v>12556.1277</v>
      </c>
      <c r="E24" s="425" t="n">
        <f aca="false">$B$24*E19</f>
        <v>23856.64263</v>
      </c>
      <c r="F24" s="425" t="n">
        <f aca="false">$B$24*F19</f>
        <v>21470.978367</v>
      </c>
      <c r="G24" s="425" t="n">
        <f aca="false">$B$24*G19</f>
        <v>19336.436658</v>
      </c>
      <c r="H24" s="425" t="n">
        <f aca="false">$B$24*H19</f>
        <v>17402.7929922</v>
      </c>
      <c r="I24" s="425" t="n">
        <f aca="false">$B$24*I19</f>
        <v>15644.9351142</v>
      </c>
      <c r="J24" s="425" t="n">
        <f aca="false">$B$24*J19</f>
        <v>14816.230686</v>
      </c>
      <c r="K24" s="425" t="n">
        <f aca="false">$B$24*K19</f>
        <v>14841.3429414</v>
      </c>
      <c r="L24" s="425" t="n">
        <f aca="false">$B$24*L19</f>
        <v>14816.230686</v>
      </c>
      <c r="M24" s="425" t="n">
        <f aca="false">$B$24*M19</f>
        <v>14841.3429414</v>
      </c>
      <c r="N24" s="425" t="n">
        <f aca="false">$B$24*N19</f>
        <v>14816.230686</v>
      </c>
      <c r="O24" s="425" t="n">
        <f aca="false">$B$24*O19</f>
        <v>14841.3429414</v>
      </c>
      <c r="P24" s="425" t="n">
        <f aca="false">$B$24*P19</f>
        <v>14816.230686</v>
      </c>
      <c r="Q24" s="425" t="n">
        <f aca="false">$B$24*Q19</f>
        <v>14841.3429414</v>
      </c>
      <c r="R24" s="425" t="n">
        <f aca="false">$B$24*R19</f>
        <v>14816.230686</v>
      </c>
      <c r="S24" s="425" t="n">
        <f aca="false">$B$24*S19</f>
        <v>7408.115343</v>
      </c>
      <c r="T24" s="425" t="n">
        <f aca="false">$B$24*T19</f>
        <v>0</v>
      </c>
      <c r="U24" s="425" t="n">
        <f aca="false">$B$24*U19</f>
        <v>0</v>
      </c>
      <c r="V24" s="425" t="n">
        <f aca="false">$B$24*V19</f>
        <v>0</v>
      </c>
      <c r="W24" s="425" t="n">
        <f aca="false">$B$24*W19</f>
        <v>0</v>
      </c>
      <c r="X24" s="425" t="n">
        <f aca="false">$B$24*X19</f>
        <v>0</v>
      </c>
      <c r="Y24" s="425" t="n">
        <f aca="false">$B$24*Y19</f>
        <v>0</v>
      </c>
      <c r="Z24" s="425" t="n">
        <f aca="false">$B$24*Z19</f>
        <v>0</v>
      </c>
      <c r="AA24" s="425" t="n">
        <f aca="false">$B$24*AA19</f>
        <v>0</v>
      </c>
      <c r="AB24" s="426" t="n">
        <f aca="false">$B$24*AB19</f>
        <v>0</v>
      </c>
      <c r="AC24" s="703"/>
      <c r="AD24" s="703"/>
      <c r="AE24" s="703"/>
      <c r="AF24" s="703"/>
      <c r="AG24" s="703"/>
      <c r="AH24" s="703"/>
      <c r="AI24" s="703"/>
      <c r="AJ24" s="703"/>
      <c r="AK24" s="703"/>
      <c r="AL24" s="703"/>
      <c r="AM24" s="703"/>
      <c r="AN24" s="703"/>
      <c r="AO24" s="703"/>
      <c r="AP24" s="703"/>
      <c r="AQ24" s="703"/>
      <c r="AR24" s="703"/>
      <c r="AS24" s="703"/>
      <c r="AT24" s="703"/>
      <c r="AU24" s="703"/>
      <c r="AV24" s="703"/>
      <c r="AW24" s="703"/>
      <c r="AX24" s="703"/>
      <c r="AY24" s="703"/>
      <c r="AZ24" s="703"/>
      <c r="BA24" s="703"/>
      <c r="BB24" s="703"/>
      <c r="BC24" s="703"/>
      <c r="BD24" s="703"/>
      <c r="BE24" s="703"/>
      <c r="BF24" s="703"/>
      <c r="BG24" s="703"/>
      <c r="BH24" s="703"/>
      <c r="BI24" s="703"/>
      <c r="BJ24" s="703"/>
      <c r="BK24" s="703"/>
      <c r="BL24" s="703"/>
      <c r="BM24" s="703"/>
      <c r="BN24" s="703"/>
      <c r="BO24" s="703"/>
      <c r="BP24" s="703"/>
      <c r="BQ24" s="703"/>
      <c r="BR24" s="703"/>
      <c r="BS24" s="703"/>
      <c r="BT24" s="703"/>
      <c r="BU24" s="703"/>
      <c r="BV24" s="703"/>
      <c r="BW24" s="703"/>
      <c r="BX24" s="703"/>
      <c r="BY24" s="703"/>
      <c r="BZ24" s="703"/>
      <c r="CA24" s="703"/>
      <c r="CB24" s="703"/>
      <c r="CC24" s="703"/>
      <c r="CD24" s="703"/>
      <c r="CE24" s="703"/>
      <c r="CF24" s="703"/>
      <c r="CG24" s="703"/>
      <c r="CH24" s="703"/>
      <c r="CI24" s="703"/>
      <c r="CJ24" s="703"/>
      <c r="CK24" s="703"/>
      <c r="CL24" s="703"/>
      <c r="CM24" s="703"/>
      <c r="CN24" s="703"/>
      <c r="CO24" s="703"/>
      <c r="CP24" s="703"/>
      <c r="CQ24" s="703"/>
      <c r="CR24" s="703"/>
      <c r="CS24" s="703"/>
      <c r="CT24" s="703"/>
      <c r="CU24" s="703"/>
      <c r="CV24" s="703"/>
      <c r="CW24" s="703"/>
      <c r="CX24" s="703"/>
      <c r="CY24" s="703"/>
      <c r="CZ24" s="703"/>
      <c r="DA24" s="703"/>
      <c r="DB24" s="703"/>
      <c r="DC24" s="703"/>
      <c r="DD24" s="703"/>
      <c r="DE24" s="703"/>
      <c r="DF24" s="703"/>
      <c r="DG24" s="703"/>
      <c r="DH24" s="703"/>
      <c r="DI24" s="703"/>
      <c r="DJ24" s="703"/>
      <c r="DK24" s="703"/>
      <c r="DL24" s="703"/>
      <c r="DM24" s="703"/>
      <c r="DN24" s="703"/>
      <c r="DO24" s="703"/>
      <c r="DP24" s="703"/>
      <c r="DQ24" s="703"/>
      <c r="DR24" s="703"/>
      <c r="DS24" s="703"/>
      <c r="DT24" s="703"/>
      <c r="DU24" s="703"/>
      <c r="DV24" s="703"/>
      <c r="DW24" s="703"/>
      <c r="DX24" s="703"/>
      <c r="DY24" s="703"/>
      <c r="DZ24" s="703"/>
      <c r="EA24" s="703"/>
      <c r="EB24" s="703"/>
      <c r="EC24" s="703"/>
      <c r="ED24" s="703"/>
      <c r="EE24" s="703"/>
      <c r="EF24" s="703"/>
      <c r="EG24" s="703"/>
      <c r="EH24" s="703"/>
      <c r="EI24" s="703"/>
      <c r="EJ24" s="703"/>
      <c r="EK24" s="703"/>
      <c r="EL24" s="703"/>
      <c r="EM24" s="703"/>
      <c r="EN24" s="703"/>
      <c r="EO24" s="703"/>
      <c r="EP24" s="703"/>
      <c r="EQ24" s="703"/>
      <c r="ER24" s="703"/>
      <c r="ES24" s="703"/>
      <c r="ET24" s="703"/>
      <c r="EU24" s="703"/>
      <c r="EV24" s="703"/>
      <c r="EW24" s="703"/>
      <c r="EX24" s="703"/>
      <c r="EY24" s="703"/>
      <c r="EZ24" s="703"/>
      <c r="FA24" s="703"/>
      <c r="FB24" s="703"/>
      <c r="FC24" s="703"/>
      <c r="FD24" s="703"/>
      <c r="FE24" s="703"/>
      <c r="FF24" s="703"/>
      <c r="FG24" s="703"/>
      <c r="FH24" s="703"/>
      <c r="FI24" s="703"/>
      <c r="FJ24" s="703"/>
      <c r="FK24" s="703"/>
      <c r="FL24" s="703"/>
      <c r="FM24" s="703"/>
      <c r="FN24" s="703"/>
      <c r="FO24" s="703"/>
      <c r="FP24" s="703"/>
      <c r="FQ24" s="703"/>
      <c r="FR24" s="703"/>
      <c r="FS24" s="703"/>
      <c r="FT24" s="703"/>
      <c r="FU24" s="703"/>
      <c r="FV24" s="703"/>
      <c r="FW24" s="703"/>
      <c r="FX24" s="703"/>
      <c r="FY24" s="703"/>
      <c r="FZ24" s="703"/>
      <c r="GA24" s="703"/>
      <c r="GB24" s="703"/>
      <c r="GC24" s="703"/>
      <c r="GD24" s="703"/>
      <c r="GE24" s="703"/>
      <c r="GF24" s="703"/>
      <c r="GG24" s="703"/>
      <c r="GH24" s="703"/>
      <c r="GI24" s="703"/>
      <c r="GJ24" s="703"/>
      <c r="GK24" s="703"/>
      <c r="GL24" s="703"/>
      <c r="GM24" s="703"/>
      <c r="GN24" s="703"/>
      <c r="GO24" s="703"/>
      <c r="GP24" s="703"/>
      <c r="GQ24" s="703"/>
      <c r="GR24" s="703"/>
      <c r="GS24" s="703"/>
      <c r="GT24" s="703"/>
      <c r="GU24" s="703"/>
      <c r="GV24" s="703"/>
      <c r="GW24" s="703"/>
      <c r="GX24" s="703"/>
      <c r="GY24" s="703"/>
      <c r="GZ24" s="703"/>
      <c r="HA24" s="703"/>
      <c r="HB24" s="703"/>
      <c r="HC24" s="703"/>
      <c r="HD24" s="703"/>
      <c r="HE24" s="703"/>
      <c r="HF24" s="703"/>
      <c r="HG24" s="703"/>
      <c r="HH24" s="703"/>
      <c r="HI24" s="703"/>
      <c r="HJ24" s="703"/>
      <c r="HK24" s="703"/>
      <c r="HL24" s="703"/>
      <c r="HM24" s="703"/>
      <c r="HN24" s="703"/>
      <c r="HO24" s="703"/>
      <c r="HP24" s="703"/>
      <c r="HQ24" s="703"/>
      <c r="HR24" s="703"/>
      <c r="HS24" s="703"/>
      <c r="HT24" s="703"/>
      <c r="HU24" s="703"/>
      <c r="HV24" s="703"/>
      <c r="HW24" s="703"/>
      <c r="HX24" s="703"/>
      <c r="HY24" s="703"/>
      <c r="HZ24" s="703"/>
      <c r="IA24" s="703"/>
      <c r="IB24" s="703"/>
      <c r="IC24" s="703"/>
      <c r="ID24" s="703"/>
      <c r="IE24" s="703"/>
      <c r="IF24" s="703"/>
      <c r="IG24" s="703"/>
      <c r="IH24" s="703"/>
      <c r="II24" s="703"/>
      <c r="IJ24" s="703"/>
      <c r="IK24" s="703"/>
      <c r="IL24" s="703"/>
      <c r="IM24" s="703"/>
      <c r="IN24" s="703"/>
      <c r="IO24" s="703"/>
      <c r="IP24" s="703"/>
      <c r="IQ24" s="703"/>
      <c r="IR24" s="703"/>
      <c r="IS24" s="703"/>
      <c r="IT24" s="703"/>
      <c r="IU24" s="703"/>
      <c r="IV24" s="703"/>
      <c r="IW24" s="703"/>
    </row>
    <row r="25" customFormat="false" ht="12" hidden="false" customHeight="true" outlineLevel="0" collapsed="false">
      <c r="A25" s="76" t="s">
        <v>635</v>
      </c>
      <c r="B25" s="703" t="n">
        <f aca="false">B12</f>
        <v>1543.991</v>
      </c>
      <c r="C25" s="371"/>
      <c r="D25" s="703" t="n">
        <f aca="false">$B25*D20</f>
        <v>180.132283333333</v>
      </c>
      <c r="E25" s="703" t="n">
        <f aca="false">$B25*E20</f>
        <v>308.7982</v>
      </c>
      <c r="F25" s="703" t="n">
        <f aca="false">$B25*F20</f>
        <v>308.7982</v>
      </c>
      <c r="G25" s="703" t="n">
        <f aca="false">$B25*G20</f>
        <v>308.7982</v>
      </c>
      <c r="H25" s="703" t="n">
        <f aca="false">$B25*H20</f>
        <v>308.7982</v>
      </c>
      <c r="I25" s="703" t="n">
        <f aca="false">$B25*I20</f>
        <v>128.665916666667</v>
      </c>
      <c r="J25" s="703" t="n">
        <f aca="false">$B25*J20</f>
        <v>0</v>
      </c>
      <c r="K25" s="703" t="n">
        <f aca="false">$B25*K20</f>
        <v>0</v>
      </c>
      <c r="L25" s="703" t="n">
        <f aca="false">$B25*L20</f>
        <v>0</v>
      </c>
      <c r="M25" s="703" t="n">
        <f aca="false">$B25*M20</f>
        <v>0</v>
      </c>
      <c r="N25" s="703" t="n">
        <f aca="false">$B25*N20</f>
        <v>0</v>
      </c>
      <c r="O25" s="703" t="n">
        <f aca="false">$B25*O20</f>
        <v>0</v>
      </c>
      <c r="P25" s="703" t="n">
        <f aca="false">$B25*P20</f>
        <v>0</v>
      </c>
      <c r="Q25" s="703" t="n">
        <f aca="false">$B25*Q20</f>
        <v>0</v>
      </c>
      <c r="R25" s="703" t="n">
        <f aca="false">$B25*R20</f>
        <v>0</v>
      </c>
      <c r="S25" s="703" t="n">
        <f aca="false">$B25*S20</f>
        <v>0</v>
      </c>
      <c r="T25" s="703" t="n">
        <f aca="false">$B25*T20</f>
        <v>0</v>
      </c>
      <c r="U25" s="703" t="n">
        <f aca="false">$B25*U20</f>
        <v>0</v>
      </c>
      <c r="V25" s="703" t="n">
        <f aca="false">$B25*V20</f>
        <v>0</v>
      </c>
      <c r="W25" s="703" t="n">
        <f aca="false">$B25*W20</f>
        <v>0</v>
      </c>
      <c r="X25" s="703" t="n">
        <f aca="false">$B25*X20</f>
        <v>0</v>
      </c>
      <c r="Y25" s="703" t="n">
        <f aca="false">$B25*Y20</f>
        <v>0</v>
      </c>
      <c r="Z25" s="703" t="n">
        <f aca="false">$B25*Z20</f>
        <v>0</v>
      </c>
      <c r="AA25" s="703" t="n">
        <f aca="false">$B25*AA20</f>
        <v>0</v>
      </c>
      <c r="AB25" s="704" t="n">
        <f aca="false">$B25*AB20</f>
        <v>0</v>
      </c>
      <c r="AC25" s="837"/>
      <c r="AD25" s="837"/>
      <c r="AE25" s="838"/>
    </row>
    <row r="26" customFormat="false" ht="12.75" hidden="false" customHeight="true" outlineLevel="0" collapsed="false">
      <c r="A26" s="76" t="s">
        <v>636</v>
      </c>
      <c r="B26" s="703" t="n">
        <f aca="false">B13</f>
        <v>0</v>
      </c>
      <c r="C26" s="371"/>
      <c r="D26" s="703" t="n">
        <f aca="false">$B26*D21</f>
        <v>0</v>
      </c>
      <c r="E26" s="703" t="n">
        <f aca="false">$B26*E21</f>
        <v>0</v>
      </c>
      <c r="F26" s="703" t="n">
        <f aca="false">$B26*F21</f>
        <v>0</v>
      </c>
      <c r="G26" s="703" t="n">
        <f aca="false">$B26*G21</f>
        <v>0</v>
      </c>
      <c r="H26" s="703" t="n">
        <f aca="false">$B26*H21</f>
        <v>0</v>
      </c>
      <c r="I26" s="703" t="n">
        <f aca="false">$B26*I21</f>
        <v>0</v>
      </c>
      <c r="J26" s="703" t="n">
        <f aca="false">$B26*J21</f>
        <v>0</v>
      </c>
      <c r="K26" s="703" t="n">
        <f aca="false">$B26*K21</f>
        <v>0</v>
      </c>
      <c r="L26" s="703" t="n">
        <f aca="false">$B26*L21</f>
        <v>0</v>
      </c>
      <c r="M26" s="703" t="n">
        <f aca="false">$B26*M21</f>
        <v>0</v>
      </c>
      <c r="N26" s="703" t="n">
        <f aca="false">$B26*N21</f>
        <v>0</v>
      </c>
      <c r="O26" s="703" t="n">
        <f aca="false">$B26*O21</f>
        <v>0</v>
      </c>
      <c r="P26" s="703" t="n">
        <f aca="false">$B26*P21</f>
        <v>0</v>
      </c>
      <c r="Q26" s="703" t="n">
        <f aca="false">$B26*Q21</f>
        <v>0</v>
      </c>
      <c r="R26" s="703" t="n">
        <f aca="false">$B26*R21</f>
        <v>0</v>
      </c>
      <c r="S26" s="703" t="n">
        <f aca="false">$B26*S21</f>
        <v>0</v>
      </c>
      <c r="T26" s="703" t="n">
        <f aca="false">$B26*T21</f>
        <v>0</v>
      </c>
      <c r="U26" s="703" t="n">
        <f aca="false">$B26*U21</f>
        <v>0</v>
      </c>
      <c r="V26" s="703" t="n">
        <f aca="false">$B26*V21</f>
        <v>0</v>
      </c>
      <c r="W26" s="703" t="n">
        <f aca="false">$B26*W21</f>
        <v>0</v>
      </c>
      <c r="X26" s="703" t="n">
        <f aca="false">$B26*X21</f>
        <v>0</v>
      </c>
      <c r="Y26" s="703" t="n">
        <f aca="false">$B26*Y21</f>
        <v>0</v>
      </c>
      <c r="Z26" s="703" t="n">
        <f aca="false">$B26*Z21</f>
        <v>0</v>
      </c>
      <c r="AA26" s="703" t="n">
        <f aca="false">$B26*AA21</f>
        <v>0</v>
      </c>
      <c r="AB26" s="704" t="n">
        <f aca="false">$B26*AB21</f>
        <v>0</v>
      </c>
      <c r="AC26" s="837"/>
      <c r="AD26" s="837"/>
      <c r="AE26" s="838"/>
    </row>
    <row r="27" customFormat="false" ht="15" hidden="false" customHeight="true" outlineLevel="0" collapsed="false">
      <c r="A27" s="76" t="s">
        <v>637</v>
      </c>
      <c r="B27" s="496" t="n">
        <f aca="false">B14</f>
        <v>0</v>
      </c>
      <c r="C27" s="371"/>
      <c r="D27" s="496" t="n">
        <f aca="false">B27</f>
        <v>0</v>
      </c>
      <c r="E27" s="839" t="n">
        <v>0</v>
      </c>
      <c r="F27" s="839" t="n">
        <v>0</v>
      </c>
      <c r="G27" s="839" t="n">
        <v>0</v>
      </c>
      <c r="H27" s="839" t="n">
        <v>0</v>
      </c>
      <c r="I27" s="839" t="n">
        <v>0</v>
      </c>
      <c r="J27" s="839" t="n">
        <v>0</v>
      </c>
      <c r="K27" s="839" t="n">
        <v>0</v>
      </c>
      <c r="L27" s="839" t="n">
        <v>0</v>
      </c>
      <c r="M27" s="839" t="n">
        <v>0</v>
      </c>
      <c r="N27" s="839" t="n">
        <v>0</v>
      </c>
      <c r="O27" s="839" t="n">
        <v>0</v>
      </c>
      <c r="P27" s="839" t="n">
        <v>0</v>
      </c>
      <c r="Q27" s="839" t="n">
        <v>0</v>
      </c>
      <c r="R27" s="839" t="n">
        <v>0</v>
      </c>
      <c r="S27" s="839" t="n">
        <v>0</v>
      </c>
      <c r="T27" s="839" t="n">
        <v>0</v>
      </c>
      <c r="U27" s="839" t="n">
        <v>0</v>
      </c>
      <c r="V27" s="839" t="n">
        <v>0</v>
      </c>
      <c r="W27" s="839" t="n">
        <v>0</v>
      </c>
      <c r="X27" s="839" t="n">
        <v>0</v>
      </c>
      <c r="Y27" s="839" t="n">
        <v>0</v>
      </c>
      <c r="Z27" s="839" t="n">
        <v>0</v>
      </c>
      <c r="AA27" s="839" t="n">
        <v>0</v>
      </c>
      <c r="AB27" s="840" t="n">
        <v>0</v>
      </c>
      <c r="AC27" s="837"/>
      <c r="AD27" s="837"/>
      <c r="AE27" s="838"/>
    </row>
    <row r="28" customFormat="false" ht="12" hidden="false" customHeight="true" outlineLevel="0" collapsed="false">
      <c r="A28" s="841" t="s">
        <v>638</v>
      </c>
      <c r="B28" s="653" t="n">
        <f aca="false">SUM(B24:B27)</f>
        <v>252666.545</v>
      </c>
      <c r="C28" s="467"/>
      <c r="D28" s="653" t="n">
        <f aca="false">SUM(D24:D27)</f>
        <v>12736.2599833333</v>
      </c>
      <c r="E28" s="653" t="n">
        <f aca="false">SUM(E24:E27)</f>
        <v>24165.44083</v>
      </c>
      <c r="F28" s="653" t="n">
        <f aca="false">SUM(F24:F27)</f>
        <v>21779.776567</v>
      </c>
      <c r="G28" s="653" t="n">
        <f aca="false">SUM(G24:G27)</f>
        <v>19645.234858</v>
      </c>
      <c r="H28" s="653" t="n">
        <f aca="false">SUM(H24:H27)</f>
        <v>17711.5911922</v>
      </c>
      <c r="I28" s="653" t="n">
        <f aca="false">SUM(I24:I27)</f>
        <v>15773.6010308667</v>
      </c>
      <c r="J28" s="653" t="n">
        <f aca="false">SUM(J24:J27)</f>
        <v>14816.230686</v>
      </c>
      <c r="K28" s="653" t="n">
        <f aca="false">SUM(K24:K27)</f>
        <v>14841.3429414</v>
      </c>
      <c r="L28" s="653" t="n">
        <f aca="false">SUM(L24:L27)</f>
        <v>14816.230686</v>
      </c>
      <c r="M28" s="653" t="n">
        <f aca="false">SUM(M24:M27)</f>
        <v>14841.3429414</v>
      </c>
      <c r="N28" s="653" t="n">
        <f aca="false">SUM(N24:N27)</f>
        <v>14816.230686</v>
      </c>
      <c r="O28" s="653" t="n">
        <f aca="false">SUM(O24:O27)</f>
        <v>14841.3429414</v>
      </c>
      <c r="P28" s="653" t="n">
        <f aca="false">SUM(P24:P27)</f>
        <v>14816.230686</v>
      </c>
      <c r="Q28" s="653" t="n">
        <f aca="false">SUM(Q24:Q27)</f>
        <v>14841.3429414</v>
      </c>
      <c r="R28" s="653" t="n">
        <f aca="false">SUM(R24:R27)</f>
        <v>14816.230686</v>
      </c>
      <c r="S28" s="653" t="n">
        <f aca="false">SUM(S24:S27)</f>
        <v>7408.115343</v>
      </c>
      <c r="T28" s="653" t="n">
        <f aca="false">SUM(T24:T27)</f>
        <v>0</v>
      </c>
      <c r="U28" s="653" t="n">
        <f aca="false">SUM(U24:U27)</f>
        <v>0</v>
      </c>
      <c r="V28" s="653" t="n">
        <f aca="false">SUM(V24:V27)</f>
        <v>0</v>
      </c>
      <c r="W28" s="653" t="n">
        <f aca="false">SUM(W24:W27)</f>
        <v>0</v>
      </c>
      <c r="X28" s="653" t="n">
        <f aca="false">SUM(X24:X27)</f>
        <v>0</v>
      </c>
      <c r="Y28" s="653" t="n">
        <f aca="false">SUM(Y24:Y27)</f>
        <v>0</v>
      </c>
      <c r="Z28" s="653" t="n">
        <f aca="false">SUM(Z24:Z27)</f>
        <v>0</v>
      </c>
      <c r="AA28" s="653" t="n">
        <f aca="false">SUM(AA24:AA27)</f>
        <v>0</v>
      </c>
      <c r="AB28" s="654" t="n">
        <f aca="false">SUM(AB24:AB27)</f>
        <v>0</v>
      </c>
      <c r="AC28" s="837"/>
      <c r="AD28" s="837"/>
      <c r="AE28" s="838"/>
    </row>
    <row r="29" customFormat="false" ht="12" hidden="false" customHeight="true" outlineLevel="0" collapsed="false"/>
    <row r="30" customFormat="false" ht="12" hidden="false" customHeight="true" outlineLevel="0" collapsed="false">
      <c r="A30" s="826" t="s">
        <v>640</v>
      </c>
      <c r="B30" s="367"/>
      <c r="C30" s="367"/>
      <c r="D30" s="367"/>
      <c r="E30" s="367"/>
      <c r="F30" s="367"/>
      <c r="G30" s="367"/>
      <c r="H30" s="367"/>
      <c r="I30" s="367"/>
      <c r="J30" s="367"/>
      <c r="K30" s="367"/>
      <c r="L30" s="367"/>
      <c r="M30" s="367"/>
      <c r="N30" s="367"/>
      <c r="O30" s="367"/>
      <c r="P30" s="367"/>
      <c r="Q30" s="367"/>
      <c r="R30" s="367"/>
      <c r="S30" s="367"/>
      <c r="T30" s="367"/>
      <c r="U30" s="367"/>
      <c r="V30" s="367"/>
      <c r="W30" s="367"/>
      <c r="X30" s="367"/>
      <c r="Y30" s="367"/>
      <c r="Z30" s="367"/>
      <c r="AA30" s="367"/>
      <c r="AB30" s="502"/>
      <c r="AE30" s="831"/>
    </row>
    <row r="31" customFormat="false" ht="12" hidden="false" customHeight="true" outlineLevel="0" collapsed="false">
      <c r="A31" s="844"/>
      <c r="B31" s="693" t="s">
        <v>290</v>
      </c>
      <c r="C31" s="61" t="s">
        <v>641</v>
      </c>
      <c r="D31" s="371" t="n">
        <v>1</v>
      </c>
      <c r="E31" s="371" t="n">
        <f aca="false">D31+1</f>
        <v>2</v>
      </c>
      <c r="F31" s="371" t="n">
        <f aca="false">E31+1</f>
        <v>3</v>
      </c>
      <c r="G31" s="371" t="n">
        <f aca="false">F31+1</f>
        <v>4</v>
      </c>
      <c r="H31" s="371" t="n">
        <f aca="false">G31+1</f>
        <v>5</v>
      </c>
      <c r="I31" s="371" t="n">
        <f aca="false">H31+1</f>
        <v>6</v>
      </c>
      <c r="J31" s="371" t="n">
        <f aca="false">I31+1</f>
        <v>7</v>
      </c>
      <c r="K31" s="371" t="n">
        <f aca="false">J31+1</f>
        <v>8</v>
      </c>
      <c r="L31" s="371" t="n">
        <f aca="false">K31+1</f>
        <v>9</v>
      </c>
      <c r="M31" s="371" t="n">
        <f aca="false">L31+1</f>
        <v>10</v>
      </c>
      <c r="N31" s="371" t="n">
        <f aca="false">M31+1</f>
        <v>11</v>
      </c>
      <c r="O31" s="371" t="n">
        <f aca="false">N31+1</f>
        <v>12</v>
      </c>
      <c r="P31" s="371" t="n">
        <f aca="false">O31+1</f>
        <v>13</v>
      </c>
      <c r="Q31" s="371" t="n">
        <f aca="false">P31+1</f>
        <v>14</v>
      </c>
      <c r="R31" s="371" t="n">
        <f aca="false">Q31+1</f>
        <v>15</v>
      </c>
      <c r="S31" s="371" t="n">
        <f aca="false">R31+1</f>
        <v>16</v>
      </c>
      <c r="T31" s="371" t="n">
        <f aca="false">S31+1</f>
        <v>17</v>
      </c>
      <c r="U31" s="371" t="n">
        <f aca="false">T31+1</f>
        <v>18</v>
      </c>
      <c r="V31" s="371" t="n">
        <f aca="false">U31+1</f>
        <v>19</v>
      </c>
      <c r="W31" s="371" t="n">
        <f aca="false">V31+1</f>
        <v>20</v>
      </c>
      <c r="X31" s="371" t="n">
        <f aca="false">W31+1</f>
        <v>21</v>
      </c>
      <c r="Y31" s="371" t="n">
        <f aca="false">X31+1</f>
        <v>22</v>
      </c>
      <c r="Z31" s="371" t="n">
        <f aca="false">Y31+1</f>
        <v>23</v>
      </c>
      <c r="AA31" s="371" t="n">
        <f aca="false">Z31+1</f>
        <v>24</v>
      </c>
      <c r="AB31" s="402" t="n">
        <f aca="false">AA31+1</f>
        <v>25</v>
      </c>
      <c r="AE31" s="831"/>
    </row>
    <row r="32" customFormat="false" ht="12" hidden="false" customHeight="true" outlineLevel="0" collapsed="false">
      <c r="A32" s="76" t="s">
        <v>642</v>
      </c>
      <c r="B32" s="832" t="n">
        <v>30</v>
      </c>
      <c r="C32" s="848" t="n">
        <f aca="false">'Project Assumptions'!U15</f>
        <v>0.1</v>
      </c>
      <c r="D32" s="463" t="n">
        <f aca="false">((1-$C$32)/$B$32)*'Book Income Statement'!D$7/12</f>
        <v>0.0175</v>
      </c>
      <c r="E32" s="463" t="n">
        <f aca="false">IF(E31&lt;=$B$32,(1-$C$32)/$B$32,IF(E31=$B$32+1,(1/$B32)-$D$32,0))</f>
        <v>0.03</v>
      </c>
      <c r="F32" s="463" t="n">
        <f aca="false">IF(F31&lt;=$B$32,(1-$C$32)/$B$32,IF(F31=$B$32+1,(1/$B32)-$D$32,0))</f>
        <v>0.03</v>
      </c>
      <c r="G32" s="463" t="n">
        <f aca="false">IF(G31&lt;=$B$32,(1-$C$32)/$B$32,IF(G31=$B$32+1,(1/$B32)-$D$32,0))</f>
        <v>0.03</v>
      </c>
      <c r="H32" s="463" t="n">
        <f aca="false">IF(H31&lt;=$B$32,(1-$C$32)/$B$32,IF(H31=$B$32+1,(1/$B32)-$D$32,0))</f>
        <v>0.03</v>
      </c>
      <c r="I32" s="463" t="n">
        <f aca="false">IF(I31&lt;=$B$32,(1-$C$32)/$B$32,IF(I31=$B$32+1,(1/$B32)-$D$32,0))</f>
        <v>0.03</v>
      </c>
      <c r="J32" s="463" t="n">
        <f aca="false">IF(J31&lt;=$B$32,(1-$C$32)/$B$32,IF(J31=$B$32+1,(1/$B32)-$D$32,0))</f>
        <v>0.03</v>
      </c>
      <c r="K32" s="463" t="n">
        <f aca="false">IF(K31&lt;=$B$32,(1-$C$32)/$B$32,IF(K31=$B$32+1,(1/$B32)-$D$32,0))</f>
        <v>0.03</v>
      </c>
      <c r="L32" s="463" t="n">
        <f aca="false">IF(L31&lt;=$B$32,(1-$C$32)/$B$32,IF(L31=$B$32+1,(1/$B32)-$D$32,0))</f>
        <v>0.03</v>
      </c>
      <c r="M32" s="463" t="n">
        <f aca="false">IF(M31&lt;=$B$32,(1-$C$32)/$B$32,IF(M31=$B$32+1,(1/$B32)-$D$32,0))</f>
        <v>0.03</v>
      </c>
      <c r="N32" s="463" t="n">
        <f aca="false">IF(N31&lt;=$B$32,(1-$C$32)/$B$32,IF(N31=$B$32+1,(1/$B32)-$D$32,0))</f>
        <v>0.03</v>
      </c>
      <c r="O32" s="463" t="n">
        <f aca="false">IF(O31&lt;=$B$32,(1-$C$32)/$B$32,IF(O31=$B$32+1,(1/$B32)-$D$32,0))</f>
        <v>0.03</v>
      </c>
      <c r="P32" s="463" t="n">
        <f aca="false">IF(P31&lt;=$B$32,(1-$C$32)/$B$32,IF(P31=$B$32+1,(1/$B32)-$D$32,0))</f>
        <v>0.03</v>
      </c>
      <c r="Q32" s="463" t="n">
        <f aca="false">IF(Q31&lt;=$B$32,(1-$C$32)/$B$32,IF(Q31=$B$32+1,(1/$B32)-$D$32,0))</f>
        <v>0.03</v>
      </c>
      <c r="R32" s="463" t="n">
        <f aca="false">IF(R31&lt;=$B$32,(1-$C$32)/$B$32,IF(R31=$B$32+1,(1/$B32)-$D$32,0))</f>
        <v>0.03</v>
      </c>
      <c r="S32" s="463" t="n">
        <f aca="false">IF(S31&lt;=$B$32,(1-$C$32)/$B$32,IF(S31=$B$32+1,(1/$B32)-$D$32,0))</f>
        <v>0.03</v>
      </c>
      <c r="T32" s="463" t="n">
        <f aca="false">IF(T31&lt;=$B$32,(1-$C$32)/$B$32,IF(T31=$B$32+1,(1/$B32)-$D$32,0))</f>
        <v>0.03</v>
      </c>
      <c r="U32" s="463" t="n">
        <f aca="false">IF(U31&lt;=$B$32,(1-$C$32)/$B$32,IF(U31=$B$32+1,(1/$B32)-$D$32,0))</f>
        <v>0.03</v>
      </c>
      <c r="V32" s="463" t="n">
        <f aca="false">IF(V31&lt;=$B$32,(1-$C$32)/$B$32,IF(V31=$B$32+1,(1/$B32)-$D$32,0))</f>
        <v>0.03</v>
      </c>
      <c r="W32" s="463" t="n">
        <f aca="false">IF(W31&lt;=$B$32,(1-$C$32)/$B$32,IF(W31=$B$32+1,(1/$B32)-$D$32,0))</f>
        <v>0.03</v>
      </c>
      <c r="X32" s="463" t="n">
        <f aca="false">IF(X31&lt;=$B$32,(1-$C$32)/$B$32,IF(X31=$B$32+1,(1/$B32)-$D$32,0))</f>
        <v>0.03</v>
      </c>
      <c r="Y32" s="463" t="n">
        <f aca="false">IF(Y31&lt;=$B$32,(1-$C$32)/$B$32,IF(Y31=$B$32+1,(1/$B32)-$D$32,0))</f>
        <v>0.03</v>
      </c>
      <c r="Z32" s="463" t="n">
        <f aca="false">IF(Z31&lt;=$B$32,(1-$C$32)/$B$32,IF(Z31=$B$32+1,(1/$B32)-$D$32,0))</f>
        <v>0.03</v>
      </c>
      <c r="AA32" s="463" t="n">
        <f aca="false">IF(AA31&lt;=$B$32,(1-$C$32)/$B$32,IF(AA31=$B$32+1,(1/$B32)-$D$32,0))</f>
        <v>0.03</v>
      </c>
      <c r="AB32" s="508" t="n">
        <f aca="false">IF(AB31&lt;=$B$32,(1-$C$32)/$B$32,IF(AB31=$B$32+1,(1/$B32)-$D$32,0))</f>
        <v>0.03</v>
      </c>
      <c r="AC32" s="846"/>
      <c r="AD32" s="833"/>
      <c r="AE32" s="834"/>
    </row>
    <row r="33" customFormat="false" ht="12" hidden="false" customHeight="true" outlineLevel="0" collapsed="false">
      <c r="A33" s="76" t="s">
        <v>632</v>
      </c>
      <c r="B33" s="832" t="n">
        <v>5</v>
      </c>
      <c r="C33" s="371"/>
      <c r="D33" s="463" t="n">
        <f aca="false">(1/$B33)*'Book Income Statement'!D$7/12</f>
        <v>0.116666666666667</v>
      </c>
      <c r="E33" s="463" t="n">
        <f aca="false">IF(E31&lt;=$B$33,(1/$B33),IF(E31=$B$33+1,(1/$B33)-$D$33,0))</f>
        <v>0.2</v>
      </c>
      <c r="F33" s="463" t="n">
        <f aca="false">IF(F31&lt;=$B$33,(1/$B33),IF(F31=$B$33+1,(1/$B33)-$D$33,0))</f>
        <v>0.2</v>
      </c>
      <c r="G33" s="463" t="n">
        <f aca="false">IF(G31&lt;=$B$33,(1/$B33),IF(G31=$B$33+1,(1/$B33)-$D$33,0))</f>
        <v>0.2</v>
      </c>
      <c r="H33" s="463" t="n">
        <f aca="false">IF(H31&lt;=$B$33,(1/$B33),IF(H31=$B$33+1,(1/$B33)-$D$33,0))</f>
        <v>0.2</v>
      </c>
      <c r="I33" s="463" t="n">
        <f aca="false">IF(I31&lt;=$B$33,(1/$B33),IF(I31=$B$33+1,(1/$B33)-$D$33,0))</f>
        <v>0.0833333333333333</v>
      </c>
      <c r="J33" s="463" t="n">
        <f aca="false">IF(J31&lt;=$B$33,(1/$B33),IF(J31=$B$33+1,(1/$B33)-$D$33,0))</f>
        <v>0</v>
      </c>
      <c r="K33" s="463" t="n">
        <f aca="false">IF(K31&lt;=$B$33,(1/$B33),IF(K31=$B$33+1,(1/$B33)-$D$33,0))</f>
        <v>0</v>
      </c>
      <c r="L33" s="463" t="n">
        <f aca="false">IF(L31&lt;=$B$33,(1/$B33),IF(L31=$B$33+1,(1/$B33)-$D$33,0))</f>
        <v>0</v>
      </c>
      <c r="M33" s="463" t="n">
        <f aca="false">IF(M31&lt;=$B$33,(1/$B33),IF(M31=$B$33+1,(1/$B33)-$D$33,0))</f>
        <v>0</v>
      </c>
      <c r="N33" s="463" t="n">
        <f aca="false">IF(N31&lt;=$B$33,(1/$B33),IF(N31=$B$33+1,(1/$B33)-$D$33,0))</f>
        <v>0</v>
      </c>
      <c r="O33" s="463" t="n">
        <f aca="false">IF(O31&lt;=$B$33,(1/$B33),IF(O31=$B$33+1,(1/$B33)-$D$33,0))</f>
        <v>0</v>
      </c>
      <c r="P33" s="463" t="n">
        <f aca="false">IF(P31&lt;=$B$33,(1/$B33),IF(P31=$B$33+1,(1/$B33)-$D$33,0))</f>
        <v>0</v>
      </c>
      <c r="Q33" s="463" t="n">
        <f aca="false">IF(Q31&lt;=$B$33,(1/$B33),IF(Q31=$B$33+1,(1/$B33)-$D$33,0))</f>
        <v>0</v>
      </c>
      <c r="R33" s="463" t="n">
        <f aca="false">IF(R31&lt;=$B$33,(1/$B33),IF(R31=$B$33+1,(1/$B33)-$D$33,0))</f>
        <v>0</v>
      </c>
      <c r="S33" s="463" t="n">
        <f aca="false">IF(S31&lt;=$B$33,(1/$B33),IF(S31=$B$33+1,(1/$B33)-$D$33,0))</f>
        <v>0</v>
      </c>
      <c r="T33" s="463" t="n">
        <f aca="false">IF(T31&lt;=$B$33,(1/$B33),IF(T31=$B$33+1,(1/$B33)-$D$33,0))</f>
        <v>0</v>
      </c>
      <c r="U33" s="463" t="n">
        <f aca="false">IF(U31&lt;=$B$33,(1/$B33),IF(U31=$B$33+1,(1/$B33)-$D$33,0))</f>
        <v>0</v>
      </c>
      <c r="V33" s="463" t="n">
        <f aca="false">IF(V31&lt;=$B$33,(1/$B33),IF(V31=$B$33+1,(1/$B33)-$D$33,0))</f>
        <v>0</v>
      </c>
      <c r="W33" s="463" t="n">
        <f aca="false">IF(W31&lt;=$B$33,(1/$B33),IF(W31=$B$33+1,(1/$B33)-$D$33,0))</f>
        <v>0</v>
      </c>
      <c r="X33" s="463" t="n">
        <f aca="false">IF(X31&lt;=$B$33,(1/$B33),IF(X31=$B$33+1,(1/$B33)-$D$33,0))</f>
        <v>0</v>
      </c>
      <c r="Y33" s="463" t="n">
        <f aca="false">IF(Y31&lt;=$B$33,(1/$B33),IF(Y31=$B$33+1,(1/$B33)-$D$33,0))</f>
        <v>0</v>
      </c>
      <c r="Z33" s="463" t="n">
        <f aca="false">IF(Z31&lt;=$B$33,(1/$B33),IF(Z31=$B$33+1,(1/$B33)-$D$33,0))</f>
        <v>0</v>
      </c>
      <c r="AA33" s="463" t="n">
        <f aca="false">IF(AA31&lt;=$B$33,(1/$B33),IF(AA31=$B$33+1,(1/$B33)-$D$33,0))</f>
        <v>0</v>
      </c>
      <c r="AB33" s="508" t="n">
        <f aca="false">IF(AB31&lt;=$B$33,(1/$B33),IF(AB31=$B$33+1,(1/$B33)-$D$33,0))</f>
        <v>0</v>
      </c>
      <c r="AD33" s="833"/>
      <c r="AE33" s="834"/>
    </row>
    <row r="34" customFormat="false" ht="12" hidden="false" customHeight="true" outlineLevel="0" collapsed="false">
      <c r="A34" s="76" t="s">
        <v>633</v>
      </c>
      <c r="B34" s="835" t="n">
        <f aca="false">+B9</f>
        <v>20</v>
      </c>
      <c r="C34" s="371"/>
      <c r="D34" s="463" t="n">
        <f aca="false">(1/$B34)*'Book Income Statement'!D$7/12</f>
        <v>0.0291666666666667</v>
      </c>
      <c r="E34" s="463" t="n">
        <f aca="false">IF(E31&lt;=$B$34,(1/$B34),IF(E31=$B$34+1,(1/$B34)-$D$34,0))</f>
        <v>0.05</v>
      </c>
      <c r="F34" s="463" t="n">
        <f aca="false">IF(F31&lt;=$B$34,(1/$B34),IF(F31=$B$34+1,(1/$B34)-$D$34,0))</f>
        <v>0.05</v>
      </c>
      <c r="G34" s="463" t="n">
        <f aca="false">IF(G31&lt;=$B$34,(1/$B34),IF(G31=$B$34+1,(1/$B34)-$D$34,0))</f>
        <v>0.05</v>
      </c>
      <c r="H34" s="463" t="n">
        <f aca="false">IF(H31&lt;=$B$34,(1/$B34),IF(H31=$B$34+1,(1/$B34)-$D$34,0))</f>
        <v>0.05</v>
      </c>
      <c r="I34" s="463" t="n">
        <f aca="false">IF(I31&lt;=$B$34,(1/$B34),IF(I31=$B$34+1,(1/$B34)-$D$34,0))</f>
        <v>0.05</v>
      </c>
      <c r="J34" s="463" t="n">
        <f aca="false">IF(J31&lt;=$B$34,(1/$B34),IF(J31=$B$34+1,(1/$B34)-$D$34,0))</f>
        <v>0.05</v>
      </c>
      <c r="K34" s="463" t="n">
        <f aca="false">IF(K31&lt;=$B$34,(1/$B34),IF(K31=$B$34+1,(1/$B34)-$D$34,0))</f>
        <v>0.05</v>
      </c>
      <c r="L34" s="463" t="n">
        <f aca="false">IF(L31&lt;=$B$34,(1/$B34),IF(L31=$B$34+1,(1/$B34)-$D$34,0))</f>
        <v>0.05</v>
      </c>
      <c r="M34" s="463" t="n">
        <f aca="false">IF(M31&lt;=$B$34,(1/$B34),IF(M31=$B$34+1,(1/$B34)-$D$34,0))</f>
        <v>0.05</v>
      </c>
      <c r="N34" s="463" t="n">
        <f aca="false">IF(N31&lt;=$B$34,(1/$B34),IF(N31=$B$34+1,(1/$B34)-$D$34,0))</f>
        <v>0.05</v>
      </c>
      <c r="O34" s="463" t="n">
        <f aca="false">IF(O31&lt;=$B$34,(1/$B34),IF(O31=$B$34+1,(1/$B34)-$D$34,0))</f>
        <v>0.05</v>
      </c>
      <c r="P34" s="463" t="n">
        <f aca="false">IF(P31&lt;=$B$34,(1/$B34),IF(P31=$B$34+1,(1/$B34)-$D$34,0))</f>
        <v>0.05</v>
      </c>
      <c r="Q34" s="463" t="n">
        <f aca="false">IF(Q31&lt;=$B$34,(1/$B34),IF(Q31=$B$34+1,(1/$B34)-$D$34,0))</f>
        <v>0.05</v>
      </c>
      <c r="R34" s="463" t="n">
        <f aca="false">IF(R31&lt;=$B$34,(1/$B34),IF(R31=$B$34+1,(1/$B34)-$D$34,0))</f>
        <v>0.05</v>
      </c>
      <c r="S34" s="463" t="n">
        <f aca="false">IF(S31&lt;=$B$34,(1/$B34),IF(S31=$B$34+1,(1/$B34)-$D$34,0))</f>
        <v>0.05</v>
      </c>
      <c r="T34" s="463" t="n">
        <f aca="false">IF(T31&lt;=$B$34,(1/$B34),IF(T31=$B$34+1,(1/$B34)-$D$34,0))</f>
        <v>0.05</v>
      </c>
      <c r="U34" s="463" t="n">
        <f aca="false">IF(U31&lt;=$B$34,(1/$B34),IF(U31=$B$34+1,(1/$B34)-$D$34,0))</f>
        <v>0.05</v>
      </c>
      <c r="V34" s="463" t="n">
        <f aca="false">IF(V31&lt;=$B$34,(1/$B34),IF(V31=$B$34+1,(1/$B34)-$D$34,0))</f>
        <v>0.05</v>
      </c>
      <c r="W34" s="463" t="n">
        <f aca="false">IF(W31&lt;=$B$34,(1/$B34),IF(W31=$B$34+1,(1/$B34)-$D$34,0))</f>
        <v>0.05</v>
      </c>
      <c r="X34" s="463" t="n">
        <f aca="false">IF(X31&lt;=$B$34,(1/$B34),IF(X31=$B$34+1,(1/$B34)-$D$34,0))</f>
        <v>0.0208333333333333</v>
      </c>
      <c r="Y34" s="463" t="n">
        <f aca="false">IF(Y31&lt;=$B$34,(1/$B34),IF(Y31=$B$34+1,(1/$B34)-$D$34,0))</f>
        <v>0</v>
      </c>
      <c r="Z34" s="463" t="n">
        <f aca="false">IF(Z31&lt;=$B$34,(1/$B34),IF(Z31=$B$34+1,(1/$B34)-$D$34,0))</f>
        <v>0</v>
      </c>
      <c r="AA34" s="463" t="n">
        <f aca="false">IF(AA31&lt;=$B$34,(1/$B34),IF(AA31=$B$34+1,(1/$B34)-$D$34,0))</f>
        <v>0</v>
      </c>
      <c r="AB34" s="508" t="n">
        <f aca="false">IF(AB31&lt;=$B$34,(1/$B34),IF(AB31=$B$34+1,(1/$B34)-$D$34,0))</f>
        <v>0</v>
      </c>
      <c r="AD34" s="833"/>
      <c r="AE34" s="834"/>
    </row>
    <row r="35" customFormat="false" ht="12" hidden="false" customHeight="true" outlineLevel="0" collapsed="false">
      <c r="A35" s="397"/>
      <c r="B35" s="693"/>
      <c r="C35" s="371"/>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402"/>
    </row>
    <row r="36" customFormat="false" ht="12" hidden="false" customHeight="true" outlineLevel="0" collapsed="false">
      <c r="A36" s="76" t="s">
        <v>643</v>
      </c>
      <c r="B36" s="425" t="n">
        <f aca="false">B11</f>
        <v>251122.554</v>
      </c>
      <c r="C36" s="371"/>
      <c r="D36" s="425" t="n">
        <f aca="false">D32*$B$36</f>
        <v>4394.644695</v>
      </c>
      <c r="E36" s="425" t="n">
        <f aca="false">E32*$B$36</f>
        <v>7533.67662</v>
      </c>
      <c r="F36" s="425" t="n">
        <f aca="false">F32*$B$36</f>
        <v>7533.67662</v>
      </c>
      <c r="G36" s="425" t="n">
        <f aca="false">G32*$B$36</f>
        <v>7533.67662</v>
      </c>
      <c r="H36" s="425" t="n">
        <f aca="false">H32*$B$36</f>
        <v>7533.67662</v>
      </c>
      <c r="I36" s="425" t="n">
        <f aca="false">I32*$B$36</f>
        <v>7533.67662</v>
      </c>
      <c r="J36" s="425" t="n">
        <f aca="false">J32*$B$36</f>
        <v>7533.67662</v>
      </c>
      <c r="K36" s="425" t="n">
        <f aca="false">K32*$B$36</f>
        <v>7533.67662</v>
      </c>
      <c r="L36" s="425" t="n">
        <f aca="false">L32*$B$36</f>
        <v>7533.67662</v>
      </c>
      <c r="M36" s="425" t="n">
        <f aca="false">M32*$B$36</f>
        <v>7533.67662</v>
      </c>
      <c r="N36" s="425" t="n">
        <f aca="false">N32*$B$36</f>
        <v>7533.67662</v>
      </c>
      <c r="O36" s="425" t="n">
        <f aca="false">O32*$B$36</f>
        <v>7533.67662</v>
      </c>
      <c r="P36" s="425" t="n">
        <f aca="false">P32*$B$36</f>
        <v>7533.67662</v>
      </c>
      <c r="Q36" s="425" t="n">
        <f aca="false">Q32*$B$36</f>
        <v>7533.67662</v>
      </c>
      <c r="R36" s="425" t="n">
        <f aca="false">R32*$B$36</f>
        <v>7533.67662</v>
      </c>
      <c r="S36" s="425" t="n">
        <f aca="false">S32*$B$36</f>
        <v>7533.67662</v>
      </c>
      <c r="T36" s="425" t="n">
        <f aca="false">T32*$B$36</f>
        <v>7533.67662</v>
      </c>
      <c r="U36" s="425" t="n">
        <f aca="false">U32*$B$36</f>
        <v>7533.67662</v>
      </c>
      <c r="V36" s="425" t="n">
        <f aca="false">V32*$B$36</f>
        <v>7533.67662</v>
      </c>
      <c r="W36" s="425" t="n">
        <f aca="false">W32*$B$36</f>
        <v>7533.67662</v>
      </c>
      <c r="X36" s="425" t="n">
        <f aca="false">X32*$B$36</f>
        <v>7533.67662</v>
      </c>
      <c r="Y36" s="425" t="n">
        <f aca="false">Y32*$B$36</f>
        <v>7533.67662</v>
      </c>
      <c r="Z36" s="425" t="n">
        <f aca="false">Z32*$B$36</f>
        <v>7533.67662</v>
      </c>
      <c r="AA36" s="425" t="n">
        <f aca="false">AA32*$B$36</f>
        <v>7533.67662</v>
      </c>
      <c r="AB36" s="426" t="n">
        <f aca="false">AB32*$B$36</f>
        <v>7533.67662</v>
      </c>
      <c r="AC36" s="837"/>
      <c r="AD36" s="837"/>
      <c r="AE36" s="837"/>
    </row>
    <row r="37" customFormat="false" ht="12" hidden="false" customHeight="true" outlineLevel="0" collapsed="false">
      <c r="A37" s="76" t="s">
        <v>635</v>
      </c>
      <c r="B37" s="425" t="n">
        <f aca="false">B12</f>
        <v>1543.991</v>
      </c>
      <c r="C37" s="371"/>
      <c r="D37" s="703" t="n">
        <f aca="false">D33*$B$37</f>
        <v>180.132283333333</v>
      </c>
      <c r="E37" s="703" t="n">
        <f aca="false">E33*$B$37</f>
        <v>308.7982</v>
      </c>
      <c r="F37" s="703" t="n">
        <f aca="false">F33*$B$37</f>
        <v>308.7982</v>
      </c>
      <c r="G37" s="703" t="n">
        <f aca="false">G33*$B$37</f>
        <v>308.7982</v>
      </c>
      <c r="H37" s="703" t="n">
        <f aca="false">H33*$B$37</f>
        <v>308.7982</v>
      </c>
      <c r="I37" s="703" t="n">
        <f aca="false">I33*$B$37</f>
        <v>128.665916666667</v>
      </c>
      <c r="J37" s="703" t="n">
        <f aca="false">J33*$B$37</f>
        <v>0</v>
      </c>
      <c r="K37" s="703" t="n">
        <f aca="false">K33*$B$37</f>
        <v>0</v>
      </c>
      <c r="L37" s="703" t="n">
        <f aca="false">L33*$B$37</f>
        <v>0</v>
      </c>
      <c r="M37" s="703" t="n">
        <f aca="false">M33*$B$37</f>
        <v>0</v>
      </c>
      <c r="N37" s="703" t="n">
        <f aca="false">N33*$B$37</f>
        <v>0</v>
      </c>
      <c r="O37" s="703" t="n">
        <f aca="false">O33*$B$37</f>
        <v>0</v>
      </c>
      <c r="P37" s="703" t="n">
        <f aca="false">P33*$B$37</f>
        <v>0</v>
      </c>
      <c r="Q37" s="703" t="n">
        <f aca="false">Q33*$B$37</f>
        <v>0</v>
      </c>
      <c r="R37" s="703" t="n">
        <f aca="false">R33*$B$37</f>
        <v>0</v>
      </c>
      <c r="S37" s="703" t="n">
        <f aca="false">S33*$B$37</f>
        <v>0</v>
      </c>
      <c r="T37" s="703" t="n">
        <f aca="false">T33*$B$37</f>
        <v>0</v>
      </c>
      <c r="U37" s="703" t="n">
        <f aca="false">U33*$B$37</f>
        <v>0</v>
      </c>
      <c r="V37" s="703" t="n">
        <f aca="false">V33*$B$37</f>
        <v>0</v>
      </c>
      <c r="W37" s="703" t="n">
        <f aca="false">W33*$B$37</f>
        <v>0</v>
      </c>
      <c r="X37" s="703" t="n">
        <f aca="false">X33*$B$37</f>
        <v>0</v>
      </c>
      <c r="Y37" s="703" t="n">
        <f aca="false">Y33*$B$37</f>
        <v>0</v>
      </c>
      <c r="Z37" s="703" t="n">
        <f aca="false">Z33*$B$37</f>
        <v>0</v>
      </c>
      <c r="AA37" s="703" t="n">
        <f aca="false">AA33*$B$37</f>
        <v>0</v>
      </c>
      <c r="AB37" s="704" t="n">
        <f aca="false">AB33*$B$37</f>
        <v>0</v>
      </c>
      <c r="AC37" s="837"/>
      <c r="AD37" s="837"/>
      <c r="AE37" s="838"/>
    </row>
    <row r="38" customFormat="false" ht="12.75" hidden="false" customHeight="true" outlineLevel="0" collapsed="false">
      <c r="A38" s="76" t="s">
        <v>636</v>
      </c>
      <c r="B38" s="703" t="n">
        <f aca="false">B13</f>
        <v>0</v>
      </c>
      <c r="C38" s="371"/>
      <c r="D38" s="703" t="n">
        <f aca="false">D34*$B$38</f>
        <v>0</v>
      </c>
      <c r="E38" s="703" t="n">
        <f aca="false">E34*$B$38</f>
        <v>0</v>
      </c>
      <c r="F38" s="703" t="n">
        <f aca="false">F34*$B$38</f>
        <v>0</v>
      </c>
      <c r="G38" s="703" t="n">
        <f aca="false">G34*$B$38</f>
        <v>0</v>
      </c>
      <c r="H38" s="703" t="n">
        <f aca="false">H34*$B$38</f>
        <v>0</v>
      </c>
      <c r="I38" s="703" t="n">
        <f aca="false">I34*$B$38</f>
        <v>0</v>
      </c>
      <c r="J38" s="703" t="n">
        <f aca="false">J34*$B$38</f>
        <v>0</v>
      </c>
      <c r="K38" s="703" t="n">
        <f aca="false">K34*$B$38</f>
        <v>0</v>
      </c>
      <c r="L38" s="703" t="n">
        <f aca="false">L34*$B$38</f>
        <v>0</v>
      </c>
      <c r="M38" s="703" t="n">
        <f aca="false">M34*$B$38</f>
        <v>0</v>
      </c>
      <c r="N38" s="703" t="n">
        <f aca="false">N34*$B$38</f>
        <v>0</v>
      </c>
      <c r="O38" s="703" t="n">
        <f aca="false">O34*$B$38</f>
        <v>0</v>
      </c>
      <c r="P38" s="703" t="n">
        <f aca="false">P34*$B$38</f>
        <v>0</v>
      </c>
      <c r="Q38" s="703" t="n">
        <f aca="false">Q34*$B$38</f>
        <v>0</v>
      </c>
      <c r="R38" s="703" t="n">
        <f aca="false">R34*$B$38</f>
        <v>0</v>
      </c>
      <c r="S38" s="703" t="n">
        <f aca="false">S34*$B$38</f>
        <v>0</v>
      </c>
      <c r="T38" s="703" t="n">
        <f aca="false">T34*$B$38</f>
        <v>0</v>
      </c>
      <c r="U38" s="703" t="n">
        <f aca="false">U34*$B$38</f>
        <v>0</v>
      </c>
      <c r="V38" s="703" t="n">
        <f aca="false">V34*$B$38</f>
        <v>0</v>
      </c>
      <c r="W38" s="703" t="n">
        <f aca="false">W34*$B$38</f>
        <v>0</v>
      </c>
      <c r="X38" s="703" t="n">
        <f aca="false">X34*$B$38</f>
        <v>0</v>
      </c>
      <c r="Y38" s="703" t="n">
        <f aca="false">Y34*$B$38</f>
        <v>0</v>
      </c>
      <c r="Z38" s="703" t="n">
        <f aca="false">Z34*$B$38</f>
        <v>0</v>
      </c>
      <c r="AA38" s="703" t="n">
        <f aca="false">AA34*$B$38</f>
        <v>0</v>
      </c>
      <c r="AB38" s="704" t="n">
        <f aca="false">AB34*$B$38</f>
        <v>0</v>
      </c>
      <c r="AC38" s="837"/>
      <c r="AD38" s="837"/>
      <c r="AE38" s="838"/>
    </row>
    <row r="39" customFormat="false" ht="12.75" hidden="false" customHeight="true" outlineLevel="0" collapsed="false">
      <c r="A39" s="76" t="s">
        <v>637</v>
      </c>
      <c r="B39" s="496" t="n">
        <f aca="false">B14</f>
        <v>0</v>
      </c>
      <c r="C39" s="371"/>
      <c r="D39" s="496" t="n">
        <f aca="false">B39</f>
        <v>0</v>
      </c>
      <c r="E39" s="839" t="n">
        <v>0</v>
      </c>
      <c r="F39" s="839" t="n">
        <v>0</v>
      </c>
      <c r="G39" s="839" t="n">
        <v>0</v>
      </c>
      <c r="H39" s="839" t="n">
        <v>0</v>
      </c>
      <c r="I39" s="839" t="n">
        <v>0</v>
      </c>
      <c r="J39" s="839" t="n">
        <v>0</v>
      </c>
      <c r="K39" s="839" t="n">
        <v>0</v>
      </c>
      <c r="L39" s="839" t="n">
        <v>0</v>
      </c>
      <c r="M39" s="839" t="n">
        <v>0</v>
      </c>
      <c r="N39" s="839" t="n">
        <v>0</v>
      </c>
      <c r="O39" s="839" t="n">
        <v>0</v>
      </c>
      <c r="P39" s="839" t="n">
        <v>0</v>
      </c>
      <c r="Q39" s="839" t="n">
        <v>0</v>
      </c>
      <c r="R39" s="839" t="n">
        <v>0</v>
      </c>
      <c r="S39" s="839" t="n">
        <v>0</v>
      </c>
      <c r="T39" s="839" t="n">
        <v>0</v>
      </c>
      <c r="U39" s="839" t="n">
        <v>0</v>
      </c>
      <c r="V39" s="839" t="n">
        <v>0</v>
      </c>
      <c r="W39" s="839" t="n">
        <v>0</v>
      </c>
      <c r="X39" s="839" t="n">
        <v>0</v>
      </c>
      <c r="Y39" s="839" t="n">
        <v>0</v>
      </c>
      <c r="Z39" s="839" t="n">
        <v>0</v>
      </c>
      <c r="AA39" s="839" t="n">
        <v>0</v>
      </c>
      <c r="AB39" s="840" t="n">
        <v>0</v>
      </c>
      <c r="AC39" s="837"/>
      <c r="AD39" s="837"/>
      <c r="AE39" s="838"/>
    </row>
    <row r="40" customFormat="false" ht="12" hidden="false" customHeight="true" outlineLevel="0" collapsed="false">
      <c r="A40" s="76" t="s">
        <v>644</v>
      </c>
      <c r="B40" s="425" t="n">
        <f aca="false">SUM(B36:B39)</f>
        <v>252666.545</v>
      </c>
      <c r="C40" s="371"/>
      <c r="D40" s="425" t="n">
        <f aca="false">SUM(D36:D39)</f>
        <v>4574.77697833333</v>
      </c>
      <c r="E40" s="425" t="n">
        <f aca="false">SUM(E36:E39)</f>
        <v>7842.47482</v>
      </c>
      <c r="F40" s="425" t="n">
        <f aca="false">SUM(F36:F39)</f>
        <v>7842.47482</v>
      </c>
      <c r="G40" s="425" t="n">
        <f aca="false">SUM(G36:G39)</f>
        <v>7842.47482</v>
      </c>
      <c r="H40" s="425" t="n">
        <f aca="false">SUM(H36:H39)</f>
        <v>7842.47482</v>
      </c>
      <c r="I40" s="425" t="n">
        <f aca="false">SUM(I36:I39)</f>
        <v>7662.34253666667</v>
      </c>
      <c r="J40" s="425" t="n">
        <f aca="false">SUM(J36:J39)</f>
        <v>7533.67662</v>
      </c>
      <c r="K40" s="425" t="n">
        <f aca="false">SUM(K36:K39)</f>
        <v>7533.67662</v>
      </c>
      <c r="L40" s="425" t="n">
        <f aca="false">SUM(L36:L39)</f>
        <v>7533.67662</v>
      </c>
      <c r="M40" s="425" t="n">
        <f aca="false">SUM(M36:M39)</f>
        <v>7533.67662</v>
      </c>
      <c r="N40" s="425" t="n">
        <f aca="false">SUM(N36:N39)</f>
        <v>7533.67662</v>
      </c>
      <c r="O40" s="425" t="n">
        <f aca="false">SUM(O36:O39)</f>
        <v>7533.67662</v>
      </c>
      <c r="P40" s="425" t="n">
        <f aca="false">SUM(P36:P39)</f>
        <v>7533.67662</v>
      </c>
      <c r="Q40" s="425" t="n">
        <f aca="false">SUM(Q36:Q39)</f>
        <v>7533.67662</v>
      </c>
      <c r="R40" s="425" t="n">
        <f aca="false">SUM(R36:R39)</f>
        <v>7533.67662</v>
      </c>
      <c r="S40" s="425" t="n">
        <f aca="false">SUM(S36:S39)</f>
        <v>7533.67662</v>
      </c>
      <c r="T40" s="425" t="n">
        <f aca="false">SUM(T36:T39)</f>
        <v>7533.67662</v>
      </c>
      <c r="U40" s="425" t="n">
        <f aca="false">SUM(U36:U39)</f>
        <v>7533.67662</v>
      </c>
      <c r="V40" s="425" t="n">
        <f aca="false">SUM(V36:V39)</f>
        <v>7533.67662</v>
      </c>
      <c r="W40" s="425" t="n">
        <f aca="false">SUM(W36:W39)</f>
        <v>7533.67662</v>
      </c>
      <c r="X40" s="425" t="n">
        <f aca="false">SUM(X36:X39)</f>
        <v>7533.67662</v>
      </c>
      <c r="Y40" s="425" t="n">
        <f aca="false">SUM(Y36:Y39)</f>
        <v>7533.67662</v>
      </c>
      <c r="Z40" s="425" t="n">
        <f aca="false">SUM(Z36:Z39)</f>
        <v>7533.67662</v>
      </c>
      <c r="AA40" s="425" t="n">
        <f aca="false">SUM(AA36:AA39)</f>
        <v>7533.67662</v>
      </c>
      <c r="AB40" s="426" t="n">
        <f aca="false">SUM(AB36:AB39)</f>
        <v>7533.67662</v>
      </c>
      <c r="AC40" s="837"/>
      <c r="AD40" s="837"/>
      <c r="AE40" s="838"/>
    </row>
    <row r="41" customFormat="false" ht="12" hidden="false" customHeight="true" outlineLevel="0" collapsed="false">
      <c r="A41" s="76"/>
      <c r="B41" s="425"/>
      <c r="C41" s="371"/>
      <c r="D41" s="425"/>
      <c r="E41" s="425"/>
      <c r="F41" s="425"/>
      <c r="G41" s="425"/>
      <c r="H41" s="425"/>
      <c r="I41" s="425"/>
      <c r="J41" s="425"/>
      <c r="K41" s="425"/>
      <c r="L41" s="425"/>
      <c r="M41" s="425"/>
      <c r="N41" s="425"/>
      <c r="O41" s="425"/>
      <c r="P41" s="425"/>
      <c r="Q41" s="425"/>
      <c r="R41" s="425"/>
      <c r="S41" s="425"/>
      <c r="T41" s="425"/>
      <c r="U41" s="425"/>
      <c r="V41" s="425"/>
      <c r="W41" s="425"/>
      <c r="X41" s="425"/>
      <c r="Y41" s="425"/>
      <c r="Z41" s="425"/>
      <c r="AA41" s="425"/>
      <c r="AB41" s="426"/>
      <c r="AC41" s="837"/>
      <c r="AD41" s="837"/>
      <c r="AE41" s="838"/>
    </row>
    <row r="42" customFormat="false" ht="12" hidden="false" customHeight="true" outlineLevel="0" collapsed="false">
      <c r="A42" s="841" t="s">
        <v>645</v>
      </c>
      <c r="B42" s="653"/>
      <c r="C42" s="467"/>
      <c r="D42" s="653" t="n">
        <f aca="false">B40-D40</f>
        <v>248091.768021667</v>
      </c>
      <c r="E42" s="653" t="n">
        <f aca="false">D42-E40</f>
        <v>240249.293201667</v>
      </c>
      <c r="F42" s="653" t="n">
        <f aca="false">E42-F40</f>
        <v>232406.818381667</v>
      </c>
      <c r="G42" s="653" t="n">
        <f aca="false">F42-G40</f>
        <v>224564.343561667</v>
      </c>
      <c r="H42" s="653" t="n">
        <f aca="false">G42-H40</f>
        <v>216721.868741667</v>
      </c>
      <c r="I42" s="653" t="n">
        <f aca="false">H42-I40</f>
        <v>209059.526205</v>
      </c>
      <c r="J42" s="653" t="n">
        <f aca="false">I42-J40</f>
        <v>201525.849585</v>
      </c>
      <c r="K42" s="653" t="n">
        <f aca="false">J42-K40</f>
        <v>193992.172965</v>
      </c>
      <c r="L42" s="653" t="n">
        <f aca="false">K42-L40</f>
        <v>186458.496345</v>
      </c>
      <c r="M42" s="653" t="n">
        <f aca="false">L42-M40</f>
        <v>178924.819725</v>
      </c>
      <c r="N42" s="653" t="n">
        <f aca="false">M42-N40</f>
        <v>171391.143105</v>
      </c>
      <c r="O42" s="653" t="n">
        <f aca="false">N42-O40</f>
        <v>163857.466485</v>
      </c>
      <c r="P42" s="653" t="n">
        <f aca="false">O42-P40</f>
        <v>156323.789865</v>
      </c>
      <c r="Q42" s="653" t="n">
        <f aca="false">P42-Q40</f>
        <v>148790.113245</v>
      </c>
      <c r="R42" s="653" t="n">
        <f aca="false">Q42-R40</f>
        <v>141256.436625</v>
      </c>
      <c r="S42" s="653" t="n">
        <f aca="false">R42-S40</f>
        <v>133722.760005</v>
      </c>
      <c r="T42" s="653" t="n">
        <f aca="false">S42-T40</f>
        <v>126189.083385</v>
      </c>
      <c r="U42" s="653" t="n">
        <f aca="false">T42-U40</f>
        <v>118655.406765</v>
      </c>
      <c r="V42" s="653" t="n">
        <f aca="false">U42-V40</f>
        <v>111121.730145</v>
      </c>
      <c r="W42" s="653" t="n">
        <f aca="false">V42-W40</f>
        <v>103588.053525</v>
      </c>
      <c r="X42" s="653" t="n">
        <f aca="false">W42-X40</f>
        <v>96054.3769049999</v>
      </c>
      <c r="Y42" s="653" t="n">
        <f aca="false">X42-Y40</f>
        <v>88520.7002849999</v>
      </c>
      <c r="Z42" s="653" t="n">
        <f aca="false">Y42-Z40</f>
        <v>80987.0236649999</v>
      </c>
      <c r="AA42" s="653" t="n">
        <f aca="false">Z42-AA40</f>
        <v>73453.3470449999</v>
      </c>
      <c r="AB42" s="654" t="n">
        <f aca="false">AA42-AB40</f>
        <v>65919.6704249999</v>
      </c>
      <c r="AC42" s="837"/>
      <c r="AD42" s="837"/>
      <c r="AE42" s="838"/>
    </row>
    <row r="43" customFormat="false" ht="12" hidden="false" customHeight="true" outlineLevel="0" collapsed="false"/>
    <row r="44" customFormat="false" ht="12" hidden="false" customHeight="true" outlineLevel="0" collapsed="false">
      <c r="A44" s="826" t="s">
        <v>646</v>
      </c>
      <c r="B44" s="849" t="s">
        <v>290</v>
      </c>
      <c r="C44" s="367"/>
      <c r="D44" s="477" t="n">
        <v>1</v>
      </c>
      <c r="E44" s="477" t="n">
        <f aca="false">D44+1</f>
        <v>2</v>
      </c>
      <c r="F44" s="477" t="n">
        <f aca="false">E44+1</f>
        <v>3</v>
      </c>
      <c r="G44" s="477" t="n">
        <f aca="false">F44+1</f>
        <v>4</v>
      </c>
      <c r="H44" s="477" t="n">
        <f aca="false">G44+1</f>
        <v>5</v>
      </c>
      <c r="I44" s="477" t="n">
        <f aca="false">H44+1</f>
        <v>6</v>
      </c>
      <c r="J44" s="477" t="n">
        <f aca="false">I44+1</f>
        <v>7</v>
      </c>
      <c r="K44" s="850" t="n">
        <f aca="false">J44+1</f>
        <v>8</v>
      </c>
      <c r="L44" s="477" t="n">
        <f aca="false">K44+1</f>
        <v>9</v>
      </c>
      <c r="M44" s="477" t="n">
        <f aca="false">L44+1</f>
        <v>10</v>
      </c>
      <c r="N44" s="477" t="n">
        <f aca="false">M44+1</f>
        <v>11</v>
      </c>
      <c r="O44" s="477" t="n">
        <f aca="false">N44+1</f>
        <v>12</v>
      </c>
      <c r="P44" s="477" t="n">
        <f aca="false">O44+1</f>
        <v>13</v>
      </c>
      <c r="Q44" s="850" t="n">
        <f aca="false">P44+1</f>
        <v>14</v>
      </c>
      <c r="R44" s="477" t="n">
        <f aca="false">Q44+1</f>
        <v>15</v>
      </c>
      <c r="S44" s="477" t="n">
        <f aca="false">R44+1</f>
        <v>16</v>
      </c>
      <c r="T44" s="477" t="n">
        <f aca="false">S44+1</f>
        <v>17</v>
      </c>
      <c r="U44" s="477" t="n">
        <f aca="false">T44+1</f>
        <v>18</v>
      </c>
      <c r="V44" s="477" t="n">
        <f aca="false">U44+1</f>
        <v>19</v>
      </c>
      <c r="W44" s="850" t="n">
        <f aca="false">V44+1</f>
        <v>20</v>
      </c>
      <c r="X44" s="477" t="n">
        <f aca="false">W44+1</f>
        <v>21</v>
      </c>
      <c r="Y44" s="477" t="n">
        <f aca="false">X44+1</f>
        <v>22</v>
      </c>
      <c r="Z44" s="477" t="n">
        <f aca="false">Y44+1</f>
        <v>23</v>
      </c>
      <c r="AA44" s="477" t="n">
        <f aca="false">Z44+1</f>
        <v>24</v>
      </c>
      <c r="AB44" s="633" t="n">
        <f aca="false">AA44+1</f>
        <v>25</v>
      </c>
      <c r="AC44" s="474"/>
      <c r="AE44" s="831"/>
    </row>
    <row r="45" customFormat="false" ht="12" hidden="false" customHeight="true" outlineLevel="0" collapsed="false">
      <c r="A45" s="76" t="s">
        <v>647</v>
      </c>
      <c r="B45" s="425" t="n">
        <f aca="false">'Project Assumptions'!U6*AssessedValueMultiplier</f>
        <v>5721.11425279786</v>
      </c>
      <c r="C45" s="845"/>
      <c r="D45" s="846" t="n">
        <v>1</v>
      </c>
      <c r="E45" s="846" t="n">
        <v>1</v>
      </c>
      <c r="F45" s="846" t="n">
        <v>1</v>
      </c>
      <c r="G45" s="846" t="n">
        <v>1</v>
      </c>
      <c r="H45" s="846" t="n">
        <v>1</v>
      </c>
      <c r="I45" s="846" t="n">
        <v>0.88</v>
      </c>
      <c r="J45" s="846" t="n">
        <v>0.88</v>
      </c>
      <c r="K45" s="846" t="n">
        <v>0.88</v>
      </c>
      <c r="L45" s="846" t="n">
        <v>0.88</v>
      </c>
      <c r="M45" s="846" t="n">
        <v>0.76</v>
      </c>
      <c r="N45" s="846" t="n">
        <v>0.76</v>
      </c>
      <c r="O45" s="846" t="n">
        <v>0.76</v>
      </c>
      <c r="P45" s="846" t="n">
        <v>0.76</v>
      </c>
      <c r="Q45" s="846" t="n">
        <v>0.64</v>
      </c>
      <c r="R45" s="846" t="n">
        <v>0.64</v>
      </c>
      <c r="S45" s="846" t="n">
        <v>0.64</v>
      </c>
      <c r="T45" s="846" t="n">
        <v>0.64</v>
      </c>
      <c r="U45" s="846" t="n">
        <v>0.52</v>
      </c>
      <c r="V45" s="846" t="n">
        <v>0.52</v>
      </c>
      <c r="W45" s="846" t="n">
        <v>0.52</v>
      </c>
      <c r="X45" s="846" t="n">
        <v>0.52</v>
      </c>
      <c r="Y45" s="846" t="n">
        <v>1</v>
      </c>
      <c r="Z45" s="846" t="n">
        <v>1</v>
      </c>
      <c r="AA45" s="846" t="n">
        <v>1</v>
      </c>
      <c r="AB45" s="847" t="n">
        <v>1</v>
      </c>
      <c r="AC45" s="463"/>
      <c r="AD45" s="833"/>
      <c r="AE45" s="834"/>
    </row>
    <row r="46" customFormat="false" ht="11.25" hidden="false" customHeight="true" outlineLevel="0" collapsed="false">
      <c r="A46" s="76" t="s">
        <v>648</v>
      </c>
      <c r="B46" s="693"/>
      <c r="C46" s="371"/>
      <c r="D46" s="425" t="n">
        <f aca="false">$B$45*D45</f>
        <v>5721.11425279786</v>
      </c>
      <c r="E46" s="425" t="n">
        <f aca="false">$B$45*E45</f>
        <v>5721.11425279786</v>
      </c>
      <c r="F46" s="425" t="n">
        <f aca="false">$B$45*F45</f>
        <v>5721.11425279786</v>
      </c>
      <c r="G46" s="425" t="n">
        <f aca="false">$B$45*G45</f>
        <v>5721.11425279786</v>
      </c>
      <c r="H46" s="425" t="n">
        <f aca="false">$B$45*H45</f>
        <v>5721.11425279786</v>
      </c>
      <c r="I46" s="425" t="n">
        <f aca="false">$B$45*I45</f>
        <v>5034.58054246212</v>
      </c>
      <c r="J46" s="425" t="n">
        <f aca="false">$B$45*J45</f>
        <v>5034.58054246212</v>
      </c>
      <c r="K46" s="425" t="n">
        <f aca="false">$B$45*K45</f>
        <v>5034.58054246212</v>
      </c>
      <c r="L46" s="425" t="n">
        <f aca="false">$B$45*L45</f>
        <v>5034.58054246212</v>
      </c>
      <c r="M46" s="425" t="n">
        <f aca="false">$B$45*M45</f>
        <v>4348.04683212637</v>
      </c>
      <c r="N46" s="425" t="n">
        <f aca="false">$B$45*N45</f>
        <v>4348.04683212637</v>
      </c>
      <c r="O46" s="425" t="n">
        <f aca="false">$B$45*O45</f>
        <v>4348.04683212637</v>
      </c>
      <c r="P46" s="425" t="n">
        <f aca="false">$B$45*P45</f>
        <v>4348.04683212637</v>
      </c>
      <c r="Q46" s="425" t="n">
        <f aca="false">$B$45*Q45</f>
        <v>3661.51312179063</v>
      </c>
      <c r="R46" s="425" t="n">
        <f aca="false">$B$45*R45</f>
        <v>3661.51312179063</v>
      </c>
      <c r="S46" s="425" t="n">
        <f aca="false">$B$45*S45</f>
        <v>3661.51312179063</v>
      </c>
      <c r="T46" s="425" t="n">
        <f aca="false">$B$45*T45</f>
        <v>3661.51312179063</v>
      </c>
      <c r="U46" s="425" t="n">
        <f aca="false">$B$45*U45</f>
        <v>2974.97941145489</v>
      </c>
      <c r="V46" s="425" t="n">
        <f aca="false">$B$45*V45</f>
        <v>2974.97941145489</v>
      </c>
      <c r="W46" s="425" t="n">
        <f aca="false">$B$45*W45</f>
        <v>2974.97941145489</v>
      </c>
      <c r="X46" s="425" t="n">
        <f aca="false">$B$45*X45</f>
        <v>2974.97941145489</v>
      </c>
      <c r="Y46" s="425" t="n">
        <f aca="false">$B$45*Y45</f>
        <v>5721.11425279786</v>
      </c>
      <c r="Z46" s="425" t="n">
        <f aca="false">$B$45*Z45</f>
        <v>5721.11425279786</v>
      </c>
      <c r="AA46" s="425" t="n">
        <f aca="false">$B$45*AA45</f>
        <v>5721.11425279786</v>
      </c>
      <c r="AB46" s="426" t="n">
        <f aca="false">$B$45*AB45</f>
        <v>5721.11425279786</v>
      </c>
      <c r="AC46" s="838"/>
    </row>
    <row r="47" customFormat="false" ht="11.25" hidden="false" customHeight="true" outlineLevel="0" collapsed="false">
      <c r="A47" s="76"/>
      <c r="B47" s="693"/>
      <c r="C47" s="371"/>
      <c r="D47" s="425"/>
      <c r="E47" s="425"/>
      <c r="F47" s="425"/>
      <c r="G47" s="425"/>
      <c r="H47" s="425"/>
      <c r="I47" s="425"/>
      <c r="J47" s="425"/>
      <c r="K47" s="425"/>
      <c r="L47" s="425"/>
      <c r="M47" s="425"/>
      <c r="N47" s="425"/>
      <c r="O47" s="425"/>
      <c r="P47" s="425"/>
      <c r="Q47" s="425"/>
      <c r="R47" s="425"/>
      <c r="S47" s="425"/>
      <c r="T47" s="425"/>
      <c r="U47" s="425"/>
      <c r="V47" s="425"/>
      <c r="W47" s="425"/>
      <c r="X47" s="425"/>
      <c r="Y47" s="425"/>
      <c r="Z47" s="425"/>
      <c r="AA47" s="425"/>
      <c r="AB47" s="426"/>
      <c r="AC47" s="838"/>
    </row>
    <row r="48" customFormat="false" ht="11.25" hidden="false" customHeight="true" outlineLevel="0" collapsed="false">
      <c r="A48" s="76" t="s">
        <v>649</v>
      </c>
      <c r="B48" s="784"/>
      <c r="C48" s="371"/>
      <c r="D48" s="463" t="n">
        <f aca="false">SchoolMillageTaxRate</f>
        <v>0.061154</v>
      </c>
      <c r="E48" s="463" t="n">
        <f aca="false">SchoolMillageTaxRate</f>
        <v>0.061154</v>
      </c>
      <c r="F48" s="463" t="n">
        <f aca="false">E48*(1.015)</f>
        <v>0.06207131</v>
      </c>
      <c r="G48" s="463" t="n">
        <f aca="false">F48*(1.015)</f>
        <v>0.06300237965</v>
      </c>
      <c r="H48" s="463" t="n">
        <f aca="false">G48*(1.015)</f>
        <v>0.06394741534475</v>
      </c>
      <c r="I48" s="463" t="n">
        <f aca="false">H48*(1.015)</f>
        <v>0.0649066265749212</v>
      </c>
      <c r="J48" s="463" t="n">
        <f aca="false">I48*(1.015)</f>
        <v>0.065880225973545</v>
      </c>
      <c r="K48" s="463" t="n">
        <f aca="false">J48*(1.015)</f>
        <v>0.0668684293631482</v>
      </c>
      <c r="L48" s="463" t="n">
        <f aca="false">K48*(1.015)</f>
        <v>0.0678714558035954</v>
      </c>
      <c r="M48" s="463" t="n">
        <f aca="false">L48*(1.015)</f>
        <v>0.0688895276406493</v>
      </c>
      <c r="N48" s="463" t="n">
        <f aca="false">M48*(1.015)</f>
        <v>0.0699228705552591</v>
      </c>
      <c r="O48" s="463" t="n">
        <f aca="false">N48*(1.015)</f>
        <v>0.0709717136135879</v>
      </c>
      <c r="P48" s="463" t="n">
        <f aca="false">O48*(1.015)</f>
        <v>0.0720362893177917</v>
      </c>
      <c r="Q48" s="463" t="n">
        <f aca="false">P48*(1.015)</f>
        <v>0.0731168336575586</v>
      </c>
      <c r="R48" s="463" t="n">
        <f aca="false">Q48*(1.015)</f>
        <v>0.074213586162422</v>
      </c>
      <c r="S48" s="463" t="n">
        <f aca="false">R48*(1.015)</f>
        <v>0.0753267899548583</v>
      </c>
      <c r="T48" s="463" t="n">
        <f aca="false">S48*(1.015)</f>
        <v>0.0764566918041812</v>
      </c>
      <c r="U48" s="463" t="n">
        <f aca="false">T48*(1.015)</f>
        <v>0.0776035421812439</v>
      </c>
      <c r="V48" s="463" t="n">
        <f aca="false">U48*(1.015)</f>
        <v>0.0787675953139625</v>
      </c>
      <c r="W48" s="463" t="n">
        <f aca="false">V48*(1.015)</f>
        <v>0.079949109243672</v>
      </c>
      <c r="X48" s="463" t="n">
        <f aca="false">W48*(1.015)</f>
        <v>0.081148345882327</v>
      </c>
      <c r="Y48" s="463" t="n">
        <f aca="false">X48*(1.015)</f>
        <v>0.0823655710705619</v>
      </c>
      <c r="Z48" s="463" t="n">
        <f aca="false">Y48*(1.015)</f>
        <v>0.0836010546366203</v>
      </c>
      <c r="AA48" s="463" t="n">
        <f aca="false">Z48*(1.015)</f>
        <v>0.0848550704561696</v>
      </c>
      <c r="AB48" s="508" t="n">
        <f aca="false">AA48*(1.015)</f>
        <v>0.0861278965130122</v>
      </c>
      <c r="AC48" s="838"/>
      <c r="AD48" s="837"/>
      <c r="AE48" s="837"/>
    </row>
    <row r="49" customFormat="false" ht="12" hidden="false" customHeight="true" outlineLevel="0" collapsed="false">
      <c r="A49" s="76" t="s">
        <v>650</v>
      </c>
      <c r="B49" s="832"/>
      <c r="C49" s="851" t="n">
        <f aca="false">AVERAGE(D49:X49)</f>
        <v>269.898959069177</v>
      </c>
      <c r="D49" s="425" t="n">
        <f aca="false">SchoolMillageTaxRate*Depreciation!D46</f>
        <v>349.8690210156</v>
      </c>
      <c r="E49" s="425" t="n">
        <f aca="false">SchoolMillageTaxRate*Depreciation!E46</f>
        <v>349.8690210156</v>
      </c>
      <c r="F49" s="425" t="n">
        <f aca="false">IF(F4&gt;ProjectLife+1,0,SchoolMillageTaxRate*Depreciation!F46)</f>
        <v>349.8690210156</v>
      </c>
      <c r="G49" s="425" t="n">
        <f aca="false">IF(G4&gt;ProjectLife+1,0,SchoolMillageTaxRate*Depreciation!G46)</f>
        <v>349.8690210156</v>
      </c>
      <c r="H49" s="425" t="n">
        <f aca="false">IF(H4&gt;ProjectLife+1,0,SchoolMillageTaxRate*Depreciation!H46)</f>
        <v>349.8690210156</v>
      </c>
      <c r="I49" s="425" t="n">
        <f aca="false">IF(I4&gt;ProjectLife+1,0,SchoolMillageTaxRate*Depreciation!I46)</f>
        <v>307.884738493728</v>
      </c>
      <c r="J49" s="425" t="n">
        <f aca="false">IF(J4&gt;ProjectLife+1,0,SchoolMillageTaxRate*Depreciation!J46)</f>
        <v>307.884738493728</v>
      </c>
      <c r="K49" s="425" t="n">
        <f aca="false">IF(K4&gt;ProjectLife+1,0,SchoolMillageTaxRate*Depreciation!K46)</f>
        <v>307.884738493728</v>
      </c>
      <c r="L49" s="425" t="n">
        <f aca="false">IF(L4&gt;ProjectLife+1,0,SchoolMillageTaxRate*Depreciation!L46)</f>
        <v>307.884738493728</v>
      </c>
      <c r="M49" s="425" t="n">
        <f aca="false">IF(M4&gt;ProjectLife+1,0,SchoolMillageTaxRate*Depreciation!M46)</f>
        <v>265.900455971856</v>
      </c>
      <c r="N49" s="425" t="n">
        <f aca="false">IF(N4&gt;ProjectLife+1,0,SchoolMillageTaxRate*Depreciation!N46)</f>
        <v>265.900455971856</v>
      </c>
      <c r="O49" s="425" t="n">
        <f aca="false">IF(O4&gt;ProjectLife+1,0,SchoolMillageTaxRate*Depreciation!O46)</f>
        <v>265.900455971856</v>
      </c>
      <c r="P49" s="425" t="n">
        <f aca="false">IF(P4&gt;ProjectLife+1,0,SchoolMillageTaxRate*Depreciation!P46)</f>
        <v>265.900455971856</v>
      </c>
      <c r="Q49" s="425" t="n">
        <f aca="false">IF(Q4&gt;ProjectLife+1,0,SchoolMillageTaxRate*Depreciation!Q46)</f>
        <v>223.916173449984</v>
      </c>
      <c r="R49" s="425" t="n">
        <f aca="false">IF(R4&gt;ProjectLife+1,0,SchoolMillageTaxRate*Depreciation!R46)</f>
        <v>223.916173449984</v>
      </c>
      <c r="S49" s="425" t="n">
        <f aca="false">IF(S4&gt;ProjectLife+1,0,SchoolMillageTaxRate*Depreciation!S46)</f>
        <v>223.916173449984</v>
      </c>
      <c r="T49" s="425" t="n">
        <f aca="false">IF(T4&gt;ProjectLife+1,0,SchoolMillageTaxRate*Depreciation!T46)</f>
        <v>223.916173449984</v>
      </c>
      <c r="U49" s="425" t="n">
        <f aca="false">IF(U4&gt;ProjectLife+1,0,SchoolMillageTaxRate*Depreciation!U46)</f>
        <v>181.931890928112</v>
      </c>
      <c r="V49" s="425" t="n">
        <f aca="false">IF(V4&gt;ProjectLife+1,0,SchoolMillageTaxRate*Depreciation!V46)</f>
        <v>181.931890928112</v>
      </c>
      <c r="W49" s="425" t="n">
        <f aca="false">IF(W4&gt;ProjectLife+1,0,SchoolMillageTaxRate*Depreciation!W46)</f>
        <v>181.931890928112</v>
      </c>
      <c r="X49" s="425" t="n">
        <f aca="false">IF(X4&gt;ProjectLife+1,0,SchoolMillageTaxRate*Depreciation!X46)</f>
        <v>181.931890928112</v>
      </c>
      <c r="Y49" s="425" t="n">
        <f aca="false">IF(Y4&gt;ProjectLife+1,0,SchoolMillageTaxRate*Depreciation!Y46)</f>
        <v>0</v>
      </c>
      <c r="Z49" s="425" t="n">
        <f aca="false">IF(Z4&gt;ProjectLife+1,0,SchoolMillageTaxRate*Depreciation!Z46)</f>
        <v>0</v>
      </c>
      <c r="AA49" s="425" t="n">
        <f aca="false">IF(AA4&gt;ProjectLife+1,0,SchoolMillageTaxRate*Depreciation!AA46)</f>
        <v>0</v>
      </c>
      <c r="AB49" s="426" t="n">
        <f aca="false">IF(AB4&gt;ProjectLife+1,0,SchoolMillageTaxRate*Depreciation!AB46)</f>
        <v>0</v>
      </c>
      <c r="AC49" s="425"/>
      <c r="AD49" s="833"/>
      <c r="AE49" s="834"/>
    </row>
    <row r="50" customFormat="false" ht="12" hidden="false" customHeight="true" outlineLevel="0" collapsed="false">
      <c r="A50" s="76" t="s">
        <v>651</v>
      </c>
      <c r="B50" s="852"/>
      <c r="C50" s="371"/>
      <c r="D50" s="496" t="n">
        <v>0</v>
      </c>
      <c r="E50" s="496" t="n">
        <v>0</v>
      </c>
      <c r="F50" s="496" t="n">
        <v>0</v>
      </c>
      <c r="G50" s="496" t="n">
        <v>0</v>
      </c>
      <c r="H50" s="496" t="n">
        <v>0</v>
      </c>
      <c r="I50" s="496" t="n">
        <v>0</v>
      </c>
      <c r="J50" s="496" t="n">
        <v>0</v>
      </c>
      <c r="K50" s="496" t="n">
        <v>0</v>
      </c>
      <c r="L50" s="496" t="n">
        <v>0</v>
      </c>
      <c r="M50" s="496" t="n">
        <v>0</v>
      </c>
      <c r="N50" s="496" t="n">
        <v>0</v>
      </c>
      <c r="O50" s="496" t="n">
        <v>0</v>
      </c>
      <c r="P50" s="496" t="n">
        <v>0</v>
      </c>
      <c r="Q50" s="496" t="n">
        <v>0</v>
      </c>
      <c r="R50" s="496" t="n">
        <v>0</v>
      </c>
      <c r="S50" s="496" t="n">
        <v>0</v>
      </c>
      <c r="T50" s="496" t="n">
        <v>0</v>
      </c>
      <c r="U50" s="496" t="n">
        <v>0</v>
      </c>
      <c r="V50" s="496" t="n">
        <v>0</v>
      </c>
      <c r="W50" s="496" t="n">
        <v>0</v>
      </c>
      <c r="X50" s="496" t="n">
        <v>0</v>
      </c>
      <c r="Y50" s="496" t="n">
        <v>0</v>
      </c>
      <c r="Z50" s="496" t="n">
        <v>0</v>
      </c>
      <c r="AA50" s="496" t="n">
        <v>0</v>
      </c>
      <c r="AB50" s="497" t="n">
        <v>0</v>
      </c>
      <c r="AC50" s="496"/>
      <c r="AD50" s="833"/>
      <c r="AE50" s="834"/>
    </row>
    <row r="51" customFormat="false" ht="11.25" hidden="false" customHeight="false" outlineLevel="0" collapsed="false">
      <c r="A51" s="449" t="s">
        <v>652</v>
      </c>
      <c r="B51" s="467"/>
      <c r="C51" s="467"/>
      <c r="D51" s="653" t="n">
        <f aca="false">SUM(D49:D50)</f>
        <v>349.8690210156</v>
      </c>
      <c r="E51" s="653" t="n">
        <f aca="false">SUM(E49:E50)</f>
        <v>349.8690210156</v>
      </c>
      <c r="F51" s="653" t="n">
        <f aca="false">SUM(F49:F50)</f>
        <v>349.8690210156</v>
      </c>
      <c r="G51" s="653" t="n">
        <f aca="false">SUM(G49:G50)</f>
        <v>349.8690210156</v>
      </c>
      <c r="H51" s="653" t="n">
        <f aca="false">SUM(H49:H50)</f>
        <v>349.8690210156</v>
      </c>
      <c r="I51" s="653" t="n">
        <f aca="false">SUM(I49:I50)</f>
        <v>307.884738493728</v>
      </c>
      <c r="J51" s="653" t="n">
        <f aca="false">SUM(J49:J50)</f>
        <v>307.884738493728</v>
      </c>
      <c r="K51" s="653" t="n">
        <f aca="false">SUM(K49:K50)</f>
        <v>307.884738493728</v>
      </c>
      <c r="L51" s="653" t="n">
        <f aca="false">SUM(L49:L50)</f>
        <v>307.884738493728</v>
      </c>
      <c r="M51" s="653" t="n">
        <f aca="false">SUM(M49:M50)</f>
        <v>265.900455971856</v>
      </c>
      <c r="N51" s="653" t="n">
        <f aca="false">SUM(N49:N50)</f>
        <v>265.900455971856</v>
      </c>
      <c r="O51" s="653" t="n">
        <f aca="false">SUM(O49:O50)</f>
        <v>265.900455971856</v>
      </c>
      <c r="P51" s="653" t="n">
        <f aca="false">SUM(P49:P50)</f>
        <v>265.900455971856</v>
      </c>
      <c r="Q51" s="653" t="n">
        <f aca="false">SUM(Q49:Q50)</f>
        <v>223.916173449984</v>
      </c>
      <c r="R51" s="653" t="n">
        <f aca="false">SUM(R49:R50)</f>
        <v>223.916173449984</v>
      </c>
      <c r="S51" s="653" t="n">
        <f aca="false">SUM(S49:S50)</f>
        <v>223.916173449984</v>
      </c>
      <c r="T51" s="653" t="n">
        <f aca="false">SUM(T49:T50)</f>
        <v>223.916173449984</v>
      </c>
      <c r="U51" s="653" t="n">
        <f aca="false">SUM(U49:U50)</f>
        <v>181.931890928112</v>
      </c>
      <c r="V51" s="653" t="n">
        <f aca="false">SUM(V49:V50)</f>
        <v>181.931890928112</v>
      </c>
      <c r="W51" s="653" t="n">
        <f aca="false">SUM(W49:W50)</f>
        <v>181.931890928112</v>
      </c>
      <c r="X51" s="653" t="n">
        <f aca="false">SUM(X49:X50)</f>
        <v>181.931890928112</v>
      </c>
      <c r="Y51" s="653" t="n">
        <f aca="false">SUM(Y49:Y50)</f>
        <v>0</v>
      </c>
      <c r="Z51" s="653" t="n">
        <f aca="false">SUM(Z49:Z50)</f>
        <v>0</v>
      </c>
      <c r="AA51" s="653" t="n">
        <f aca="false">SUM(AA49:AA50)</f>
        <v>0</v>
      </c>
      <c r="AB51" s="654" t="n">
        <f aca="false">SUM(AB49:AB50)</f>
        <v>0</v>
      </c>
      <c r="AC51" s="425"/>
    </row>
    <row r="52" customFormat="false" ht="11.25" hidden="false" customHeight="true" outlineLevel="0" collapsed="false">
      <c r="A52" s="843"/>
      <c r="B52" s="853"/>
      <c r="D52" s="425"/>
      <c r="E52" s="425"/>
      <c r="F52" s="425"/>
      <c r="G52" s="425"/>
      <c r="H52" s="425"/>
      <c r="I52" s="425"/>
      <c r="J52" s="425"/>
      <c r="K52" s="425"/>
      <c r="L52" s="425"/>
      <c r="M52" s="425"/>
      <c r="N52" s="425"/>
      <c r="O52" s="425"/>
      <c r="P52" s="425"/>
      <c r="Q52" s="425"/>
      <c r="R52" s="425"/>
      <c r="S52" s="425"/>
      <c r="T52" s="425"/>
      <c r="U52" s="425"/>
      <c r="V52" s="425"/>
      <c r="W52" s="425"/>
      <c r="X52" s="425"/>
      <c r="Y52" s="425"/>
      <c r="Z52" s="425"/>
      <c r="AA52" s="425"/>
      <c r="AB52" s="425"/>
      <c r="AC52" s="833"/>
      <c r="AD52" s="833"/>
      <c r="AE52" s="834"/>
    </row>
    <row r="53" customFormat="false" ht="13.5" hidden="false" customHeight="true" outlineLevel="0" collapsed="false">
      <c r="A53" s="843"/>
      <c r="B53" s="837"/>
      <c r="D53" s="837"/>
      <c r="E53" s="837"/>
      <c r="F53" s="837"/>
      <c r="G53" s="837"/>
      <c r="H53" s="837"/>
      <c r="I53" s="837"/>
      <c r="J53" s="837"/>
      <c r="K53" s="837"/>
      <c r="L53" s="837"/>
      <c r="M53" s="837"/>
      <c r="N53" s="837"/>
      <c r="O53" s="837"/>
      <c r="P53" s="837"/>
      <c r="Q53" s="837"/>
      <c r="R53" s="837"/>
      <c r="S53" s="837"/>
      <c r="T53" s="837"/>
      <c r="U53" s="837"/>
      <c r="V53" s="837"/>
      <c r="W53" s="837"/>
      <c r="X53" s="837"/>
      <c r="Y53" s="837"/>
      <c r="Z53" s="837"/>
      <c r="AA53" s="837"/>
      <c r="AB53" s="837"/>
      <c r="AC53" s="837"/>
      <c r="AD53" s="837"/>
      <c r="AE53" s="838"/>
    </row>
    <row r="54" customFormat="false" ht="13.5" hidden="false" customHeight="true" outlineLevel="0" collapsed="false">
      <c r="A54" s="854" t="s">
        <v>653</v>
      </c>
      <c r="B54" s="855"/>
      <c r="D54" s="837"/>
      <c r="E54" s="837"/>
      <c r="F54" s="837"/>
      <c r="G54" s="837"/>
      <c r="H54" s="837"/>
      <c r="I54" s="837"/>
      <c r="J54" s="837"/>
      <c r="K54" s="837"/>
      <c r="L54" s="837"/>
      <c r="M54" s="837"/>
      <c r="N54" s="837"/>
      <c r="O54" s="837"/>
      <c r="P54" s="837"/>
      <c r="Q54" s="837"/>
      <c r="R54" s="837"/>
      <c r="S54" s="837"/>
      <c r="T54" s="837"/>
      <c r="U54" s="837"/>
      <c r="V54" s="837"/>
      <c r="W54" s="837"/>
      <c r="X54" s="837"/>
      <c r="Y54" s="837"/>
      <c r="Z54" s="837"/>
      <c r="AA54" s="837"/>
      <c r="AB54" s="837"/>
      <c r="AC54" s="837"/>
      <c r="AD54" s="837"/>
      <c r="AE54" s="838"/>
    </row>
    <row r="55" customFormat="false" ht="13.5" hidden="false" customHeight="true" outlineLevel="1" collapsed="false">
      <c r="A55" s="357" t="s">
        <v>654</v>
      </c>
      <c r="B55" s="357"/>
      <c r="D55" s="837"/>
      <c r="E55" s="837"/>
      <c r="F55" s="837"/>
      <c r="G55" s="837"/>
      <c r="H55" s="837"/>
      <c r="I55" s="837"/>
      <c r="J55" s="837"/>
      <c r="K55" s="837"/>
      <c r="L55" s="837"/>
      <c r="M55" s="837"/>
      <c r="N55" s="837"/>
      <c r="O55" s="837"/>
      <c r="P55" s="837"/>
      <c r="Q55" s="837"/>
      <c r="R55" s="837"/>
      <c r="S55" s="837"/>
      <c r="T55" s="837"/>
      <c r="U55" s="837"/>
      <c r="V55" s="837"/>
      <c r="W55" s="837"/>
      <c r="X55" s="837"/>
      <c r="Y55" s="837"/>
      <c r="Z55" s="837"/>
      <c r="AA55" s="837"/>
      <c r="AB55" s="837"/>
      <c r="AC55" s="837"/>
      <c r="AD55" s="837"/>
      <c r="AE55" s="838"/>
    </row>
    <row r="56" customFormat="false" ht="13.5" hidden="false" customHeight="true" outlineLevel="1" collapsed="false">
      <c r="A56" s="357" t="s">
        <v>655</v>
      </c>
      <c r="B56" s="855" t="s">
        <v>656</v>
      </c>
    </row>
    <row r="57" customFormat="false" ht="13.5" hidden="false" customHeight="true" outlineLevel="1" collapsed="false">
      <c r="A57" s="357" t="n">
        <v>1</v>
      </c>
      <c r="B57" s="856" t="n">
        <v>0.05</v>
      </c>
    </row>
    <row r="58" customFormat="false" ht="13.5" hidden="false" customHeight="true" outlineLevel="1" collapsed="false">
      <c r="A58" s="357" t="n">
        <v>2</v>
      </c>
      <c r="B58" s="856" t="n">
        <v>0.095</v>
      </c>
    </row>
    <row r="59" customFormat="false" ht="13.5" hidden="false" customHeight="true" outlineLevel="1" collapsed="false">
      <c r="A59" s="357" t="n">
        <v>3</v>
      </c>
      <c r="B59" s="856" t="n">
        <v>0.0855</v>
      </c>
    </row>
    <row r="60" customFormat="false" ht="13.5" hidden="false" customHeight="true" outlineLevel="1" collapsed="false">
      <c r="A60" s="357" t="n">
        <v>4</v>
      </c>
      <c r="B60" s="856" t="n">
        <v>0.077</v>
      </c>
    </row>
    <row r="61" customFormat="false" ht="13.5" hidden="false" customHeight="true" outlineLevel="1" collapsed="false">
      <c r="A61" s="357" t="n">
        <v>5</v>
      </c>
      <c r="B61" s="856" t="n">
        <v>0.0693</v>
      </c>
    </row>
    <row r="62" customFormat="false" ht="13.5" hidden="false" customHeight="true" outlineLevel="1" collapsed="false">
      <c r="A62" s="357" t="n">
        <v>6</v>
      </c>
      <c r="B62" s="856" t="n">
        <v>0.0623</v>
      </c>
    </row>
    <row r="63" customFormat="false" ht="13.5" hidden="false" customHeight="true" outlineLevel="1" collapsed="false">
      <c r="A63" s="357" t="n">
        <v>7</v>
      </c>
      <c r="B63" s="856" t="n">
        <v>0.059</v>
      </c>
    </row>
    <row r="64" customFormat="false" ht="13.5" hidden="false" customHeight="true" outlineLevel="1" collapsed="false">
      <c r="A64" s="357" t="n">
        <v>8</v>
      </c>
      <c r="B64" s="856" t="n">
        <v>0.0591</v>
      </c>
    </row>
    <row r="65" customFormat="false" ht="13.5" hidden="false" customHeight="true" outlineLevel="1" collapsed="false">
      <c r="A65" s="357" t="n">
        <v>9</v>
      </c>
      <c r="B65" s="856" t="n">
        <v>0.059</v>
      </c>
    </row>
    <row r="66" customFormat="false" ht="13.5" hidden="false" customHeight="true" outlineLevel="1" collapsed="false">
      <c r="A66" s="357" t="n">
        <v>10</v>
      </c>
      <c r="B66" s="856" t="n">
        <v>0.0591</v>
      </c>
    </row>
    <row r="67" customFormat="false" ht="13.5" hidden="false" customHeight="true" outlineLevel="1" collapsed="false">
      <c r="A67" s="357" t="n">
        <v>11</v>
      </c>
      <c r="B67" s="856" t="n">
        <v>0.059</v>
      </c>
    </row>
    <row r="68" customFormat="false" ht="12.75" hidden="false" customHeight="false" outlineLevel="1" collapsed="false">
      <c r="A68" s="357" t="n">
        <v>12</v>
      </c>
      <c r="B68" s="856" t="n">
        <v>0.0591</v>
      </c>
    </row>
    <row r="69" customFormat="false" ht="12.75" hidden="false" customHeight="false" outlineLevel="1" collapsed="false">
      <c r="A69" s="357" t="n">
        <v>13</v>
      </c>
      <c r="B69" s="856" t="n">
        <v>0.059</v>
      </c>
    </row>
    <row r="70" customFormat="false" ht="12.75" hidden="false" customHeight="false" outlineLevel="1" collapsed="false">
      <c r="A70" s="357" t="n">
        <v>14</v>
      </c>
      <c r="B70" s="856" t="n">
        <v>0.0591</v>
      </c>
    </row>
    <row r="71" customFormat="false" ht="12.75" hidden="false" customHeight="false" outlineLevel="1" collapsed="false">
      <c r="A71" s="357" t="n">
        <v>15</v>
      </c>
      <c r="B71" s="856" t="n">
        <v>0.059</v>
      </c>
    </row>
    <row r="72" customFormat="false" ht="12.75" hidden="false" customHeight="false" outlineLevel="1" collapsed="false">
      <c r="A72" s="357" t="n">
        <v>16</v>
      </c>
      <c r="B72" s="857" t="n">
        <v>0.0295</v>
      </c>
    </row>
    <row r="73" customFormat="false" ht="11.25" hidden="false" customHeight="false" outlineLevel="0" collapsed="false">
      <c r="B73" s="858" t="n">
        <f aca="false">SUM(B57:B72)</f>
        <v>1</v>
      </c>
    </row>
    <row r="74" customFormat="false" ht="12.75" hidden="false" customHeight="false" outlineLevel="0" collapsed="false">
      <c r="A74" s="854" t="s">
        <v>657</v>
      </c>
      <c r="B74" s="357"/>
    </row>
    <row r="75" customFormat="false" ht="12.75" hidden="true" customHeight="false" outlineLevel="1" collapsed="false">
      <c r="A75" s="357" t="s">
        <v>654</v>
      </c>
      <c r="B75" s="357"/>
    </row>
    <row r="76" customFormat="false" ht="12.75" hidden="true" customHeight="false" outlineLevel="1" collapsed="false">
      <c r="A76" s="357" t="s">
        <v>655</v>
      </c>
      <c r="B76" s="357" t="s">
        <v>656</v>
      </c>
    </row>
    <row r="77" customFormat="false" ht="12.75" hidden="true" customHeight="false" outlineLevel="1" collapsed="false">
      <c r="A77" s="357" t="n">
        <v>1</v>
      </c>
      <c r="B77" s="530" t="n">
        <v>0.0375</v>
      </c>
    </row>
    <row r="78" customFormat="false" ht="12.75" hidden="true" customHeight="false" outlineLevel="1" collapsed="false">
      <c r="A78" s="357" t="n">
        <v>2</v>
      </c>
      <c r="B78" s="530" t="n">
        <v>0.07219</v>
      </c>
    </row>
    <row r="79" customFormat="false" ht="12.75" hidden="true" customHeight="false" outlineLevel="1" collapsed="false">
      <c r="A79" s="357" t="n">
        <v>3</v>
      </c>
      <c r="B79" s="530" t="n">
        <v>0.06677</v>
      </c>
    </row>
    <row r="80" customFormat="false" ht="12.75" hidden="true" customHeight="false" outlineLevel="1" collapsed="false">
      <c r="A80" s="357" t="n">
        <v>4</v>
      </c>
      <c r="B80" s="530" t="n">
        <v>0.06177</v>
      </c>
    </row>
    <row r="81" customFormat="false" ht="12.75" hidden="true" customHeight="false" outlineLevel="1" collapsed="false">
      <c r="A81" s="357" t="n">
        <v>5</v>
      </c>
      <c r="B81" s="530" t="n">
        <v>0.05713</v>
      </c>
    </row>
    <row r="82" customFormat="false" ht="12.75" hidden="true" customHeight="false" outlineLevel="1" collapsed="false">
      <c r="A82" s="357" t="n">
        <v>6</v>
      </c>
      <c r="B82" s="530" t="n">
        <v>0.05285</v>
      </c>
    </row>
    <row r="83" customFormat="false" ht="12.75" hidden="true" customHeight="false" outlineLevel="1" collapsed="false">
      <c r="A83" s="357" t="n">
        <v>7</v>
      </c>
      <c r="B83" s="530" t="n">
        <v>0.04888</v>
      </c>
    </row>
    <row r="84" customFormat="false" ht="12.75" hidden="true" customHeight="false" outlineLevel="1" collapsed="false">
      <c r="A84" s="357" t="n">
        <v>8</v>
      </c>
      <c r="B84" s="530" t="n">
        <v>0.04522</v>
      </c>
    </row>
    <row r="85" customFormat="false" ht="12.75" hidden="true" customHeight="false" outlineLevel="1" collapsed="false">
      <c r="A85" s="357" t="n">
        <v>9</v>
      </c>
      <c r="B85" s="530" t="n">
        <v>0.04462</v>
      </c>
    </row>
    <row r="86" customFormat="false" ht="12.75" hidden="true" customHeight="false" outlineLevel="1" collapsed="false">
      <c r="A86" s="357" t="n">
        <v>10</v>
      </c>
      <c r="B86" s="530" t="n">
        <v>0.04461</v>
      </c>
    </row>
    <row r="87" customFormat="false" ht="12.75" hidden="true" customHeight="false" outlineLevel="1" collapsed="false">
      <c r="A87" s="357" t="n">
        <v>11</v>
      </c>
      <c r="B87" s="530" t="n">
        <v>0.04462</v>
      </c>
    </row>
    <row r="88" customFormat="false" ht="12.75" hidden="true" customHeight="false" outlineLevel="1" collapsed="false">
      <c r="A88" s="357" t="n">
        <v>12</v>
      </c>
      <c r="B88" s="530" t="n">
        <v>0.04461</v>
      </c>
    </row>
    <row r="89" customFormat="false" ht="12.75" hidden="true" customHeight="false" outlineLevel="1" collapsed="false">
      <c r="A89" s="357" t="n">
        <v>13</v>
      </c>
      <c r="B89" s="530" t="n">
        <v>0.04462</v>
      </c>
    </row>
    <row r="90" customFormat="false" ht="12.75" hidden="true" customHeight="false" outlineLevel="1" collapsed="false">
      <c r="A90" s="357" t="n">
        <v>14</v>
      </c>
      <c r="B90" s="530" t="n">
        <v>0.04461</v>
      </c>
    </row>
    <row r="91" customFormat="false" ht="12.75" hidden="true" customHeight="false" outlineLevel="1" collapsed="false">
      <c r="A91" s="357" t="n">
        <v>15</v>
      </c>
      <c r="B91" s="530" t="n">
        <v>0.04462</v>
      </c>
    </row>
    <row r="92" customFormat="false" ht="12.75" hidden="true" customHeight="false" outlineLevel="1" collapsed="false">
      <c r="A92" s="357" t="n">
        <v>16</v>
      </c>
      <c r="B92" s="530" t="n">
        <v>0.04461</v>
      </c>
    </row>
    <row r="93" customFormat="false" ht="12.75" hidden="true" customHeight="false" outlineLevel="1" collapsed="false">
      <c r="A93" s="357" t="n">
        <v>17</v>
      </c>
      <c r="B93" s="530" t="n">
        <v>0.04462</v>
      </c>
    </row>
    <row r="94" customFormat="false" ht="12.75" hidden="true" customHeight="false" outlineLevel="1" collapsed="false">
      <c r="A94" s="357" t="n">
        <v>18</v>
      </c>
      <c r="B94" s="530" t="n">
        <v>0.04461</v>
      </c>
    </row>
    <row r="95" customFormat="false" ht="12.75" hidden="true" customHeight="false" outlineLevel="1" collapsed="false">
      <c r="A95" s="357" t="n">
        <v>19</v>
      </c>
      <c r="B95" s="530" t="n">
        <v>0.04462</v>
      </c>
    </row>
    <row r="96" customFormat="false" ht="12.75" hidden="true" customHeight="false" outlineLevel="1" collapsed="false">
      <c r="A96" s="357" t="n">
        <v>20</v>
      </c>
      <c r="B96" s="530" t="n">
        <v>0.04461</v>
      </c>
    </row>
    <row r="97" customFormat="false" ht="12.75" hidden="true" customHeight="false" outlineLevel="1" collapsed="false">
      <c r="A97" s="357" t="n">
        <v>21</v>
      </c>
      <c r="B97" s="530" t="n">
        <v>0.0225</v>
      </c>
    </row>
  </sheetData>
  <printOptions headings="false" gridLines="false" gridLinesSet="true" horizontalCentered="false" verticalCentered="false"/>
  <pageMargins left="0.25" right="0.25" top="0.25" bottom="0.5" header="0.511811023622047" footer="0"/>
  <pageSetup paperSize="5"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2" manualBreakCount="2">
    <brk id="15" man="true" max="65535" min="0"/>
    <brk id="32" man="true" max="65535" min="0"/>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31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
    </sheetView>
  </sheetViews>
  <sheetFormatPr defaultColWidth="10.5625" defaultRowHeight="11.25" customHeight="true" zeroHeight="false" outlineLevelRow="0" outlineLevelCol="0"/>
  <cols>
    <col collapsed="false" customWidth="false" hidden="false" outlineLevel="0" max="1" min="1" style="859" width="10.56"/>
    <col collapsed="false" customWidth="true" hidden="false" outlineLevel="0" max="2" min="2" style="859" width="18.28"/>
    <col collapsed="false" customWidth="true" hidden="false" outlineLevel="0" max="3" min="3" style="859" width="9.14"/>
    <col collapsed="false" customWidth="true" hidden="false" outlineLevel="0" max="4" min="4" style="859" width="17.85"/>
    <col collapsed="false" customWidth="true" hidden="false" outlineLevel="0" max="5" min="5" style="859" width="14.28"/>
    <col collapsed="false" customWidth="true" hidden="false" outlineLevel="0" max="6" min="6" style="859" width="16.99"/>
    <col collapsed="false" customWidth="false" hidden="false" outlineLevel="0" max="7" min="7" style="859" width="10.56"/>
    <col collapsed="false" customWidth="true" hidden="false" outlineLevel="0" max="8" min="8" style="859" width="12.28"/>
    <col collapsed="false" customWidth="true" hidden="false" outlineLevel="0" max="9" min="9" style="859" width="7.28"/>
    <col collapsed="false" customWidth="false" hidden="false" outlineLevel="0" max="257" min="10" style="859" width="10.56"/>
  </cols>
  <sheetData>
    <row r="1" customFormat="false" ht="20.25" hidden="false" customHeight="false" outlineLevel="0" collapsed="false">
      <c r="A1" s="358" t="str">
        <f aca="false">'Project Assumptions'!$A$2</f>
        <v>WILTON CENTER, Will County, IL</v>
      </c>
      <c r="B1" s="359"/>
      <c r="C1" s="860"/>
      <c r="D1" s="861"/>
      <c r="E1" s="862"/>
      <c r="F1" s="863"/>
      <c r="G1" s="863"/>
      <c r="H1" s="863"/>
      <c r="I1" s="862"/>
    </row>
    <row r="2" customFormat="false" ht="12.75" hidden="false" customHeight="false" outlineLevel="0" collapsed="false">
      <c r="A2" s="362" t="s">
        <v>658</v>
      </c>
      <c r="B2" s="864"/>
      <c r="C2" s="864"/>
      <c r="D2" s="865"/>
      <c r="E2" s="862"/>
      <c r="F2" s="863"/>
      <c r="G2" s="863"/>
      <c r="H2" s="863"/>
      <c r="I2" s="862"/>
    </row>
    <row r="3" customFormat="false" ht="12.75" hidden="false" customHeight="false" outlineLevel="0" collapsed="false">
      <c r="A3" s="383"/>
      <c r="B3" s="866"/>
      <c r="C3" s="862"/>
      <c r="D3" s="862"/>
      <c r="E3" s="862"/>
      <c r="F3" s="863"/>
      <c r="G3" s="863"/>
      <c r="H3" s="863"/>
      <c r="I3" s="862"/>
    </row>
    <row r="4" customFormat="false" ht="11.45" hidden="false" customHeight="true" outlineLevel="0" collapsed="false">
      <c r="A4" s="867" t="s">
        <v>659</v>
      </c>
      <c r="B4" s="862"/>
      <c r="C4" s="862"/>
      <c r="D4" s="862"/>
      <c r="E4" s="862"/>
      <c r="F4" s="863"/>
      <c r="G4" s="863"/>
      <c r="H4" s="863"/>
      <c r="I4" s="862"/>
    </row>
    <row r="5" customFormat="false" ht="11.45" hidden="false" customHeight="true" outlineLevel="0" collapsed="false">
      <c r="C5" s="868"/>
      <c r="D5" s="868"/>
      <c r="E5" s="868"/>
      <c r="F5" s="863"/>
      <c r="G5" s="863"/>
      <c r="H5" s="862"/>
      <c r="I5" s="869"/>
    </row>
    <row r="6" customFormat="false" ht="11.45" hidden="false" customHeight="true" outlineLevel="0" collapsed="false">
      <c r="A6" s="870" t="s">
        <v>660</v>
      </c>
      <c r="B6" s="871"/>
      <c r="C6" s="872" t="n">
        <v>213856</v>
      </c>
      <c r="D6" s="873" t="str">
        <f aca="false">IF(ABS(C6-C58)&gt;1,"Check Draw Total","")</f>
        <v/>
      </c>
      <c r="E6" s="862"/>
      <c r="H6" s="869"/>
      <c r="I6" s="869"/>
    </row>
    <row r="7" customFormat="false" ht="11.45" hidden="false" customHeight="true" outlineLevel="0" collapsed="false">
      <c r="A7" s="874" t="s">
        <v>661</v>
      </c>
      <c r="B7" s="875"/>
      <c r="C7" s="876" t="n">
        <f aca="false">'Project Assumptions'!B52</f>
        <v>0.064</v>
      </c>
      <c r="D7" s="877"/>
      <c r="H7" s="875"/>
      <c r="I7" s="878"/>
    </row>
    <row r="8" customFormat="false" ht="11.45" hidden="false" customHeight="true" outlineLevel="0" collapsed="false">
      <c r="A8" s="874" t="s">
        <v>662</v>
      </c>
      <c r="B8" s="875"/>
      <c r="C8" s="879" t="n">
        <v>18</v>
      </c>
      <c r="D8" s="880"/>
      <c r="G8" s="881"/>
      <c r="H8" s="878"/>
      <c r="I8" s="878"/>
    </row>
    <row r="9" customFormat="false" ht="11.25" hidden="false" customHeight="false" outlineLevel="0" collapsed="false">
      <c r="A9" s="874" t="s">
        <v>663</v>
      </c>
      <c r="B9" s="875"/>
      <c r="C9" s="876" t="n">
        <f aca="false">C7/12</f>
        <v>0.00533333333333333</v>
      </c>
      <c r="D9" s="877"/>
      <c r="G9" s="881"/>
      <c r="H9" s="878"/>
      <c r="I9" s="878"/>
    </row>
    <row r="10" customFormat="false" ht="11.45" hidden="false" customHeight="true" outlineLevel="0" collapsed="false">
      <c r="A10" s="882"/>
      <c r="B10" s="875"/>
      <c r="C10" s="883"/>
      <c r="D10" s="875"/>
      <c r="H10" s="878"/>
      <c r="I10" s="878"/>
    </row>
    <row r="11" customFormat="false" ht="11.45" hidden="false" customHeight="true" outlineLevel="0" collapsed="false">
      <c r="A11" s="874" t="s">
        <v>664</v>
      </c>
      <c r="B11" s="875"/>
      <c r="C11" s="884" t="n">
        <v>0.0035</v>
      </c>
      <c r="D11" s="877"/>
      <c r="H11" s="885"/>
      <c r="I11" s="885"/>
    </row>
    <row r="12" customFormat="false" ht="11.45" hidden="false" customHeight="true" outlineLevel="0" collapsed="false">
      <c r="A12" s="882"/>
      <c r="B12" s="875"/>
      <c r="C12" s="883"/>
      <c r="D12" s="875"/>
    </row>
    <row r="13" customFormat="false" ht="11.45" hidden="false" customHeight="true" outlineLevel="0" collapsed="false">
      <c r="A13" s="874" t="s">
        <v>665</v>
      </c>
      <c r="B13" s="875"/>
      <c r="C13" s="886" t="n">
        <v>1</v>
      </c>
      <c r="D13" s="887"/>
      <c r="F13" s="888"/>
    </row>
    <row r="14" customFormat="false" ht="11.45" hidden="false" customHeight="true" outlineLevel="0" collapsed="false">
      <c r="A14" s="889" t="s">
        <v>666</v>
      </c>
      <c r="B14" s="890"/>
      <c r="C14" s="891"/>
      <c r="D14" s="867"/>
      <c r="G14" s="881"/>
      <c r="H14" s="881"/>
      <c r="I14" s="881"/>
    </row>
    <row r="15" customFormat="false" ht="11.45" hidden="false" customHeight="true" outlineLevel="0" collapsed="false">
      <c r="A15" s="892" t="s">
        <v>667</v>
      </c>
      <c r="B15" s="890"/>
      <c r="C15" s="893" t="n">
        <f aca="false">VLOOKUP(C8,A21:F57,6)</f>
        <v>12268.6337050626</v>
      </c>
      <c r="D15" s="894"/>
      <c r="G15" s="881"/>
      <c r="H15" s="881"/>
      <c r="I15" s="881"/>
    </row>
    <row r="16" customFormat="false" ht="11.45" hidden="false" customHeight="true" outlineLevel="0" collapsed="false">
      <c r="A16" s="867"/>
      <c r="B16" s="875"/>
      <c r="C16" s="894"/>
      <c r="D16" s="894"/>
      <c r="F16" s="895"/>
      <c r="G16" s="895"/>
      <c r="H16" s="895"/>
      <c r="I16" s="895"/>
      <c r="J16" s="895"/>
      <c r="K16" s="895"/>
      <c r="L16" s="895"/>
      <c r="M16" s="895"/>
      <c r="N16" s="895"/>
      <c r="O16" s="895"/>
      <c r="P16" s="895"/>
      <c r="Q16" s="895"/>
      <c r="R16" s="895"/>
      <c r="S16" s="895"/>
      <c r="T16" s="895"/>
      <c r="U16" s="895"/>
      <c r="V16" s="895"/>
      <c r="W16" s="895"/>
      <c r="X16" s="895"/>
      <c r="Y16" s="895"/>
      <c r="Z16" s="895"/>
      <c r="AA16" s="895"/>
      <c r="AB16" s="895"/>
      <c r="AC16" s="895"/>
      <c r="AD16" s="895"/>
      <c r="AE16" s="895"/>
      <c r="AF16" s="895"/>
    </row>
    <row r="17" customFormat="false" ht="11.45" hidden="false" customHeight="true" outlineLevel="0" collapsed="false">
      <c r="A17" s="867"/>
      <c r="B17" s="875"/>
      <c r="C17" s="894"/>
      <c r="D17" s="894"/>
      <c r="G17" s="881"/>
      <c r="H17" s="357"/>
      <c r="I17" s="357"/>
    </row>
    <row r="18" customFormat="false" ht="22.5" hidden="false" customHeight="true" outlineLevel="0" collapsed="false">
      <c r="A18" s="896" t="s">
        <v>668</v>
      </c>
      <c r="B18" s="896" t="s">
        <v>669</v>
      </c>
      <c r="C18" s="896" t="s">
        <v>278</v>
      </c>
      <c r="D18" s="896" t="s">
        <v>670</v>
      </c>
      <c r="E18" s="896" t="s">
        <v>671</v>
      </c>
      <c r="F18" s="897" t="s">
        <v>672</v>
      </c>
      <c r="G18" s="881"/>
      <c r="H18" s="357"/>
      <c r="I18" s="357"/>
    </row>
    <row r="19" customFormat="false" ht="11.45" hidden="false" customHeight="true" outlineLevel="0" collapsed="false">
      <c r="A19" s="898"/>
      <c r="B19" s="899"/>
      <c r="C19" s="898"/>
      <c r="D19" s="898"/>
      <c r="E19" s="899"/>
      <c r="F19" s="900"/>
      <c r="G19" s="881"/>
      <c r="H19" s="357"/>
      <c r="I19" s="357"/>
    </row>
    <row r="20" customFormat="false" ht="12.75" hidden="false" customHeight="false" outlineLevel="0" collapsed="false">
      <c r="A20" s="898"/>
      <c r="B20" s="899"/>
      <c r="C20" s="898"/>
      <c r="D20" s="898"/>
      <c r="E20" s="901"/>
      <c r="F20" s="902"/>
      <c r="H20" s="357"/>
      <c r="I20" s="357"/>
    </row>
    <row r="21" customFormat="false" ht="11.45" hidden="false" customHeight="true" outlineLevel="0" collapsed="false">
      <c r="A21" s="903" t="n">
        <v>0</v>
      </c>
      <c r="B21" s="904" t="n">
        <f aca="false">C21/$C$6</f>
        <v>0.0317970971120754</v>
      </c>
      <c r="C21" s="905" t="n">
        <v>6800</v>
      </c>
      <c r="D21" s="906" t="n">
        <f aca="false">D20+C21+E20</f>
        <v>6800</v>
      </c>
      <c r="E21" s="905" t="n">
        <v>340</v>
      </c>
      <c r="F21" s="907" t="n">
        <f aca="false">IF(A21&lt;=$C$8,E21+F20,F20)</f>
        <v>340</v>
      </c>
      <c r="H21" s="357"/>
      <c r="I21" s="357"/>
    </row>
    <row r="22" customFormat="false" ht="11.45" hidden="false" customHeight="true" outlineLevel="0" collapsed="false">
      <c r="A22" s="903" t="n">
        <v>1</v>
      </c>
      <c r="B22" s="904" t="n">
        <f aca="false">C22/$C$6</f>
        <v>0.00584505461619033</v>
      </c>
      <c r="C22" s="905" t="n">
        <v>1250</v>
      </c>
      <c r="D22" s="906" t="n">
        <f aca="false">D21+C22+E21</f>
        <v>8390</v>
      </c>
      <c r="E22" s="905" t="n">
        <v>46.41</v>
      </c>
      <c r="F22" s="907" t="n">
        <f aca="false">IF(A22&lt;=$C$8,E22+F21,F21)</f>
        <v>386.41</v>
      </c>
      <c r="H22" s="357"/>
      <c r="I22" s="357"/>
    </row>
    <row r="23" customFormat="false" ht="11.45" hidden="false" customHeight="true" outlineLevel="0" collapsed="false">
      <c r="A23" s="903" t="n">
        <f aca="false">A22+1</f>
        <v>2</v>
      </c>
      <c r="B23" s="904" t="n">
        <f aca="false">C23/$C$6</f>
        <v>0.153770761633997</v>
      </c>
      <c r="C23" s="905" t="n">
        <v>32884.8</v>
      </c>
      <c r="D23" s="906" t="n">
        <f aca="false">D22+C23+E22</f>
        <v>41321.21</v>
      </c>
      <c r="E23" s="905" t="n">
        <v>139.384</v>
      </c>
      <c r="F23" s="907" t="n">
        <f aca="false">IF(A23&lt;=$C$8,E23+F22,F22)</f>
        <v>525.794</v>
      </c>
      <c r="H23" s="357"/>
      <c r="I23" s="357"/>
    </row>
    <row r="24" customFormat="false" ht="11.45" hidden="false" customHeight="true" outlineLevel="0" collapsed="false">
      <c r="A24" s="903" t="n">
        <f aca="false">A23+1</f>
        <v>3</v>
      </c>
      <c r="B24" s="904" t="n">
        <f aca="false">C24/$C$6</f>
        <v>9.35208738590454E-005</v>
      </c>
      <c r="C24" s="905" t="n">
        <v>20</v>
      </c>
      <c r="D24" s="906" t="n">
        <f aca="false">D23+C24+E23</f>
        <v>41480.594</v>
      </c>
      <c r="E24" s="908" t="n">
        <f aca="false">IF(A24&gt;$C$8,0,((D23+(C24/2))*$C$9)+(($C$6-SUM($C$20:C24))*($C$11/12)))</f>
        <v>270.862636666667</v>
      </c>
      <c r="F24" s="907" t="n">
        <f aca="false">IF(A24&lt;=$C$8,E24+F23,F23)</f>
        <v>796.656636666667</v>
      </c>
      <c r="H24" s="357"/>
      <c r="I24" s="357"/>
    </row>
    <row r="25" customFormat="false" ht="11.45" hidden="false" customHeight="true" outlineLevel="0" collapsed="false">
      <c r="A25" s="903" t="n">
        <f aca="false">A24+1</f>
        <v>4</v>
      </c>
      <c r="B25" s="904" t="n">
        <f aca="false">C25/$C$6</f>
        <v>0.00676324723178213</v>
      </c>
      <c r="C25" s="905" t="n">
        <v>1446.361</v>
      </c>
      <c r="D25" s="906" t="n">
        <f aca="false">D24+C25+E24</f>
        <v>43197.8176366667</v>
      </c>
      <c r="E25" s="908" t="n">
        <f aca="false">IF(A25&gt;$C$8,0,((D24+(C25/2))*$C$9)+(($C$6-SUM($C$20:C25))*($C$11/12)))</f>
        <v>275.094458708333</v>
      </c>
      <c r="F25" s="907" t="n">
        <f aca="false">IF(A25&lt;=$C$8,E25+F24,F24)</f>
        <v>1071.751095375</v>
      </c>
      <c r="H25" s="357"/>
      <c r="I25" s="357"/>
    </row>
    <row r="26" customFormat="false" ht="11.45" hidden="false" customHeight="true" outlineLevel="0" collapsed="false">
      <c r="A26" s="903" t="n">
        <f aca="false">A25+1</f>
        <v>5</v>
      </c>
      <c r="B26" s="904" t="n">
        <f aca="false">C26/$C$6</f>
        <v>0.144580451331737</v>
      </c>
      <c r="C26" s="905" t="n">
        <v>30919.397</v>
      </c>
      <c r="D26" s="906" t="n">
        <f aca="false">D25+C26+E25</f>
        <v>74392.309095375</v>
      </c>
      <c r="E26" s="908" t="n">
        <f aca="false">IF(A26&gt;$C$8,0,((D25+(C26/2))*$C$9)+(($C$6-SUM($C$20:C26))*($C$11/12)))</f>
        <v>353.829589978889</v>
      </c>
      <c r="F26" s="907" t="n">
        <f aca="false">IF(A26&lt;=$C$8,E26+F25,F25)</f>
        <v>1425.58068535389</v>
      </c>
      <c r="H26" s="357"/>
      <c r="I26" s="357"/>
    </row>
    <row r="27" customFormat="false" ht="11.45" hidden="false" customHeight="true" outlineLevel="0" collapsed="false">
      <c r="A27" s="903" t="n">
        <f aca="false">A26+1</f>
        <v>6</v>
      </c>
      <c r="B27" s="904" t="n">
        <f aca="false">C27/$C$6</f>
        <v>0.0469687406479126</v>
      </c>
      <c r="C27" s="905" t="n">
        <v>10044.547</v>
      </c>
      <c r="D27" s="906" t="n">
        <f aca="false">D26+C27+E26</f>
        <v>84790.6856853539</v>
      </c>
      <c r="E27" s="908" t="n">
        <f aca="false">IF(A27&gt;$C$8,0,((D26+(C27/2))*$C$9)+(($C$6-SUM($C$20:C27))*($C$11/12)))</f>
        <v>461.604284883667</v>
      </c>
      <c r="F27" s="907" t="n">
        <f aca="false">IF(A27&lt;=$C$8,E27+F26,F26)</f>
        <v>1887.18497023756</v>
      </c>
      <c r="H27" s="357"/>
      <c r="I27" s="357"/>
    </row>
    <row r="28" customFormat="false" ht="11.45" hidden="false" customHeight="true" outlineLevel="0" collapsed="false">
      <c r="A28" s="903" t="n">
        <f aca="false">A27+1</f>
        <v>7</v>
      </c>
      <c r="B28" s="904" t="n">
        <f aca="false">C28/$C$6</f>
        <v>0.0457880396154422</v>
      </c>
      <c r="C28" s="905" t="n">
        <v>9792.047</v>
      </c>
      <c r="D28" s="906" t="n">
        <f aca="false">D27+C28+E27</f>
        <v>95044.3369702376</v>
      </c>
      <c r="E28" s="908" t="n">
        <f aca="false">IF(A28&gt;$C$8,0,((D27+(C28/2))*$C$9)+(($C$6-SUM($C$20:C28))*($C$11/12)))</f>
        <v>513.532946321888</v>
      </c>
      <c r="F28" s="907" t="n">
        <f aca="false">IF(A28&lt;=$C$8,E28+F27,F27)</f>
        <v>2400.71791655944</v>
      </c>
      <c r="H28" s="357"/>
      <c r="I28" s="357"/>
    </row>
    <row r="29" customFormat="false" ht="11.45" hidden="false" customHeight="true" outlineLevel="0" collapsed="false">
      <c r="A29" s="903" t="n">
        <f aca="false">A28+1</f>
        <v>8</v>
      </c>
      <c r="B29" s="904" t="n">
        <f aca="false">C29/$C$6</f>
        <v>0.0732254928550052</v>
      </c>
      <c r="C29" s="905" t="n">
        <v>15659.711</v>
      </c>
      <c r="D29" s="906" t="n">
        <f aca="false">D28+C29+E28</f>
        <v>111217.580916559</v>
      </c>
      <c r="E29" s="908" t="n">
        <f aca="false">IF(A29&gt;$C$8,0,((D28+(C29/2))*$C$9)+(($C$6-SUM($C$20:C29))*($C$11/12)))</f>
        <v>579.2987747996</v>
      </c>
      <c r="F29" s="907" t="n">
        <f aca="false">IF(A29&lt;=$C$8,E29+F28,F28)</f>
        <v>2980.01669135904</v>
      </c>
      <c r="H29" s="357"/>
      <c r="I29" s="357"/>
    </row>
    <row r="30" customFormat="false" ht="11.45" hidden="false" customHeight="true" outlineLevel="0" collapsed="false">
      <c r="A30" s="903" t="n">
        <f aca="false">A29+1</f>
        <v>9</v>
      </c>
      <c r="B30" s="904" t="n">
        <f aca="false">C30/$C$6</f>
        <v>0.0565291878647314</v>
      </c>
      <c r="C30" s="905" t="n">
        <v>12089.106</v>
      </c>
      <c r="D30" s="906" t="n">
        <f aca="false">D29+C30+E29</f>
        <v>123885.985691359</v>
      </c>
      <c r="E30" s="908" t="n">
        <f aca="false">IF(A30&gt;$C$8,0,((D29+(C30/2))*$C$9)+(($C$6-SUM($C$20:C30))*($C$11/12)))</f>
        <v>652.508473263317</v>
      </c>
      <c r="F30" s="907" t="n">
        <f aca="false">IF(A30&lt;=$C$8,E30+F29,F29)</f>
        <v>3632.52516462236</v>
      </c>
      <c r="H30" s="357"/>
      <c r="I30" s="357"/>
    </row>
    <row r="31" customFormat="false" ht="11.45" hidden="false" customHeight="true" outlineLevel="0" collapsed="false">
      <c r="A31" s="903" t="n">
        <f aca="false">A30+1</f>
        <v>10</v>
      </c>
      <c r="B31" s="904" t="n">
        <f aca="false">C31/$C$6</f>
        <v>0.0500552614843633</v>
      </c>
      <c r="C31" s="905" t="n">
        <v>10704.618</v>
      </c>
      <c r="D31" s="906" t="n">
        <f aca="false">D30+C31+E30</f>
        <v>135243.112164622</v>
      </c>
      <c r="E31" s="908" t="n">
        <f aca="false">IF(A31&gt;$C$8,0,((D30+(C31/2))*$C$9)+(($C$6-SUM($C$20:C31))*($C$11/12)))</f>
        <v>713.259150478915</v>
      </c>
      <c r="F31" s="907" t="n">
        <f aca="false">IF(A31&lt;=$C$8,E31+F30,F30)</f>
        <v>4345.78431510128</v>
      </c>
      <c r="H31" s="357"/>
      <c r="I31" s="357"/>
    </row>
    <row r="32" customFormat="false" ht="11.45" hidden="false" customHeight="true" outlineLevel="0" collapsed="false">
      <c r="A32" s="903" t="n">
        <f aca="false">A31+1</f>
        <v>11</v>
      </c>
      <c r="B32" s="904" t="n">
        <f aca="false">C32/$C$6</f>
        <v>0.0718902672826575</v>
      </c>
      <c r="C32" s="905" t="n">
        <v>15374.165</v>
      </c>
      <c r="D32" s="906" t="n">
        <f aca="false">D31+C32+E31</f>
        <v>151330.536315101</v>
      </c>
      <c r="E32" s="908" t="n">
        <f aca="false">IF(A32&gt;$C$8,0,((D31+(C32/2))*$C$9)+(($C$6-SUM($C$20:C32))*($C$11/12)))</f>
        <v>781.798485544653</v>
      </c>
      <c r="F32" s="907" t="n">
        <f aca="false">IF(A32&lt;=$C$8,E32+F31,F31)</f>
        <v>5127.58280064593</v>
      </c>
      <c r="H32" s="357"/>
      <c r="I32" s="357"/>
    </row>
    <row r="33" customFormat="false" ht="11.45" hidden="false" customHeight="true" outlineLevel="0" collapsed="false">
      <c r="A33" s="903" t="n">
        <f aca="false">A32+1</f>
        <v>12</v>
      </c>
      <c r="B33" s="904" t="n">
        <f aca="false">C33/$C$6</f>
        <v>0.0798062247493641</v>
      </c>
      <c r="C33" s="905" t="n">
        <v>17067.04</v>
      </c>
      <c r="D33" s="906" t="n">
        <f aca="false">D32+C33+E32</f>
        <v>169179.374800646</v>
      </c>
      <c r="E33" s="908" t="n">
        <f aca="false">IF(A33&gt;$C$8,0,((D32+(C33/2))*$C$9)+(($C$6-SUM($C$20:C33))*($C$11/12)))</f>
        <v>867.13452768054</v>
      </c>
      <c r="F33" s="907" t="n">
        <f aca="false">IF(A33&lt;=$C$8,E33+F32,F32)</f>
        <v>5994.71732832647</v>
      </c>
      <c r="H33" s="357"/>
      <c r="I33" s="357"/>
    </row>
    <row r="34" customFormat="false" ht="11.45" hidden="false" customHeight="true" outlineLevel="0" collapsed="false">
      <c r="A34" s="903" t="n">
        <f aca="false">A33+1</f>
        <v>13</v>
      </c>
      <c r="B34" s="904" t="n">
        <f aca="false">C34/$C$6</f>
        <v>0.0355382360092773</v>
      </c>
      <c r="C34" s="905" t="n">
        <v>7600.065</v>
      </c>
      <c r="D34" s="906" t="n">
        <f aca="false">D33+C34+E33</f>
        <v>177646.574328327</v>
      </c>
      <c r="E34" s="908" t="n">
        <f aca="false">IF(A34&gt;$C$8,0,((D33+(C34/2))*$C$9)+(($C$6-SUM($C$20:C34))*($C$11/12)))</f>
        <v>934.866380645112</v>
      </c>
      <c r="F34" s="907" t="n">
        <f aca="false">IF(A34&lt;=$C$8,E34+F33,F33)</f>
        <v>6929.58370897158</v>
      </c>
      <c r="H34" s="357"/>
      <c r="I34" s="357"/>
    </row>
    <row r="35" customFormat="false" ht="11.45" hidden="false" customHeight="true" outlineLevel="0" collapsed="false">
      <c r="A35" s="903" t="n">
        <f aca="false">A34+1</f>
        <v>14</v>
      </c>
      <c r="B35" s="904" t="n">
        <f aca="false">C35/$C$6</f>
        <v>0.0296931813930869</v>
      </c>
      <c r="C35" s="905" t="n">
        <v>6350.065</v>
      </c>
      <c r="D35" s="906" t="n">
        <f aca="false">D34+C35+E34</f>
        <v>184931.505708972</v>
      </c>
      <c r="E35" s="908" t="n">
        <f aca="false">IF(A35&gt;$C$8,0,((D34+(C35/2))*$C$9)+(($C$6-SUM($C$20:C35))*($C$11/12)))</f>
        <v>974.839342501075</v>
      </c>
      <c r="F35" s="907" t="n">
        <f aca="false">IF(A35&lt;=$C$8,E35+F34,F34)</f>
        <v>7904.42305147266</v>
      </c>
      <c r="H35" s="357"/>
      <c r="I35" s="357"/>
    </row>
    <row r="36" customFormat="false" ht="11.45" hidden="false" customHeight="true" outlineLevel="0" collapsed="false">
      <c r="A36" s="903" t="n">
        <f aca="false">A35+1</f>
        <v>15</v>
      </c>
      <c r="B36" s="904" t="n">
        <f aca="false">C36/$C$6</f>
        <v>0.0464567980323208</v>
      </c>
      <c r="C36" s="905" t="n">
        <v>9935.065</v>
      </c>
      <c r="D36" s="906" t="n">
        <f aca="false">D35+C36+E35</f>
        <v>195841.410051473</v>
      </c>
      <c r="E36" s="908" t="n">
        <f aca="false">IF(A36&gt;$C$8,0,((D35+(C36/2))*$C$9)+(($C$6-SUM($C$20:C36))*($C$11/12)))</f>
        <v>1020.35458257285</v>
      </c>
      <c r="F36" s="907" t="n">
        <f aca="false">IF(A36&lt;=$C$8,E36+F35,F35)</f>
        <v>8924.7776340455</v>
      </c>
      <c r="H36" s="357"/>
      <c r="I36" s="357"/>
    </row>
    <row r="37" customFormat="false" ht="11.45" hidden="false" customHeight="true" outlineLevel="0" collapsed="false">
      <c r="A37" s="903" t="n">
        <f aca="false">A36+1</f>
        <v>16</v>
      </c>
      <c r="B37" s="904" t="n">
        <f aca="false">C37/$C$6</f>
        <v>0.0366137260586563</v>
      </c>
      <c r="C37" s="905" t="n">
        <v>7830.065</v>
      </c>
      <c r="D37" s="906" t="n">
        <f aca="false">D36+C37+E36</f>
        <v>204691.829634046</v>
      </c>
      <c r="E37" s="908" t="n">
        <f aca="false">IF(A37&gt;$C$8,0,((D36+(C37/2))*$C$9)+(($C$6-SUM($C$20:C37))*($C$11/12)))</f>
        <v>1070.64363677452</v>
      </c>
      <c r="F37" s="907" t="n">
        <f aca="false">IF(A37&lt;=$C$8,E37+F36,F36)</f>
        <v>9995.42127082003</v>
      </c>
      <c r="H37" s="357"/>
      <c r="I37" s="357"/>
    </row>
    <row r="38" customFormat="false" ht="11.45" hidden="false" customHeight="true" outlineLevel="0" collapsed="false">
      <c r="A38" s="903" t="n">
        <f aca="false">A37+1</f>
        <v>17</v>
      </c>
      <c r="B38" s="904" t="n">
        <f aca="false">C38/$C$6</f>
        <v>0.028390823731857</v>
      </c>
      <c r="C38" s="905" t="n">
        <v>6071.548</v>
      </c>
      <c r="D38" s="906" t="n">
        <f aca="false">D37+C38+E37</f>
        <v>211834.02127082</v>
      </c>
      <c r="E38" s="908" t="n">
        <f aca="false">IF(A38&gt;$C$8,0,((D37+(C38/2))*$C$9)+(($C$6-SUM($C$20:C38))*($C$11/12)))</f>
        <v>1111.38562771491</v>
      </c>
      <c r="F38" s="907" t="n">
        <f aca="false">IF(A38&lt;=$C$8,E38+F37,F37)</f>
        <v>11106.8068985349</v>
      </c>
      <c r="H38" s="357"/>
      <c r="I38" s="357"/>
    </row>
    <row r="39" customFormat="false" ht="11.45" hidden="false" customHeight="true" outlineLevel="0" collapsed="false">
      <c r="A39" s="903" t="n">
        <f aca="false">A38+1</f>
        <v>18</v>
      </c>
      <c r="B39" s="904" t="n">
        <f aca="false">C39/$C$6</f>
        <v>0.0561918393685471</v>
      </c>
      <c r="C39" s="905" t="n">
        <v>12016.962</v>
      </c>
      <c r="D39" s="906" t="n">
        <f aca="false">D38+C39+E38</f>
        <v>224962.368898535</v>
      </c>
      <c r="E39" s="908" t="n">
        <f aca="false">IF(A39&gt;$C$8,0,((D38+(C39/2))*$C$9)+(($C$6-SUM($C$20:C39))*($C$11/12)))</f>
        <v>1161.82680652771</v>
      </c>
      <c r="F39" s="907" t="n">
        <f aca="false">IF(A39&lt;=$C$8,E39+F38,F38)</f>
        <v>12268.6337050626</v>
      </c>
      <c r="H39" s="357"/>
      <c r="I39" s="357"/>
    </row>
    <row r="40" customFormat="false" ht="11.45" hidden="false" customHeight="true" outlineLevel="0" collapsed="false">
      <c r="A40" s="903" t="n">
        <f aca="false">A39+1</f>
        <v>19</v>
      </c>
      <c r="B40" s="904" t="n">
        <f aca="false">C40/$C$6</f>
        <v>0</v>
      </c>
      <c r="C40" s="905" t="n">
        <v>0</v>
      </c>
      <c r="D40" s="906" t="n">
        <f aca="false">D39+C40+E39</f>
        <v>226124.195705063</v>
      </c>
      <c r="E40" s="908" t="n">
        <f aca="false">IF(A40&gt;$C$8,0,((D39+(C40/2))*$C$9)+(($C$6-SUM($C$20:C40))*($C$11/12)))</f>
        <v>0</v>
      </c>
      <c r="F40" s="907" t="n">
        <f aca="false">IF(A40&lt;=$C$8,E40+F39,F39)</f>
        <v>12268.6337050626</v>
      </c>
      <c r="H40" s="357"/>
      <c r="I40" s="357"/>
    </row>
    <row r="41" customFormat="false" ht="11.45" hidden="false" customHeight="true" outlineLevel="0" collapsed="false">
      <c r="A41" s="903" t="n">
        <f aca="false">A40+1</f>
        <v>20</v>
      </c>
      <c r="B41" s="904" t="n">
        <f aca="false">C41/$C$6</f>
        <v>0</v>
      </c>
      <c r="C41" s="905" t="n">
        <v>0</v>
      </c>
      <c r="D41" s="906" t="n">
        <f aca="false">D40+C41+E40</f>
        <v>226124.195705063</v>
      </c>
      <c r="E41" s="908" t="n">
        <f aca="false">IF(A41&gt;$C$8,0,((D40+(C41/2))*$C$9)+(($C$6-SUM($C$20:C41))*($C$11/12)))</f>
        <v>0</v>
      </c>
      <c r="F41" s="907" t="n">
        <f aca="false">IF(A41&lt;=$C$8,E41+F40,F40)</f>
        <v>12268.6337050626</v>
      </c>
      <c r="H41" s="357"/>
      <c r="I41" s="357"/>
    </row>
    <row r="42" customFormat="false" ht="11.45" hidden="false" customHeight="true" outlineLevel="0" collapsed="false">
      <c r="A42" s="903" t="n">
        <f aca="false">A41+1</f>
        <v>21</v>
      </c>
      <c r="B42" s="904" t="n">
        <f aca="false">C42/$C$6</f>
        <v>0</v>
      </c>
      <c r="C42" s="905" t="n">
        <v>0</v>
      </c>
      <c r="D42" s="906" t="n">
        <f aca="false">D41+C42+E41</f>
        <v>226124.195705063</v>
      </c>
      <c r="E42" s="908" t="n">
        <f aca="false">IF(A42&gt;$C$8,0,((D41+(C42/2))*$C$9)+(($C$6-SUM($C$20:C42))*($C$11/12)))</f>
        <v>0</v>
      </c>
      <c r="F42" s="907" t="n">
        <f aca="false">IF(A42&lt;=$C$8,E42+F41,F41)</f>
        <v>12268.6337050626</v>
      </c>
      <c r="H42" s="357"/>
      <c r="I42" s="357"/>
    </row>
    <row r="43" customFormat="false" ht="11.45" hidden="false" customHeight="true" outlineLevel="0" collapsed="false">
      <c r="A43" s="903" t="n">
        <f aca="false">A42+1</f>
        <v>22</v>
      </c>
      <c r="B43" s="904" t="n">
        <f aca="false">C43/$C$6</f>
        <v>0</v>
      </c>
      <c r="C43" s="905" t="n">
        <v>0</v>
      </c>
      <c r="D43" s="906" t="n">
        <f aca="false">D42+C43+E42</f>
        <v>226124.195705063</v>
      </c>
      <c r="E43" s="908" t="n">
        <f aca="false">IF(A43&gt;$C$8,0,((D42+(C43/2))*$C$9)+(($C$6-SUM($C$20:C43))*($C$11/12)))</f>
        <v>0</v>
      </c>
      <c r="F43" s="907" t="n">
        <f aca="false">IF(A43&lt;=$C$8,E43+F42,F42)</f>
        <v>12268.6337050626</v>
      </c>
      <c r="G43" s="357"/>
      <c r="H43" s="357"/>
      <c r="I43" s="357"/>
    </row>
    <row r="44" customFormat="false" ht="11.45" hidden="false" customHeight="true" outlineLevel="0" collapsed="false">
      <c r="A44" s="903" t="n">
        <f aca="false">A43+1</f>
        <v>23</v>
      </c>
      <c r="B44" s="904" t="n">
        <f aca="false">C44/$C$6</f>
        <v>0</v>
      </c>
      <c r="C44" s="905" t="n">
        <v>0</v>
      </c>
      <c r="D44" s="906" t="n">
        <f aca="false">D43+C44+E43</f>
        <v>226124.195705063</v>
      </c>
      <c r="E44" s="908" t="n">
        <f aca="false">IF(A44&gt;$C$8,0,((D43+(C44/2))*$C$9)+(($C$6-SUM($C$20:C44))*($C$11/12)))</f>
        <v>0</v>
      </c>
      <c r="F44" s="907" t="n">
        <f aca="false">IF(A44&lt;=$C$8,E44+F43,F43)</f>
        <v>12268.6337050626</v>
      </c>
      <c r="G44" s="357"/>
      <c r="H44" s="357"/>
      <c r="I44" s="357"/>
    </row>
    <row r="45" customFormat="false" ht="11.45" hidden="false" customHeight="true" outlineLevel="0" collapsed="false">
      <c r="A45" s="903" t="n">
        <f aca="false">A44+1</f>
        <v>24</v>
      </c>
      <c r="B45" s="904" t="n">
        <f aca="false">C45/$C$6</f>
        <v>0</v>
      </c>
      <c r="C45" s="905" t="n">
        <v>0</v>
      </c>
      <c r="D45" s="906" t="n">
        <f aca="false">D44+C45+E44</f>
        <v>226124.195705063</v>
      </c>
      <c r="E45" s="908" t="n">
        <f aca="false">IF(A45&gt;$C$8,0,((D44+(C45/2))*$C$9)+(($C$6-SUM($C$20:C45))*($C$11/12)))</f>
        <v>0</v>
      </c>
      <c r="F45" s="907" t="n">
        <f aca="false">IF(A45&lt;=$C$8,E45+F44,F44)</f>
        <v>12268.6337050626</v>
      </c>
      <c r="G45" s="357"/>
      <c r="H45" s="357"/>
      <c r="I45" s="357"/>
    </row>
    <row r="46" customFormat="false" ht="11.45" hidden="false" customHeight="true" outlineLevel="0" collapsed="false">
      <c r="A46" s="903" t="n">
        <f aca="false">A45+1</f>
        <v>25</v>
      </c>
      <c r="B46" s="904" t="n">
        <f aca="false">C46/$C$6</f>
        <v>0</v>
      </c>
      <c r="C46" s="905" t="n">
        <v>0</v>
      </c>
      <c r="D46" s="906" t="n">
        <f aca="false">D45+C46+E45</f>
        <v>226124.195705063</v>
      </c>
      <c r="E46" s="908" t="n">
        <f aca="false">IF(A46&gt;$C$8,0,((D45+(C46/2))*$C$9)+(($C$6-SUM($C$20:C46))*($C$11/12)))</f>
        <v>0</v>
      </c>
      <c r="F46" s="907" t="n">
        <f aca="false">IF(A46&lt;=$C$8,E46+F45,F45)</f>
        <v>12268.6337050626</v>
      </c>
      <c r="G46" s="357"/>
      <c r="H46" s="357"/>
      <c r="I46" s="357"/>
    </row>
    <row r="47" customFormat="false" ht="11.45" hidden="false" customHeight="true" outlineLevel="0" collapsed="false">
      <c r="A47" s="903" t="n">
        <f aca="false">A46+1</f>
        <v>26</v>
      </c>
      <c r="B47" s="904" t="n">
        <f aca="false">C47/$C$6</f>
        <v>0</v>
      </c>
      <c r="C47" s="905" t="n">
        <v>0</v>
      </c>
      <c r="D47" s="906" t="n">
        <f aca="false">D46+C47+E46</f>
        <v>226124.195705063</v>
      </c>
      <c r="E47" s="908" t="n">
        <f aca="false">IF(A47&gt;$C$8,0,((D46+(C47/2))*$C$9)+(($C$6-SUM($C$20:C47))*($C$11/12)))</f>
        <v>0</v>
      </c>
      <c r="F47" s="907" t="n">
        <f aca="false">IF(A47&lt;=$C$8,E47+F46,F46)</f>
        <v>12268.6337050626</v>
      </c>
      <c r="G47" s="357"/>
      <c r="H47" s="357"/>
      <c r="I47" s="357"/>
    </row>
    <row r="48" customFormat="false" ht="11.45" hidden="false" customHeight="true" outlineLevel="0" collapsed="false">
      <c r="A48" s="903" t="n">
        <f aca="false">A47+1</f>
        <v>27</v>
      </c>
      <c r="B48" s="904" t="n">
        <f aca="false">C48/$C$6</f>
        <v>0</v>
      </c>
      <c r="C48" s="905" t="n">
        <v>0</v>
      </c>
      <c r="D48" s="906" t="n">
        <f aca="false">D47+C48+E47</f>
        <v>226124.195705063</v>
      </c>
      <c r="E48" s="908" t="n">
        <f aca="false">IF(A48&gt;$C$8,0,((D47+(C48/2))*$C$9)+(($C$6-SUM($C$20:C48))*($C$11/12)))</f>
        <v>0</v>
      </c>
      <c r="F48" s="907" t="n">
        <f aca="false">IF(A48&lt;=$C$8,E48+F47,F47)</f>
        <v>12268.6337050626</v>
      </c>
      <c r="G48" s="357"/>
      <c r="H48" s="357"/>
      <c r="I48" s="357"/>
    </row>
    <row r="49" customFormat="false" ht="11.45" hidden="false" customHeight="true" outlineLevel="0" collapsed="false">
      <c r="A49" s="903" t="n">
        <f aca="false">A48+1</f>
        <v>28</v>
      </c>
      <c r="B49" s="904" t="n">
        <f aca="false">C49/$C$6</f>
        <v>0</v>
      </c>
      <c r="C49" s="905" t="n">
        <v>0</v>
      </c>
      <c r="D49" s="906" t="n">
        <f aca="false">D48+C49+E48</f>
        <v>226124.195705063</v>
      </c>
      <c r="E49" s="908" t="n">
        <f aca="false">IF(A49&gt;$C$8,0,((D48+(C49/2))*$C$9)+(($C$6-SUM($C$20:C49))*($C$11/12)))</f>
        <v>0</v>
      </c>
      <c r="F49" s="907" t="n">
        <f aca="false">IF(A49&lt;=$C$8,E49+F48,F48)</f>
        <v>12268.6337050626</v>
      </c>
      <c r="G49" s="357"/>
      <c r="H49" s="357"/>
      <c r="I49" s="357"/>
    </row>
    <row r="50" customFormat="false" ht="11.45" hidden="false" customHeight="true" outlineLevel="0" collapsed="false">
      <c r="A50" s="903" t="n">
        <f aca="false">A49+1</f>
        <v>29</v>
      </c>
      <c r="B50" s="904" t="n">
        <f aca="false">C50/$C$6</f>
        <v>0</v>
      </c>
      <c r="C50" s="905" t="n">
        <v>0</v>
      </c>
      <c r="D50" s="906" t="n">
        <f aca="false">D49+C50+E49</f>
        <v>226124.195705063</v>
      </c>
      <c r="E50" s="908" t="n">
        <f aca="false">IF(A50&gt;$C$8,0,((D49+(C50/2))*$C$9)+(($C$6-SUM($C$20:C50))*($C$11/12)))</f>
        <v>0</v>
      </c>
      <c r="F50" s="907" t="n">
        <f aca="false">IF(A50&lt;=$C$8,E50+F49,F49)</f>
        <v>12268.6337050626</v>
      </c>
      <c r="G50" s="357"/>
      <c r="H50" s="357"/>
      <c r="I50" s="357"/>
    </row>
    <row r="51" customFormat="false" ht="11.45" hidden="false" customHeight="true" outlineLevel="0" collapsed="false">
      <c r="A51" s="903" t="n">
        <f aca="false">A50+1</f>
        <v>30</v>
      </c>
      <c r="B51" s="904" t="n">
        <f aca="false">C51/$C$6</f>
        <v>0</v>
      </c>
      <c r="C51" s="905" t="n">
        <v>0</v>
      </c>
      <c r="D51" s="906" t="n">
        <f aca="false">D50+C51+E50</f>
        <v>226124.195705063</v>
      </c>
      <c r="E51" s="908" t="n">
        <f aca="false">IF(A51&gt;$C$8,0,((D50+(C51/2))*$C$9)+(($C$6-SUM($C$20:C51))*($C$11/12)))</f>
        <v>0</v>
      </c>
      <c r="F51" s="907" t="n">
        <f aca="false">IF(A51&lt;=$C$8,E51+F50,F50)</f>
        <v>12268.6337050626</v>
      </c>
      <c r="G51" s="357"/>
      <c r="H51" s="357"/>
      <c r="I51" s="357"/>
    </row>
    <row r="52" customFormat="false" ht="11.45" hidden="false" customHeight="true" outlineLevel="0" collapsed="false">
      <c r="A52" s="903" t="n">
        <f aca="false">A51+1</f>
        <v>31</v>
      </c>
      <c r="B52" s="904" t="n">
        <f aca="false">C52/$C$6</f>
        <v>0</v>
      </c>
      <c r="C52" s="905" t="n">
        <v>0</v>
      </c>
      <c r="D52" s="906" t="n">
        <f aca="false">D51+C52+E51</f>
        <v>226124.195705063</v>
      </c>
      <c r="E52" s="908" t="n">
        <f aca="false">IF(A52&gt;$C$8,0,((D51+(C52/2))*$C$9)+(($C$6-SUM($C$20:C52))*($C$11/12)))</f>
        <v>0</v>
      </c>
      <c r="F52" s="907" t="n">
        <f aca="false">IF(A52&lt;=$C$8,E52+F51,F51)</f>
        <v>12268.6337050626</v>
      </c>
      <c r="G52" s="357"/>
      <c r="H52" s="357"/>
      <c r="I52" s="357"/>
    </row>
    <row r="53" customFormat="false" ht="11.45" hidden="false" customHeight="true" outlineLevel="0" collapsed="false">
      <c r="A53" s="903" t="n">
        <f aca="false">A52+1</f>
        <v>32</v>
      </c>
      <c r="B53" s="904" t="n">
        <f aca="false">C53/$C$6</f>
        <v>0</v>
      </c>
      <c r="C53" s="905" t="n">
        <v>0</v>
      </c>
      <c r="D53" s="906" t="n">
        <f aca="false">D52+C53+E52</f>
        <v>226124.195705063</v>
      </c>
      <c r="E53" s="908" t="n">
        <f aca="false">IF(A53&gt;$C$8,0,((D52+(C53/2))*$C$9)+(($C$6-SUM($C$20:C53))*($C$11/12)))</f>
        <v>0</v>
      </c>
      <c r="F53" s="907" t="n">
        <f aca="false">IF(A53&lt;=$C$8,E53+F52,F52)</f>
        <v>12268.6337050626</v>
      </c>
      <c r="G53" s="357"/>
      <c r="H53" s="357"/>
      <c r="I53" s="357"/>
    </row>
    <row r="54" customFormat="false" ht="11.45" hidden="false" customHeight="true" outlineLevel="0" collapsed="false">
      <c r="A54" s="903" t="n">
        <f aca="false">A53+1</f>
        <v>33</v>
      </c>
      <c r="B54" s="904" t="n">
        <f aca="false">C54/$C$6</f>
        <v>0</v>
      </c>
      <c r="C54" s="905" t="n">
        <v>0</v>
      </c>
      <c r="D54" s="906" t="n">
        <f aca="false">D53+C54+E53</f>
        <v>226124.195705063</v>
      </c>
      <c r="E54" s="908" t="n">
        <f aca="false">IF(A54&gt;$C$8,0,((D53+(C54/2))*$C$9)+(($C$6-SUM($C$20:C54))*($C$11/12)))</f>
        <v>0</v>
      </c>
      <c r="F54" s="907" t="n">
        <f aca="false">IF(A54&lt;=$C$8,E54+F53,F53)</f>
        <v>12268.6337050626</v>
      </c>
      <c r="G54" s="357"/>
      <c r="H54" s="357"/>
      <c r="I54" s="357"/>
    </row>
    <row r="55" customFormat="false" ht="11.45" hidden="false" customHeight="true" outlineLevel="0" collapsed="false">
      <c r="A55" s="903" t="n">
        <f aca="false">A54+1</f>
        <v>34</v>
      </c>
      <c r="B55" s="904" t="n">
        <f aca="false">C55/$C$6</f>
        <v>0</v>
      </c>
      <c r="C55" s="905" t="n">
        <v>0</v>
      </c>
      <c r="D55" s="906" t="n">
        <f aca="false">D54+C55+E54</f>
        <v>226124.195705063</v>
      </c>
      <c r="E55" s="908" t="n">
        <f aca="false">IF(A55&gt;$C$8,0,((D54+(C55/2))*$C$9)+(($C$6-SUM($C$20:C55))*($C$11/12)))</f>
        <v>0</v>
      </c>
      <c r="F55" s="907" t="n">
        <f aca="false">IF(A55&lt;=$C$8,E55+F54,F54)</f>
        <v>12268.6337050626</v>
      </c>
      <c r="G55" s="357"/>
      <c r="H55" s="357"/>
      <c r="I55" s="357"/>
    </row>
    <row r="56" customFormat="false" ht="11.45" hidden="false" customHeight="true" outlineLevel="0" collapsed="false">
      <c r="A56" s="903" t="n">
        <f aca="false">A55+1</f>
        <v>35</v>
      </c>
      <c r="B56" s="904" t="n">
        <f aca="false">C56/$C$6</f>
        <v>0</v>
      </c>
      <c r="C56" s="905" t="n">
        <v>0</v>
      </c>
      <c r="D56" s="906" t="n">
        <f aca="false">D55+C56+E55</f>
        <v>226124.195705063</v>
      </c>
      <c r="E56" s="908" t="n">
        <f aca="false">IF(A56&gt;$C$8,0,((D55+(C56/2))*$C$9)+(($C$6-SUM($C$20:C56))*($C$11/12)))</f>
        <v>0</v>
      </c>
      <c r="F56" s="907" t="n">
        <f aca="false">IF(A56&lt;=$C$8,E56+F55,F55)</f>
        <v>12268.6337050626</v>
      </c>
      <c r="G56" s="357"/>
      <c r="H56" s="357"/>
      <c r="I56" s="357"/>
    </row>
    <row r="57" customFormat="false" ht="11.45" hidden="false" customHeight="true" outlineLevel="0" collapsed="false">
      <c r="A57" s="909" t="n">
        <f aca="false">A56+1</f>
        <v>36</v>
      </c>
      <c r="B57" s="910" t="n">
        <f aca="false">IF($C$13=1,I57,H57)</f>
        <v>0</v>
      </c>
      <c r="C57" s="911" t="n">
        <v>0</v>
      </c>
      <c r="D57" s="912" t="n">
        <f aca="false">D56+C57+E56</f>
        <v>226124.195705063</v>
      </c>
      <c r="E57" s="913" t="n">
        <f aca="false">IF(A57&gt;$C$8,0,((D56+(C57))*($C$9))+(($C$6-SUM($C$21:C57))*($C$11/12)))</f>
        <v>0</v>
      </c>
      <c r="F57" s="914" t="n">
        <f aca="false">IF(A57&lt;=$C$8,E57+F56,F56)</f>
        <v>12268.6337050626</v>
      </c>
      <c r="G57" s="357"/>
      <c r="H57" s="357"/>
      <c r="I57" s="357"/>
    </row>
    <row r="58" customFormat="false" ht="12.75" hidden="false" customHeight="false" outlineLevel="0" collapsed="false">
      <c r="A58" s="357"/>
      <c r="B58" s="357"/>
      <c r="C58" s="915" t="n">
        <f aca="false">SUM(C21:C57)</f>
        <v>213855.562</v>
      </c>
      <c r="D58" s="357"/>
      <c r="E58" s="357"/>
      <c r="F58" s="357"/>
      <c r="G58" s="357"/>
      <c r="H58" s="357"/>
      <c r="I58" s="357"/>
    </row>
    <row r="59" customFormat="false" ht="12.75" hidden="false" customHeight="false" outlineLevel="0" collapsed="false">
      <c r="A59" s="357"/>
      <c r="B59" s="357"/>
      <c r="C59" s="357"/>
      <c r="D59" s="357"/>
      <c r="E59" s="357"/>
      <c r="F59" s="357"/>
      <c r="G59" s="357"/>
      <c r="H59" s="357"/>
      <c r="I59" s="357"/>
    </row>
    <row r="60" customFormat="false" ht="12.75" hidden="false" customHeight="false" outlineLevel="0" collapsed="false">
      <c r="A60" s="357"/>
      <c r="B60" s="357"/>
      <c r="C60" s="357"/>
      <c r="D60" s="357"/>
      <c r="E60" s="357"/>
      <c r="F60" s="357"/>
      <c r="G60" s="357"/>
      <c r="H60" s="357"/>
      <c r="I60" s="357"/>
    </row>
    <row r="61" customFormat="false" ht="12.75" hidden="false" customHeight="false" outlineLevel="0" collapsed="false">
      <c r="A61" s="357"/>
      <c r="B61" s="357"/>
      <c r="C61" s="357"/>
      <c r="D61" s="357"/>
      <c r="E61" s="357"/>
      <c r="F61" s="357"/>
      <c r="G61" s="357"/>
      <c r="H61" s="357"/>
      <c r="I61" s="357"/>
    </row>
    <row r="62" customFormat="false" ht="12.75" hidden="false" customHeight="false" outlineLevel="0" collapsed="false">
      <c r="A62" s="357"/>
      <c r="B62" s="357"/>
      <c r="C62" s="357"/>
      <c r="D62" s="357"/>
      <c r="E62" s="357"/>
      <c r="F62" s="357"/>
      <c r="G62" s="357"/>
      <c r="H62" s="357"/>
      <c r="I62" s="357"/>
    </row>
    <row r="63" customFormat="false" ht="12.75" hidden="false" customHeight="false" outlineLevel="0" collapsed="false">
      <c r="A63" s="357"/>
      <c r="B63" s="357"/>
      <c r="C63" s="357"/>
      <c r="D63" s="357"/>
      <c r="E63" s="357"/>
      <c r="F63" s="357"/>
      <c r="G63" s="357"/>
      <c r="H63" s="357"/>
      <c r="I63" s="357"/>
    </row>
    <row r="64" customFormat="false" ht="12.75" hidden="false" customHeight="false" outlineLevel="0" collapsed="false">
      <c r="H64" s="357"/>
      <c r="I64" s="357"/>
    </row>
    <row r="65" customFormat="false" ht="12.75" hidden="false" customHeight="false" outlineLevel="0" collapsed="false">
      <c r="H65" s="357"/>
      <c r="I65" s="357"/>
    </row>
    <row r="66" customFormat="false" ht="12.75" hidden="false" customHeight="false" outlineLevel="0" collapsed="false">
      <c r="H66" s="357"/>
      <c r="I66" s="357"/>
    </row>
    <row r="67" customFormat="false" ht="12.75" hidden="false" customHeight="false" outlineLevel="0" collapsed="false">
      <c r="A67" s="867"/>
      <c r="B67" s="867"/>
      <c r="C67" s="916"/>
      <c r="D67" s="916"/>
      <c r="E67" s="916"/>
      <c r="F67" s="916"/>
      <c r="G67" s="916"/>
      <c r="H67" s="357"/>
      <c r="I67" s="357"/>
      <c r="J67" s="916"/>
      <c r="K67" s="916"/>
      <c r="L67" s="916"/>
      <c r="M67" s="916"/>
      <c r="N67" s="916"/>
      <c r="O67" s="916"/>
      <c r="P67" s="916"/>
      <c r="Q67" s="916"/>
      <c r="R67" s="916"/>
      <c r="S67" s="916"/>
      <c r="T67" s="916"/>
      <c r="U67" s="916"/>
      <c r="V67" s="916"/>
      <c r="W67" s="916"/>
      <c r="X67" s="916"/>
      <c r="Y67" s="916"/>
      <c r="Z67" s="916"/>
      <c r="AA67" s="916"/>
      <c r="AB67" s="916"/>
      <c r="AC67" s="916"/>
      <c r="AD67" s="916"/>
      <c r="AE67" s="916"/>
    </row>
    <row r="68" customFormat="false" ht="12.75" hidden="false" customHeight="false" outlineLevel="0" collapsed="false">
      <c r="A68" s="867"/>
      <c r="B68" s="867"/>
      <c r="C68" s="917"/>
      <c r="D68" s="917"/>
      <c r="E68" s="917"/>
      <c r="F68" s="917"/>
      <c r="G68" s="917"/>
      <c r="H68" s="357"/>
      <c r="I68" s="357"/>
      <c r="J68" s="917"/>
      <c r="K68" s="917"/>
      <c r="L68" s="917"/>
      <c r="M68" s="917"/>
      <c r="N68" s="917"/>
      <c r="O68" s="917"/>
      <c r="P68" s="917"/>
      <c r="Q68" s="917"/>
      <c r="R68" s="917"/>
      <c r="S68" s="917"/>
      <c r="T68" s="917"/>
      <c r="U68" s="917"/>
      <c r="V68" s="917"/>
      <c r="W68" s="917"/>
      <c r="X68" s="917"/>
      <c r="Y68" s="917"/>
      <c r="Z68" s="917"/>
      <c r="AA68" s="917"/>
      <c r="AB68" s="917"/>
      <c r="AC68" s="917"/>
      <c r="AD68" s="917"/>
      <c r="AE68" s="917"/>
    </row>
    <row r="69" customFormat="false" ht="12.75" hidden="false" customHeight="false" outlineLevel="0" collapsed="false">
      <c r="H69" s="357"/>
      <c r="I69" s="357"/>
    </row>
    <row r="70" customFormat="false" ht="12.75" hidden="false" customHeight="false" outlineLevel="0" collapsed="false">
      <c r="H70" s="357"/>
      <c r="I70" s="357"/>
    </row>
    <row r="71" customFormat="false" ht="12.75" hidden="false" customHeight="false" outlineLevel="0" collapsed="false">
      <c r="H71" s="357"/>
      <c r="I71" s="357"/>
    </row>
    <row r="72" customFormat="false" ht="12.75" hidden="false" customHeight="false" outlineLevel="0" collapsed="false">
      <c r="H72" s="357"/>
      <c r="I72" s="357"/>
    </row>
    <row r="73" customFormat="false" ht="12.75" hidden="false" customHeight="false" outlineLevel="0" collapsed="false">
      <c r="G73" s="881"/>
      <c r="H73" s="357"/>
      <c r="I73" s="357"/>
    </row>
    <row r="74" customFormat="false" ht="12.75" hidden="false" customHeight="false" outlineLevel="0" collapsed="false">
      <c r="G74" s="881"/>
      <c r="H74" s="357"/>
      <c r="I74" s="357"/>
    </row>
    <row r="75" customFormat="false" ht="12.75" hidden="false" customHeight="false" outlineLevel="0" collapsed="false">
      <c r="H75" s="357"/>
      <c r="I75" s="357"/>
    </row>
    <row r="76" customFormat="false" ht="12.75" hidden="false" customHeight="false" outlineLevel="0" collapsed="false">
      <c r="H76" s="357"/>
      <c r="I76" s="357"/>
    </row>
    <row r="77" customFormat="false" ht="12.75" hidden="false" customHeight="false" outlineLevel="0" collapsed="false">
      <c r="H77" s="357"/>
      <c r="I77" s="357"/>
    </row>
    <row r="78" customFormat="false" ht="12.75" hidden="false" customHeight="false" outlineLevel="0" collapsed="false">
      <c r="H78" s="357"/>
      <c r="I78" s="357"/>
    </row>
    <row r="79" customFormat="false" ht="12.75" hidden="false" customHeight="false" outlineLevel="0" collapsed="false">
      <c r="G79" s="881"/>
      <c r="H79" s="357"/>
      <c r="I79" s="357"/>
    </row>
    <row r="80" customFormat="false" ht="12.75" hidden="false" customHeight="false" outlineLevel="0" collapsed="false">
      <c r="G80" s="881"/>
      <c r="H80" s="357"/>
      <c r="I80" s="357"/>
    </row>
    <row r="81" customFormat="false" ht="12.75" hidden="false" customHeight="false" outlineLevel="0" collapsed="false">
      <c r="A81" s="867"/>
      <c r="B81" s="875"/>
      <c r="C81" s="894"/>
      <c r="D81" s="894"/>
      <c r="G81" s="881"/>
      <c r="H81" s="357"/>
      <c r="I81" s="357"/>
    </row>
    <row r="82" customFormat="false" ht="12.75" hidden="false" customHeight="false" outlineLevel="0" collapsed="false">
      <c r="A82" s="357"/>
      <c r="B82" s="357"/>
      <c r="C82" s="357"/>
      <c r="D82" s="357"/>
      <c r="E82" s="357"/>
      <c r="F82" s="357"/>
      <c r="G82" s="357"/>
      <c r="H82" s="357"/>
      <c r="I82" s="357"/>
    </row>
    <row r="83" customFormat="false" ht="12.75" hidden="false" customHeight="false" outlineLevel="0" collapsed="false">
      <c r="A83" s="357"/>
      <c r="B83" s="357"/>
      <c r="C83" s="357"/>
      <c r="D83" s="357"/>
      <c r="E83" s="357"/>
      <c r="F83" s="357"/>
      <c r="G83" s="357"/>
      <c r="H83" s="357"/>
      <c r="I83" s="357"/>
    </row>
    <row r="84" customFormat="false" ht="12.75" hidden="false" customHeight="false" outlineLevel="0" collapsed="false">
      <c r="A84" s="357"/>
      <c r="B84" s="357"/>
      <c r="C84" s="357"/>
      <c r="D84" s="357"/>
      <c r="E84" s="357"/>
      <c r="F84" s="357"/>
      <c r="G84" s="357"/>
      <c r="H84" s="357"/>
      <c r="I84" s="357"/>
    </row>
    <row r="85" customFormat="false" ht="12.75" hidden="false" customHeight="false" outlineLevel="0" collapsed="false">
      <c r="A85" s="357"/>
      <c r="B85" s="357"/>
      <c r="C85" s="357"/>
      <c r="D85" s="357"/>
      <c r="E85" s="357"/>
      <c r="F85" s="357"/>
      <c r="G85" s="357"/>
      <c r="H85" s="357"/>
      <c r="I85" s="357"/>
    </row>
    <row r="86" customFormat="false" ht="12.75" hidden="false" customHeight="false" outlineLevel="0" collapsed="false">
      <c r="A86" s="357"/>
      <c r="B86" s="357"/>
      <c r="C86" s="357"/>
      <c r="D86" s="357"/>
      <c r="E86" s="357"/>
      <c r="F86" s="357"/>
      <c r="G86" s="357"/>
      <c r="H86" s="357"/>
      <c r="I86" s="357"/>
    </row>
    <row r="87" customFormat="false" ht="12.75" hidden="false" customHeight="false" outlineLevel="0" collapsed="false">
      <c r="A87" s="357"/>
      <c r="B87" s="357"/>
      <c r="C87" s="357"/>
      <c r="D87" s="357"/>
      <c r="E87" s="357"/>
      <c r="F87" s="357"/>
      <c r="G87" s="357"/>
      <c r="H87" s="357"/>
      <c r="I87" s="357"/>
    </row>
    <row r="88" customFormat="false" ht="12.75" hidden="false" customHeight="false" outlineLevel="0" collapsed="false">
      <c r="A88" s="357"/>
      <c r="B88" s="357"/>
      <c r="C88" s="357"/>
      <c r="D88" s="357"/>
      <c r="E88" s="357"/>
      <c r="F88" s="357"/>
      <c r="G88" s="357"/>
      <c r="H88" s="357"/>
      <c r="I88" s="357"/>
    </row>
    <row r="89" customFormat="false" ht="11.45" hidden="false" customHeight="true" outlineLevel="0" collapsed="false">
      <c r="A89" s="867"/>
      <c r="B89" s="875"/>
      <c r="C89" s="894"/>
      <c r="D89" s="894"/>
      <c r="G89" s="881"/>
      <c r="H89" s="881"/>
      <c r="I89" s="881"/>
    </row>
    <row r="90" customFormat="false" ht="11.45" hidden="false" customHeight="true" outlineLevel="0" collapsed="false">
      <c r="A90" s="867"/>
      <c r="B90" s="875"/>
      <c r="C90" s="875"/>
      <c r="D90" s="875"/>
      <c r="E90" s="894"/>
      <c r="H90" s="881"/>
      <c r="I90" s="881"/>
    </row>
    <row r="91" customFormat="false" ht="11.45" hidden="false" customHeight="true" outlineLevel="0" collapsed="false">
      <c r="A91" s="875"/>
      <c r="B91" s="867"/>
      <c r="C91" s="867"/>
      <c r="D91" s="867"/>
      <c r="E91" s="916"/>
      <c r="F91" s="916"/>
      <c r="G91" s="916"/>
      <c r="H91" s="916"/>
      <c r="I91" s="916"/>
      <c r="J91" s="916"/>
      <c r="K91" s="916"/>
      <c r="L91" s="916"/>
      <c r="M91" s="916"/>
      <c r="N91" s="916"/>
      <c r="O91" s="916"/>
      <c r="P91" s="916"/>
      <c r="Q91" s="916"/>
      <c r="R91" s="916"/>
      <c r="S91" s="916"/>
      <c r="T91" s="916"/>
      <c r="U91" s="916"/>
      <c r="V91" s="916"/>
      <c r="W91" s="916"/>
      <c r="X91" s="916"/>
      <c r="Y91" s="916"/>
      <c r="Z91" s="916"/>
      <c r="AA91" s="916"/>
      <c r="AB91" s="916"/>
      <c r="AC91" s="916"/>
      <c r="AD91" s="916"/>
      <c r="AE91" s="916"/>
      <c r="AF91" s="916"/>
    </row>
    <row r="92" customFormat="false" ht="11.45" hidden="false" customHeight="true" outlineLevel="0" collapsed="false">
      <c r="A92" s="875"/>
      <c r="B92" s="867"/>
      <c r="C92" s="867"/>
      <c r="D92" s="867"/>
      <c r="E92" s="917"/>
      <c r="F92" s="917"/>
      <c r="G92" s="917"/>
      <c r="H92" s="917"/>
      <c r="I92" s="917"/>
      <c r="J92" s="917"/>
      <c r="K92" s="917"/>
      <c r="L92" s="917"/>
      <c r="M92" s="917"/>
      <c r="N92" s="917"/>
      <c r="O92" s="917"/>
      <c r="P92" s="917"/>
      <c r="Q92" s="917"/>
      <c r="R92" s="917"/>
      <c r="S92" s="917"/>
      <c r="T92" s="917"/>
      <c r="U92" s="917"/>
      <c r="V92" s="917"/>
      <c r="W92" s="917"/>
      <c r="X92" s="917"/>
      <c r="Y92" s="917"/>
      <c r="Z92" s="917"/>
      <c r="AA92" s="917"/>
      <c r="AB92" s="917"/>
      <c r="AC92" s="917"/>
      <c r="AD92" s="917"/>
      <c r="AE92" s="917"/>
      <c r="AF92" s="917"/>
    </row>
    <row r="93" customFormat="false" ht="11.45" hidden="false" customHeight="true" outlineLevel="0" collapsed="false">
      <c r="A93" s="867"/>
      <c r="B93" s="875"/>
      <c r="C93" s="875"/>
      <c r="D93" s="875"/>
      <c r="E93" s="894"/>
      <c r="H93" s="881"/>
      <c r="I93" s="881"/>
    </row>
    <row r="94" customFormat="false" ht="11.45" hidden="false" customHeight="true" outlineLevel="0" collapsed="false">
      <c r="A94" s="867"/>
      <c r="B94" s="875"/>
      <c r="C94" s="875"/>
      <c r="D94" s="875"/>
      <c r="E94" s="875"/>
      <c r="F94" s="875"/>
      <c r="G94" s="875"/>
      <c r="H94" s="875"/>
      <c r="I94" s="875"/>
      <c r="J94" s="875"/>
      <c r="K94" s="875"/>
      <c r="L94" s="875"/>
      <c r="M94" s="875"/>
      <c r="N94" s="875"/>
      <c r="O94" s="875"/>
      <c r="P94" s="875"/>
      <c r="Q94" s="875"/>
      <c r="R94" s="875"/>
      <c r="S94" s="875"/>
      <c r="T94" s="875"/>
      <c r="U94" s="875"/>
      <c r="V94" s="875"/>
      <c r="W94" s="875"/>
      <c r="X94" s="875"/>
      <c r="Y94" s="875"/>
      <c r="Z94" s="875"/>
      <c r="AA94" s="875"/>
      <c r="AB94" s="875"/>
      <c r="AC94" s="875"/>
      <c r="AD94" s="875"/>
      <c r="AE94" s="875"/>
      <c r="AF94" s="875"/>
    </row>
    <row r="95" customFormat="false" ht="11.45" hidden="false" customHeight="true" outlineLevel="0" collapsed="false">
      <c r="A95" s="867"/>
      <c r="B95" s="867"/>
      <c r="C95" s="867"/>
      <c r="D95" s="867"/>
      <c r="E95" s="916"/>
      <c r="F95" s="916"/>
      <c r="G95" s="916"/>
      <c r="H95" s="916"/>
      <c r="I95" s="916"/>
      <c r="J95" s="916"/>
      <c r="K95" s="916"/>
      <c r="L95" s="916"/>
      <c r="M95" s="916"/>
      <c r="N95" s="916"/>
      <c r="O95" s="916"/>
      <c r="P95" s="916"/>
      <c r="Q95" s="916"/>
      <c r="R95" s="916"/>
      <c r="S95" s="916"/>
      <c r="T95" s="916"/>
      <c r="U95" s="916"/>
      <c r="V95" s="916"/>
      <c r="W95" s="916"/>
      <c r="X95" s="916"/>
      <c r="Y95" s="916"/>
      <c r="Z95" s="916"/>
      <c r="AA95" s="916"/>
      <c r="AB95" s="916"/>
      <c r="AC95" s="916"/>
      <c r="AD95" s="916"/>
      <c r="AE95" s="916"/>
      <c r="AF95" s="916"/>
    </row>
    <row r="96" customFormat="false" ht="11.45" hidden="false" customHeight="true" outlineLevel="0" collapsed="false">
      <c r="A96" s="867"/>
      <c r="B96" s="875"/>
      <c r="C96" s="875"/>
      <c r="D96" s="875"/>
      <c r="E96" s="875"/>
      <c r="F96" s="918"/>
      <c r="G96" s="918"/>
      <c r="H96" s="918"/>
      <c r="I96" s="918"/>
      <c r="J96" s="918"/>
      <c r="K96" s="918"/>
      <c r="L96" s="918"/>
      <c r="M96" s="918"/>
      <c r="N96" s="918"/>
      <c r="O96" s="918"/>
      <c r="P96" s="918"/>
      <c r="Q96" s="918"/>
      <c r="R96" s="918"/>
      <c r="S96" s="918"/>
      <c r="T96" s="918"/>
      <c r="U96" s="918"/>
      <c r="V96" s="918"/>
      <c r="W96" s="918"/>
      <c r="X96" s="918"/>
      <c r="Y96" s="918"/>
      <c r="Z96" s="918"/>
      <c r="AA96" s="918"/>
      <c r="AB96" s="918"/>
      <c r="AC96" s="918"/>
      <c r="AD96" s="918"/>
      <c r="AE96" s="918"/>
      <c r="AF96" s="918"/>
    </row>
    <row r="97" customFormat="false" ht="11.45" hidden="false" customHeight="true" outlineLevel="0" collapsed="false">
      <c r="A97" s="867"/>
      <c r="B97" s="867"/>
      <c r="C97" s="867"/>
      <c r="D97" s="867"/>
      <c r="E97" s="875"/>
      <c r="F97" s="918"/>
      <c r="G97" s="918"/>
      <c r="H97" s="918"/>
      <c r="I97" s="918"/>
      <c r="J97" s="918"/>
      <c r="K97" s="918"/>
      <c r="L97" s="918"/>
      <c r="M97" s="918"/>
      <c r="N97" s="918"/>
      <c r="O97" s="918"/>
      <c r="P97" s="918"/>
      <c r="Q97" s="918"/>
      <c r="R97" s="918"/>
      <c r="S97" s="918"/>
      <c r="T97" s="918"/>
      <c r="U97" s="918"/>
      <c r="V97" s="918"/>
      <c r="W97" s="918"/>
      <c r="X97" s="918"/>
      <c r="Y97" s="918"/>
      <c r="Z97" s="918"/>
      <c r="AA97" s="918"/>
      <c r="AB97" s="918"/>
      <c r="AC97" s="918"/>
      <c r="AD97" s="918"/>
      <c r="AE97" s="918"/>
      <c r="AF97" s="918"/>
    </row>
    <row r="98" customFormat="false" ht="11.45" hidden="false" customHeight="true" outlineLevel="0" collapsed="false">
      <c r="A98" s="867"/>
      <c r="B98" s="867"/>
      <c r="C98" s="867"/>
      <c r="D98" s="867"/>
      <c r="E98" s="875"/>
      <c r="F98" s="918"/>
      <c r="G98" s="918"/>
      <c r="H98" s="918"/>
      <c r="I98" s="918"/>
      <c r="J98" s="918"/>
      <c r="K98" s="918"/>
      <c r="L98" s="918"/>
      <c r="M98" s="918"/>
      <c r="N98" s="918"/>
      <c r="O98" s="918"/>
      <c r="P98" s="918"/>
      <c r="Q98" s="918"/>
      <c r="R98" s="918"/>
      <c r="S98" s="918"/>
      <c r="T98" s="918"/>
      <c r="U98" s="918"/>
      <c r="V98" s="918"/>
      <c r="W98" s="918"/>
      <c r="X98" s="918"/>
      <c r="Y98" s="918"/>
      <c r="Z98" s="918"/>
      <c r="AA98" s="918"/>
      <c r="AB98" s="918"/>
      <c r="AC98" s="918"/>
      <c r="AD98" s="918"/>
      <c r="AE98" s="918"/>
      <c r="AF98" s="918"/>
    </row>
    <row r="99" customFormat="false" ht="12.75" hidden="false" customHeight="false" outlineLevel="0" collapsed="false">
      <c r="A99" s="357"/>
      <c r="B99" s="357"/>
      <c r="C99" s="357"/>
      <c r="D99" s="357"/>
      <c r="E99" s="357"/>
      <c r="F99" s="357"/>
      <c r="G99" s="357"/>
      <c r="H99" s="357"/>
    </row>
    <row r="100" customFormat="false" ht="12.75" hidden="false" customHeight="false" outlineLevel="0" collapsed="false">
      <c r="A100" s="357"/>
      <c r="B100" s="357"/>
      <c r="C100" s="357"/>
      <c r="D100" s="357"/>
      <c r="E100" s="357"/>
      <c r="F100" s="357"/>
      <c r="G100" s="357"/>
      <c r="H100" s="357"/>
    </row>
    <row r="101" customFormat="false" ht="12.75" hidden="false" customHeight="false" outlineLevel="0" collapsed="false">
      <c r="A101" s="357"/>
      <c r="B101" s="357"/>
      <c r="C101" s="357"/>
      <c r="D101" s="357"/>
      <c r="E101" s="357"/>
      <c r="F101" s="357"/>
      <c r="G101" s="357"/>
      <c r="H101" s="357"/>
    </row>
    <row r="102" customFormat="false" ht="12.75" hidden="false" customHeight="false" outlineLevel="0" collapsed="false">
      <c r="A102" s="357"/>
      <c r="B102" s="357"/>
      <c r="C102" s="357"/>
      <c r="D102" s="357"/>
      <c r="E102" s="357"/>
      <c r="F102" s="357"/>
      <c r="G102" s="357"/>
      <c r="H102" s="357"/>
    </row>
    <row r="103" customFormat="false" ht="12.75" hidden="false" customHeight="false" outlineLevel="0" collapsed="false">
      <c r="A103" s="357"/>
      <c r="B103" s="357"/>
      <c r="C103" s="357"/>
      <c r="D103" s="357"/>
      <c r="E103" s="357"/>
      <c r="F103" s="357"/>
      <c r="G103" s="357"/>
      <c r="H103" s="357"/>
    </row>
    <row r="104" customFormat="false" ht="12.75" hidden="false" customHeight="false" outlineLevel="0" collapsed="false">
      <c r="A104" s="357"/>
      <c r="B104" s="357"/>
      <c r="C104" s="357"/>
      <c r="D104" s="357"/>
      <c r="E104" s="357"/>
      <c r="F104" s="357"/>
      <c r="G104" s="357"/>
      <c r="H104" s="357"/>
    </row>
    <row r="105" customFormat="false" ht="12.75" hidden="false" customHeight="false" outlineLevel="0" collapsed="false">
      <c r="A105" s="357"/>
      <c r="B105" s="357"/>
      <c r="C105" s="357"/>
      <c r="D105" s="357"/>
      <c r="E105" s="357"/>
      <c r="F105" s="357"/>
      <c r="G105" s="357"/>
      <c r="H105" s="357"/>
    </row>
    <row r="106" customFormat="false" ht="12.75" hidden="false" customHeight="false" outlineLevel="0" collapsed="false">
      <c r="A106" s="357"/>
      <c r="B106" s="357"/>
      <c r="C106" s="357"/>
      <c r="D106" s="357"/>
      <c r="E106" s="357"/>
      <c r="F106" s="357"/>
      <c r="G106" s="357"/>
      <c r="H106" s="357"/>
    </row>
    <row r="107" customFormat="false" ht="12.75" hidden="false" customHeight="false" outlineLevel="0" collapsed="false">
      <c r="A107" s="357"/>
      <c r="B107" s="357"/>
      <c r="C107" s="357"/>
      <c r="D107" s="357"/>
      <c r="E107" s="357"/>
      <c r="F107" s="357"/>
      <c r="G107" s="357"/>
      <c r="H107" s="357"/>
    </row>
    <row r="108" customFormat="false" ht="12.75" hidden="false" customHeight="false" outlineLevel="0" collapsed="false">
      <c r="A108" s="357"/>
      <c r="B108" s="357"/>
      <c r="C108" s="357"/>
      <c r="D108" s="357"/>
      <c r="E108" s="357"/>
      <c r="F108" s="357"/>
      <c r="G108" s="357"/>
      <c r="H108" s="357"/>
    </row>
    <row r="109" customFormat="false" ht="12.75" hidden="false" customHeight="false" outlineLevel="0" collapsed="false">
      <c r="A109" s="357"/>
      <c r="B109" s="357"/>
      <c r="C109" s="357"/>
      <c r="D109" s="357"/>
      <c r="E109" s="357"/>
      <c r="F109" s="357"/>
      <c r="G109" s="357"/>
      <c r="H109" s="357"/>
    </row>
    <row r="110" customFormat="false" ht="12.75" hidden="false" customHeight="false" outlineLevel="0" collapsed="false">
      <c r="A110" s="357"/>
      <c r="B110" s="357"/>
      <c r="C110" s="357"/>
      <c r="D110" s="357"/>
      <c r="E110" s="357"/>
      <c r="F110" s="357"/>
      <c r="G110" s="357"/>
      <c r="H110" s="357"/>
    </row>
    <row r="111" customFormat="false" ht="12.75" hidden="false" customHeight="false" outlineLevel="0" collapsed="false">
      <c r="A111" s="357"/>
      <c r="B111" s="357"/>
      <c r="C111" s="357"/>
      <c r="D111" s="357"/>
      <c r="E111" s="357"/>
      <c r="F111" s="357"/>
      <c r="G111" s="357"/>
      <c r="H111" s="357"/>
    </row>
    <row r="112" customFormat="false" ht="12.75" hidden="false" customHeight="false" outlineLevel="0" collapsed="false">
      <c r="A112" s="357"/>
      <c r="B112" s="357"/>
      <c r="C112" s="357"/>
      <c r="D112" s="357"/>
      <c r="E112" s="357"/>
      <c r="F112" s="357"/>
      <c r="G112" s="357"/>
      <c r="H112" s="357"/>
    </row>
    <row r="113" customFormat="false" ht="12.75" hidden="false" customHeight="false" outlineLevel="0" collapsed="false">
      <c r="A113" s="357"/>
      <c r="B113" s="357"/>
      <c r="C113" s="357"/>
      <c r="D113" s="357"/>
      <c r="E113" s="357"/>
      <c r="F113" s="357"/>
      <c r="G113" s="357"/>
      <c r="H113" s="357"/>
    </row>
    <row r="114" customFormat="false" ht="12.75" hidden="false" customHeight="false" outlineLevel="0" collapsed="false">
      <c r="A114" s="357"/>
      <c r="B114" s="357"/>
      <c r="C114" s="357"/>
      <c r="D114" s="357"/>
      <c r="E114" s="357"/>
      <c r="F114" s="357"/>
      <c r="G114" s="357"/>
      <c r="H114" s="357"/>
    </row>
    <row r="115" customFormat="false" ht="12.75" hidden="false" customHeight="false" outlineLevel="0" collapsed="false">
      <c r="A115" s="357"/>
      <c r="B115" s="357"/>
      <c r="C115" s="357"/>
      <c r="D115" s="357"/>
      <c r="E115" s="357"/>
      <c r="F115" s="357"/>
      <c r="G115" s="357"/>
      <c r="H115" s="357"/>
    </row>
    <row r="116" customFormat="false" ht="12.75" hidden="false" customHeight="false" outlineLevel="0" collapsed="false">
      <c r="A116" s="357"/>
      <c r="B116" s="357"/>
      <c r="C116" s="357"/>
      <c r="D116" s="357"/>
      <c r="E116" s="357"/>
      <c r="F116" s="357"/>
      <c r="G116" s="357"/>
      <c r="H116" s="357"/>
    </row>
    <row r="117" customFormat="false" ht="12.75" hidden="false" customHeight="false" outlineLevel="0" collapsed="false">
      <c r="A117" s="357"/>
      <c r="B117" s="357"/>
      <c r="C117" s="357"/>
      <c r="D117" s="357"/>
      <c r="E117" s="357"/>
      <c r="F117" s="357"/>
      <c r="G117" s="357"/>
      <c r="H117" s="357"/>
    </row>
    <row r="118" customFormat="false" ht="12.75" hidden="false" customHeight="false" outlineLevel="0" collapsed="false">
      <c r="A118" s="357"/>
      <c r="B118" s="357"/>
      <c r="C118" s="357"/>
      <c r="D118" s="357"/>
      <c r="E118" s="357"/>
      <c r="F118" s="357"/>
      <c r="G118" s="357"/>
      <c r="H118" s="357"/>
    </row>
    <row r="119" customFormat="false" ht="12.75" hidden="false" customHeight="false" outlineLevel="0" collapsed="false">
      <c r="A119" s="357"/>
      <c r="B119" s="357"/>
      <c r="C119" s="357"/>
      <c r="D119" s="357"/>
      <c r="E119" s="357"/>
      <c r="F119" s="357"/>
      <c r="G119" s="357"/>
      <c r="H119" s="357"/>
    </row>
    <row r="120" customFormat="false" ht="12.75" hidden="false" customHeight="false" outlineLevel="0" collapsed="false">
      <c r="A120" s="357"/>
      <c r="B120" s="357"/>
      <c r="C120" s="357"/>
      <c r="D120" s="357"/>
      <c r="E120" s="357"/>
      <c r="F120" s="357"/>
      <c r="G120" s="357"/>
      <c r="H120" s="357"/>
    </row>
    <row r="121" customFormat="false" ht="12.75" hidden="false" customHeight="false" outlineLevel="0" collapsed="false">
      <c r="A121" s="357"/>
      <c r="B121" s="357"/>
      <c r="C121" s="357"/>
      <c r="D121" s="357"/>
      <c r="E121" s="357"/>
      <c r="F121" s="357"/>
      <c r="G121" s="357"/>
      <c r="H121" s="357"/>
    </row>
    <row r="122" customFormat="false" ht="12.75" hidden="false" customHeight="false" outlineLevel="0" collapsed="false">
      <c r="A122" s="357"/>
      <c r="B122" s="357"/>
      <c r="C122" s="357"/>
      <c r="D122" s="357"/>
      <c r="E122" s="357"/>
      <c r="F122" s="357"/>
      <c r="G122" s="357"/>
      <c r="H122" s="357"/>
    </row>
    <row r="123" customFormat="false" ht="12.75" hidden="false" customHeight="false" outlineLevel="0" collapsed="false">
      <c r="A123" s="357"/>
      <c r="B123" s="357"/>
      <c r="C123" s="357"/>
      <c r="D123" s="357"/>
      <c r="E123" s="357"/>
      <c r="F123" s="357"/>
      <c r="G123" s="357"/>
      <c r="H123" s="357"/>
    </row>
    <row r="124" customFormat="false" ht="12.75" hidden="false" customHeight="false" outlineLevel="0" collapsed="false">
      <c r="A124" s="357"/>
      <c r="B124" s="357"/>
      <c r="C124" s="357"/>
      <c r="D124" s="357"/>
      <c r="E124" s="357"/>
      <c r="F124" s="357"/>
      <c r="G124" s="357"/>
      <c r="H124" s="357"/>
    </row>
    <row r="125" customFormat="false" ht="12.75" hidden="false" customHeight="false" outlineLevel="0" collapsed="false">
      <c r="A125" s="357"/>
      <c r="B125" s="357"/>
      <c r="C125" s="357"/>
      <c r="D125" s="357"/>
      <c r="E125" s="357"/>
      <c r="F125" s="357"/>
      <c r="G125" s="357"/>
      <c r="H125" s="357"/>
    </row>
    <row r="126" customFormat="false" ht="12.75" hidden="false" customHeight="false" outlineLevel="0" collapsed="false">
      <c r="A126" s="357"/>
      <c r="B126" s="357"/>
      <c r="C126" s="357"/>
      <c r="D126" s="357"/>
      <c r="E126" s="357"/>
      <c r="F126" s="357"/>
      <c r="G126" s="357"/>
      <c r="H126" s="357"/>
    </row>
    <row r="127" customFormat="false" ht="12.75" hidden="false" customHeight="false" outlineLevel="0" collapsed="false">
      <c r="A127" s="357"/>
      <c r="B127" s="357"/>
      <c r="C127" s="357"/>
      <c r="D127" s="357"/>
      <c r="E127" s="357"/>
      <c r="F127" s="357"/>
      <c r="G127" s="357"/>
      <c r="H127" s="357"/>
    </row>
    <row r="128" customFormat="false" ht="12.75" hidden="false" customHeight="false" outlineLevel="0" collapsed="false">
      <c r="A128" s="357"/>
      <c r="B128" s="357"/>
      <c r="C128" s="357"/>
      <c r="D128" s="357"/>
      <c r="E128" s="357"/>
      <c r="F128" s="357"/>
      <c r="G128" s="357"/>
      <c r="H128" s="357"/>
    </row>
    <row r="129" customFormat="false" ht="12.75" hidden="false" customHeight="false" outlineLevel="0" collapsed="false">
      <c r="A129" s="357"/>
      <c r="B129" s="357"/>
      <c r="C129" s="357"/>
      <c r="D129" s="357"/>
      <c r="E129" s="357"/>
      <c r="F129" s="357"/>
      <c r="G129" s="357"/>
      <c r="H129" s="357"/>
    </row>
    <row r="130" customFormat="false" ht="12.75" hidden="false" customHeight="false" outlineLevel="0" collapsed="false">
      <c r="A130" s="357"/>
      <c r="B130" s="357"/>
      <c r="C130" s="357"/>
      <c r="D130" s="357"/>
      <c r="E130" s="357"/>
      <c r="F130" s="357"/>
      <c r="G130" s="357"/>
      <c r="H130" s="357"/>
    </row>
    <row r="131" customFormat="false" ht="12.75" hidden="false" customHeight="false" outlineLevel="0" collapsed="false">
      <c r="A131" s="357"/>
      <c r="B131" s="357"/>
      <c r="C131" s="357"/>
      <c r="D131" s="357"/>
      <c r="E131" s="357"/>
      <c r="F131" s="357"/>
      <c r="G131" s="357"/>
      <c r="H131" s="357"/>
    </row>
    <row r="132" customFormat="false" ht="12.75" hidden="false" customHeight="false" outlineLevel="0" collapsed="false">
      <c r="A132" s="357"/>
      <c r="B132" s="357"/>
      <c r="C132" s="357"/>
      <c r="D132" s="357"/>
      <c r="E132" s="357"/>
      <c r="F132" s="357"/>
      <c r="G132" s="357"/>
      <c r="H132" s="357"/>
    </row>
    <row r="165" customFormat="false" ht="11.25" hidden="false" customHeight="false" outlineLevel="0" collapsed="false">
      <c r="E165" s="919"/>
    </row>
    <row r="290" customFormat="false" ht="11.45" hidden="false" customHeight="true" outlineLevel="0" collapsed="false">
      <c r="G290" s="881"/>
      <c r="H290" s="881"/>
      <c r="I290" s="881"/>
    </row>
    <row r="291" customFormat="false" ht="11.45" hidden="false" customHeight="true" outlineLevel="0" collapsed="false">
      <c r="G291" s="881"/>
      <c r="H291" s="881"/>
      <c r="I291" s="881"/>
    </row>
    <row r="292" customFormat="false" ht="11.45" hidden="false" customHeight="true" outlineLevel="0" collapsed="false">
      <c r="E292" s="862"/>
      <c r="G292" s="881"/>
      <c r="H292" s="881"/>
      <c r="I292" s="881"/>
    </row>
    <row r="293" customFormat="false" ht="11.45" hidden="false" customHeight="true" outlineLevel="0" collapsed="false">
      <c r="G293" s="881"/>
      <c r="H293" s="881"/>
      <c r="I293" s="881"/>
    </row>
    <row r="294" customFormat="false" ht="11.25" hidden="false" customHeight="false" outlineLevel="0" collapsed="false">
      <c r="F294" s="881"/>
      <c r="G294" s="881"/>
      <c r="H294" s="881"/>
      <c r="I294" s="881"/>
    </row>
    <row r="295" customFormat="false" ht="12.75" hidden="false" customHeight="false" outlineLevel="0" collapsed="false">
      <c r="F295" s="357"/>
      <c r="G295" s="357"/>
      <c r="H295" s="357"/>
    </row>
    <row r="296" customFormat="false" ht="12.75" hidden="false" customHeight="false" outlineLevel="0" collapsed="false">
      <c r="F296" s="357"/>
      <c r="G296" s="357"/>
      <c r="H296" s="357"/>
    </row>
    <row r="297" customFormat="false" ht="12.75" hidden="false" customHeight="false" outlineLevel="0" collapsed="false">
      <c r="F297" s="357"/>
      <c r="G297" s="357"/>
      <c r="H297" s="357"/>
    </row>
    <row r="298" customFormat="false" ht="12.75" hidden="false" customHeight="false" outlineLevel="0" collapsed="false">
      <c r="F298" s="357"/>
      <c r="G298" s="357"/>
      <c r="H298" s="357"/>
    </row>
    <row r="299" customFormat="false" ht="12.75" hidden="false" customHeight="false" outlineLevel="0" collapsed="false">
      <c r="F299" s="357"/>
      <c r="G299" s="357"/>
      <c r="H299" s="357"/>
    </row>
    <row r="300" customFormat="false" ht="12.75" hidden="false" customHeight="false" outlineLevel="0" collapsed="false">
      <c r="F300" s="357"/>
      <c r="G300" s="357"/>
      <c r="H300" s="357"/>
    </row>
    <row r="301" customFormat="false" ht="12.75" hidden="false" customHeight="false" outlineLevel="0" collapsed="false">
      <c r="F301" s="357"/>
      <c r="G301" s="357"/>
      <c r="H301" s="357"/>
    </row>
    <row r="302" customFormat="false" ht="12.75" hidden="false" customHeight="false" outlineLevel="0" collapsed="false">
      <c r="A302" s="357"/>
      <c r="B302" s="357"/>
      <c r="C302" s="357"/>
      <c r="D302" s="357"/>
      <c r="E302" s="357"/>
      <c r="F302" s="357"/>
      <c r="G302" s="357"/>
      <c r="H302" s="357"/>
    </row>
    <row r="303" customFormat="false" ht="12.75" hidden="false" customHeight="false" outlineLevel="0" collapsed="false">
      <c r="A303" s="357"/>
      <c r="B303" s="357"/>
      <c r="C303" s="357"/>
      <c r="D303" s="357"/>
      <c r="E303" s="357"/>
      <c r="F303" s="357"/>
      <c r="G303" s="357"/>
      <c r="H303" s="357"/>
    </row>
    <row r="304" customFormat="false" ht="11.45" hidden="false" customHeight="true" outlineLevel="0" collapsed="false">
      <c r="A304" s="867"/>
      <c r="B304" s="875"/>
      <c r="C304" s="875"/>
      <c r="D304" s="875"/>
      <c r="E304" s="894"/>
      <c r="H304" s="881"/>
      <c r="I304" s="881"/>
    </row>
    <row r="305" customFormat="false" ht="11.45" hidden="false" customHeight="true" outlineLevel="0" collapsed="false">
      <c r="A305" s="875"/>
      <c r="B305" s="867"/>
      <c r="C305" s="867"/>
      <c r="D305" s="867"/>
      <c r="E305" s="916"/>
      <c r="F305" s="916"/>
      <c r="G305" s="916"/>
      <c r="H305" s="916"/>
      <c r="I305" s="916"/>
      <c r="J305" s="916"/>
      <c r="K305" s="916"/>
      <c r="L305" s="916"/>
      <c r="M305" s="916"/>
      <c r="N305" s="916"/>
      <c r="O305" s="916"/>
      <c r="P305" s="916"/>
      <c r="Q305" s="916"/>
      <c r="R305" s="916"/>
      <c r="S305" s="916"/>
      <c r="T305" s="916"/>
      <c r="U305" s="916"/>
      <c r="V305" s="916"/>
      <c r="W305" s="916"/>
      <c r="X305" s="916"/>
      <c r="Y305" s="916"/>
      <c r="Z305" s="916"/>
      <c r="AA305" s="916"/>
      <c r="AB305" s="916"/>
      <c r="AC305" s="916"/>
      <c r="AD305" s="916"/>
      <c r="AE305" s="916"/>
      <c r="AF305" s="916"/>
    </row>
    <row r="306" customFormat="false" ht="11.45" hidden="false" customHeight="true" outlineLevel="0" collapsed="false">
      <c r="A306" s="875"/>
      <c r="B306" s="867"/>
      <c r="C306" s="867"/>
      <c r="D306" s="867"/>
      <c r="E306" s="917"/>
      <c r="F306" s="917"/>
      <c r="G306" s="917"/>
      <c r="H306" s="917"/>
      <c r="I306" s="917"/>
      <c r="J306" s="917"/>
      <c r="K306" s="917"/>
      <c r="L306" s="917"/>
      <c r="M306" s="917"/>
      <c r="N306" s="917"/>
      <c r="O306" s="917"/>
      <c r="P306" s="917"/>
      <c r="Q306" s="917"/>
      <c r="R306" s="917"/>
      <c r="S306" s="917"/>
      <c r="T306" s="917"/>
      <c r="U306" s="917"/>
      <c r="V306" s="917"/>
      <c r="W306" s="917"/>
      <c r="X306" s="917"/>
      <c r="Y306" s="917"/>
      <c r="Z306" s="917"/>
      <c r="AA306" s="917"/>
      <c r="AB306" s="917"/>
      <c r="AC306" s="917"/>
      <c r="AD306" s="917"/>
      <c r="AE306" s="917"/>
      <c r="AF306" s="917"/>
    </row>
    <row r="307" customFormat="false" ht="11.45" hidden="false" customHeight="true" outlineLevel="0" collapsed="false">
      <c r="A307" s="867"/>
      <c r="B307" s="875"/>
      <c r="C307" s="875"/>
      <c r="D307" s="875"/>
      <c r="E307" s="894"/>
      <c r="H307" s="881"/>
      <c r="I307" s="881"/>
    </row>
    <row r="308" customFormat="false" ht="11.45" hidden="false" customHeight="true" outlineLevel="0" collapsed="false">
      <c r="A308" s="867"/>
      <c r="B308" s="875"/>
      <c r="C308" s="875"/>
      <c r="D308" s="875"/>
      <c r="E308" s="875"/>
      <c r="F308" s="875"/>
      <c r="G308" s="875"/>
      <c r="H308" s="875"/>
      <c r="I308" s="875"/>
      <c r="J308" s="875"/>
      <c r="K308" s="875"/>
      <c r="L308" s="875"/>
      <c r="M308" s="875"/>
      <c r="N308" s="875"/>
      <c r="O308" s="875"/>
      <c r="P308" s="875"/>
      <c r="Q308" s="875"/>
      <c r="R308" s="875"/>
      <c r="S308" s="875"/>
      <c r="T308" s="875"/>
      <c r="U308" s="875"/>
      <c r="V308" s="875"/>
      <c r="W308" s="875"/>
      <c r="X308" s="875"/>
      <c r="Y308" s="875"/>
      <c r="Z308" s="875"/>
      <c r="AA308" s="875"/>
      <c r="AB308" s="875"/>
      <c r="AC308" s="875"/>
      <c r="AD308" s="875"/>
      <c r="AE308" s="875"/>
      <c r="AF308" s="875"/>
    </row>
    <row r="309" customFormat="false" ht="11.45" hidden="false" customHeight="true" outlineLevel="0" collapsed="false">
      <c r="A309" s="867"/>
      <c r="B309" s="867"/>
      <c r="C309" s="867"/>
      <c r="D309" s="867"/>
      <c r="E309" s="916"/>
      <c r="F309" s="916"/>
      <c r="G309" s="916"/>
      <c r="H309" s="916"/>
      <c r="I309" s="916"/>
      <c r="J309" s="916"/>
      <c r="K309" s="916"/>
      <c r="L309" s="916"/>
      <c r="M309" s="916"/>
      <c r="N309" s="916"/>
      <c r="O309" s="916"/>
      <c r="P309" s="916"/>
      <c r="Q309" s="916"/>
      <c r="R309" s="916"/>
      <c r="S309" s="916"/>
      <c r="T309" s="916"/>
      <c r="U309" s="916"/>
      <c r="V309" s="916"/>
      <c r="W309" s="916"/>
      <c r="X309" s="916"/>
      <c r="Y309" s="916"/>
      <c r="Z309" s="916"/>
      <c r="AA309" s="916"/>
      <c r="AB309" s="916"/>
      <c r="AC309" s="916"/>
      <c r="AD309" s="916"/>
      <c r="AE309" s="916"/>
      <c r="AF309" s="916"/>
    </row>
    <row r="310" customFormat="false" ht="11.45" hidden="false" customHeight="true" outlineLevel="0" collapsed="false">
      <c r="A310" s="867"/>
      <c r="B310" s="875"/>
      <c r="C310" s="875"/>
      <c r="D310" s="875"/>
      <c r="E310" s="875"/>
      <c r="F310" s="918"/>
      <c r="G310" s="918"/>
      <c r="H310" s="918"/>
      <c r="I310" s="918"/>
      <c r="J310" s="918"/>
      <c r="K310" s="918"/>
      <c r="L310" s="918"/>
      <c r="M310" s="918"/>
      <c r="N310" s="918"/>
      <c r="O310" s="918"/>
      <c r="P310" s="918"/>
      <c r="Q310" s="918"/>
      <c r="R310" s="918"/>
      <c r="S310" s="918"/>
      <c r="T310" s="918"/>
      <c r="U310" s="918"/>
      <c r="V310" s="918"/>
      <c r="W310" s="918"/>
      <c r="X310" s="918"/>
      <c r="Y310" s="918"/>
      <c r="Z310" s="918"/>
      <c r="AA310" s="918"/>
      <c r="AB310" s="918"/>
      <c r="AC310" s="918"/>
      <c r="AD310" s="918"/>
      <c r="AE310" s="918"/>
      <c r="AF310" s="918"/>
    </row>
    <row r="311" customFormat="false" ht="11.45" hidden="false" customHeight="true" outlineLevel="0" collapsed="false">
      <c r="A311" s="867"/>
      <c r="B311" s="867"/>
      <c r="C311" s="867"/>
      <c r="D311" s="867"/>
      <c r="E311" s="875"/>
      <c r="F311" s="918"/>
      <c r="G311" s="918"/>
      <c r="H311" s="918"/>
      <c r="I311" s="918"/>
      <c r="J311" s="918"/>
      <c r="K311" s="918"/>
      <c r="L311" s="918"/>
      <c r="M311" s="918"/>
      <c r="N311" s="918"/>
      <c r="O311" s="918"/>
      <c r="P311" s="918"/>
      <c r="Q311" s="918"/>
      <c r="R311" s="918"/>
      <c r="S311" s="918"/>
      <c r="T311" s="918"/>
      <c r="U311" s="918"/>
      <c r="V311" s="918"/>
      <c r="W311" s="918"/>
      <c r="X311" s="918"/>
      <c r="Y311" s="918"/>
      <c r="Z311" s="918"/>
      <c r="AA311" s="918"/>
      <c r="AB311" s="918"/>
      <c r="AC311" s="918"/>
      <c r="AD311" s="918"/>
      <c r="AE311" s="918"/>
      <c r="AF311" s="918"/>
    </row>
    <row r="312" customFormat="false" ht="11.45" hidden="false" customHeight="true" outlineLevel="0" collapsed="false">
      <c r="A312" s="867"/>
      <c r="B312" s="867"/>
      <c r="C312" s="867"/>
      <c r="D312" s="867"/>
      <c r="E312" s="875"/>
      <c r="F312" s="918"/>
      <c r="G312" s="918"/>
      <c r="H312" s="918"/>
      <c r="I312" s="918"/>
      <c r="J312" s="918"/>
      <c r="K312" s="918"/>
      <c r="L312" s="918"/>
      <c r="M312" s="918"/>
      <c r="N312" s="918"/>
      <c r="O312" s="918"/>
      <c r="P312" s="918"/>
      <c r="Q312" s="918"/>
      <c r="R312" s="918"/>
      <c r="S312" s="918"/>
      <c r="T312" s="918"/>
      <c r="U312" s="918"/>
      <c r="V312" s="918"/>
      <c r="W312" s="918"/>
      <c r="X312" s="918"/>
      <c r="Y312" s="918"/>
      <c r="Z312" s="918"/>
      <c r="AA312" s="918"/>
      <c r="AB312" s="918"/>
      <c r="AC312" s="918"/>
      <c r="AD312" s="918"/>
      <c r="AE312" s="918"/>
      <c r="AF312" s="918"/>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44"/>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A12" activeCellId="0" sqref="A12"/>
    </sheetView>
  </sheetViews>
  <sheetFormatPr defaultColWidth="8.70703125" defaultRowHeight="12.75" customHeight="true" zeroHeight="false" outlineLevelRow="0" outlineLevelCol="0"/>
  <cols>
    <col collapsed="false" customWidth="true" hidden="false" outlineLevel="0" max="1" min="1" style="357" width="26.99"/>
    <col collapsed="false" customWidth="false" hidden="false" outlineLevel="0" max="2" min="2" style="357" width="8.7"/>
    <col collapsed="false" customWidth="true" hidden="false" outlineLevel="0" max="4" min="3" style="357" width="6.56"/>
    <col collapsed="false" customWidth="true" hidden="false" outlineLevel="0" max="5" min="5" style="357" width="9.7"/>
    <col collapsed="false" customWidth="true" hidden="false" outlineLevel="0" max="6" min="6" style="357" width="8.85"/>
    <col collapsed="false" customWidth="true" hidden="false" outlineLevel="0" max="7" min="7" style="357" width="6.99"/>
    <col collapsed="false" customWidth="true" hidden="false" outlineLevel="0" max="8" min="8" style="357" width="11.99"/>
    <col collapsed="false" customWidth="true" hidden="false" outlineLevel="0" max="9" min="9" style="357" width="6.99"/>
    <col collapsed="false" customWidth="true" hidden="false" outlineLevel="0" max="10" min="10" style="357" width="8.56"/>
    <col collapsed="false" customWidth="true" hidden="false" outlineLevel="0" max="11" min="11" style="357" width="6.99"/>
    <col collapsed="false" customWidth="true" hidden="false" outlineLevel="0" max="12" min="12" style="357" width="7.14"/>
    <col collapsed="false" customWidth="true" hidden="false" outlineLevel="0" max="14" min="13" style="357" width="6.99"/>
    <col collapsed="false" customWidth="true" hidden="false" outlineLevel="0" max="15" min="15" style="357" width="6.56"/>
    <col collapsed="false" customWidth="true" hidden="false" outlineLevel="0" max="16" min="16" style="357" width="7.28"/>
    <col collapsed="false" customWidth="true" hidden="false" outlineLevel="0" max="17" min="17" style="357" width="6.56"/>
    <col collapsed="false" customWidth="true" hidden="false" outlineLevel="0" max="22" min="18" style="357" width="7.28"/>
    <col collapsed="false" customWidth="true" hidden="false" outlineLevel="0" max="23" min="23" style="357" width="7.42"/>
    <col collapsed="false" customWidth="true" hidden="false" outlineLevel="0" max="28" min="24" style="357" width="7.7"/>
    <col collapsed="false" customWidth="false" hidden="false" outlineLevel="0" max="31" min="29" style="357" width="8.7"/>
    <col collapsed="false" customWidth="false" hidden="false" outlineLevel="0" max="257" min="32" style="920" width="8.7"/>
  </cols>
  <sheetData>
    <row r="1" customFormat="false" ht="20.25" hidden="false" customHeight="false" outlineLevel="0" collapsed="false">
      <c r="A1" s="358" t="str">
        <f aca="false">'Project Assumptions'!$A$2</f>
        <v>WILTON CENTER, Will County, IL</v>
      </c>
      <c r="B1" s="359"/>
      <c r="C1" s="359"/>
      <c r="D1" s="359"/>
      <c r="E1" s="360"/>
    </row>
    <row r="2" customFormat="false" ht="12.75" hidden="false" customHeight="false" outlineLevel="0" collapsed="false">
      <c r="A2" s="362" t="s">
        <v>569</v>
      </c>
      <c r="B2" s="363"/>
      <c r="C2" s="363"/>
      <c r="D2" s="363"/>
      <c r="E2" s="364"/>
    </row>
    <row r="3" customFormat="false" ht="11.25" hidden="false" customHeight="true" outlineLevel="0" collapsed="false">
      <c r="A3" s="54"/>
      <c r="B3" s="54"/>
      <c r="C3" s="921"/>
      <c r="D3" s="921"/>
      <c r="E3" s="921"/>
      <c r="F3" s="921"/>
      <c r="G3" s="921"/>
      <c r="H3" s="921"/>
      <c r="I3" s="921"/>
      <c r="J3" s="921"/>
      <c r="K3" s="921"/>
      <c r="L3" s="921"/>
      <c r="M3" s="921"/>
      <c r="N3" s="921"/>
      <c r="O3" s="921"/>
      <c r="P3" s="921"/>
      <c r="Q3" s="921"/>
      <c r="R3" s="54"/>
      <c r="S3" s="54"/>
      <c r="T3" s="54"/>
      <c r="U3" s="54"/>
      <c r="V3" s="54"/>
      <c r="W3" s="54"/>
      <c r="X3" s="54"/>
      <c r="Y3" s="54"/>
      <c r="Z3" s="54"/>
      <c r="AA3" s="54"/>
      <c r="AB3" s="54"/>
      <c r="AC3" s="54"/>
      <c r="AD3" s="54"/>
      <c r="AE3" s="54"/>
      <c r="AF3" s="922"/>
      <c r="AG3" s="922"/>
      <c r="AH3" s="922"/>
      <c r="AI3" s="922"/>
      <c r="AJ3" s="922"/>
      <c r="AK3" s="922"/>
      <c r="AL3" s="922"/>
      <c r="AM3" s="922"/>
      <c r="AN3" s="922"/>
      <c r="AO3" s="922"/>
      <c r="AP3" s="922"/>
      <c r="AQ3" s="922"/>
      <c r="AR3" s="922"/>
      <c r="AS3" s="922"/>
      <c r="AT3" s="922"/>
      <c r="AU3" s="922"/>
      <c r="AV3" s="922"/>
      <c r="AW3" s="922"/>
      <c r="AX3" s="922"/>
      <c r="AY3" s="922"/>
      <c r="AZ3" s="922"/>
      <c r="BA3" s="922"/>
      <c r="BB3" s="922"/>
      <c r="BC3" s="922"/>
      <c r="BD3" s="922"/>
      <c r="BE3" s="922"/>
      <c r="BF3" s="922"/>
      <c r="BG3" s="922"/>
      <c r="BH3" s="922"/>
      <c r="BI3" s="922"/>
      <c r="BJ3" s="922"/>
      <c r="BK3" s="922"/>
      <c r="BL3" s="922"/>
      <c r="BM3" s="922"/>
      <c r="BN3" s="922"/>
      <c r="BO3" s="922"/>
      <c r="BP3" s="922"/>
      <c r="BQ3" s="922"/>
      <c r="BR3" s="922"/>
      <c r="BS3" s="922"/>
      <c r="BT3" s="922"/>
      <c r="BU3" s="922"/>
      <c r="BV3" s="922"/>
      <c r="BW3" s="922"/>
      <c r="BX3" s="922"/>
      <c r="BY3" s="922"/>
      <c r="BZ3" s="922"/>
      <c r="CA3" s="922"/>
      <c r="CB3" s="922"/>
      <c r="CC3" s="922"/>
      <c r="CD3" s="922"/>
      <c r="CE3" s="922"/>
      <c r="CF3" s="922"/>
      <c r="CG3" s="922"/>
      <c r="CH3" s="922"/>
      <c r="CI3" s="922"/>
      <c r="CJ3" s="922"/>
      <c r="CK3" s="922"/>
      <c r="CL3" s="922"/>
      <c r="CM3" s="922"/>
      <c r="CN3" s="922"/>
      <c r="CO3" s="922"/>
      <c r="CP3" s="922"/>
      <c r="CQ3" s="922"/>
      <c r="CR3" s="922"/>
      <c r="CS3" s="922"/>
      <c r="CT3" s="922"/>
      <c r="CU3" s="922"/>
      <c r="CV3" s="922"/>
      <c r="CW3" s="922"/>
      <c r="CX3" s="922"/>
      <c r="CY3" s="922"/>
      <c r="CZ3" s="922"/>
      <c r="DA3" s="922"/>
      <c r="DB3" s="922"/>
      <c r="DC3" s="922"/>
      <c r="DD3" s="922"/>
      <c r="DE3" s="922"/>
      <c r="DF3" s="922"/>
      <c r="DG3" s="922"/>
      <c r="DH3" s="922"/>
      <c r="DI3" s="922"/>
      <c r="DJ3" s="922"/>
      <c r="DK3" s="922"/>
      <c r="DL3" s="922"/>
      <c r="DM3" s="922"/>
      <c r="DN3" s="922"/>
      <c r="DO3" s="922"/>
      <c r="DP3" s="922"/>
      <c r="DQ3" s="922"/>
      <c r="DR3" s="922"/>
      <c r="DS3" s="922"/>
      <c r="DT3" s="922"/>
      <c r="DU3" s="922"/>
      <c r="DV3" s="922"/>
      <c r="DW3" s="922"/>
      <c r="DX3" s="922"/>
      <c r="DY3" s="922"/>
      <c r="DZ3" s="922"/>
      <c r="EA3" s="922"/>
      <c r="EB3" s="922"/>
      <c r="EC3" s="922"/>
      <c r="ED3" s="922"/>
      <c r="EE3" s="922"/>
      <c r="EF3" s="922"/>
      <c r="EG3" s="922"/>
      <c r="EH3" s="922"/>
      <c r="EI3" s="922"/>
      <c r="EJ3" s="922"/>
      <c r="EK3" s="922"/>
      <c r="EL3" s="922"/>
      <c r="EM3" s="922"/>
      <c r="EN3" s="922"/>
      <c r="EO3" s="922"/>
      <c r="EP3" s="922"/>
      <c r="EQ3" s="922"/>
      <c r="ER3" s="922"/>
      <c r="ES3" s="922"/>
      <c r="ET3" s="922"/>
      <c r="EU3" s="922"/>
      <c r="EV3" s="922"/>
      <c r="EW3" s="922"/>
      <c r="EX3" s="922"/>
      <c r="EY3" s="922"/>
      <c r="EZ3" s="922"/>
      <c r="FA3" s="922"/>
      <c r="FB3" s="922"/>
      <c r="FC3" s="922"/>
      <c r="FD3" s="922"/>
      <c r="FE3" s="922"/>
      <c r="FF3" s="922"/>
      <c r="FG3" s="922"/>
      <c r="FH3" s="922"/>
      <c r="FI3" s="922"/>
      <c r="FJ3" s="922"/>
      <c r="FK3" s="922"/>
      <c r="FL3" s="922"/>
      <c r="FM3" s="922"/>
      <c r="FN3" s="922"/>
      <c r="FO3" s="922"/>
      <c r="FP3" s="922"/>
      <c r="FQ3" s="922"/>
      <c r="FR3" s="922"/>
      <c r="FS3" s="922"/>
      <c r="FT3" s="922"/>
      <c r="FU3" s="922"/>
      <c r="FV3" s="922"/>
      <c r="FW3" s="922"/>
      <c r="FX3" s="922"/>
      <c r="FY3" s="922"/>
      <c r="FZ3" s="922"/>
      <c r="GA3" s="922"/>
      <c r="GB3" s="922"/>
      <c r="GC3" s="922"/>
      <c r="GD3" s="922"/>
      <c r="GE3" s="922"/>
      <c r="GF3" s="922"/>
      <c r="GG3" s="922"/>
      <c r="GH3" s="922"/>
      <c r="GI3" s="922"/>
      <c r="GJ3" s="922"/>
      <c r="GK3" s="922"/>
      <c r="GL3" s="922"/>
      <c r="GM3" s="922"/>
      <c r="GN3" s="922"/>
      <c r="GO3" s="922"/>
      <c r="GP3" s="922"/>
      <c r="GQ3" s="922"/>
      <c r="GR3" s="922"/>
      <c r="GS3" s="922"/>
      <c r="GT3" s="922"/>
      <c r="GU3" s="922"/>
      <c r="GV3" s="922"/>
      <c r="GW3" s="922"/>
      <c r="GX3" s="922"/>
      <c r="GY3" s="922"/>
      <c r="GZ3" s="922"/>
      <c r="HA3" s="922"/>
      <c r="HB3" s="922"/>
      <c r="HC3" s="922"/>
      <c r="HD3" s="922"/>
      <c r="HE3" s="922"/>
      <c r="HF3" s="922"/>
      <c r="HG3" s="922"/>
      <c r="HH3" s="922"/>
      <c r="HI3" s="922"/>
      <c r="HJ3" s="922"/>
      <c r="HK3" s="922"/>
      <c r="HL3" s="922"/>
      <c r="HM3" s="922"/>
      <c r="HN3" s="922"/>
      <c r="HO3" s="922"/>
      <c r="HP3" s="922"/>
      <c r="HQ3" s="922"/>
      <c r="HR3" s="922"/>
      <c r="HS3" s="922"/>
      <c r="HT3" s="922"/>
      <c r="HU3" s="922"/>
      <c r="HV3" s="922"/>
      <c r="HW3" s="922"/>
      <c r="HX3" s="922"/>
      <c r="HY3" s="922"/>
      <c r="HZ3" s="922"/>
      <c r="IA3" s="922"/>
      <c r="IB3" s="922"/>
      <c r="IC3" s="922"/>
      <c r="ID3" s="922"/>
      <c r="IE3" s="922"/>
      <c r="IF3" s="922"/>
      <c r="IG3" s="922"/>
      <c r="IH3" s="922"/>
      <c r="II3" s="922"/>
      <c r="IJ3" s="922"/>
      <c r="IK3" s="922"/>
      <c r="IL3" s="922"/>
      <c r="IM3" s="922"/>
      <c r="IN3" s="922"/>
      <c r="IO3" s="922"/>
      <c r="IP3" s="922"/>
      <c r="IQ3" s="922"/>
      <c r="IR3" s="922"/>
      <c r="IS3" s="922"/>
      <c r="IT3" s="922"/>
      <c r="IU3" s="922"/>
      <c r="IV3" s="922"/>
      <c r="IW3" s="922"/>
    </row>
    <row r="4" customFormat="false" ht="11.25" hidden="false" customHeight="true" outlineLevel="0" collapsed="false">
      <c r="A4" s="1"/>
      <c r="B4" s="1"/>
      <c r="C4" s="473" t="n">
        <v>0</v>
      </c>
      <c r="D4" s="473" t="n">
        <v>1</v>
      </c>
      <c r="E4" s="473" t="n">
        <v>2</v>
      </c>
      <c r="F4" s="473" t="n">
        <v>3</v>
      </c>
      <c r="G4" s="473" t="n">
        <v>4</v>
      </c>
      <c r="H4" s="473" t="n">
        <v>5</v>
      </c>
      <c r="I4" s="473" t="n">
        <v>6</v>
      </c>
      <c r="J4" s="474" t="n">
        <v>7</v>
      </c>
      <c r="K4" s="473" t="n">
        <v>8</v>
      </c>
      <c r="L4" s="473" t="n">
        <v>9</v>
      </c>
      <c r="M4" s="473" t="n">
        <v>10</v>
      </c>
      <c r="N4" s="473" t="n">
        <v>11</v>
      </c>
      <c r="O4" s="473" t="n">
        <v>12</v>
      </c>
      <c r="P4" s="474" t="n">
        <v>13</v>
      </c>
      <c r="Q4" s="473" t="n">
        <v>14</v>
      </c>
      <c r="R4" s="473" t="n">
        <v>15</v>
      </c>
      <c r="S4" s="473" t="n">
        <v>16</v>
      </c>
      <c r="T4" s="473" t="n">
        <v>17</v>
      </c>
      <c r="U4" s="473" t="n">
        <v>18</v>
      </c>
      <c r="V4" s="474" t="n">
        <v>19</v>
      </c>
      <c r="W4" s="473" t="n">
        <v>20</v>
      </c>
      <c r="X4" s="473" t="n">
        <v>21</v>
      </c>
      <c r="Y4" s="473" t="n">
        <v>22</v>
      </c>
      <c r="Z4" s="473" t="n">
        <v>23</v>
      </c>
      <c r="AA4" s="473" t="n">
        <v>24</v>
      </c>
      <c r="AB4" s="474" t="n">
        <v>25</v>
      </c>
      <c r="AC4" s="1"/>
      <c r="AD4" s="1"/>
      <c r="AE4" s="1"/>
      <c r="AF4" s="809"/>
      <c r="AG4" s="809"/>
      <c r="AH4" s="809"/>
      <c r="AI4" s="809"/>
      <c r="AJ4" s="809"/>
      <c r="AK4" s="809"/>
      <c r="AL4" s="809"/>
      <c r="AM4" s="809"/>
      <c r="AN4" s="809"/>
      <c r="AO4" s="809"/>
      <c r="AP4" s="809"/>
      <c r="AQ4" s="809"/>
      <c r="AR4" s="809"/>
      <c r="AS4" s="809"/>
      <c r="AT4" s="809"/>
      <c r="AU4" s="809"/>
      <c r="AV4" s="809"/>
      <c r="AW4" s="809"/>
      <c r="AX4" s="809"/>
      <c r="AY4" s="809"/>
      <c r="AZ4" s="809"/>
      <c r="BA4" s="809"/>
      <c r="BB4" s="809"/>
      <c r="BC4" s="809"/>
      <c r="BD4" s="809"/>
      <c r="BE4" s="809"/>
      <c r="BF4" s="809"/>
      <c r="BG4" s="809"/>
      <c r="BH4" s="809"/>
      <c r="BI4" s="809"/>
      <c r="BJ4" s="809"/>
      <c r="BK4" s="809"/>
      <c r="BL4" s="809"/>
      <c r="BM4" s="809"/>
      <c r="BN4" s="809"/>
      <c r="BO4" s="809"/>
      <c r="BP4" s="809"/>
      <c r="BQ4" s="809"/>
      <c r="BR4" s="809"/>
      <c r="BS4" s="809"/>
      <c r="BT4" s="809"/>
      <c r="BU4" s="809"/>
      <c r="BV4" s="809"/>
      <c r="BW4" s="809"/>
      <c r="BX4" s="809"/>
      <c r="BY4" s="809"/>
      <c r="BZ4" s="809"/>
      <c r="CA4" s="809"/>
      <c r="CB4" s="809"/>
      <c r="CC4" s="809"/>
      <c r="CD4" s="809"/>
      <c r="CE4" s="809"/>
      <c r="CF4" s="809"/>
      <c r="CG4" s="809"/>
      <c r="CH4" s="809"/>
      <c r="CI4" s="809"/>
      <c r="CJ4" s="809"/>
      <c r="CK4" s="809"/>
      <c r="CL4" s="809"/>
      <c r="CM4" s="809"/>
      <c r="CN4" s="809"/>
      <c r="CO4" s="809"/>
      <c r="CP4" s="809"/>
      <c r="CQ4" s="809"/>
      <c r="CR4" s="809"/>
      <c r="CS4" s="809"/>
      <c r="CT4" s="809"/>
      <c r="CU4" s="809"/>
      <c r="CV4" s="809"/>
      <c r="CW4" s="809"/>
      <c r="CX4" s="809"/>
      <c r="CY4" s="809"/>
      <c r="CZ4" s="809"/>
      <c r="DA4" s="809"/>
      <c r="DB4" s="809"/>
      <c r="DC4" s="809"/>
      <c r="DD4" s="809"/>
      <c r="DE4" s="809"/>
      <c r="DF4" s="809"/>
      <c r="DG4" s="809"/>
      <c r="DH4" s="809"/>
      <c r="DI4" s="809"/>
      <c r="DJ4" s="809"/>
      <c r="DK4" s="809"/>
      <c r="DL4" s="809"/>
      <c r="DM4" s="809"/>
      <c r="DN4" s="809"/>
      <c r="DO4" s="809"/>
      <c r="DP4" s="809"/>
      <c r="DQ4" s="809"/>
      <c r="DR4" s="809"/>
      <c r="DS4" s="809"/>
      <c r="DT4" s="809"/>
      <c r="DU4" s="809"/>
      <c r="DV4" s="809"/>
      <c r="DW4" s="809"/>
      <c r="DX4" s="809"/>
      <c r="DY4" s="809"/>
      <c r="DZ4" s="809"/>
      <c r="EA4" s="809"/>
      <c r="EB4" s="809"/>
      <c r="EC4" s="809"/>
      <c r="ED4" s="809"/>
      <c r="EE4" s="809"/>
      <c r="EF4" s="809"/>
      <c r="EG4" s="809"/>
      <c r="EH4" s="809"/>
      <c r="EI4" s="809"/>
      <c r="EJ4" s="809"/>
      <c r="EK4" s="809"/>
      <c r="EL4" s="809"/>
      <c r="EM4" s="809"/>
      <c r="EN4" s="809"/>
      <c r="EO4" s="809"/>
      <c r="EP4" s="809"/>
      <c r="EQ4" s="809"/>
      <c r="ER4" s="809"/>
      <c r="ES4" s="809"/>
      <c r="ET4" s="809"/>
      <c r="EU4" s="809"/>
      <c r="EV4" s="809"/>
      <c r="EW4" s="809"/>
      <c r="EX4" s="809"/>
      <c r="EY4" s="809"/>
      <c r="EZ4" s="809"/>
      <c r="FA4" s="809"/>
      <c r="FB4" s="809"/>
      <c r="FC4" s="809"/>
      <c r="FD4" s="809"/>
      <c r="FE4" s="809"/>
      <c r="FF4" s="809"/>
      <c r="FG4" s="809"/>
      <c r="FH4" s="809"/>
      <c r="FI4" s="809"/>
      <c r="FJ4" s="809"/>
      <c r="FK4" s="809"/>
      <c r="FL4" s="809"/>
      <c r="FM4" s="809"/>
      <c r="FN4" s="809"/>
      <c r="FO4" s="809"/>
      <c r="FP4" s="809"/>
      <c r="FQ4" s="809"/>
      <c r="FR4" s="809"/>
      <c r="FS4" s="809"/>
      <c r="FT4" s="809"/>
      <c r="FU4" s="809"/>
      <c r="FV4" s="809"/>
      <c r="FW4" s="809"/>
      <c r="FX4" s="809"/>
      <c r="FY4" s="809"/>
      <c r="FZ4" s="809"/>
      <c r="GA4" s="809"/>
      <c r="GB4" s="809"/>
      <c r="GC4" s="809"/>
      <c r="GD4" s="809"/>
      <c r="GE4" s="809"/>
      <c r="GF4" s="809"/>
      <c r="GG4" s="809"/>
      <c r="GH4" s="809"/>
      <c r="GI4" s="809"/>
      <c r="GJ4" s="809"/>
      <c r="GK4" s="809"/>
      <c r="GL4" s="809"/>
      <c r="GM4" s="809"/>
      <c r="GN4" s="809"/>
      <c r="GO4" s="809"/>
      <c r="GP4" s="809"/>
      <c r="GQ4" s="809"/>
      <c r="GR4" s="809"/>
      <c r="GS4" s="809"/>
      <c r="GT4" s="809"/>
      <c r="GU4" s="809"/>
      <c r="GV4" s="809"/>
      <c r="GW4" s="809"/>
      <c r="GX4" s="809"/>
      <c r="GY4" s="809"/>
      <c r="GZ4" s="809"/>
      <c r="HA4" s="809"/>
      <c r="HB4" s="809"/>
      <c r="HC4" s="809"/>
      <c r="HD4" s="809"/>
      <c r="HE4" s="809"/>
      <c r="HF4" s="809"/>
      <c r="HG4" s="809"/>
      <c r="HH4" s="809"/>
      <c r="HI4" s="809"/>
      <c r="HJ4" s="809"/>
      <c r="HK4" s="809"/>
      <c r="HL4" s="809"/>
      <c r="HM4" s="809"/>
      <c r="HN4" s="809"/>
      <c r="HO4" s="809"/>
      <c r="HP4" s="809"/>
      <c r="HQ4" s="809"/>
      <c r="HR4" s="809"/>
      <c r="HS4" s="809"/>
      <c r="HT4" s="809"/>
      <c r="HU4" s="809"/>
      <c r="HV4" s="809"/>
      <c r="HW4" s="809"/>
      <c r="HX4" s="809"/>
      <c r="HY4" s="809"/>
      <c r="HZ4" s="809"/>
      <c r="IA4" s="809"/>
      <c r="IB4" s="809"/>
      <c r="IC4" s="809"/>
      <c r="ID4" s="809"/>
      <c r="IE4" s="809"/>
      <c r="IF4" s="809"/>
      <c r="IG4" s="809"/>
      <c r="IH4" s="809"/>
      <c r="II4" s="809"/>
      <c r="IJ4" s="809"/>
      <c r="IK4" s="809"/>
      <c r="IL4" s="809"/>
      <c r="IM4" s="809"/>
      <c r="IN4" s="809"/>
      <c r="IO4" s="809"/>
      <c r="IP4" s="809"/>
      <c r="IQ4" s="809"/>
      <c r="IR4" s="809"/>
      <c r="IS4" s="809"/>
      <c r="IT4" s="809"/>
      <c r="IU4" s="809"/>
      <c r="IV4" s="809"/>
      <c r="IW4" s="809"/>
    </row>
    <row r="5" customFormat="false" ht="11.25" hidden="false" customHeight="true" outlineLevel="0" collapsed="false">
      <c r="A5" s="923"/>
      <c r="B5" s="367"/>
      <c r="C5" s="368" t="n">
        <f aca="false">D5-1</f>
        <v>1999</v>
      </c>
      <c r="D5" s="368" t="n">
        <f aca="false">+YEAR('Project Assumptions'!$G$16)</f>
        <v>2000</v>
      </c>
      <c r="E5" s="368" t="n">
        <f aca="false">D5+1</f>
        <v>2001</v>
      </c>
      <c r="F5" s="368" t="n">
        <f aca="false">E5+1</f>
        <v>2002</v>
      </c>
      <c r="G5" s="368" t="n">
        <f aca="false">F5+1</f>
        <v>2003</v>
      </c>
      <c r="H5" s="368" t="n">
        <f aca="false">G5+1</f>
        <v>2004</v>
      </c>
      <c r="I5" s="368" t="n">
        <f aca="false">H5+1</f>
        <v>2005</v>
      </c>
      <c r="J5" s="368" t="n">
        <f aca="false">I5+1</f>
        <v>2006</v>
      </c>
      <c r="K5" s="368" t="n">
        <f aca="false">J5+1</f>
        <v>2007</v>
      </c>
      <c r="L5" s="368" t="n">
        <f aca="false">K5+1</f>
        <v>2008</v>
      </c>
      <c r="M5" s="368" t="n">
        <f aca="false">L5+1</f>
        <v>2009</v>
      </c>
      <c r="N5" s="368" t="n">
        <f aca="false">M5+1</f>
        <v>2010</v>
      </c>
      <c r="O5" s="368" t="n">
        <f aca="false">N5+1</f>
        <v>2011</v>
      </c>
      <c r="P5" s="368" t="n">
        <f aca="false">O5+1</f>
        <v>2012</v>
      </c>
      <c r="Q5" s="368" t="n">
        <f aca="false">P5+1</f>
        <v>2013</v>
      </c>
      <c r="R5" s="368" t="n">
        <f aca="false">Q5+1</f>
        <v>2014</v>
      </c>
      <c r="S5" s="368" t="n">
        <f aca="false">R5+1</f>
        <v>2015</v>
      </c>
      <c r="T5" s="368" t="n">
        <f aca="false">S5+1</f>
        <v>2016</v>
      </c>
      <c r="U5" s="368" t="n">
        <f aca="false">T5+1</f>
        <v>2017</v>
      </c>
      <c r="V5" s="368" t="n">
        <f aca="false">U5+1</f>
        <v>2018</v>
      </c>
      <c r="W5" s="368" t="n">
        <f aca="false">V5+1</f>
        <v>2019</v>
      </c>
      <c r="X5" s="368" t="n">
        <f aca="false">W5+1</f>
        <v>2020</v>
      </c>
      <c r="Y5" s="368" t="n">
        <f aca="false">X5+1</f>
        <v>2021</v>
      </c>
      <c r="Z5" s="368" t="n">
        <f aca="false">Y5+1</f>
        <v>2022</v>
      </c>
      <c r="AA5" s="368" t="n">
        <f aca="false">Z5+1</f>
        <v>2023</v>
      </c>
      <c r="AB5" s="369" t="n">
        <f aca="false">AA5+1</f>
        <v>2024</v>
      </c>
      <c r="AC5" s="1"/>
      <c r="AD5" s="1"/>
      <c r="AE5" s="1"/>
      <c r="AF5" s="809"/>
      <c r="AG5" s="809"/>
      <c r="AH5" s="809"/>
      <c r="AI5" s="809"/>
      <c r="AJ5" s="809"/>
      <c r="AK5" s="809"/>
      <c r="AL5" s="809"/>
      <c r="AM5" s="809"/>
      <c r="AN5" s="809"/>
      <c r="AO5" s="809"/>
      <c r="AP5" s="809"/>
      <c r="AQ5" s="809"/>
      <c r="AR5" s="809"/>
      <c r="AS5" s="809"/>
      <c r="AT5" s="809"/>
      <c r="AU5" s="809"/>
      <c r="AV5" s="809"/>
      <c r="AW5" s="809"/>
      <c r="AX5" s="809"/>
      <c r="AY5" s="809"/>
      <c r="AZ5" s="809"/>
      <c r="BA5" s="809"/>
      <c r="BB5" s="809"/>
      <c r="BC5" s="809"/>
      <c r="BD5" s="809"/>
      <c r="BE5" s="809"/>
      <c r="BF5" s="809"/>
      <c r="BG5" s="809"/>
      <c r="BH5" s="809"/>
      <c r="BI5" s="809"/>
      <c r="BJ5" s="809"/>
      <c r="BK5" s="809"/>
      <c r="BL5" s="809"/>
      <c r="BM5" s="809"/>
      <c r="BN5" s="809"/>
      <c r="BO5" s="809"/>
      <c r="BP5" s="809"/>
      <c r="BQ5" s="809"/>
      <c r="BR5" s="809"/>
      <c r="BS5" s="809"/>
      <c r="BT5" s="809"/>
      <c r="BU5" s="809"/>
      <c r="BV5" s="809"/>
      <c r="BW5" s="809"/>
      <c r="BX5" s="809"/>
      <c r="BY5" s="809"/>
      <c r="BZ5" s="809"/>
      <c r="CA5" s="809"/>
      <c r="CB5" s="809"/>
      <c r="CC5" s="809"/>
      <c r="CD5" s="809"/>
      <c r="CE5" s="809"/>
      <c r="CF5" s="809"/>
      <c r="CG5" s="809"/>
      <c r="CH5" s="809"/>
      <c r="CI5" s="809"/>
      <c r="CJ5" s="809"/>
      <c r="CK5" s="809"/>
      <c r="CL5" s="809"/>
      <c r="CM5" s="809"/>
      <c r="CN5" s="809"/>
      <c r="CO5" s="809"/>
      <c r="CP5" s="809"/>
      <c r="CQ5" s="809"/>
      <c r="CR5" s="809"/>
      <c r="CS5" s="809"/>
      <c r="CT5" s="809"/>
      <c r="CU5" s="809"/>
      <c r="CV5" s="809"/>
      <c r="CW5" s="809"/>
      <c r="CX5" s="809"/>
      <c r="CY5" s="809"/>
      <c r="CZ5" s="809"/>
      <c r="DA5" s="809"/>
      <c r="DB5" s="809"/>
      <c r="DC5" s="809"/>
      <c r="DD5" s="809"/>
      <c r="DE5" s="809"/>
      <c r="DF5" s="809"/>
      <c r="DG5" s="809"/>
      <c r="DH5" s="809"/>
      <c r="DI5" s="809"/>
      <c r="DJ5" s="809"/>
      <c r="DK5" s="809"/>
      <c r="DL5" s="809"/>
      <c r="DM5" s="809"/>
      <c r="DN5" s="809"/>
      <c r="DO5" s="809"/>
      <c r="DP5" s="809"/>
      <c r="DQ5" s="809"/>
      <c r="DR5" s="809"/>
      <c r="DS5" s="809"/>
      <c r="DT5" s="809"/>
      <c r="DU5" s="809"/>
      <c r="DV5" s="809"/>
      <c r="DW5" s="809"/>
      <c r="DX5" s="809"/>
      <c r="DY5" s="809"/>
      <c r="DZ5" s="809"/>
      <c r="EA5" s="809"/>
      <c r="EB5" s="809"/>
      <c r="EC5" s="809"/>
      <c r="ED5" s="809"/>
      <c r="EE5" s="809"/>
      <c r="EF5" s="809"/>
      <c r="EG5" s="809"/>
      <c r="EH5" s="809"/>
      <c r="EI5" s="809"/>
      <c r="EJ5" s="809"/>
      <c r="EK5" s="809"/>
      <c r="EL5" s="809"/>
      <c r="EM5" s="809"/>
      <c r="EN5" s="809"/>
      <c r="EO5" s="809"/>
      <c r="EP5" s="809"/>
      <c r="EQ5" s="809"/>
      <c r="ER5" s="809"/>
      <c r="ES5" s="809"/>
      <c r="ET5" s="809"/>
      <c r="EU5" s="809"/>
      <c r="EV5" s="809"/>
      <c r="EW5" s="809"/>
      <c r="EX5" s="809"/>
      <c r="EY5" s="809"/>
      <c r="EZ5" s="809"/>
      <c r="FA5" s="809"/>
      <c r="FB5" s="809"/>
      <c r="FC5" s="809"/>
      <c r="FD5" s="809"/>
      <c r="FE5" s="809"/>
      <c r="FF5" s="809"/>
      <c r="FG5" s="809"/>
      <c r="FH5" s="809"/>
      <c r="FI5" s="809"/>
      <c r="FJ5" s="809"/>
      <c r="FK5" s="809"/>
      <c r="FL5" s="809"/>
      <c r="FM5" s="809"/>
      <c r="FN5" s="809"/>
      <c r="FO5" s="809"/>
      <c r="FP5" s="809"/>
      <c r="FQ5" s="809"/>
      <c r="FR5" s="809"/>
      <c r="FS5" s="809"/>
      <c r="FT5" s="809"/>
      <c r="FU5" s="809"/>
      <c r="FV5" s="809"/>
      <c r="FW5" s="809"/>
      <c r="FX5" s="809"/>
      <c r="FY5" s="809"/>
      <c r="FZ5" s="809"/>
      <c r="GA5" s="809"/>
      <c r="GB5" s="809"/>
      <c r="GC5" s="809"/>
      <c r="GD5" s="809"/>
      <c r="GE5" s="809"/>
      <c r="GF5" s="809"/>
      <c r="GG5" s="809"/>
      <c r="GH5" s="809"/>
      <c r="GI5" s="809"/>
      <c r="GJ5" s="809"/>
      <c r="GK5" s="809"/>
      <c r="GL5" s="809"/>
      <c r="GM5" s="809"/>
      <c r="GN5" s="809"/>
      <c r="GO5" s="809"/>
      <c r="GP5" s="809"/>
      <c r="GQ5" s="809"/>
      <c r="GR5" s="809"/>
      <c r="GS5" s="809"/>
      <c r="GT5" s="809"/>
      <c r="GU5" s="809"/>
      <c r="GV5" s="809"/>
      <c r="GW5" s="809"/>
      <c r="GX5" s="809"/>
      <c r="GY5" s="809"/>
      <c r="GZ5" s="809"/>
      <c r="HA5" s="809"/>
      <c r="HB5" s="809"/>
      <c r="HC5" s="809"/>
      <c r="HD5" s="809"/>
      <c r="HE5" s="809"/>
      <c r="HF5" s="809"/>
      <c r="HG5" s="809"/>
      <c r="HH5" s="809"/>
      <c r="HI5" s="809"/>
      <c r="HJ5" s="809"/>
      <c r="HK5" s="809"/>
      <c r="HL5" s="809"/>
      <c r="HM5" s="809"/>
      <c r="HN5" s="809"/>
      <c r="HO5" s="809"/>
      <c r="HP5" s="809"/>
      <c r="HQ5" s="809"/>
      <c r="HR5" s="809"/>
      <c r="HS5" s="809"/>
      <c r="HT5" s="809"/>
      <c r="HU5" s="809"/>
      <c r="HV5" s="809"/>
      <c r="HW5" s="809"/>
      <c r="HX5" s="809"/>
      <c r="HY5" s="809"/>
      <c r="HZ5" s="809"/>
      <c r="IA5" s="809"/>
      <c r="IB5" s="809"/>
      <c r="IC5" s="809"/>
      <c r="ID5" s="809"/>
      <c r="IE5" s="809"/>
      <c r="IF5" s="809"/>
      <c r="IG5" s="809"/>
      <c r="IH5" s="809"/>
      <c r="II5" s="809"/>
      <c r="IJ5" s="809"/>
      <c r="IK5" s="809"/>
      <c r="IL5" s="809"/>
      <c r="IM5" s="809"/>
      <c r="IN5" s="809"/>
      <c r="IO5" s="809"/>
      <c r="IP5" s="809"/>
      <c r="IQ5" s="809"/>
      <c r="IR5" s="809"/>
      <c r="IS5" s="809"/>
      <c r="IT5" s="809"/>
      <c r="IU5" s="809"/>
      <c r="IV5" s="809"/>
      <c r="IW5" s="809"/>
    </row>
    <row r="6" customFormat="false" ht="11.25" hidden="false" customHeight="true" outlineLevel="0" collapsed="false">
      <c r="A6" s="397" t="s">
        <v>673</v>
      </c>
      <c r="B6" s="0"/>
      <c r="C6" s="924"/>
      <c r="D6" s="503"/>
      <c r="E6" s="503"/>
      <c r="F6" s="503"/>
      <c r="G6" s="503"/>
      <c r="H6" s="503"/>
      <c r="I6" s="503"/>
      <c r="J6" s="503"/>
      <c r="K6" s="503"/>
      <c r="L6" s="503"/>
      <c r="M6" s="503"/>
      <c r="N6" s="503"/>
      <c r="O6" s="503"/>
      <c r="P6" s="503"/>
      <c r="Q6" s="503"/>
      <c r="R6" s="503"/>
      <c r="S6" s="503"/>
      <c r="T6" s="503"/>
      <c r="U6" s="503"/>
      <c r="V6" s="503"/>
      <c r="W6" s="503"/>
      <c r="X6" s="503"/>
      <c r="Y6" s="503"/>
      <c r="Z6" s="371"/>
      <c r="AA6" s="371"/>
      <c r="AB6" s="402"/>
      <c r="AC6" s="1"/>
      <c r="AD6" s="1"/>
      <c r="AE6" s="1"/>
      <c r="AF6" s="809"/>
      <c r="AG6" s="809"/>
      <c r="AH6" s="809"/>
      <c r="AI6" s="809"/>
      <c r="AJ6" s="809"/>
      <c r="AK6" s="809"/>
      <c r="AL6" s="809"/>
      <c r="AM6" s="809"/>
      <c r="AN6" s="809"/>
      <c r="AO6" s="809"/>
      <c r="AP6" s="809"/>
      <c r="AQ6" s="809"/>
      <c r="AR6" s="809"/>
      <c r="AS6" s="809"/>
      <c r="AT6" s="809"/>
      <c r="AU6" s="809"/>
      <c r="AV6" s="809"/>
      <c r="AW6" s="809"/>
      <c r="AX6" s="809"/>
      <c r="AY6" s="809"/>
      <c r="AZ6" s="809"/>
      <c r="BA6" s="809"/>
      <c r="BB6" s="809"/>
      <c r="BC6" s="809"/>
      <c r="BD6" s="809"/>
      <c r="BE6" s="809"/>
      <c r="BF6" s="809"/>
      <c r="BG6" s="809"/>
      <c r="BH6" s="809"/>
      <c r="BI6" s="809"/>
      <c r="BJ6" s="809"/>
      <c r="BK6" s="809"/>
      <c r="BL6" s="809"/>
      <c r="BM6" s="809"/>
      <c r="BN6" s="809"/>
      <c r="BO6" s="809"/>
      <c r="BP6" s="809"/>
      <c r="BQ6" s="809"/>
      <c r="BR6" s="809"/>
      <c r="BS6" s="809"/>
      <c r="BT6" s="809"/>
      <c r="BU6" s="809"/>
      <c r="BV6" s="809"/>
      <c r="BW6" s="809"/>
      <c r="BX6" s="809"/>
      <c r="BY6" s="809"/>
      <c r="BZ6" s="809"/>
      <c r="CA6" s="809"/>
      <c r="CB6" s="809"/>
      <c r="CC6" s="809"/>
      <c r="CD6" s="809"/>
      <c r="CE6" s="809"/>
      <c r="CF6" s="809"/>
      <c r="CG6" s="809"/>
      <c r="CH6" s="809"/>
      <c r="CI6" s="809"/>
      <c r="CJ6" s="809"/>
      <c r="CK6" s="809"/>
      <c r="CL6" s="809"/>
      <c r="CM6" s="809"/>
      <c r="CN6" s="809"/>
      <c r="CO6" s="809"/>
      <c r="CP6" s="809"/>
      <c r="CQ6" s="809"/>
      <c r="CR6" s="809"/>
      <c r="CS6" s="809"/>
      <c r="CT6" s="809"/>
      <c r="CU6" s="809"/>
      <c r="CV6" s="809"/>
      <c r="CW6" s="809"/>
      <c r="CX6" s="809"/>
      <c r="CY6" s="809"/>
      <c r="CZ6" s="809"/>
      <c r="DA6" s="809"/>
      <c r="DB6" s="809"/>
      <c r="DC6" s="809"/>
      <c r="DD6" s="809"/>
      <c r="DE6" s="809"/>
      <c r="DF6" s="809"/>
      <c r="DG6" s="809"/>
      <c r="DH6" s="809"/>
      <c r="DI6" s="809"/>
      <c r="DJ6" s="809"/>
      <c r="DK6" s="809"/>
      <c r="DL6" s="809"/>
      <c r="DM6" s="809"/>
      <c r="DN6" s="809"/>
      <c r="DO6" s="809"/>
      <c r="DP6" s="809"/>
      <c r="DQ6" s="809"/>
      <c r="DR6" s="809"/>
      <c r="DS6" s="809"/>
      <c r="DT6" s="809"/>
      <c r="DU6" s="809"/>
      <c r="DV6" s="809"/>
      <c r="DW6" s="809"/>
      <c r="DX6" s="809"/>
      <c r="DY6" s="809"/>
      <c r="DZ6" s="809"/>
      <c r="EA6" s="809"/>
      <c r="EB6" s="809"/>
      <c r="EC6" s="809"/>
      <c r="ED6" s="809"/>
      <c r="EE6" s="809"/>
      <c r="EF6" s="809"/>
      <c r="EG6" s="809"/>
      <c r="EH6" s="809"/>
      <c r="EI6" s="809"/>
      <c r="EJ6" s="809"/>
      <c r="EK6" s="809"/>
      <c r="EL6" s="809"/>
      <c r="EM6" s="809"/>
      <c r="EN6" s="809"/>
      <c r="EO6" s="809"/>
      <c r="EP6" s="809"/>
      <c r="EQ6" s="809"/>
      <c r="ER6" s="809"/>
      <c r="ES6" s="809"/>
      <c r="ET6" s="809"/>
      <c r="EU6" s="809"/>
      <c r="EV6" s="809"/>
      <c r="EW6" s="809"/>
      <c r="EX6" s="809"/>
      <c r="EY6" s="809"/>
      <c r="EZ6" s="809"/>
      <c r="FA6" s="809"/>
      <c r="FB6" s="809"/>
      <c r="FC6" s="809"/>
      <c r="FD6" s="809"/>
      <c r="FE6" s="809"/>
      <c r="FF6" s="809"/>
      <c r="FG6" s="809"/>
      <c r="FH6" s="809"/>
      <c r="FI6" s="809"/>
      <c r="FJ6" s="809"/>
      <c r="FK6" s="809"/>
      <c r="FL6" s="809"/>
      <c r="FM6" s="809"/>
      <c r="FN6" s="809"/>
      <c r="FO6" s="809"/>
      <c r="FP6" s="809"/>
      <c r="FQ6" s="809"/>
      <c r="FR6" s="809"/>
      <c r="FS6" s="809"/>
      <c r="FT6" s="809"/>
      <c r="FU6" s="809"/>
      <c r="FV6" s="809"/>
      <c r="FW6" s="809"/>
      <c r="FX6" s="809"/>
      <c r="FY6" s="809"/>
      <c r="FZ6" s="809"/>
      <c r="GA6" s="809"/>
      <c r="GB6" s="809"/>
      <c r="GC6" s="809"/>
      <c r="GD6" s="809"/>
      <c r="GE6" s="809"/>
      <c r="GF6" s="809"/>
      <c r="GG6" s="809"/>
      <c r="GH6" s="809"/>
      <c r="GI6" s="809"/>
      <c r="GJ6" s="809"/>
      <c r="GK6" s="809"/>
      <c r="GL6" s="809"/>
      <c r="GM6" s="809"/>
      <c r="GN6" s="809"/>
      <c r="GO6" s="809"/>
      <c r="GP6" s="809"/>
      <c r="GQ6" s="809"/>
      <c r="GR6" s="809"/>
      <c r="GS6" s="809"/>
      <c r="GT6" s="809"/>
      <c r="GU6" s="809"/>
      <c r="GV6" s="809"/>
      <c r="GW6" s="809"/>
      <c r="GX6" s="809"/>
      <c r="GY6" s="809"/>
      <c r="GZ6" s="809"/>
      <c r="HA6" s="809"/>
      <c r="HB6" s="809"/>
      <c r="HC6" s="809"/>
      <c r="HD6" s="809"/>
      <c r="HE6" s="809"/>
      <c r="HF6" s="809"/>
      <c r="HG6" s="809"/>
      <c r="HH6" s="809"/>
      <c r="HI6" s="809"/>
      <c r="HJ6" s="809"/>
      <c r="HK6" s="809"/>
      <c r="HL6" s="809"/>
      <c r="HM6" s="809"/>
      <c r="HN6" s="809"/>
      <c r="HO6" s="809"/>
      <c r="HP6" s="809"/>
      <c r="HQ6" s="809"/>
      <c r="HR6" s="809"/>
      <c r="HS6" s="809"/>
      <c r="HT6" s="809"/>
      <c r="HU6" s="809"/>
      <c r="HV6" s="809"/>
      <c r="HW6" s="809"/>
      <c r="HX6" s="809"/>
      <c r="HY6" s="809"/>
      <c r="HZ6" s="809"/>
      <c r="IA6" s="809"/>
      <c r="IB6" s="809"/>
      <c r="IC6" s="809"/>
      <c r="ID6" s="809"/>
      <c r="IE6" s="809"/>
      <c r="IF6" s="809"/>
      <c r="IG6" s="809"/>
      <c r="IH6" s="809"/>
      <c r="II6" s="809"/>
      <c r="IJ6" s="809"/>
      <c r="IK6" s="809"/>
      <c r="IL6" s="809"/>
      <c r="IM6" s="809"/>
      <c r="IN6" s="809"/>
      <c r="IO6" s="809"/>
      <c r="IP6" s="809"/>
      <c r="IQ6" s="809"/>
      <c r="IR6" s="809"/>
      <c r="IS6" s="809"/>
      <c r="IT6" s="809"/>
      <c r="IU6" s="809"/>
      <c r="IV6" s="809"/>
      <c r="IW6" s="809"/>
    </row>
    <row r="7" customFormat="false" ht="11.25" hidden="false" customHeight="true" outlineLevel="0" collapsed="false">
      <c r="A7" s="397" t="s">
        <v>674</v>
      </c>
      <c r="B7" s="371"/>
      <c r="C7" s="712"/>
      <c r="D7" s="727" t="n">
        <f aca="false">IF(D4&lt;=ProjectLife+1,'Project Assumptions'!$L$15,0)</f>
        <v>120</v>
      </c>
      <c r="E7" s="727" t="n">
        <f aca="false">IF(E4&lt;=ProjectLife+1,'Project Assumptions'!$L$15,0)</f>
        <v>120</v>
      </c>
      <c r="F7" s="727" t="n">
        <f aca="false">IF(F4&lt;=ProjectLife+1,'Project Assumptions'!$L$15,0)</f>
        <v>120</v>
      </c>
      <c r="G7" s="727" t="n">
        <f aca="false">IF(G4&lt;=ProjectLife+1,'Project Assumptions'!$L$15,0)</f>
        <v>120</v>
      </c>
      <c r="H7" s="727" t="n">
        <f aca="false">IF(H4&lt;=ProjectLife+1,'Project Assumptions'!$L$15,0)</f>
        <v>120</v>
      </c>
      <c r="I7" s="727" t="n">
        <f aca="false">IF(I4&lt;=ProjectLife+1,'Project Assumptions'!$L$15,0)</f>
        <v>120</v>
      </c>
      <c r="J7" s="727" t="n">
        <f aca="false">IF(J4&lt;=ProjectLife+1,'Project Assumptions'!$L$15,0)</f>
        <v>120</v>
      </c>
      <c r="K7" s="727" t="n">
        <f aca="false">IF(K4&lt;=ProjectLife+1,'Project Assumptions'!$L$15,0)</f>
        <v>120</v>
      </c>
      <c r="L7" s="727" t="n">
        <f aca="false">IF(L4&lt;=ProjectLife+1,'Project Assumptions'!$L$15,0)</f>
        <v>120</v>
      </c>
      <c r="M7" s="727" t="n">
        <f aca="false">IF(M4&lt;=ProjectLife+1,'Project Assumptions'!$L$15,0)</f>
        <v>120</v>
      </c>
      <c r="N7" s="727" t="n">
        <f aca="false">IF(N4&lt;=ProjectLife+1,'Project Assumptions'!$L$15,0)</f>
        <v>120</v>
      </c>
      <c r="O7" s="727" t="n">
        <f aca="false">IF(O4&lt;=ProjectLife+1,'Project Assumptions'!$L$15,0)</f>
        <v>120</v>
      </c>
      <c r="P7" s="727" t="n">
        <f aca="false">IF(P4&lt;=ProjectLife+1,'Project Assumptions'!$L$15,0)</f>
        <v>120</v>
      </c>
      <c r="Q7" s="727" t="n">
        <f aca="false">IF(Q4&lt;=ProjectLife+1,'Project Assumptions'!$L$15,0)</f>
        <v>120</v>
      </c>
      <c r="R7" s="727" t="n">
        <f aca="false">IF(R4&lt;=ProjectLife+1,'Project Assumptions'!$L$15,0)</f>
        <v>120</v>
      </c>
      <c r="S7" s="727" t="n">
        <f aca="false">IF(S4&lt;=ProjectLife+1,'Project Assumptions'!$L$15,0)</f>
        <v>120</v>
      </c>
      <c r="T7" s="727" t="n">
        <f aca="false">IF(T4&lt;=ProjectLife+1,'Project Assumptions'!$L$15,0)</f>
        <v>120</v>
      </c>
      <c r="U7" s="727" t="n">
        <f aca="false">IF(U4&lt;=ProjectLife+1,'Project Assumptions'!$L$15,0)</f>
        <v>120</v>
      </c>
      <c r="V7" s="727" t="n">
        <f aca="false">IF(V4&lt;=ProjectLife+1,'Project Assumptions'!$L$15,0)</f>
        <v>120</v>
      </c>
      <c r="W7" s="727" t="n">
        <f aca="false">IF(W4&lt;=ProjectLife+1,'Project Assumptions'!$L$15,0)</f>
        <v>120</v>
      </c>
      <c r="X7" s="727" t="n">
        <f aca="false">IF(X4&lt;=ProjectLife+1,'Project Assumptions'!$L$15,0)</f>
        <v>120</v>
      </c>
      <c r="Y7" s="727" t="n">
        <f aca="false">IF(Y4&lt;=ProjectLife+1,'Project Assumptions'!$L$15,0)</f>
        <v>0</v>
      </c>
      <c r="Z7" s="727" t="n">
        <f aca="false">IF(Z4&lt;=ProjectLife+1,'Project Assumptions'!$L$15,0)</f>
        <v>0</v>
      </c>
      <c r="AA7" s="727" t="n">
        <f aca="false">IF(AA4&lt;=ProjectLife+1,'Project Assumptions'!$L$15,0)</f>
        <v>0</v>
      </c>
      <c r="AB7" s="727" t="n">
        <f aca="false">IF(AB4&lt;=ProjectLife+1,'Project Assumptions'!$L$15,0)</f>
        <v>0</v>
      </c>
      <c r="AC7" s="1"/>
      <c r="AD7" s="1"/>
      <c r="AE7" s="1"/>
      <c r="AF7" s="809"/>
      <c r="AG7" s="809"/>
      <c r="AH7" s="809"/>
      <c r="AI7" s="809"/>
      <c r="AJ7" s="809"/>
      <c r="AK7" s="809"/>
      <c r="AL7" s="809"/>
      <c r="AM7" s="809"/>
      <c r="AN7" s="809"/>
      <c r="AO7" s="809"/>
      <c r="AP7" s="809"/>
      <c r="AQ7" s="809"/>
      <c r="AR7" s="809"/>
      <c r="AS7" s="809"/>
      <c r="AT7" s="809"/>
      <c r="AU7" s="809"/>
      <c r="AV7" s="809"/>
      <c r="AW7" s="809"/>
      <c r="AX7" s="809"/>
      <c r="AY7" s="809"/>
      <c r="AZ7" s="809"/>
      <c r="BA7" s="809"/>
      <c r="BB7" s="809"/>
      <c r="BC7" s="809"/>
      <c r="BD7" s="809"/>
      <c r="BE7" s="809"/>
      <c r="BF7" s="809"/>
      <c r="BG7" s="809"/>
      <c r="BH7" s="809"/>
      <c r="BI7" s="809"/>
      <c r="BJ7" s="809"/>
      <c r="BK7" s="809"/>
      <c r="BL7" s="809"/>
      <c r="BM7" s="809"/>
      <c r="BN7" s="809"/>
      <c r="BO7" s="809"/>
      <c r="BP7" s="809"/>
      <c r="BQ7" s="809"/>
      <c r="BR7" s="809"/>
      <c r="BS7" s="809"/>
      <c r="BT7" s="809"/>
      <c r="BU7" s="809"/>
      <c r="BV7" s="809"/>
      <c r="BW7" s="809"/>
      <c r="BX7" s="809"/>
      <c r="BY7" s="809"/>
      <c r="BZ7" s="809"/>
      <c r="CA7" s="809"/>
      <c r="CB7" s="809"/>
      <c r="CC7" s="809"/>
      <c r="CD7" s="809"/>
      <c r="CE7" s="809"/>
      <c r="CF7" s="809"/>
      <c r="CG7" s="809"/>
      <c r="CH7" s="809"/>
      <c r="CI7" s="809"/>
      <c r="CJ7" s="809"/>
      <c r="CK7" s="809"/>
      <c r="CL7" s="809"/>
      <c r="CM7" s="809"/>
      <c r="CN7" s="809"/>
      <c r="CO7" s="809"/>
      <c r="CP7" s="809"/>
      <c r="CQ7" s="809"/>
      <c r="CR7" s="809"/>
      <c r="CS7" s="809"/>
      <c r="CT7" s="809"/>
      <c r="CU7" s="809"/>
      <c r="CV7" s="809"/>
      <c r="CW7" s="809"/>
      <c r="CX7" s="809"/>
      <c r="CY7" s="809"/>
      <c r="CZ7" s="809"/>
      <c r="DA7" s="809"/>
      <c r="DB7" s="809"/>
      <c r="DC7" s="809"/>
      <c r="DD7" s="809"/>
      <c r="DE7" s="809"/>
      <c r="DF7" s="809"/>
      <c r="DG7" s="809"/>
      <c r="DH7" s="809"/>
      <c r="DI7" s="809"/>
      <c r="DJ7" s="809"/>
      <c r="DK7" s="809"/>
      <c r="DL7" s="809"/>
      <c r="DM7" s="809"/>
      <c r="DN7" s="809"/>
      <c r="DO7" s="809"/>
      <c r="DP7" s="809"/>
      <c r="DQ7" s="809"/>
      <c r="DR7" s="809"/>
      <c r="DS7" s="809"/>
      <c r="DT7" s="809"/>
      <c r="DU7" s="809"/>
      <c r="DV7" s="809"/>
      <c r="DW7" s="809"/>
      <c r="DX7" s="809"/>
      <c r="DY7" s="809"/>
      <c r="DZ7" s="809"/>
      <c r="EA7" s="809"/>
      <c r="EB7" s="809"/>
      <c r="EC7" s="809"/>
      <c r="ED7" s="809"/>
      <c r="EE7" s="809"/>
      <c r="EF7" s="809"/>
      <c r="EG7" s="809"/>
      <c r="EH7" s="809"/>
      <c r="EI7" s="809"/>
      <c r="EJ7" s="809"/>
      <c r="EK7" s="809"/>
      <c r="EL7" s="809"/>
      <c r="EM7" s="809"/>
      <c r="EN7" s="809"/>
      <c r="EO7" s="809"/>
      <c r="EP7" s="809"/>
      <c r="EQ7" s="809"/>
      <c r="ER7" s="809"/>
      <c r="ES7" s="809"/>
      <c r="ET7" s="809"/>
      <c r="EU7" s="809"/>
      <c r="EV7" s="809"/>
      <c r="EW7" s="809"/>
      <c r="EX7" s="809"/>
      <c r="EY7" s="809"/>
      <c r="EZ7" s="809"/>
      <c r="FA7" s="809"/>
      <c r="FB7" s="809"/>
      <c r="FC7" s="809"/>
      <c r="FD7" s="809"/>
      <c r="FE7" s="809"/>
      <c r="FF7" s="809"/>
      <c r="FG7" s="809"/>
      <c r="FH7" s="809"/>
      <c r="FI7" s="809"/>
      <c r="FJ7" s="809"/>
      <c r="FK7" s="809"/>
      <c r="FL7" s="809"/>
      <c r="FM7" s="809"/>
      <c r="FN7" s="809"/>
      <c r="FO7" s="809"/>
      <c r="FP7" s="809"/>
      <c r="FQ7" s="809"/>
      <c r="FR7" s="809"/>
      <c r="FS7" s="809"/>
      <c r="FT7" s="809"/>
      <c r="FU7" s="809"/>
      <c r="FV7" s="809"/>
      <c r="FW7" s="809"/>
      <c r="FX7" s="809"/>
      <c r="FY7" s="809"/>
      <c r="FZ7" s="809"/>
      <c r="GA7" s="809"/>
      <c r="GB7" s="809"/>
      <c r="GC7" s="809"/>
      <c r="GD7" s="809"/>
      <c r="GE7" s="809"/>
      <c r="GF7" s="809"/>
      <c r="GG7" s="809"/>
      <c r="GH7" s="809"/>
      <c r="GI7" s="809"/>
      <c r="GJ7" s="809"/>
      <c r="GK7" s="809"/>
      <c r="GL7" s="809"/>
      <c r="GM7" s="809"/>
      <c r="GN7" s="809"/>
      <c r="GO7" s="809"/>
      <c r="GP7" s="809"/>
      <c r="GQ7" s="809"/>
      <c r="GR7" s="809"/>
      <c r="GS7" s="809"/>
      <c r="GT7" s="809"/>
      <c r="GU7" s="809"/>
      <c r="GV7" s="809"/>
      <c r="GW7" s="809"/>
      <c r="GX7" s="809"/>
      <c r="GY7" s="809"/>
      <c r="GZ7" s="809"/>
      <c r="HA7" s="809"/>
      <c r="HB7" s="809"/>
      <c r="HC7" s="809"/>
      <c r="HD7" s="809"/>
      <c r="HE7" s="809"/>
      <c r="HF7" s="809"/>
      <c r="HG7" s="809"/>
      <c r="HH7" s="809"/>
      <c r="HI7" s="809"/>
      <c r="HJ7" s="809"/>
      <c r="HK7" s="809"/>
      <c r="HL7" s="809"/>
      <c r="HM7" s="809"/>
      <c r="HN7" s="809"/>
      <c r="HO7" s="809"/>
      <c r="HP7" s="809"/>
      <c r="HQ7" s="809"/>
      <c r="HR7" s="809"/>
      <c r="HS7" s="809"/>
      <c r="HT7" s="809"/>
      <c r="HU7" s="809"/>
      <c r="HV7" s="809"/>
      <c r="HW7" s="809"/>
      <c r="HX7" s="809"/>
      <c r="HY7" s="809"/>
      <c r="HZ7" s="809"/>
      <c r="IA7" s="809"/>
      <c r="IB7" s="809"/>
      <c r="IC7" s="809"/>
      <c r="ID7" s="809"/>
      <c r="IE7" s="809"/>
      <c r="IF7" s="809"/>
      <c r="IG7" s="809"/>
      <c r="IH7" s="809"/>
      <c r="II7" s="809"/>
      <c r="IJ7" s="809"/>
      <c r="IK7" s="809"/>
      <c r="IL7" s="809"/>
      <c r="IM7" s="809"/>
      <c r="IN7" s="809"/>
      <c r="IO7" s="809"/>
      <c r="IP7" s="809"/>
      <c r="IQ7" s="809"/>
      <c r="IR7" s="809"/>
      <c r="IS7" s="809"/>
      <c r="IT7" s="809"/>
      <c r="IU7" s="809"/>
      <c r="IV7" s="809"/>
      <c r="IW7" s="809"/>
    </row>
    <row r="8" customFormat="false" ht="11.25" hidden="false" customHeight="true" outlineLevel="0" collapsed="false">
      <c r="A8" s="397" t="s">
        <v>675</v>
      </c>
      <c r="B8" s="611"/>
      <c r="C8" s="712"/>
      <c r="D8" s="727" t="n">
        <f aca="false">D7</f>
        <v>120</v>
      </c>
      <c r="E8" s="727" t="n">
        <f aca="false">D8+E7</f>
        <v>240</v>
      </c>
      <c r="F8" s="727" t="n">
        <f aca="false">E8+F7</f>
        <v>360</v>
      </c>
      <c r="G8" s="727" t="n">
        <f aca="false">F8+G7</f>
        <v>480</v>
      </c>
      <c r="H8" s="727" t="n">
        <f aca="false">G8+H7</f>
        <v>600</v>
      </c>
      <c r="I8" s="727" t="n">
        <f aca="false">H8+I7</f>
        <v>720</v>
      </c>
      <c r="J8" s="727" t="n">
        <f aca="false">I8+J7</f>
        <v>840</v>
      </c>
      <c r="K8" s="727" t="n">
        <f aca="false">J8+K7</f>
        <v>960</v>
      </c>
      <c r="L8" s="727" t="n">
        <f aca="false">K8+L7</f>
        <v>1080</v>
      </c>
      <c r="M8" s="727" t="n">
        <f aca="false">L8+M7</f>
        <v>1200</v>
      </c>
      <c r="N8" s="727" t="n">
        <f aca="false">M8+N7</f>
        <v>1320</v>
      </c>
      <c r="O8" s="727" t="n">
        <f aca="false">N8+O7</f>
        <v>1440</v>
      </c>
      <c r="P8" s="727" t="n">
        <f aca="false">O8+P7</f>
        <v>1560</v>
      </c>
      <c r="Q8" s="727" t="n">
        <f aca="false">P8+Q7</f>
        <v>1680</v>
      </c>
      <c r="R8" s="727" t="n">
        <f aca="false">Q8+R7</f>
        <v>1800</v>
      </c>
      <c r="S8" s="727" t="n">
        <f aca="false">R8+S7</f>
        <v>1920</v>
      </c>
      <c r="T8" s="727" t="n">
        <f aca="false">S8+T7</f>
        <v>2040</v>
      </c>
      <c r="U8" s="727" t="n">
        <f aca="false">T8+U7</f>
        <v>2160</v>
      </c>
      <c r="V8" s="727" t="n">
        <f aca="false">U8+V7</f>
        <v>2280</v>
      </c>
      <c r="W8" s="727" t="n">
        <f aca="false">V8+W7</f>
        <v>2400</v>
      </c>
      <c r="X8" s="727" t="n">
        <f aca="false">W8+X7</f>
        <v>2520</v>
      </c>
      <c r="Y8" s="727" t="n">
        <f aca="false">X8+Y7</f>
        <v>2520</v>
      </c>
      <c r="Z8" s="727" t="n">
        <f aca="false">Y8+Z7</f>
        <v>2520</v>
      </c>
      <c r="AA8" s="727" t="n">
        <f aca="false">Z8+AA7</f>
        <v>2520</v>
      </c>
      <c r="AB8" s="727" t="n">
        <f aca="false">AA8+AB7</f>
        <v>2520</v>
      </c>
      <c r="AC8" s="1"/>
      <c r="AD8" s="1"/>
      <c r="AE8" s="1"/>
      <c r="AF8" s="809"/>
      <c r="AG8" s="809"/>
      <c r="AH8" s="809"/>
      <c r="AI8" s="809"/>
      <c r="AJ8" s="809"/>
      <c r="AK8" s="809"/>
      <c r="AL8" s="809"/>
      <c r="AM8" s="809"/>
      <c r="AN8" s="809"/>
      <c r="AO8" s="809"/>
      <c r="AP8" s="809"/>
      <c r="AQ8" s="809"/>
      <c r="AR8" s="809"/>
      <c r="AS8" s="809"/>
      <c r="AT8" s="809"/>
      <c r="AU8" s="809"/>
      <c r="AV8" s="809"/>
      <c r="AW8" s="809"/>
      <c r="AX8" s="809"/>
      <c r="AY8" s="809"/>
      <c r="AZ8" s="809"/>
      <c r="BA8" s="809"/>
      <c r="BB8" s="809"/>
      <c r="BC8" s="809"/>
      <c r="BD8" s="809"/>
      <c r="BE8" s="809"/>
      <c r="BF8" s="809"/>
      <c r="BG8" s="809"/>
      <c r="BH8" s="809"/>
      <c r="BI8" s="809"/>
      <c r="BJ8" s="809"/>
      <c r="BK8" s="809"/>
      <c r="BL8" s="809"/>
      <c r="BM8" s="809"/>
      <c r="BN8" s="809"/>
      <c r="BO8" s="809"/>
      <c r="BP8" s="809"/>
      <c r="BQ8" s="809"/>
      <c r="BR8" s="809"/>
      <c r="BS8" s="809"/>
      <c r="BT8" s="809"/>
      <c r="BU8" s="809"/>
      <c r="BV8" s="809"/>
      <c r="BW8" s="809"/>
      <c r="BX8" s="809"/>
      <c r="BY8" s="809"/>
      <c r="BZ8" s="809"/>
      <c r="CA8" s="809"/>
      <c r="CB8" s="809"/>
      <c r="CC8" s="809"/>
      <c r="CD8" s="809"/>
      <c r="CE8" s="809"/>
      <c r="CF8" s="809"/>
      <c r="CG8" s="809"/>
      <c r="CH8" s="809"/>
      <c r="CI8" s="809"/>
      <c r="CJ8" s="809"/>
      <c r="CK8" s="809"/>
      <c r="CL8" s="809"/>
      <c r="CM8" s="809"/>
      <c r="CN8" s="809"/>
      <c r="CO8" s="809"/>
      <c r="CP8" s="809"/>
      <c r="CQ8" s="809"/>
      <c r="CR8" s="809"/>
      <c r="CS8" s="809"/>
      <c r="CT8" s="809"/>
      <c r="CU8" s="809"/>
      <c r="CV8" s="809"/>
      <c r="CW8" s="809"/>
      <c r="CX8" s="809"/>
      <c r="CY8" s="809"/>
      <c r="CZ8" s="809"/>
      <c r="DA8" s="809"/>
      <c r="DB8" s="809"/>
      <c r="DC8" s="809"/>
      <c r="DD8" s="809"/>
      <c r="DE8" s="809"/>
      <c r="DF8" s="809"/>
      <c r="DG8" s="809"/>
      <c r="DH8" s="809"/>
      <c r="DI8" s="809"/>
      <c r="DJ8" s="809"/>
      <c r="DK8" s="809"/>
      <c r="DL8" s="809"/>
      <c r="DM8" s="809"/>
      <c r="DN8" s="809"/>
      <c r="DO8" s="809"/>
      <c r="DP8" s="809"/>
      <c r="DQ8" s="809"/>
      <c r="DR8" s="809"/>
      <c r="DS8" s="809"/>
      <c r="DT8" s="809"/>
      <c r="DU8" s="809"/>
      <c r="DV8" s="809"/>
      <c r="DW8" s="809"/>
      <c r="DX8" s="809"/>
      <c r="DY8" s="809"/>
      <c r="DZ8" s="809"/>
      <c r="EA8" s="809"/>
      <c r="EB8" s="809"/>
      <c r="EC8" s="809"/>
      <c r="ED8" s="809"/>
      <c r="EE8" s="809"/>
      <c r="EF8" s="809"/>
      <c r="EG8" s="809"/>
      <c r="EH8" s="809"/>
      <c r="EI8" s="809"/>
      <c r="EJ8" s="809"/>
      <c r="EK8" s="809"/>
      <c r="EL8" s="809"/>
      <c r="EM8" s="809"/>
      <c r="EN8" s="809"/>
      <c r="EO8" s="809"/>
      <c r="EP8" s="809"/>
      <c r="EQ8" s="809"/>
      <c r="ER8" s="809"/>
      <c r="ES8" s="809"/>
      <c r="ET8" s="809"/>
      <c r="EU8" s="809"/>
      <c r="EV8" s="809"/>
      <c r="EW8" s="809"/>
      <c r="EX8" s="809"/>
      <c r="EY8" s="809"/>
      <c r="EZ8" s="809"/>
      <c r="FA8" s="809"/>
      <c r="FB8" s="809"/>
      <c r="FC8" s="809"/>
      <c r="FD8" s="809"/>
      <c r="FE8" s="809"/>
      <c r="FF8" s="809"/>
      <c r="FG8" s="809"/>
      <c r="FH8" s="809"/>
      <c r="FI8" s="809"/>
      <c r="FJ8" s="809"/>
      <c r="FK8" s="809"/>
      <c r="FL8" s="809"/>
      <c r="FM8" s="809"/>
      <c r="FN8" s="809"/>
      <c r="FO8" s="809"/>
      <c r="FP8" s="809"/>
      <c r="FQ8" s="809"/>
      <c r="FR8" s="809"/>
      <c r="FS8" s="809"/>
      <c r="FT8" s="809"/>
      <c r="FU8" s="809"/>
      <c r="FV8" s="809"/>
      <c r="FW8" s="809"/>
      <c r="FX8" s="809"/>
      <c r="FY8" s="809"/>
      <c r="FZ8" s="809"/>
      <c r="GA8" s="809"/>
      <c r="GB8" s="809"/>
      <c r="GC8" s="809"/>
      <c r="GD8" s="809"/>
      <c r="GE8" s="809"/>
      <c r="GF8" s="809"/>
      <c r="GG8" s="809"/>
      <c r="GH8" s="809"/>
      <c r="GI8" s="809"/>
      <c r="GJ8" s="809"/>
      <c r="GK8" s="809"/>
      <c r="GL8" s="809"/>
      <c r="GM8" s="809"/>
      <c r="GN8" s="809"/>
      <c r="GO8" s="809"/>
      <c r="GP8" s="809"/>
      <c r="GQ8" s="809"/>
      <c r="GR8" s="809"/>
      <c r="GS8" s="809"/>
      <c r="GT8" s="809"/>
      <c r="GU8" s="809"/>
      <c r="GV8" s="809"/>
      <c r="GW8" s="809"/>
      <c r="GX8" s="809"/>
      <c r="GY8" s="809"/>
      <c r="GZ8" s="809"/>
      <c r="HA8" s="809"/>
      <c r="HB8" s="809"/>
      <c r="HC8" s="809"/>
      <c r="HD8" s="809"/>
      <c r="HE8" s="809"/>
      <c r="HF8" s="809"/>
      <c r="HG8" s="809"/>
      <c r="HH8" s="809"/>
      <c r="HI8" s="809"/>
      <c r="HJ8" s="809"/>
      <c r="HK8" s="809"/>
      <c r="HL8" s="809"/>
      <c r="HM8" s="809"/>
      <c r="HN8" s="809"/>
      <c r="HO8" s="809"/>
      <c r="HP8" s="809"/>
      <c r="HQ8" s="809"/>
      <c r="HR8" s="809"/>
      <c r="HS8" s="809"/>
      <c r="HT8" s="809"/>
      <c r="HU8" s="809"/>
      <c r="HV8" s="809"/>
      <c r="HW8" s="809"/>
      <c r="HX8" s="809"/>
      <c r="HY8" s="809"/>
      <c r="HZ8" s="809"/>
      <c r="IA8" s="809"/>
      <c r="IB8" s="809"/>
      <c r="IC8" s="809"/>
      <c r="ID8" s="809"/>
      <c r="IE8" s="809"/>
      <c r="IF8" s="809"/>
      <c r="IG8" s="809"/>
      <c r="IH8" s="809"/>
      <c r="II8" s="809"/>
      <c r="IJ8" s="809"/>
      <c r="IK8" s="809"/>
      <c r="IL8" s="809"/>
      <c r="IM8" s="809"/>
      <c r="IN8" s="809"/>
      <c r="IO8" s="809"/>
      <c r="IP8" s="809"/>
      <c r="IQ8" s="809"/>
      <c r="IR8" s="809"/>
      <c r="IS8" s="809"/>
      <c r="IT8" s="809"/>
      <c r="IU8" s="809"/>
      <c r="IV8" s="809"/>
      <c r="IW8" s="809"/>
    </row>
    <row r="9" customFormat="false" ht="11.25" hidden="false" customHeight="true" outlineLevel="0" collapsed="false">
      <c r="A9" s="397"/>
      <c r="B9" s="611"/>
      <c r="C9" s="712"/>
      <c r="D9" s="727"/>
      <c r="E9" s="727"/>
      <c r="F9" s="727"/>
      <c r="G9" s="727"/>
      <c r="H9" s="727"/>
      <c r="I9" s="727"/>
      <c r="J9" s="727"/>
      <c r="K9" s="727"/>
      <c r="L9" s="727"/>
      <c r="M9" s="727"/>
      <c r="N9" s="727"/>
      <c r="O9" s="727"/>
      <c r="P9" s="727"/>
      <c r="Q9" s="727"/>
      <c r="R9" s="727"/>
      <c r="S9" s="727"/>
      <c r="T9" s="727"/>
      <c r="U9" s="727"/>
      <c r="V9" s="727"/>
      <c r="W9" s="727"/>
      <c r="X9" s="727"/>
      <c r="Y9" s="727"/>
      <c r="Z9" s="727"/>
      <c r="AA9" s="727"/>
      <c r="AB9" s="783"/>
      <c r="AC9" s="1"/>
      <c r="AD9" s="1"/>
      <c r="AE9" s="1"/>
      <c r="AF9" s="809"/>
      <c r="AG9" s="809"/>
      <c r="AH9" s="809"/>
      <c r="AI9" s="809"/>
      <c r="AJ9" s="809"/>
      <c r="AK9" s="809"/>
      <c r="AL9" s="809"/>
      <c r="AM9" s="809"/>
      <c r="AN9" s="809"/>
      <c r="AO9" s="809"/>
      <c r="AP9" s="809"/>
      <c r="AQ9" s="809"/>
      <c r="AR9" s="809"/>
      <c r="AS9" s="809"/>
      <c r="AT9" s="809"/>
      <c r="AU9" s="809"/>
      <c r="AV9" s="809"/>
      <c r="AW9" s="809"/>
      <c r="AX9" s="809"/>
      <c r="AY9" s="809"/>
      <c r="AZ9" s="809"/>
      <c r="BA9" s="809"/>
      <c r="BB9" s="809"/>
      <c r="BC9" s="809"/>
      <c r="BD9" s="809"/>
      <c r="BE9" s="809"/>
      <c r="BF9" s="809"/>
      <c r="BG9" s="809"/>
      <c r="BH9" s="809"/>
      <c r="BI9" s="809"/>
      <c r="BJ9" s="809"/>
      <c r="BK9" s="809"/>
      <c r="BL9" s="809"/>
      <c r="BM9" s="809"/>
      <c r="BN9" s="809"/>
      <c r="BO9" s="809"/>
      <c r="BP9" s="809"/>
      <c r="BQ9" s="809"/>
      <c r="BR9" s="809"/>
      <c r="BS9" s="809"/>
      <c r="BT9" s="809"/>
      <c r="BU9" s="809"/>
      <c r="BV9" s="809"/>
      <c r="BW9" s="809"/>
      <c r="BX9" s="809"/>
      <c r="BY9" s="809"/>
      <c r="BZ9" s="809"/>
      <c r="CA9" s="809"/>
      <c r="CB9" s="809"/>
      <c r="CC9" s="809"/>
      <c r="CD9" s="809"/>
      <c r="CE9" s="809"/>
      <c r="CF9" s="809"/>
      <c r="CG9" s="809"/>
      <c r="CH9" s="809"/>
      <c r="CI9" s="809"/>
      <c r="CJ9" s="809"/>
      <c r="CK9" s="809"/>
      <c r="CL9" s="809"/>
      <c r="CM9" s="809"/>
      <c r="CN9" s="809"/>
      <c r="CO9" s="809"/>
      <c r="CP9" s="809"/>
      <c r="CQ9" s="809"/>
      <c r="CR9" s="809"/>
      <c r="CS9" s="809"/>
      <c r="CT9" s="809"/>
      <c r="CU9" s="809"/>
      <c r="CV9" s="809"/>
      <c r="CW9" s="809"/>
      <c r="CX9" s="809"/>
      <c r="CY9" s="809"/>
      <c r="CZ9" s="809"/>
      <c r="DA9" s="809"/>
      <c r="DB9" s="809"/>
      <c r="DC9" s="809"/>
      <c r="DD9" s="809"/>
      <c r="DE9" s="809"/>
      <c r="DF9" s="809"/>
      <c r="DG9" s="809"/>
      <c r="DH9" s="809"/>
      <c r="DI9" s="809"/>
      <c r="DJ9" s="809"/>
      <c r="DK9" s="809"/>
      <c r="DL9" s="809"/>
      <c r="DM9" s="809"/>
      <c r="DN9" s="809"/>
      <c r="DO9" s="809"/>
      <c r="DP9" s="809"/>
      <c r="DQ9" s="809"/>
      <c r="DR9" s="809"/>
      <c r="DS9" s="809"/>
      <c r="DT9" s="809"/>
      <c r="DU9" s="809"/>
      <c r="DV9" s="809"/>
      <c r="DW9" s="809"/>
      <c r="DX9" s="809"/>
      <c r="DY9" s="809"/>
      <c r="DZ9" s="809"/>
      <c r="EA9" s="809"/>
      <c r="EB9" s="809"/>
      <c r="EC9" s="809"/>
      <c r="ED9" s="809"/>
      <c r="EE9" s="809"/>
      <c r="EF9" s="809"/>
      <c r="EG9" s="809"/>
      <c r="EH9" s="809"/>
      <c r="EI9" s="809"/>
      <c r="EJ9" s="809"/>
      <c r="EK9" s="809"/>
      <c r="EL9" s="809"/>
      <c r="EM9" s="809"/>
      <c r="EN9" s="809"/>
      <c r="EO9" s="809"/>
      <c r="EP9" s="809"/>
      <c r="EQ9" s="809"/>
      <c r="ER9" s="809"/>
      <c r="ES9" s="809"/>
      <c r="ET9" s="809"/>
      <c r="EU9" s="809"/>
      <c r="EV9" s="809"/>
      <c r="EW9" s="809"/>
      <c r="EX9" s="809"/>
      <c r="EY9" s="809"/>
      <c r="EZ9" s="809"/>
      <c r="FA9" s="809"/>
      <c r="FB9" s="809"/>
      <c r="FC9" s="809"/>
      <c r="FD9" s="809"/>
      <c r="FE9" s="809"/>
      <c r="FF9" s="809"/>
      <c r="FG9" s="809"/>
      <c r="FH9" s="809"/>
      <c r="FI9" s="809"/>
      <c r="FJ9" s="809"/>
      <c r="FK9" s="809"/>
      <c r="FL9" s="809"/>
      <c r="FM9" s="809"/>
      <c r="FN9" s="809"/>
      <c r="FO9" s="809"/>
      <c r="FP9" s="809"/>
      <c r="FQ9" s="809"/>
      <c r="FR9" s="809"/>
      <c r="FS9" s="809"/>
      <c r="FT9" s="809"/>
      <c r="FU9" s="809"/>
      <c r="FV9" s="809"/>
      <c r="FW9" s="809"/>
      <c r="FX9" s="809"/>
      <c r="FY9" s="809"/>
      <c r="FZ9" s="809"/>
      <c r="GA9" s="809"/>
      <c r="GB9" s="809"/>
      <c r="GC9" s="809"/>
      <c r="GD9" s="809"/>
      <c r="GE9" s="809"/>
      <c r="GF9" s="809"/>
      <c r="GG9" s="809"/>
      <c r="GH9" s="809"/>
      <c r="GI9" s="809"/>
      <c r="GJ9" s="809"/>
      <c r="GK9" s="809"/>
      <c r="GL9" s="809"/>
      <c r="GM9" s="809"/>
      <c r="GN9" s="809"/>
      <c r="GO9" s="809"/>
      <c r="GP9" s="809"/>
      <c r="GQ9" s="809"/>
      <c r="GR9" s="809"/>
      <c r="GS9" s="809"/>
      <c r="GT9" s="809"/>
      <c r="GU9" s="809"/>
      <c r="GV9" s="809"/>
      <c r="GW9" s="809"/>
      <c r="GX9" s="809"/>
      <c r="GY9" s="809"/>
      <c r="GZ9" s="809"/>
      <c r="HA9" s="809"/>
      <c r="HB9" s="809"/>
      <c r="HC9" s="809"/>
      <c r="HD9" s="809"/>
      <c r="HE9" s="809"/>
      <c r="HF9" s="809"/>
      <c r="HG9" s="809"/>
      <c r="HH9" s="809"/>
      <c r="HI9" s="809"/>
      <c r="HJ9" s="809"/>
      <c r="HK9" s="809"/>
      <c r="HL9" s="809"/>
      <c r="HM9" s="809"/>
      <c r="HN9" s="809"/>
      <c r="HO9" s="809"/>
      <c r="HP9" s="809"/>
      <c r="HQ9" s="809"/>
      <c r="HR9" s="809"/>
      <c r="HS9" s="809"/>
      <c r="HT9" s="809"/>
      <c r="HU9" s="809"/>
      <c r="HV9" s="809"/>
      <c r="HW9" s="809"/>
      <c r="HX9" s="809"/>
      <c r="HY9" s="809"/>
      <c r="HZ9" s="809"/>
      <c r="IA9" s="809"/>
      <c r="IB9" s="809"/>
      <c r="IC9" s="809"/>
      <c r="ID9" s="809"/>
      <c r="IE9" s="809"/>
      <c r="IF9" s="809"/>
      <c r="IG9" s="809"/>
      <c r="IH9" s="809"/>
      <c r="II9" s="809"/>
      <c r="IJ9" s="809"/>
      <c r="IK9" s="809"/>
      <c r="IL9" s="809"/>
      <c r="IM9" s="809"/>
      <c r="IN9" s="809"/>
      <c r="IO9" s="809"/>
      <c r="IP9" s="809"/>
      <c r="IQ9" s="809"/>
      <c r="IR9" s="809"/>
      <c r="IS9" s="809"/>
      <c r="IT9" s="809"/>
      <c r="IU9" s="809"/>
      <c r="IV9" s="809"/>
      <c r="IW9" s="809"/>
    </row>
    <row r="10" customFormat="false" ht="11.25" hidden="false" customHeight="true" outlineLevel="0" collapsed="false">
      <c r="A10" s="397"/>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402"/>
      <c r="AC10" s="1"/>
      <c r="AD10" s="1"/>
      <c r="AE10" s="1"/>
      <c r="AF10" s="809"/>
      <c r="AG10" s="809"/>
      <c r="AH10" s="809"/>
      <c r="AI10" s="809"/>
      <c r="AJ10" s="809"/>
      <c r="AK10" s="809"/>
      <c r="AL10" s="809"/>
      <c r="AM10" s="809"/>
      <c r="AN10" s="809"/>
      <c r="AO10" s="809"/>
      <c r="AP10" s="809"/>
      <c r="AQ10" s="809"/>
      <c r="AR10" s="809"/>
      <c r="AS10" s="809"/>
      <c r="AT10" s="809"/>
      <c r="AU10" s="809"/>
      <c r="AV10" s="809"/>
      <c r="AW10" s="809"/>
      <c r="AX10" s="809"/>
      <c r="AY10" s="809"/>
      <c r="AZ10" s="809"/>
      <c r="BA10" s="809"/>
      <c r="BB10" s="809"/>
      <c r="BC10" s="809"/>
      <c r="BD10" s="809"/>
      <c r="BE10" s="809"/>
      <c r="BF10" s="809"/>
      <c r="BG10" s="809"/>
      <c r="BH10" s="809"/>
      <c r="BI10" s="809"/>
      <c r="BJ10" s="809"/>
      <c r="BK10" s="809"/>
      <c r="BL10" s="809"/>
      <c r="BM10" s="809"/>
      <c r="BN10" s="809"/>
      <c r="BO10" s="809"/>
      <c r="BP10" s="809"/>
      <c r="BQ10" s="809"/>
      <c r="BR10" s="809"/>
      <c r="BS10" s="809"/>
      <c r="BT10" s="809"/>
      <c r="BU10" s="809"/>
      <c r="BV10" s="809"/>
      <c r="BW10" s="809"/>
      <c r="BX10" s="809"/>
      <c r="BY10" s="809"/>
      <c r="BZ10" s="809"/>
      <c r="CA10" s="809"/>
      <c r="CB10" s="809"/>
      <c r="CC10" s="809"/>
      <c r="CD10" s="809"/>
      <c r="CE10" s="809"/>
      <c r="CF10" s="809"/>
      <c r="CG10" s="809"/>
      <c r="CH10" s="809"/>
      <c r="CI10" s="809"/>
      <c r="CJ10" s="809"/>
      <c r="CK10" s="809"/>
      <c r="CL10" s="809"/>
      <c r="CM10" s="809"/>
      <c r="CN10" s="809"/>
      <c r="CO10" s="809"/>
      <c r="CP10" s="809"/>
      <c r="CQ10" s="809"/>
      <c r="CR10" s="809"/>
      <c r="CS10" s="809"/>
      <c r="CT10" s="809"/>
      <c r="CU10" s="809"/>
      <c r="CV10" s="809"/>
      <c r="CW10" s="809"/>
      <c r="CX10" s="809"/>
      <c r="CY10" s="809"/>
      <c r="CZ10" s="809"/>
      <c r="DA10" s="809"/>
      <c r="DB10" s="809"/>
      <c r="DC10" s="809"/>
      <c r="DD10" s="809"/>
      <c r="DE10" s="809"/>
      <c r="DF10" s="809"/>
      <c r="DG10" s="809"/>
      <c r="DH10" s="809"/>
      <c r="DI10" s="809"/>
      <c r="DJ10" s="809"/>
      <c r="DK10" s="809"/>
      <c r="DL10" s="809"/>
      <c r="DM10" s="809"/>
      <c r="DN10" s="809"/>
      <c r="DO10" s="809"/>
      <c r="DP10" s="809"/>
      <c r="DQ10" s="809"/>
      <c r="DR10" s="809"/>
      <c r="DS10" s="809"/>
      <c r="DT10" s="809"/>
      <c r="DU10" s="809"/>
      <c r="DV10" s="809"/>
      <c r="DW10" s="809"/>
      <c r="DX10" s="809"/>
      <c r="DY10" s="809"/>
      <c r="DZ10" s="809"/>
      <c r="EA10" s="809"/>
      <c r="EB10" s="809"/>
      <c r="EC10" s="809"/>
      <c r="ED10" s="809"/>
      <c r="EE10" s="809"/>
      <c r="EF10" s="809"/>
      <c r="EG10" s="809"/>
      <c r="EH10" s="809"/>
      <c r="EI10" s="809"/>
      <c r="EJ10" s="809"/>
      <c r="EK10" s="809"/>
      <c r="EL10" s="809"/>
      <c r="EM10" s="809"/>
      <c r="EN10" s="809"/>
      <c r="EO10" s="809"/>
      <c r="EP10" s="809"/>
      <c r="EQ10" s="809"/>
      <c r="ER10" s="809"/>
      <c r="ES10" s="809"/>
      <c r="ET10" s="809"/>
      <c r="EU10" s="809"/>
      <c r="EV10" s="809"/>
      <c r="EW10" s="809"/>
      <c r="EX10" s="809"/>
      <c r="EY10" s="809"/>
      <c r="EZ10" s="809"/>
      <c r="FA10" s="809"/>
      <c r="FB10" s="809"/>
      <c r="FC10" s="809"/>
      <c r="FD10" s="809"/>
      <c r="FE10" s="809"/>
      <c r="FF10" s="809"/>
      <c r="FG10" s="809"/>
      <c r="FH10" s="809"/>
      <c r="FI10" s="809"/>
      <c r="FJ10" s="809"/>
      <c r="FK10" s="809"/>
      <c r="FL10" s="809"/>
      <c r="FM10" s="809"/>
      <c r="FN10" s="809"/>
      <c r="FO10" s="809"/>
      <c r="FP10" s="809"/>
      <c r="FQ10" s="809"/>
      <c r="FR10" s="809"/>
      <c r="FS10" s="809"/>
      <c r="FT10" s="809"/>
      <c r="FU10" s="809"/>
      <c r="FV10" s="809"/>
      <c r="FW10" s="809"/>
      <c r="FX10" s="809"/>
      <c r="FY10" s="809"/>
      <c r="FZ10" s="809"/>
      <c r="GA10" s="809"/>
      <c r="GB10" s="809"/>
      <c r="GC10" s="809"/>
      <c r="GD10" s="809"/>
      <c r="GE10" s="809"/>
      <c r="GF10" s="809"/>
      <c r="GG10" s="809"/>
      <c r="GH10" s="809"/>
      <c r="GI10" s="809"/>
      <c r="GJ10" s="809"/>
      <c r="GK10" s="809"/>
      <c r="GL10" s="809"/>
      <c r="GM10" s="809"/>
      <c r="GN10" s="809"/>
      <c r="GO10" s="809"/>
      <c r="GP10" s="809"/>
      <c r="GQ10" s="809"/>
      <c r="GR10" s="809"/>
      <c r="GS10" s="809"/>
      <c r="GT10" s="809"/>
      <c r="GU10" s="809"/>
      <c r="GV10" s="809"/>
      <c r="GW10" s="809"/>
      <c r="GX10" s="809"/>
      <c r="GY10" s="809"/>
      <c r="GZ10" s="809"/>
      <c r="HA10" s="809"/>
      <c r="HB10" s="809"/>
      <c r="HC10" s="809"/>
      <c r="HD10" s="809"/>
      <c r="HE10" s="809"/>
      <c r="HF10" s="809"/>
      <c r="HG10" s="809"/>
      <c r="HH10" s="809"/>
      <c r="HI10" s="809"/>
      <c r="HJ10" s="809"/>
      <c r="HK10" s="809"/>
      <c r="HL10" s="809"/>
      <c r="HM10" s="809"/>
      <c r="HN10" s="809"/>
      <c r="HO10" s="809"/>
      <c r="HP10" s="809"/>
      <c r="HQ10" s="809"/>
      <c r="HR10" s="809"/>
      <c r="HS10" s="809"/>
      <c r="HT10" s="809"/>
      <c r="HU10" s="809"/>
      <c r="HV10" s="809"/>
      <c r="HW10" s="809"/>
      <c r="HX10" s="809"/>
      <c r="HY10" s="809"/>
      <c r="HZ10" s="809"/>
      <c r="IA10" s="809"/>
      <c r="IB10" s="809"/>
      <c r="IC10" s="809"/>
      <c r="ID10" s="809"/>
      <c r="IE10" s="809"/>
      <c r="IF10" s="809"/>
      <c r="IG10" s="809"/>
      <c r="IH10" s="809"/>
      <c r="II10" s="809"/>
      <c r="IJ10" s="809"/>
      <c r="IK10" s="809"/>
      <c r="IL10" s="809"/>
      <c r="IM10" s="809"/>
      <c r="IN10" s="809"/>
      <c r="IO10" s="809"/>
      <c r="IP10" s="809"/>
      <c r="IQ10" s="809"/>
      <c r="IR10" s="809"/>
      <c r="IS10" s="809"/>
      <c r="IT10" s="809"/>
      <c r="IU10" s="809"/>
      <c r="IV10" s="809"/>
      <c r="IW10" s="809"/>
    </row>
    <row r="11" customFormat="false" ht="11.25" hidden="false" customHeight="true" outlineLevel="0" collapsed="false">
      <c r="A11" s="397" t="s">
        <v>676</v>
      </c>
      <c r="B11" s="371"/>
      <c r="C11" s="924"/>
      <c r="D11" s="727" t="n">
        <f aca="false">'Book Income Statement'!D34</f>
        <v>1853.0112</v>
      </c>
      <c r="E11" s="727" t="n">
        <f aca="false">'Book Income Statement'!E34</f>
        <v>1908.601536</v>
      </c>
      <c r="F11" s="727" t="n">
        <f aca="false">'Book Income Statement'!F34</f>
        <v>1965.85958208</v>
      </c>
      <c r="G11" s="727" t="n">
        <f aca="false">'Book Income Statement'!G34</f>
        <v>2024.8353695424</v>
      </c>
      <c r="H11" s="727" t="n">
        <f aca="false">'Book Income Statement'!H34</f>
        <v>2085.58043062867</v>
      </c>
      <c r="I11" s="727" t="n">
        <f aca="false">'Book Income Statement'!I34</f>
        <v>2148.14784354753</v>
      </c>
      <c r="J11" s="727" t="n">
        <f aca="false">'Book Income Statement'!J34</f>
        <v>2212.59227885396</v>
      </c>
      <c r="K11" s="727" t="n">
        <f aca="false">'Book Income Statement'!K34</f>
        <v>2278.97004721958</v>
      </c>
      <c r="L11" s="727" t="n">
        <f aca="false">'Book Income Statement'!L34</f>
        <v>2347.33914863616</v>
      </c>
      <c r="M11" s="727" t="n">
        <f aca="false">'Book Income Statement'!M34</f>
        <v>2417.75932309525</v>
      </c>
      <c r="N11" s="727" t="n">
        <f aca="false">'Book Income Statement'!N34</f>
        <v>2490.29210278811</v>
      </c>
      <c r="O11" s="727" t="n">
        <f aca="false">'Book Income Statement'!O34</f>
        <v>2565.00086587175</v>
      </c>
      <c r="P11" s="727" t="n">
        <f aca="false">'Book Income Statement'!P34</f>
        <v>2641.9508918479</v>
      </c>
      <c r="Q11" s="727" t="n">
        <f aca="false">'Book Income Statement'!Q34</f>
        <v>2721.20941860334</v>
      </c>
      <c r="R11" s="727" t="n">
        <f aca="false">'Book Income Statement'!R34</f>
        <v>2802.84570116144</v>
      </c>
      <c r="S11" s="727" t="n">
        <f aca="false">'Book Income Statement'!S34</f>
        <v>2886.93107219628</v>
      </c>
      <c r="T11" s="727" t="n">
        <f aca="false">'Book Income Statement'!T34</f>
        <v>2973.53900436217</v>
      </c>
      <c r="U11" s="727" t="n">
        <f aca="false">'Book Income Statement'!U34</f>
        <v>3062.74517449304</v>
      </c>
      <c r="V11" s="727" t="n">
        <f aca="false">'Book Income Statement'!V34</f>
        <v>3154.62752972783</v>
      </c>
      <c r="W11" s="727" t="n">
        <f aca="false">'Book Income Statement'!W34</f>
        <v>3249.26635561966</v>
      </c>
      <c r="X11" s="727" t="n">
        <f aca="false">'Book Income Statement'!X34</f>
        <v>3346.74434628825</v>
      </c>
      <c r="Y11" s="727" t="n">
        <f aca="false">'Book Income Statement'!Y34</f>
        <v>0</v>
      </c>
      <c r="Z11" s="727" t="n">
        <f aca="false">'Book Income Statement'!Z34</f>
        <v>0</v>
      </c>
      <c r="AA11" s="727" t="n">
        <f aca="false">'Book Income Statement'!AA34</f>
        <v>0</v>
      </c>
      <c r="AB11" s="783" t="n">
        <f aca="false">'Book Income Statement'!AB34</f>
        <v>0</v>
      </c>
      <c r="AC11" s="1"/>
      <c r="AD11" s="1"/>
      <c r="AE11" s="1"/>
      <c r="AF11" s="809"/>
      <c r="AG11" s="809"/>
      <c r="AH11" s="809"/>
      <c r="AI11" s="809"/>
      <c r="AJ11" s="809"/>
      <c r="AK11" s="809"/>
      <c r="AL11" s="809"/>
      <c r="AM11" s="809"/>
      <c r="AN11" s="809"/>
      <c r="AO11" s="809"/>
      <c r="AP11" s="809"/>
      <c r="AQ11" s="809"/>
      <c r="AR11" s="809"/>
      <c r="AS11" s="809"/>
      <c r="AT11" s="809"/>
      <c r="AU11" s="809"/>
      <c r="AV11" s="809"/>
      <c r="AW11" s="809"/>
      <c r="AX11" s="809"/>
      <c r="AY11" s="809"/>
      <c r="AZ11" s="809"/>
      <c r="BA11" s="809"/>
      <c r="BB11" s="809"/>
      <c r="BC11" s="809"/>
      <c r="BD11" s="809"/>
      <c r="BE11" s="809"/>
      <c r="BF11" s="809"/>
      <c r="BG11" s="809"/>
      <c r="BH11" s="809"/>
      <c r="BI11" s="809"/>
      <c r="BJ11" s="809"/>
      <c r="BK11" s="809"/>
      <c r="BL11" s="809"/>
      <c r="BM11" s="809"/>
      <c r="BN11" s="809"/>
      <c r="BO11" s="809"/>
      <c r="BP11" s="809"/>
      <c r="BQ11" s="809"/>
      <c r="BR11" s="809"/>
      <c r="BS11" s="809"/>
      <c r="BT11" s="809"/>
      <c r="BU11" s="809"/>
      <c r="BV11" s="809"/>
      <c r="BW11" s="809"/>
      <c r="BX11" s="809"/>
      <c r="BY11" s="809"/>
      <c r="BZ11" s="809"/>
      <c r="CA11" s="809"/>
      <c r="CB11" s="809"/>
      <c r="CC11" s="809"/>
      <c r="CD11" s="809"/>
      <c r="CE11" s="809"/>
      <c r="CF11" s="809"/>
      <c r="CG11" s="809"/>
      <c r="CH11" s="809"/>
      <c r="CI11" s="809"/>
      <c r="CJ11" s="809"/>
      <c r="CK11" s="809"/>
      <c r="CL11" s="809"/>
      <c r="CM11" s="809"/>
      <c r="CN11" s="809"/>
      <c r="CO11" s="809"/>
      <c r="CP11" s="809"/>
      <c r="CQ11" s="809"/>
      <c r="CR11" s="809"/>
      <c r="CS11" s="809"/>
      <c r="CT11" s="809"/>
      <c r="CU11" s="809"/>
      <c r="CV11" s="809"/>
      <c r="CW11" s="809"/>
      <c r="CX11" s="809"/>
      <c r="CY11" s="809"/>
      <c r="CZ11" s="809"/>
      <c r="DA11" s="809"/>
      <c r="DB11" s="809"/>
      <c r="DC11" s="809"/>
      <c r="DD11" s="809"/>
      <c r="DE11" s="809"/>
      <c r="DF11" s="809"/>
      <c r="DG11" s="809"/>
      <c r="DH11" s="809"/>
      <c r="DI11" s="809"/>
      <c r="DJ11" s="809"/>
      <c r="DK11" s="809"/>
      <c r="DL11" s="809"/>
      <c r="DM11" s="809"/>
      <c r="DN11" s="809"/>
      <c r="DO11" s="809"/>
      <c r="DP11" s="809"/>
      <c r="DQ11" s="809"/>
      <c r="DR11" s="809"/>
      <c r="DS11" s="809"/>
      <c r="DT11" s="809"/>
      <c r="DU11" s="809"/>
      <c r="DV11" s="809"/>
      <c r="DW11" s="809"/>
      <c r="DX11" s="809"/>
      <c r="DY11" s="809"/>
      <c r="DZ11" s="809"/>
      <c r="EA11" s="809"/>
      <c r="EB11" s="809"/>
      <c r="EC11" s="809"/>
      <c r="ED11" s="809"/>
      <c r="EE11" s="809"/>
      <c r="EF11" s="809"/>
      <c r="EG11" s="809"/>
      <c r="EH11" s="809"/>
      <c r="EI11" s="809"/>
      <c r="EJ11" s="809"/>
      <c r="EK11" s="809"/>
      <c r="EL11" s="809"/>
      <c r="EM11" s="809"/>
      <c r="EN11" s="809"/>
      <c r="EO11" s="809"/>
      <c r="EP11" s="809"/>
      <c r="EQ11" s="809"/>
      <c r="ER11" s="809"/>
      <c r="ES11" s="809"/>
      <c r="ET11" s="809"/>
      <c r="EU11" s="809"/>
      <c r="EV11" s="809"/>
      <c r="EW11" s="809"/>
      <c r="EX11" s="809"/>
      <c r="EY11" s="809"/>
      <c r="EZ11" s="809"/>
      <c r="FA11" s="809"/>
      <c r="FB11" s="809"/>
      <c r="FC11" s="809"/>
      <c r="FD11" s="809"/>
      <c r="FE11" s="809"/>
      <c r="FF11" s="809"/>
      <c r="FG11" s="809"/>
      <c r="FH11" s="809"/>
      <c r="FI11" s="809"/>
      <c r="FJ11" s="809"/>
      <c r="FK11" s="809"/>
      <c r="FL11" s="809"/>
      <c r="FM11" s="809"/>
      <c r="FN11" s="809"/>
      <c r="FO11" s="809"/>
      <c r="FP11" s="809"/>
      <c r="FQ11" s="809"/>
      <c r="FR11" s="809"/>
      <c r="FS11" s="809"/>
      <c r="FT11" s="809"/>
      <c r="FU11" s="809"/>
      <c r="FV11" s="809"/>
      <c r="FW11" s="809"/>
      <c r="FX11" s="809"/>
      <c r="FY11" s="809"/>
      <c r="FZ11" s="809"/>
      <c r="GA11" s="809"/>
      <c r="GB11" s="809"/>
      <c r="GC11" s="809"/>
      <c r="GD11" s="809"/>
      <c r="GE11" s="809"/>
      <c r="GF11" s="809"/>
      <c r="GG11" s="809"/>
      <c r="GH11" s="809"/>
      <c r="GI11" s="809"/>
      <c r="GJ11" s="809"/>
      <c r="GK11" s="809"/>
      <c r="GL11" s="809"/>
      <c r="GM11" s="809"/>
      <c r="GN11" s="809"/>
      <c r="GO11" s="809"/>
      <c r="GP11" s="809"/>
      <c r="GQ11" s="809"/>
      <c r="GR11" s="809"/>
      <c r="GS11" s="809"/>
      <c r="GT11" s="809"/>
      <c r="GU11" s="809"/>
      <c r="GV11" s="809"/>
      <c r="GW11" s="809"/>
      <c r="GX11" s="809"/>
      <c r="GY11" s="809"/>
      <c r="GZ11" s="809"/>
      <c r="HA11" s="809"/>
      <c r="HB11" s="809"/>
      <c r="HC11" s="809"/>
      <c r="HD11" s="809"/>
      <c r="HE11" s="809"/>
      <c r="HF11" s="809"/>
      <c r="HG11" s="809"/>
      <c r="HH11" s="809"/>
      <c r="HI11" s="809"/>
      <c r="HJ11" s="809"/>
      <c r="HK11" s="809"/>
      <c r="HL11" s="809"/>
      <c r="HM11" s="809"/>
      <c r="HN11" s="809"/>
      <c r="HO11" s="809"/>
      <c r="HP11" s="809"/>
      <c r="HQ11" s="809"/>
      <c r="HR11" s="809"/>
      <c r="HS11" s="809"/>
      <c r="HT11" s="809"/>
      <c r="HU11" s="809"/>
      <c r="HV11" s="809"/>
      <c r="HW11" s="809"/>
      <c r="HX11" s="809"/>
      <c r="HY11" s="809"/>
      <c r="HZ11" s="809"/>
      <c r="IA11" s="809"/>
      <c r="IB11" s="809"/>
      <c r="IC11" s="809"/>
      <c r="ID11" s="809"/>
      <c r="IE11" s="809"/>
      <c r="IF11" s="809"/>
      <c r="IG11" s="809"/>
      <c r="IH11" s="809"/>
      <c r="II11" s="809"/>
      <c r="IJ11" s="809"/>
      <c r="IK11" s="809"/>
      <c r="IL11" s="809"/>
      <c r="IM11" s="809"/>
      <c r="IN11" s="809"/>
      <c r="IO11" s="809"/>
      <c r="IP11" s="809"/>
      <c r="IQ11" s="809"/>
      <c r="IR11" s="809"/>
      <c r="IS11" s="809"/>
      <c r="IT11" s="809"/>
      <c r="IU11" s="809"/>
      <c r="IV11" s="809"/>
      <c r="IW11" s="809"/>
    </row>
    <row r="12" customFormat="false" ht="11.25" hidden="false" customHeight="true" outlineLevel="0" collapsed="false">
      <c r="A12" s="925" t="s">
        <v>677</v>
      </c>
      <c r="B12" s="371"/>
      <c r="C12" s="924"/>
      <c r="D12" s="727" t="n">
        <v>0</v>
      </c>
      <c r="E12" s="727" t="n">
        <v>0</v>
      </c>
      <c r="F12" s="727" t="n">
        <v>0</v>
      </c>
      <c r="G12" s="727" t="n">
        <f aca="false">237.48235891*8</f>
        <v>1899.85887128</v>
      </c>
      <c r="H12" s="727" t="n">
        <v>0</v>
      </c>
      <c r="I12" s="727" t="n">
        <v>0</v>
      </c>
      <c r="J12" s="727" t="n">
        <f aca="false">259.503385604648*8</f>
        <v>2076.02708483718</v>
      </c>
      <c r="K12" s="727" t="n">
        <v>0</v>
      </c>
      <c r="L12" s="727" t="n">
        <v>0</v>
      </c>
      <c r="M12" s="727" t="n">
        <f aca="false">1520.17618140425*8</f>
        <v>12161.409451234</v>
      </c>
      <c r="N12" s="727" t="n">
        <v>0</v>
      </c>
      <c r="O12" s="727" t="n">
        <v>0</v>
      </c>
      <c r="P12" s="727" t="n">
        <v>0</v>
      </c>
      <c r="Q12" s="727" t="n">
        <f aca="false">319.156431944428*8</f>
        <v>2553.25145555542</v>
      </c>
      <c r="R12" s="727" t="n">
        <v>0</v>
      </c>
      <c r="S12" s="727" t="n">
        <v>0</v>
      </c>
      <c r="T12" s="727" t="n">
        <f aca="false">2231.34430356686*8</f>
        <v>17850.7544285349</v>
      </c>
      <c r="U12" s="727" t="n">
        <v>0</v>
      </c>
      <c r="V12" s="727" t="n">
        <v>0</v>
      </c>
      <c r="W12" s="727" t="n">
        <f aca="false">3707.26239365785*8</f>
        <v>29658.0991492628</v>
      </c>
      <c r="X12" s="727"/>
      <c r="Y12" s="727"/>
      <c r="Z12" s="727"/>
      <c r="AA12" s="727"/>
      <c r="AB12" s="783"/>
      <c r="AC12" s="1"/>
      <c r="AD12" s="1"/>
      <c r="AE12" s="1"/>
      <c r="AF12" s="809"/>
      <c r="AG12" s="809"/>
      <c r="AH12" s="809"/>
      <c r="AI12" s="809"/>
      <c r="AJ12" s="809"/>
      <c r="AK12" s="809"/>
      <c r="AL12" s="809"/>
      <c r="AM12" s="809"/>
      <c r="AN12" s="809"/>
      <c r="AO12" s="809"/>
      <c r="AP12" s="809"/>
      <c r="AQ12" s="809"/>
      <c r="AR12" s="809"/>
      <c r="AS12" s="809"/>
      <c r="AT12" s="809"/>
      <c r="AU12" s="809"/>
      <c r="AV12" s="809"/>
      <c r="AW12" s="809"/>
      <c r="AX12" s="809"/>
      <c r="AY12" s="809"/>
      <c r="AZ12" s="809"/>
      <c r="BA12" s="809"/>
      <c r="BB12" s="809"/>
      <c r="BC12" s="809"/>
      <c r="BD12" s="809"/>
      <c r="BE12" s="809"/>
      <c r="BF12" s="809"/>
      <c r="BG12" s="809"/>
      <c r="BH12" s="809"/>
      <c r="BI12" s="809"/>
      <c r="BJ12" s="809"/>
      <c r="BK12" s="809"/>
      <c r="BL12" s="809"/>
      <c r="BM12" s="809"/>
      <c r="BN12" s="809"/>
      <c r="BO12" s="809"/>
      <c r="BP12" s="809"/>
      <c r="BQ12" s="809"/>
      <c r="BR12" s="809"/>
      <c r="BS12" s="809"/>
      <c r="BT12" s="809"/>
      <c r="BU12" s="809"/>
      <c r="BV12" s="809"/>
      <c r="BW12" s="809"/>
      <c r="BX12" s="809"/>
      <c r="BY12" s="809"/>
      <c r="BZ12" s="809"/>
      <c r="CA12" s="809"/>
      <c r="CB12" s="809"/>
      <c r="CC12" s="809"/>
      <c r="CD12" s="809"/>
      <c r="CE12" s="809"/>
      <c r="CF12" s="809"/>
      <c r="CG12" s="809"/>
      <c r="CH12" s="809"/>
      <c r="CI12" s="809"/>
      <c r="CJ12" s="809"/>
      <c r="CK12" s="809"/>
      <c r="CL12" s="809"/>
      <c r="CM12" s="809"/>
      <c r="CN12" s="809"/>
      <c r="CO12" s="809"/>
      <c r="CP12" s="809"/>
      <c r="CQ12" s="809"/>
      <c r="CR12" s="809"/>
      <c r="CS12" s="809"/>
      <c r="CT12" s="809"/>
      <c r="CU12" s="809"/>
      <c r="CV12" s="809"/>
      <c r="CW12" s="809"/>
      <c r="CX12" s="809"/>
      <c r="CY12" s="809"/>
      <c r="CZ12" s="809"/>
      <c r="DA12" s="809"/>
      <c r="DB12" s="809"/>
      <c r="DC12" s="809"/>
      <c r="DD12" s="809"/>
      <c r="DE12" s="809"/>
      <c r="DF12" s="809"/>
      <c r="DG12" s="809"/>
      <c r="DH12" s="809"/>
      <c r="DI12" s="809"/>
      <c r="DJ12" s="809"/>
      <c r="DK12" s="809"/>
      <c r="DL12" s="809"/>
      <c r="DM12" s="809"/>
      <c r="DN12" s="809"/>
      <c r="DO12" s="809"/>
      <c r="DP12" s="809"/>
      <c r="DQ12" s="809"/>
      <c r="DR12" s="809"/>
      <c r="DS12" s="809"/>
      <c r="DT12" s="809"/>
      <c r="DU12" s="809"/>
      <c r="DV12" s="809"/>
      <c r="DW12" s="809"/>
      <c r="DX12" s="809"/>
      <c r="DY12" s="809"/>
      <c r="DZ12" s="809"/>
      <c r="EA12" s="809"/>
      <c r="EB12" s="809"/>
      <c r="EC12" s="809"/>
      <c r="ED12" s="809"/>
      <c r="EE12" s="809"/>
      <c r="EF12" s="809"/>
      <c r="EG12" s="809"/>
      <c r="EH12" s="809"/>
      <c r="EI12" s="809"/>
      <c r="EJ12" s="809"/>
      <c r="EK12" s="809"/>
      <c r="EL12" s="809"/>
      <c r="EM12" s="809"/>
      <c r="EN12" s="809"/>
      <c r="EO12" s="809"/>
      <c r="EP12" s="809"/>
      <c r="EQ12" s="809"/>
      <c r="ER12" s="809"/>
      <c r="ES12" s="809"/>
      <c r="ET12" s="809"/>
      <c r="EU12" s="809"/>
      <c r="EV12" s="809"/>
      <c r="EW12" s="809"/>
      <c r="EX12" s="809"/>
      <c r="EY12" s="809"/>
      <c r="EZ12" s="809"/>
      <c r="FA12" s="809"/>
      <c r="FB12" s="809"/>
      <c r="FC12" s="809"/>
      <c r="FD12" s="809"/>
      <c r="FE12" s="809"/>
      <c r="FF12" s="809"/>
      <c r="FG12" s="809"/>
      <c r="FH12" s="809"/>
      <c r="FI12" s="809"/>
      <c r="FJ12" s="809"/>
      <c r="FK12" s="809"/>
      <c r="FL12" s="809"/>
      <c r="FM12" s="809"/>
      <c r="FN12" s="809"/>
      <c r="FO12" s="809"/>
      <c r="FP12" s="809"/>
      <c r="FQ12" s="809"/>
      <c r="FR12" s="809"/>
      <c r="FS12" s="809"/>
      <c r="FT12" s="809"/>
      <c r="FU12" s="809"/>
      <c r="FV12" s="809"/>
      <c r="FW12" s="809"/>
      <c r="FX12" s="809"/>
      <c r="FY12" s="809"/>
      <c r="FZ12" s="809"/>
      <c r="GA12" s="809"/>
      <c r="GB12" s="809"/>
      <c r="GC12" s="809"/>
      <c r="GD12" s="809"/>
      <c r="GE12" s="809"/>
      <c r="GF12" s="809"/>
      <c r="GG12" s="809"/>
      <c r="GH12" s="809"/>
      <c r="GI12" s="809"/>
      <c r="GJ12" s="809"/>
      <c r="GK12" s="809"/>
      <c r="GL12" s="809"/>
      <c r="GM12" s="809"/>
      <c r="GN12" s="809"/>
      <c r="GO12" s="809"/>
      <c r="GP12" s="809"/>
      <c r="GQ12" s="809"/>
      <c r="GR12" s="809"/>
      <c r="GS12" s="809"/>
      <c r="GT12" s="809"/>
      <c r="GU12" s="809"/>
      <c r="GV12" s="809"/>
      <c r="GW12" s="809"/>
      <c r="GX12" s="809"/>
      <c r="GY12" s="809"/>
      <c r="GZ12" s="809"/>
      <c r="HA12" s="809"/>
      <c r="HB12" s="809"/>
      <c r="HC12" s="809"/>
      <c r="HD12" s="809"/>
      <c r="HE12" s="809"/>
      <c r="HF12" s="809"/>
      <c r="HG12" s="809"/>
      <c r="HH12" s="809"/>
      <c r="HI12" s="809"/>
      <c r="HJ12" s="809"/>
      <c r="HK12" s="809"/>
      <c r="HL12" s="809"/>
      <c r="HM12" s="809"/>
      <c r="HN12" s="809"/>
      <c r="HO12" s="809"/>
      <c r="HP12" s="809"/>
      <c r="HQ12" s="809"/>
      <c r="HR12" s="809"/>
      <c r="HS12" s="809"/>
      <c r="HT12" s="809"/>
      <c r="HU12" s="809"/>
      <c r="HV12" s="809"/>
      <c r="HW12" s="809"/>
      <c r="HX12" s="809"/>
      <c r="HY12" s="809"/>
      <c r="HZ12" s="809"/>
      <c r="IA12" s="809"/>
      <c r="IB12" s="809"/>
      <c r="IC12" s="809"/>
      <c r="ID12" s="809"/>
      <c r="IE12" s="809"/>
      <c r="IF12" s="809"/>
      <c r="IG12" s="809"/>
      <c r="IH12" s="809"/>
      <c r="II12" s="809"/>
      <c r="IJ12" s="809"/>
      <c r="IK12" s="809"/>
      <c r="IL12" s="809"/>
      <c r="IM12" s="809"/>
      <c r="IN12" s="809"/>
      <c r="IO12" s="809"/>
      <c r="IP12" s="809"/>
      <c r="IQ12" s="809"/>
      <c r="IR12" s="809"/>
      <c r="IS12" s="809"/>
      <c r="IT12" s="809"/>
      <c r="IU12" s="809"/>
      <c r="IV12" s="809"/>
      <c r="IW12" s="809"/>
    </row>
    <row r="13" customFormat="false" ht="11.25" hidden="false" customHeight="true" outlineLevel="0" collapsed="false">
      <c r="A13" s="397" t="s">
        <v>678</v>
      </c>
      <c r="B13" s="371"/>
      <c r="C13" s="924"/>
      <c r="D13" s="727" t="n">
        <f aca="false">D11</f>
        <v>1853.0112</v>
      </c>
      <c r="E13" s="727" t="n">
        <f aca="false">D13+E11-E12</f>
        <v>3761.612736</v>
      </c>
      <c r="F13" s="727" t="n">
        <f aca="false">E13+F11-F12</f>
        <v>5727.47231808</v>
      </c>
      <c r="G13" s="727" t="n">
        <f aca="false">F13+G11-G12</f>
        <v>5852.4488163424</v>
      </c>
      <c r="H13" s="727" t="n">
        <f aca="false">G13+H11-H12</f>
        <v>7938.02924697107</v>
      </c>
      <c r="I13" s="727" t="n">
        <f aca="false">H13+I11-I12</f>
        <v>10086.1770905186</v>
      </c>
      <c r="J13" s="727" t="n">
        <f aca="false">I13+J11-J12</f>
        <v>10222.7422845354</v>
      </c>
      <c r="K13" s="727" t="n">
        <f aca="false">J13+K11-K12</f>
        <v>12501.712331755</v>
      </c>
      <c r="L13" s="727" t="n">
        <f aca="false">K13+L11-L12</f>
        <v>14849.0514803911</v>
      </c>
      <c r="M13" s="727" t="n">
        <f aca="false">L13+M11-M12</f>
        <v>5105.40135225237</v>
      </c>
      <c r="N13" s="727" t="n">
        <f aca="false">M13+N11-N12</f>
        <v>7595.69345504048</v>
      </c>
      <c r="O13" s="727" t="n">
        <f aca="false">N13+O11-O12</f>
        <v>10160.6943209122</v>
      </c>
      <c r="P13" s="727" t="n">
        <f aca="false">O13+P11-P12</f>
        <v>12802.6452127601</v>
      </c>
      <c r="Q13" s="727" t="n">
        <f aca="false">P13+Q11-Q12</f>
        <v>12970.603175808</v>
      </c>
      <c r="R13" s="727" t="n">
        <f aca="false">Q13+R11-R12</f>
        <v>15773.4488769695</v>
      </c>
      <c r="S13" s="727" t="n">
        <f aca="false">R13+S11-S12</f>
        <v>18660.3799491658</v>
      </c>
      <c r="T13" s="727" t="n">
        <f aca="false">S13+T11-T12</f>
        <v>3783.16452499306</v>
      </c>
      <c r="U13" s="727" t="n">
        <f aca="false">T13+U11-U12</f>
        <v>6845.9096994861</v>
      </c>
      <c r="V13" s="727" t="n">
        <f aca="false">U13+V11-V12</f>
        <v>10000.5372292139</v>
      </c>
      <c r="W13" s="727" t="n">
        <f aca="false">V13+W11-W12</f>
        <v>-16408.2955644292</v>
      </c>
      <c r="X13" s="727" t="n">
        <f aca="false">W13+X11-X12</f>
        <v>-13061.551218141</v>
      </c>
      <c r="Y13" s="727" t="n">
        <f aca="false">X13+Y11-Y12</f>
        <v>-13061.551218141</v>
      </c>
      <c r="Z13" s="727" t="n">
        <f aca="false">Y13+Z11-Z12</f>
        <v>-13061.551218141</v>
      </c>
      <c r="AA13" s="727" t="n">
        <f aca="false">Z13+AA11-AA12</f>
        <v>-13061.551218141</v>
      </c>
      <c r="AB13" s="783" t="n">
        <f aca="false">AA13+AB11-AB12</f>
        <v>-13061.551218141</v>
      </c>
      <c r="AC13" s="1"/>
      <c r="AD13" s="1"/>
      <c r="AE13" s="1"/>
      <c r="AF13" s="809"/>
      <c r="AG13" s="809"/>
      <c r="AH13" s="809"/>
      <c r="AI13" s="809"/>
      <c r="AJ13" s="809"/>
      <c r="AK13" s="809"/>
      <c r="AL13" s="809"/>
      <c r="AM13" s="809"/>
      <c r="AN13" s="809"/>
      <c r="AO13" s="809"/>
      <c r="AP13" s="809"/>
      <c r="AQ13" s="809"/>
      <c r="AR13" s="809"/>
      <c r="AS13" s="809"/>
      <c r="AT13" s="809"/>
      <c r="AU13" s="809"/>
      <c r="AV13" s="809"/>
      <c r="AW13" s="809"/>
      <c r="AX13" s="809"/>
      <c r="AY13" s="809"/>
      <c r="AZ13" s="809"/>
      <c r="BA13" s="809"/>
      <c r="BB13" s="809"/>
      <c r="BC13" s="809"/>
      <c r="BD13" s="809"/>
      <c r="BE13" s="809"/>
      <c r="BF13" s="809"/>
      <c r="BG13" s="809"/>
      <c r="BH13" s="809"/>
      <c r="BI13" s="809"/>
      <c r="BJ13" s="809"/>
      <c r="BK13" s="809"/>
      <c r="BL13" s="809"/>
      <c r="BM13" s="809"/>
      <c r="BN13" s="809"/>
      <c r="BO13" s="809"/>
      <c r="BP13" s="809"/>
      <c r="BQ13" s="809"/>
      <c r="BR13" s="809"/>
      <c r="BS13" s="809"/>
      <c r="BT13" s="809"/>
      <c r="BU13" s="809"/>
      <c r="BV13" s="809"/>
      <c r="BW13" s="809"/>
      <c r="BX13" s="809"/>
      <c r="BY13" s="809"/>
      <c r="BZ13" s="809"/>
      <c r="CA13" s="809"/>
      <c r="CB13" s="809"/>
      <c r="CC13" s="809"/>
      <c r="CD13" s="809"/>
      <c r="CE13" s="809"/>
      <c r="CF13" s="809"/>
      <c r="CG13" s="809"/>
      <c r="CH13" s="809"/>
      <c r="CI13" s="809"/>
      <c r="CJ13" s="809"/>
      <c r="CK13" s="809"/>
      <c r="CL13" s="809"/>
      <c r="CM13" s="809"/>
      <c r="CN13" s="809"/>
      <c r="CO13" s="809"/>
      <c r="CP13" s="809"/>
      <c r="CQ13" s="809"/>
      <c r="CR13" s="809"/>
      <c r="CS13" s="809"/>
      <c r="CT13" s="809"/>
      <c r="CU13" s="809"/>
      <c r="CV13" s="809"/>
      <c r="CW13" s="809"/>
      <c r="CX13" s="809"/>
      <c r="CY13" s="809"/>
      <c r="CZ13" s="809"/>
      <c r="DA13" s="809"/>
      <c r="DB13" s="809"/>
      <c r="DC13" s="809"/>
      <c r="DD13" s="809"/>
      <c r="DE13" s="809"/>
      <c r="DF13" s="809"/>
      <c r="DG13" s="809"/>
      <c r="DH13" s="809"/>
      <c r="DI13" s="809"/>
      <c r="DJ13" s="809"/>
      <c r="DK13" s="809"/>
      <c r="DL13" s="809"/>
      <c r="DM13" s="809"/>
      <c r="DN13" s="809"/>
      <c r="DO13" s="809"/>
      <c r="DP13" s="809"/>
      <c r="DQ13" s="809"/>
      <c r="DR13" s="809"/>
      <c r="DS13" s="809"/>
      <c r="DT13" s="809"/>
      <c r="DU13" s="809"/>
      <c r="DV13" s="809"/>
      <c r="DW13" s="809"/>
      <c r="DX13" s="809"/>
      <c r="DY13" s="809"/>
      <c r="DZ13" s="809"/>
      <c r="EA13" s="809"/>
      <c r="EB13" s="809"/>
      <c r="EC13" s="809"/>
      <c r="ED13" s="809"/>
      <c r="EE13" s="809"/>
      <c r="EF13" s="809"/>
      <c r="EG13" s="809"/>
      <c r="EH13" s="809"/>
      <c r="EI13" s="809"/>
      <c r="EJ13" s="809"/>
      <c r="EK13" s="809"/>
      <c r="EL13" s="809"/>
      <c r="EM13" s="809"/>
      <c r="EN13" s="809"/>
      <c r="EO13" s="809"/>
      <c r="EP13" s="809"/>
      <c r="EQ13" s="809"/>
      <c r="ER13" s="809"/>
      <c r="ES13" s="809"/>
      <c r="ET13" s="809"/>
      <c r="EU13" s="809"/>
      <c r="EV13" s="809"/>
      <c r="EW13" s="809"/>
      <c r="EX13" s="809"/>
      <c r="EY13" s="809"/>
      <c r="EZ13" s="809"/>
      <c r="FA13" s="809"/>
      <c r="FB13" s="809"/>
      <c r="FC13" s="809"/>
      <c r="FD13" s="809"/>
      <c r="FE13" s="809"/>
      <c r="FF13" s="809"/>
      <c r="FG13" s="809"/>
      <c r="FH13" s="809"/>
      <c r="FI13" s="809"/>
      <c r="FJ13" s="809"/>
      <c r="FK13" s="809"/>
      <c r="FL13" s="809"/>
      <c r="FM13" s="809"/>
      <c r="FN13" s="809"/>
      <c r="FO13" s="809"/>
      <c r="FP13" s="809"/>
      <c r="FQ13" s="809"/>
      <c r="FR13" s="809"/>
      <c r="FS13" s="809"/>
      <c r="FT13" s="809"/>
      <c r="FU13" s="809"/>
      <c r="FV13" s="809"/>
      <c r="FW13" s="809"/>
      <c r="FX13" s="809"/>
      <c r="FY13" s="809"/>
      <c r="FZ13" s="809"/>
      <c r="GA13" s="809"/>
      <c r="GB13" s="809"/>
      <c r="GC13" s="809"/>
      <c r="GD13" s="809"/>
      <c r="GE13" s="809"/>
      <c r="GF13" s="809"/>
      <c r="GG13" s="809"/>
      <c r="GH13" s="809"/>
      <c r="GI13" s="809"/>
      <c r="GJ13" s="809"/>
      <c r="GK13" s="809"/>
      <c r="GL13" s="809"/>
      <c r="GM13" s="809"/>
      <c r="GN13" s="809"/>
      <c r="GO13" s="809"/>
      <c r="GP13" s="809"/>
      <c r="GQ13" s="809"/>
      <c r="GR13" s="809"/>
      <c r="GS13" s="809"/>
      <c r="GT13" s="809"/>
      <c r="GU13" s="809"/>
      <c r="GV13" s="809"/>
      <c r="GW13" s="809"/>
      <c r="GX13" s="809"/>
      <c r="GY13" s="809"/>
      <c r="GZ13" s="809"/>
      <c r="HA13" s="809"/>
      <c r="HB13" s="809"/>
      <c r="HC13" s="809"/>
      <c r="HD13" s="809"/>
      <c r="HE13" s="809"/>
      <c r="HF13" s="809"/>
      <c r="HG13" s="809"/>
      <c r="HH13" s="809"/>
      <c r="HI13" s="809"/>
      <c r="HJ13" s="809"/>
      <c r="HK13" s="809"/>
      <c r="HL13" s="809"/>
      <c r="HM13" s="809"/>
      <c r="HN13" s="809"/>
      <c r="HO13" s="809"/>
      <c r="HP13" s="809"/>
      <c r="HQ13" s="809"/>
      <c r="HR13" s="809"/>
      <c r="HS13" s="809"/>
      <c r="HT13" s="809"/>
      <c r="HU13" s="809"/>
      <c r="HV13" s="809"/>
      <c r="HW13" s="809"/>
      <c r="HX13" s="809"/>
      <c r="HY13" s="809"/>
      <c r="HZ13" s="809"/>
      <c r="IA13" s="809"/>
      <c r="IB13" s="809"/>
      <c r="IC13" s="809"/>
      <c r="ID13" s="809"/>
      <c r="IE13" s="809"/>
      <c r="IF13" s="809"/>
      <c r="IG13" s="809"/>
      <c r="IH13" s="809"/>
      <c r="II13" s="809"/>
      <c r="IJ13" s="809"/>
      <c r="IK13" s="809"/>
      <c r="IL13" s="809"/>
      <c r="IM13" s="809"/>
      <c r="IN13" s="809"/>
      <c r="IO13" s="809"/>
      <c r="IP13" s="809"/>
      <c r="IQ13" s="809"/>
      <c r="IR13" s="809"/>
      <c r="IS13" s="809"/>
      <c r="IT13" s="809"/>
      <c r="IU13" s="809"/>
      <c r="IV13" s="809"/>
      <c r="IW13" s="809"/>
    </row>
    <row r="14" customFormat="false" ht="11.25" hidden="false" customHeight="false" outlineLevel="0" collapsed="false">
      <c r="A14" s="449" t="s">
        <v>679</v>
      </c>
      <c r="B14" s="467"/>
      <c r="C14" s="467"/>
      <c r="D14" s="926" t="n">
        <f aca="false">D13*'Project Assumptions'!$U$16</f>
        <v>24.9988887476307</v>
      </c>
      <c r="E14" s="926" t="n">
        <f aca="false">E13*'Project Assumptions'!$U$16</f>
        <v>50.7477441576903</v>
      </c>
      <c r="F14" s="926" t="n">
        <f aca="false">F13*'Project Assumptions'!$U$16</f>
        <v>77.2690652300516</v>
      </c>
      <c r="G14" s="926" t="n">
        <f aca="false">G13*'Project Assumptions'!$U$16</f>
        <v>78.9551174115658</v>
      </c>
      <c r="H14" s="926" t="n">
        <f aca="false">H13*'Project Assumptions'!$U$16</f>
        <v>107.091586937234</v>
      </c>
      <c r="I14" s="926" t="n">
        <f aca="false">I13*'Project Assumptions'!$U$16</f>
        <v>136.072150548672</v>
      </c>
      <c r="J14" s="926" t="n">
        <f aca="false">J13*'Project Assumptions'!$U$16</f>
        <v>137.914545290822</v>
      </c>
      <c r="K14" s="926" t="n">
        <f aca="false">K13*'Project Assumptions'!$U$16</f>
        <v>168.660025226196</v>
      </c>
      <c r="L14" s="926" t="n">
        <f aca="false">L13*'Project Assumptions'!$U$16</f>
        <v>200.327869559633</v>
      </c>
      <c r="M14" s="926" t="n">
        <f aca="false">M13*'Project Assumptions'!$U$16</f>
        <v>68.8767344832887</v>
      </c>
      <c r="N14" s="926" t="n">
        <f aca="false">N13*'Project Assumptions'!$U$16</f>
        <v>102.473150536631</v>
      </c>
      <c r="O14" s="926" t="n">
        <f aca="false">O13*'Project Assumptions'!$U$16</f>
        <v>137.077459071574</v>
      </c>
      <c r="P14" s="926" t="n">
        <f aca="false">P13*'Project Assumptions'!$U$16</f>
        <v>172.719896862564</v>
      </c>
      <c r="Q14" s="926" t="n">
        <f aca="false">Q13*'Project Assumptions'!$U$16</f>
        <v>174.98581000573</v>
      </c>
      <c r="R14" s="926" t="n">
        <f aca="false">R13*'Project Assumptions'!$U$16</f>
        <v>212.798872258193</v>
      </c>
      <c r="S14" s="926" t="n">
        <f aca="false">S13*'Project Assumptions'!$U$16</f>
        <v>251.746326378229</v>
      </c>
      <c r="T14" s="926" t="n">
        <f aca="false">T13*'Project Assumptions'!$U$16</f>
        <v>51.0384983502985</v>
      </c>
      <c r="U14" s="926" t="n">
        <f aca="false">U13*'Project Assumptions'!$U$16</f>
        <v>92.3578524262448</v>
      </c>
      <c r="V14" s="926" t="n">
        <f aca="false">V13*'Project Assumptions'!$U$16</f>
        <v>134.916787124469</v>
      </c>
      <c r="W14" s="926" t="n">
        <f aca="false">W13*'Project Assumptions'!$U$16</f>
        <v>-221.363559677031</v>
      </c>
      <c r="X14" s="926" t="n">
        <f aca="false">X13*'Project Assumptions'!$U$16</f>
        <v>-176.212785855685</v>
      </c>
      <c r="Y14" s="926" t="n">
        <f aca="false">Y13*'Project Assumptions'!$U$16</f>
        <v>-176.212785855685</v>
      </c>
      <c r="Z14" s="926" t="n">
        <f aca="false">Z13*'Project Assumptions'!$U$16</f>
        <v>-176.212785855685</v>
      </c>
      <c r="AA14" s="926" t="n">
        <f aca="false">AA13*'Project Assumptions'!$U$16</f>
        <v>-176.212785855685</v>
      </c>
      <c r="AB14" s="927" t="n">
        <f aca="false">AB13*'Project Assumptions'!$U$16</f>
        <v>-176.212785855685</v>
      </c>
      <c r="AC14" s="1"/>
      <c r="AD14" s="1"/>
      <c r="AE14" s="1"/>
      <c r="AF14" s="809"/>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09"/>
      <c r="BD14" s="809"/>
      <c r="BE14" s="809"/>
      <c r="BF14" s="809"/>
      <c r="BG14" s="809"/>
      <c r="BH14" s="809"/>
      <c r="BI14" s="809"/>
      <c r="BJ14" s="809"/>
      <c r="BK14" s="809"/>
      <c r="BL14" s="809"/>
      <c r="BM14" s="809"/>
      <c r="BN14" s="809"/>
      <c r="BO14" s="809"/>
      <c r="BP14" s="809"/>
      <c r="BQ14" s="809"/>
      <c r="BR14" s="809"/>
      <c r="BS14" s="809"/>
      <c r="BT14" s="809"/>
      <c r="BU14" s="809"/>
      <c r="BV14" s="809"/>
      <c r="BW14" s="809"/>
      <c r="BX14" s="809"/>
      <c r="BY14" s="809"/>
      <c r="BZ14" s="809"/>
      <c r="CA14" s="809"/>
      <c r="CB14" s="809"/>
      <c r="CC14" s="809"/>
      <c r="CD14" s="809"/>
      <c r="CE14" s="809"/>
      <c r="CF14" s="809"/>
      <c r="CG14" s="809"/>
      <c r="CH14" s="809"/>
      <c r="CI14" s="809"/>
      <c r="CJ14" s="809"/>
      <c r="CK14" s="809"/>
      <c r="CL14" s="809"/>
      <c r="CM14" s="809"/>
      <c r="CN14" s="809"/>
      <c r="CO14" s="809"/>
      <c r="CP14" s="809"/>
      <c r="CQ14" s="809"/>
      <c r="CR14" s="809"/>
      <c r="CS14" s="809"/>
      <c r="CT14" s="809"/>
      <c r="CU14" s="809"/>
      <c r="CV14" s="809"/>
      <c r="CW14" s="809"/>
      <c r="CX14" s="809"/>
      <c r="CY14" s="809"/>
      <c r="CZ14" s="809"/>
      <c r="DA14" s="809"/>
      <c r="DB14" s="809"/>
      <c r="DC14" s="809"/>
      <c r="DD14" s="809"/>
      <c r="DE14" s="809"/>
      <c r="DF14" s="809"/>
      <c r="DG14" s="809"/>
      <c r="DH14" s="809"/>
      <c r="DI14" s="809"/>
      <c r="DJ14" s="809"/>
      <c r="DK14" s="809"/>
      <c r="DL14" s="809"/>
      <c r="DM14" s="809"/>
      <c r="DN14" s="809"/>
      <c r="DO14" s="809"/>
      <c r="DP14" s="809"/>
      <c r="DQ14" s="809"/>
      <c r="DR14" s="809"/>
      <c r="DS14" s="809"/>
      <c r="DT14" s="809"/>
      <c r="DU14" s="809"/>
      <c r="DV14" s="809"/>
      <c r="DW14" s="809"/>
      <c r="DX14" s="809"/>
      <c r="DY14" s="809"/>
      <c r="DZ14" s="809"/>
      <c r="EA14" s="809"/>
      <c r="EB14" s="809"/>
      <c r="EC14" s="809"/>
      <c r="ED14" s="809"/>
      <c r="EE14" s="809"/>
      <c r="EF14" s="809"/>
      <c r="EG14" s="809"/>
      <c r="EH14" s="809"/>
      <c r="EI14" s="809"/>
      <c r="EJ14" s="809"/>
      <c r="EK14" s="809"/>
      <c r="EL14" s="809"/>
      <c r="EM14" s="809"/>
      <c r="EN14" s="809"/>
      <c r="EO14" s="809"/>
      <c r="EP14" s="809"/>
      <c r="EQ14" s="809"/>
      <c r="ER14" s="809"/>
      <c r="ES14" s="809"/>
      <c r="ET14" s="809"/>
      <c r="EU14" s="809"/>
      <c r="EV14" s="809"/>
      <c r="EW14" s="809"/>
      <c r="EX14" s="809"/>
      <c r="EY14" s="809"/>
      <c r="EZ14" s="809"/>
      <c r="FA14" s="809"/>
      <c r="FB14" s="809"/>
      <c r="FC14" s="809"/>
      <c r="FD14" s="809"/>
      <c r="FE14" s="809"/>
      <c r="FF14" s="809"/>
      <c r="FG14" s="809"/>
      <c r="FH14" s="809"/>
      <c r="FI14" s="809"/>
      <c r="FJ14" s="809"/>
      <c r="FK14" s="809"/>
      <c r="FL14" s="809"/>
      <c r="FM14" s="809"/>
      <c r="FN14" s="809"/>
      <c r="FO14" s="809"/>
      <c r="FP14" s="809"/>
      <c r="FQ14" s="809"/>
      <c r="FR14" s="809"/>
      <c r="FS14" s="809"/>
      <c r="FT14" s="809"/>
      <c r="FU14" s="809"/>
      <c r="FV14" s="809"/>
      <c r="FW14" s="809"/>
      <c r="FX14" s="809"/>
      <c r="FY14" s="809"/>
      <c r="FZ14" s="809"/>
      <c r="GA14" s="809"/>
      <c r="GB14" s="809"/>
      <c r="GC14" s="809"/>
      <c r="GD14" s="809"/>
      <c r="GE14" s="809"/>
      <c r="GF14" s="809"/>
      <c r="GG14" s="809"/>
      <c r="GH14" s="809"/>
      <c r="GI14" s="809"/>
      <c r="GJ14" s="809"/>
      <c r="GK14" s="809"/>
      <c r="GL14" s="809"/>
      <c r="GM14" s="809"/>
      <c r="GN14" s="809"/>
      <c r="GO14" s="809"/>
      <c r="GP14" s="809"/>
      <c r="GQ14" s="809"/>
      <c r="GR14" s="809"/>
      <c r="GS14" s="809"/>
      <c r="GT14" s="809"/>
      <c r="GU14" s="809"/>
      <c r="GV14" s="809"/>
      <c r="GW14" s="809"/>
      <c r="GX14" s="809"/>
      <c r="GY14" s="809"/>
      <c r="GZ14" s="809"/>
      <c r="HA14" s="809"/>
      <c r="HB14" s="809"/>
      <c r="HC14" s="809"/>
      <c r="HD14" s="809"/>
      <c r="HE14" s="809"/>
      <c r="HF14" s="809"/>
      <c r="HG14" s="809"/>
      <c r="HH14" s="809"/>
      <c r="HI14" s="809"/>
      <c r="HJ14" s="809"/>
      <c r="HK14" s="809"/>
      <c r="HL14" s="809"/>
      <c r="HM14" s="809"/>
      <c r="HN14" s="809"/>
      <c r="HO14" s="809"/>
      <c r="HP14" s="809"/>
      <c r="HQ14" s="809"/>
      <c r="HR14" s="809"/>
      <c r="HS14" s="809"/>
      <c r="HT14" s="809"/>
      <c r="HU14" s="809"/>
      <c r="HV14" s="809"/>
      <c r="HW14" s="809"/>
      <c r="HX14" s="809"/>
      <c r="HY14" s="809"/>
      <c r="HZ14" s="809"/>
      <c r="IA14" s="809"/>
      <c r="IB14" s="809"/>
      <c r="IC14" s="809"/>
      <c r="ID14" s="809"/>
      <c r="IE14" s="809"/>
      <c r="IF14" s="809"/>
      <c r="IG14" s="809"/>
      <c r="IH14" s="809"/>
      <c r="II14" s="809"/>
      <c r="IJ14" s="809"/>
      <c r="IK14" s="809"/>
      <c r="IL14" s="809"/>
      <c r="IM14" s="809"/>
      <c r="IN14" s="809"/>
      <c r="IO14" s="809"/>
      <c r="IP14" s="809"/>
      <c r="IQ14" s="809"/>
      <c r="IR14" s="809"/>
      <c r="IS14" s="809"/>
      <c r="IT14" s="809"/>
      <c r="IU14" s="809"/>
      <c r="IV14" s="809"/>
      <c r="IW14" s="809"/>
    </row>
    <row r="15" customFormat="false" ht="11.25" hidden="true" customHeight="false" outlineLevel="0" collapsed="false">
      <c r="A15" s="1" t="s">
        <v>680</v>
      </c>
      <c r="B15" s="1"/>
      <c r="C15" s="1"/>
      <c r="D15" s="928" t="n">
        <f aca="false">D14</f>
        <v>24.9988887476307</v>
      </c>
      <c r="E15" s="928" t="n">
        <f aca="false">D15+E14</f>
        <v>75.7466329053209</v>
      </c>
      <c r="F15" s="928" t="n">
        <f aca="false">E15+F14</f>
        <v>153.015698135373</v>
      </c>
      <c r="G15" s="928" t="n">
        <f aca="false">F15+G14</f>
        <v>231.970815546938</v>
      </c>
      <c r="H15" s="928" t="n">
        <f aca="false">G15+H14</f>
        <v>339.062402484172</v>
      </c>
      <c r="I15" s="928" t="n">
        <f aca="false">H15+I14</f>
        <v>475.134553032845</v>
      </c>
      <c r="J15" s="928" t="n">
        <f aca="false">I15+J14</f>
        <v>613.049098323666</v>
      </c>
      <c r="K15" s="928" t="n">
        <f aca="false">J15+K14</f>
        <v>781.709123549863</v>
      </c>
      <c r="L15" s="928" t="n">
        <f aca="false">K15+L14</f>
        <v>982.036993109495</v>
      </c>
      <c r="M15" s="928" t="n">
        <f aca="false">L15+M14</f>
        <v>1050.91372759278</v>
      </c>
      <c r="N15" s="928" t="n">
        <f aca="false">M15+N14</f>
        <v>1153.38687812941</v>
      </c>
      <c r="O15" s="928" t="n">
        <f aca="false">N15+O14</f>
        <v>1290.46433720099</v>
      </c>
      <c r="P15" s="928" t="n">
        <f aca="false">O15+P14</f>
        <v>1463.18423406355</v>
      </c>
      <c r="Q15" s="928" t="n">
        <f aca="false">P15+Q14</f>
        <v>1638.17004406928</v>
      </c>
      <c r="R15" s="928" t="n">
        <f aca="false">Q15+R14</f>
        <v>1850.96891632748</v>
      </c>
      <c r="S15" s="928" t="n">
        <f aca="false">R15+S14</f>
        <v>2102.7152427057</v>
      </c>
      <c r="T15" s="928" t="n">
        <f aca="false">S15+T14</f>
        <v>2153.753741056</v>
      </c>
      <c r="U15" s="928" t="n">
        <f aca="false">T15+U14</f>
        <v>2246.11159348225</v>
      </c>
      <c r="V15" s="928" t="n">
        <f aca="false">U15+V14</f>
        <v>2381.02838060672</v>
      </c>
      <c r="W15" s="928" t="n">
        <f aca="false">V15+W14</f>
        <v>2159.66482092969</v>
      </c>
      <c r="X15" s="928" t="n">
        <f aca="false">W15+X14</f>
        <v>1983.452035074</v>
      </c>
      <c r="Y15" s="928" t="n">
        <f aca="false">X15+Y14</f>
        <v>1807.23924921832</v>
      </c>
      <c r="Z15" s="928" t="n">
        <f aca="false">Y15+Z14</f>
        <v>1631.02646336263</v>
      </c>
      <c r="AA15" s="928" t="n">
        <f aca="false">Z15+AA14</f>
        <v>1454.81367750695</v>
      </c>
      <c r="AB15" s="928" t="n">
        <f aca="false">AA15+AB14</f>
        <v>1278.60089165126</v>
      </c>
      <c r="AC15" s="1"/>
      <c r="AD15" s="1"/>
      <c r="AE15" s="1"/>
      <c r="AF15" s="809"/>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09"/>
      <c r="BD15" s="809"/>
      <c r="BE15" s="809"/>
      <c r="BF15" s="809"/>
      <c r="BG15" s="809"/>
      <c r="BH15" s="809"/>
      <c r="BI15" s="809"/>
      <c r="BJ15" s="809"/>
      <c r="BK15" s="809"/>
      <c r="BL15" s="809"/>
      <c r="BM15" s="809"/>
      <c r="BN15" s="809"/>
      <c r="BO15" s="809"/>
      <c r="BP15" s="809"/>
      <c r="BQ15" s="809"/>
      <c r="BR15" s="809"/>
      <c r="BS15" s="809"/>
      <c r="BT15" s="809"/>
      <c r="BU15" s="809"/>
      <c r="BV15" s="809"/>
      <c r="BW15" s="809"/>
      <c r="BX15" s="809"/>
      <c r="BY15" s="809"/>
      <c r="BZ15" s="809"/>
      <c r="CA15" s="809"/>
      <c r="CB15" s="809"/>
      <c r="CC15" s="809"/>
      <c r="CD15" s="809"/>
      <c r="CE15" s="809"/>
      <c r="CF15" s="809"/>
      <c r="CG15" s="809"/>
      <c r="CH15" s="809"/>
      <c r="CI15" s="809"/>
      <c r="CJ15" s="809"/>
      <c r="CK15" s="809"/>
      <c r="CL15" s="809"/>
      <c r="CM15" s="809"/>
      <c r="CN15" s="809"/>
      <c r="CO15" s="809"/>
      <c r="CP15" s="809"/>
      <c r="CQ15" s="809"/>
      <c r="CR15" s="809"/>
      <c r="CS15" s="809"/>
      <c r="CT15" s="809"/>
      <c r="CU15" s="809"/>
      <c r="CV15" s="809"/>
      <c r="CW15" s="809"/>
      <c r="CX15" s="809"/>
      <c r="CY15" s="809"/>
      <c r="CZ15" s="809"/>
      <c r="DA15" s="809"/>
      <c r="DB15" s="809"/>
      <c r="DC15" s="809"/>
      <c r="DD15" s="809"/>
      <c r="DE15" s="809"/>
      <c r="DF15" s="809"/>
      <c r="DG15" s="809"/>
      <c r="DH15" s="809"/>
      <c r="DI15" s="809"/>
      <c r="DJ15" s="809"/>
      <c r="DK15" s="809"/>
      <c r="DL15" s="809"/>
      <c r="DM15" s="809"/>
      <c r="DN15" s="809"/>
      <c r="DO15" s="809"/>
      <c r="DP15" s="809"/>
      <c r="DQ15" s="809"/>
      <c r="DR15" s="809"/>
      <c r="DS15" s="809"/>
      <c r="DT15" s="809"/>
      <c r="DU15" s="809"/>
      <c r="DV15" s="809"/>
      <c r="DW15" s="809"/>
      <c r="DX15" s="809"/>
      <c r="DY15" s="809"/>
      <c r="DZ15" s="809"/>
      <c r="EA15" s="809"/>
      <c r="EB15" s="809"/>
      <c r="EC15" s="809"/>
      <c r="ED15" s="809"/>
      <c r="EE15" s="809"/>
      <c r="EF15" s="809"/>
      <c r="EG15" s="809"/>
      <c r="EH15" s="809"/>
      <c r="EI15" s="809"/>
      <c r="EJ15" s="809"/>
      <c r="EK15" s="809"/>
      <c r="EL15" s="809"/>
      <c r="EM15" s="809"/>
      <c r="EN15" s="809"/>
      <c r="EO15" s="809"/>
      <c r="EP15" s="809"/>
      <c r="EQ15" s="809"/>
      <c r="ER15" s="809"/>
      <c r="ES15" s="809"/>
      <c r="ET15" s="809"/>
      <c r="EU15" s="809"/>
      <c r="EV15" s="809"/>
      <c r="EW15" s="809"/>
      <c r="EX15" s="809"/>
      <c r="EY15" s="809"/>
      <c r="EZ15" s="809"/>
      <c r="FA15" s="809"/>
      <c r="FB15" s="809"/>
      <c r="FC15" s="809"/>
      <c r="FD15" s="809"/>
      <c r="FE15" s="809"/>
      <c r="FF15" s="809"/>
      <c r="FG15" s="809"/>
      <c r="FH15" s="809"/>
      <c r="FI15" s="809"/>
      <c r="FJ15" s="809"/>
      <c r="FK15" s="809"/>
      <c r="FL15" s="809"/>
      <c r="FM15" s="809"/>
      <c r="FN15" s="809"/>
      <c r="FO15" s="809"/>
      <c r="FP15" s="809"/>
      <c r="FQ15" s="809"/>
      <c r="FR15" s="809"/>
      <c r="FS15" s="809"/>
      <c r="FT15" s="809"/>
      <c r="FU15" s="809"/>
      <c r="FV15" s="809"/>
      <c r="FW15" s="809"/>
      <c r="FX15" s="809"/>
      <c r="FY15" s="809"/>
      <c r="FZ15" s="809"/>
      <c r="GA15" s="809"/>
      <c r="GB15" s="809"/>
      <c r="GC15" s="809"/>
      <c r="GD15" s="809"/>
      <c r="GE15" s="809"/>
      <c r="GF15" s="809"/>
      <c r="GG15" s="809"/>
      <c r="GH15" s="809"/>
      <c r="GI15" s="809"/>
      <c r="GJ15" s="809"/>
      <c r="GK15" s="809"/>
      <c r="GL15" s="809"/>
      <c r="GM15" s="809"/>
      <c r="GN15" s="809"/>
      <c r="GO15" s="809"/>
      <c r="GP15" s="809"/>
      <c r="GQ15" s="809"/>
      <c r="GR15" s="809"/>
      <c r="GS15" s="809"/>
      <c r="GT15" s="809"/>
      <c r="GU15" s="809"/>
      <c r="GV15" s="809"/>
      <c r="GW15" s="809"/>
      <c r="GX15" s="809"/>
      <c r="GY15" s="809"/>
      <c r="GZ15" s="809"/>
      <c r="HA15" s="809"/>
      <c r="HB15" s="809"/>
      <c r="HC15" s="809"/>
      <c r="HD15" s="809"/>
      <c r="HE15" s="809"/>
      <c r="HF15" s="809"/>
      <c r="HG15" s="809"/>
      <c r="HH15" s="809"/>
      <c r="HI15" s="809"/>
      <c r="HJ15" s="809"/>
      <c r="HK15" s="809"/>
      <c r="HL15" s="809"/>
      <c r="HM15" s="809"/>
      <c r="HN15" s="809"/>
      <c r="HO15" s="809"/>
      <c r="HP15" s="809"/>
      <c r="HQ15" s="809"/>
      <c r="HR15" s="809"/>
      <c r="HS15" s="809"/>
      <c r="HT15" s="809"/>
      <c r="HU15" s="809"/>
      <c r="HV15" s="809"/>
      <c r="HW15" s="809"/>
      <c r="HX15" s="809"/>
      <c r="HY15" s="809"/>
      <c r="HZ15" s="809"/>
      <c r="IA15" s="809"/>
      <c r="IB15" s="809"/>
      <c r="IC15" s="809"/>
      <c r="ID15" s="809"/>
      <c r="IE15" s="809"/>
      <c r="IF15" s="809"/>
      <c r="IG15" s="809"/>
      <c r="IH15" s="809"/>
      <c r="II15" s="809"/>
      <c r="IJ15" s="809"/>
      <c r="IK15" s="809"/>
      <c r="IL15" s="809"/>
      <c r="IM15" s="809"/>
      <c r="IN15" s="809"/>
      <c r="IO15" s="809"/>
      <c r="IP15" s="809"/>
      <c r="IQ15" s="809"/>
      <c r="IR15" s="809"/>
      <c r="IS15" s="809"/>
      <c r="IT15" s="809"/>
      <c r="IU15" s="809"/>
      <c r="IV15" s="809"/>
      <c r="IW15" s="809"/>
    </row>
    <row r="16" customFormat="false" ht="11.25" hidden="false" customHeight="false" outlineLevel="0" collapsed="false">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809"/>
      <c r="AG16" s="809"/>
      <c r="AH16" s="809"/>
      <c r="AI16" s="809"/>
      <c r="AJ16" s="809"/>
      <c r="AK16" s="809"/>
      <c r="AL16" s="809"/>
      <c r="AM16" s="809"/>
      <c r="AN16" s="809"/>
      <c r="AO16" s="809"/>
      <c r="AP16" s="809"/>
      <c r="AQ16" s="809"/>
      <c r="AR16" s="809"/>
      <c r="AS16" s="809"/>
      <c r="AT16" s="809"/>
      <c r="AU16" s="809"/>
      <c r="AV16" s="809"/>
      <c r="AW16" s="809"/>
      <c r="AX16" s="809"/>
      <c r="AY16" s="809"/>
      <c r="AZ16" s="809"/>
      <c r="BA16" s="809"/>
      <c r="BB16" s="809"/>
      <c r="BC16" s="809"/>
      <c r="BD16" s="809"/>
      <c r="BE16" s="809"/>
      <c r="BF16" s="809"/>
      <c r="BG16" s="809"/>
      <c r="BH16" s="809"/>
      <c r="BI16" s="809"/>
      <c r="BJ16" s="809"/>
      <c r="BK16" s="809"/>
      <c r="BL16" s="809"/>
      <c r="BM16" s="809"/>
      <c r="BN16" s="809"/>
      <c r="BO16" s="809"/>
      <c r="BP16" s="809"/>
      <c r="BQ16" s="809"/>
      <c r="BR16" s="809"/>
      <c r="BS16" s="809"/>
      <c r="BT16" s="809"/>
      <c r="BU16" s="809"/>
      <c r="BV16" s="809"/>
      <c r="BW16" s="809"/>
      <c r="BX16" s="809"/>
      <c r="BY16" s="809"/>
      <c r="BZ16" s="809"/>
      <c r="CA16" s="809"/>
      <c r="CB16" s="809"/>
      <c r="CC16" s="809"/>
      <c r="CD16" s="809"/>
      <c r="CE16" s="809"/>
      <c r="CF16" s="809"/>
      <c r="CG16" s="809"/>
      <c r="CH16" s="809"/>
      <c r="CI16" s="809"/>
      <c r="CJ16" s="809"/>
      <c r="CK16" s="809"/>
      <c r="CL16" s="809"/>
      <c r="CM16" s="809"/>
      <c r="CN16" s="809"/>
      <c r="CO16" s="809"/>
      <c r="CP16" s="809"/>
      <c r="CQ16" s="809"/>
      <c r="CR16" s="809"/>
      <c r="CS16" s="809"/>
      <c r="CT16" s="809"/>
      <c r="CU16" s="809"/>
      <c r="CV16" s="809"/>
      <c r="CW16" s="809"/>
      <c r="CX16" s="809"/>
      <c r="CY16" s="809"/>
      <c r="CZ16" s="809"/>
      <c r="DA16" s="809"/>
      <c r="DB16" s="809"/>
      <c r="DC16" s="809"/>
      <c r="DD16" s="809"/>
      <c r="DE16" s="809"/>
      <c r="DF16" s="809"/>
      <c r="DG16" s="809"/>
      <c r="DH16" s="809"/>
      <c r="DI16" s="809"/>
      <c r="DJ16" s="809"/>
      <c r="DK16" s="809"/>
      <c r="DL16" s="809"/>
      <c r="DM16" s="809"/>
      <c r="DN16" s="809"/>
      <c r="DO16" s="809"/>
      <c r="DP16" s="809"/>
      <c r="DQ16" s="809"/>
      <c r="DR16" s="809"/>
      <c r="DS16" s="809"/>
      <c r="DT16" s="809"/>
      <c r="DU16" s="809"/>
      <c r="DV16" s="809"/>
      <c r="DW16" s="809"/>
      <c r="DX16" s="809"/>
      <c r="DY16" s="809"/>
      <c r="DZ16" s="809"/>
      <c r="EA16" s="809"/>
      <c r="EB16" s="809"/>
      <c r="EC16" s="809"/>
      <c r="ED16" s="809"/>
      <c r="EE16" s="809"/>
      <c r="EF16" s="809"/>
      <c r="EG16" s="809"/>
      <c r="EH16" s="809"/>
      <c r="EI16" s="809"/>
      <c r="EJ16" s="809"/>
      <c r="EK16" s="809"/>
      <c r="EL16" s="809"/>
      <c r="EM16" s="809"/>
      <c r="EN16" s="809"/>
      <c r="EO16" s="809"/>
      <c r="EP16" s="809"/>
      <c r="EQ16" s="809"/>
      <c r="ER16" s="809"/>
      <c r="ES16" s="809"/>
      <c r="ET16" s="809"/>
      <c r="EU16" s="809"/>
      <c r="EV16" s="809"/>
      <c r="EW16" s="809"/>
      <c r="EX16" s="809"/>
      <c r="EY16" s="809"/>
      <c r="EZ16" s="809"/>
      <c r="FA16" s="809"/>
      <c r="FB16" s="809"/>
      <c r="FC16" s="809"/>
      <c r="FD16" s="809"/>
      <c r="FE16" s="809"/>
      <c r="FF16" s="809"/>
      <c r="FG16" s="809"/>
      <c r="FH16" s="809"/>
      <c r="FI16" s="809"/>
      <c r="FJ16" s="809"/>
      <c r="FK16" s="809"/>
      <c r="FL16" s="809"/>
      <c r="FM16" s="809"/>
      <c r="FN16" s="809"/>
      <c r="FO16" s="809"/>
      <c r="FP16" s="809"/>
      <c r="FQ16" s="809"/>
      <c r="FR16" s="809"/>
      <c r="FS16" s="809"/>
      <c r="FT16" s="809"/>
      <c r="FU16" s="809"/>
      <c r="FV16" s="809"/>
      <c r="FW16" s="809"/>
      <c r="FX16" s="809"/>
      <c r="FY16" s="809"/>
      <c r="FZ16" s="809"/>
      <c r="GA16" s="809"/>
      <c r="GB16" s="809"/>
      <c r="GC16" s="809"/>
      <c r="GD16" s="809"/>
      <c r="GE16" s="809"/>
      <c r="GF16" s="809"/>
      <c r="GG16" s="809"/>
      <c r="GH16" s="809"/>
      <c r="GI16" s="809"/>
      <c r="GJ16" s="809"/>
      <c r="GK16" s="809"/>
      <c r="GL16" s="809"/>
      <c r="GM16" s="809"/>
      <c r="GN16" s="809"/>
      <c r="GO16" s="809"/>
      <c r="GP16" s="809"/>
      <c r="GQ16" s="809"/>
      <c r="GR16" s="809"/>
      <c r="GS16" s="809"/>
      <c r="GT16" s="809"/>
      <c r="GU16" s="809"/>
      <c r="GV16" s="809"/>
      <c r="GW16" s="809"/>
      <c r="GX16" s="809"/>
      <c r="GY16" s="809"/>
      <c r="GZ16" s="809"/>
      <c r="HA16" s="809"/>
      <c r="HB16" s="809"/>
      <c r="HC16" s="809"/>
      <c r="HD16" s="809"/>
      <c r="HE16" s="809"/>
      <c r="HF16" s="809"/>
      <c r="HG16" s="809"/>
      <c r="HH16" s="809"/>
      <c r="HI16" s="809"/>
      <c r="HJ16" s="809"/>
      <c r="HK16" s="809"/>
      <c r="HL16" s="809"/>
      <c r="HM16" s="809"/>
      <c r="HN16" s="809"/>
      <c r="HO16" s="809"/>
      <c r="HP16" s="809"/>
      <c r="HQ16" s="809"/>
      <c r="HR16" s="809"/>
      <c r="HS16" s="809"/>
      <c r="HT16" s="809"/>
      <c r="HU16" s="809"/>
      <c r="HV16" s="809"/>
      <c r="HW16" s="809"/>
      <c r="HX16" s="809"/>
      <c r="HY16" s="809"/>
      <c r="HZ16" s="809"/>
      <c r="IA16" s="809"/>
      <c r="IB16" s="809"/>
      <c r="IC16" s="809"/>
      <c r="ID16" s="809"/>
      <c r="IE16" s="809"/>
      <c r="IF16" s="809"/>
      <c r="IG16" s="809"/>
      <c r="IH16" s="809"/>
      <c r="II16" s="809"/>
      <c r="IJ16" s="809"/>
      <c r="IK16" s="809"/>
      <c r="IL16" s="809"/>
      <c r="IM16" s="809"/>
      <c r="IN16" s="809"/>
      <c r="IO16" s="809"/>
      <c r="IP16" s="809"/>
      <c r="IQ16" s="809"/>
      <c r="IR16" s="809"/>
      <c r="IS16" s="809"/>
      <c r="IT16" s="809"/>
      <c r="IU16" s="809"/>
      <c r="IV16" s="809"/>
      <c r="IW16" s="809"/>
    </row>
    <row r="17" customFormat="false" ht="11.25" hidden="false" customHeight="false" outlineLevel="0" collapsed="false">
      <c r="A17" s="1"/>
      <c r="B17" s="1"/>
      <c r="C17" s="1"/>
      <c r="D17" s="929"/>
      <c r="E17" s="930"/>
      <c r="F17" s="930"/>
      <c r="G17" s="930"/>
      <c r="H17" s="930"/>
      <c r="I17" s="930"/>
      <c r="J17" s="930"/>
      <c r="K17" s="930"/>
      <c r="L17" s="1"/>
      <c r="M17" s="1"/>
      <c r="N17" s="1"/>
      <c r="O17" s="1"/>
      <c r="P17" s="1"/>
      <c r="Q17" s="1"/>
      <c r="R17" s="1"/>
      <c r="S17" s="1"/>
      <c r="T17" s="1"/>
      <c r="U17" s="1"/>
      <c r="V17" s="1"/>
      <c r="W17" s="1"/>
      <c r="X17" s="1"/>
      <c r="Y17" s="1"/>
      <c r="Z17" s="1"/>
      <c r="AA17" s="1"/>
      <c r="AB17" s="1"/>
      <c r="AC17" s="1"/>
      <c r="AD17" s="1"/>
      <c r="AE17" s="1"/>
      <c r="AF17" s="809"/>
      <c r="AG17" s="809"/>
      <c r="AH17" s="809"/>
      <c r="AI17" s="809"/>
      <c r="AJ17" s="809"/>
      <c r="AK17" s="809"/>
      <c r="AL17" s="809"/>
      <c r="AM17" s="809"/>
      <c r="AN17" s="809"/>
      <c r="AO17" s="809"/>
      <c r="AP17" s="809"/>
      <c r="AQ17" s="809"/>
      <c r="AR17" s="809"/>
      <c r="AS17" s="809"/>
      <c r="AT17" s="809"/>
      <c r="AU17" s="809"/>
      <c r="AV17" s="809"/>
      <c r="AW17" s="809"/>
      <c r="AX17" s="809"/>
      <c r="AY17" s="809"/>
      <c r="AZ17" s="809"/>
      <c r="BA17" s="809"/>
      <c r="BB17" s="809"/>
      <c r="BC17" s="809"/>
      <c r="BD17" s="809"/>
      <c r="BE17" s="809"/>
      <c r="BF17" s="809"/>
      <c r="BG17" s="809"/>
      <c r="BH17" s="809"/>
      <c r="BI17" s="809"/>
      <c r="BJ17" s="809"/>
      <c r="BK17" s="809"/>
      <c r="BL17" s="809"/>
      <c r="BM17" s="809"/>
      <c r="BN17" s="809"/>
      <c r="BO17" s="809"/>
      <c r="BP17" s="809"/>
      <c r="BQ17" s="809"/>
      <c r="BR17" s="809"/>
      <c r="BS17" s="809"/>
      <c r="BT17" s="809"/>
      <c r="BU17" s="809"/>
      <c r="BV17" s="809"/>
      <c r="BW17" s="809"/>
      <c r="BX17" s="809"/>
      <c r="BY17" s="809"/>
      <c r="BZ17" s="809"/>
      <c r="CA17" s="809"/>
      <c r="CB17" s="809"/>
      <c r="CC17" s="809"/>
      <c r="CD17" s="809"/>
      <c r="CE17" s="809"/>
      <c r="CF17" s="809"/>
      <c r="CG17" s="809"/>
      <c r="CH17" s="809"/>
      <c r="CI17" s="809"/>
      <c r="CJ17" s="809"/>
      <c r="CK17" s="809"/>
      <c r="CL17" s="809"/>
      <c r="CM17" s="809"/>
      <c r="CN17" s="809"/>
      <c r="CO17" s="809"/>
      <c r="CP17" s="809"/>
      <c r="CQ17" s="809"/>
      <c r="CR17" s="809"/>
      <c r="CS17" s="809"/>
      <c r="CT17" s="809"/>
      <c r="CU17" s="809"/>
      <c r="CV17" s="809"/>
      <c r="CW17" s="809"/>
      <c r="CX17" s="809"/>
      <c r="CY17" s="809"/>
      <c r="CZ17" s="809"/>
      <c r="DA17" s="809"/>
      <c r="DB17" s="809"/>
      <c r="DC17" s="809"/>
      <c r="DD17" s="809"/>
      <c r="DE17" s="809"/>
      <c r="DF17" s="809"/>
      <c r="DG17" s="809"/>
      <c r="DH17" s="809"/>
      <c r="DI17" s="809"/>
      <c r="DJ17" s="809"/>
      <c r="DK17" s="809"/>
      <c r="DL17" s="809"/>
      <c r="DM17" s="809"/>
      <c r="DN17" s="809"/>
      <c r="DO17" s="809"/>
      <c r="DP17" s="809"/>
      <c r="DQ17" s="809"/>
      <c r="DR17" s="809"/>
      <c r="DS17" s="809"/>
      <c r="DT17" s="809"/>
      <c r="DU17" s="809"/>
      <c r="DV17" s="809"/>
      <c r="DW17" s="809"/>
      <c r="DX17" s="809"/>
      <c r="DY17" s="809"/>
      <c r="DZ17" s="809"/>
      <c r="EA17" s="809"/>
      <c r="EB17" s="809"/>
      <c r="EC17" s="809"/>
      <c r="ED17" s="809"/>
      <c r="EE17" s="809"/>
      <c r="EF17" s="809"/>
      <c r="EG17" s="809"/>
      <c r="EH17" s="809"/>
      <c r="EI17" s="809"/>
      <c r="EJ17" s="809"/>
      <c r="EK17" s="809"/>
      <c r="EL17" s="809"/>
      <c r="EM17" s="809"/>
      <c r="EN17" s="809"/>
      <c r="EO17" s="809"/>
      <c r="EP17" s="809"/>
      <c r="EQ17" s="809"/>
      <c r="ER17" s="809"/>
      <c r="ES17" s="809"/>
      <c r="ET17" s="809"/>
      <c r="EU17" s="809"/>
      <c r="EV17" s="809"/>
      <c r="EW17" s="809"/>
      <c r="EX17" s="809"/>
      <c r="EY17" s="809"/>
      <c r="EZ17" s="809"/>
      <c r="FA17" s="809"/>
      <c r="FB17" s="809"/>
      <c r="FC17" s="809"/>
      <c r="FD17" s="809"/>
      <c r="FE17" s="809"/>
      <c r="FF17" s="809"/>
      <c r="FG17" s="809"/>
      <c r="FH17" s="809"/>
      <c r="FI17" s="809"/>
      <c r="FJ17" s="809"/>
      <c r="FK17" s="809"/>
      <c r="FL17" s="809"/>
      <c r="FM17" s="809"/>
      <c r="FN17" s="809"/>
      <c r="FO17" s="809"/>
      <c r="FP17" s="809"/>
      <c r="FQ17" s="809"/>
      <c r="FR17" s="809"/>
      <c r="FS17" s="809"/>
      <c r="FT17" s="809"/>
      <c r="FU17" s="809"/>
      <c r="FV17" s="809"/>
      <c r="FW17" s="809"/>
      <c r="FX17" s="809"/>
      <c r="FY17" s="809"/>
      <c r="FZ17" s="809"/>
      <c r="GA17" s="809"/>
      <c r="GB17" s="809"/>
      <c r="GC17" s="809"/>
      <c r="GD17" s="809"/>
      <c r="GE17" s="809"/>
      <c r="GF17" s="809"/>
      <c r="GG17" s="809"/>
      <c r="GH17" s="809"/>
      <c r="GI17" s="809"/>
      <c r="GJ17" s="809"/>
      <c r="GK17" s="809"/>
      <c r="GL17" s="809"/>
      <c r="GM17" s="809"/>
      <c r="GN17" s="809"/>
      <c r="GO17" s="809"/>
      <c r="GP17" s="809"/>
      <c r="GQ17" s="809"/>
      <c r="GR17" s="809"/>
      <c r="GS17" s="809"/>
      <c r="GT17" s="809"/>
      <c r="GU17" s="809"/>
      <c r="GV17" s="809"/>
      <c r="GW17" s="809"/>
      <c r="GX17" s="809"/>
      <c r="GY17" s="809"/>
      <c r="GZ17" s="809"/>
      <c r="HA17" s="809"/>
      <c r="HB17" s="809"/>
      <c r="HC17" s="809"/>
      <c r="HD17" s="809"/>
      <c r="HE17" s="809"/>
      <c r="HF17" s="809"/>
      <c r="HG17" s="809"/>
      <c r="HH17" s="809"/>
      <c r="HI17" s="809"/>
      <c r="HJ17" s="809"/>
      <c r="HK17" s="809"/>
      <c r="HL17" s="809"/>
      <c r="HM17" s="809"/>
      <c r="HN17" s="809"/>
      <c r="HO17" s="809"/>
      <c r="HP17" s="809"/>
      <c r="HQ17" s="809"/>
      <c r="HR17" s="809"/>
      <c r="HS17" s="809"/>
      <c r="HT17" s="809"/>
      <c r="HU17" s="809"/>
      <c r="HV17" s="809"/>
      <c r="HW17" s="809"/>
      <c r="HX17" s="809"/>
      <c r="HY17" s="809"/>
      <c r="HZ17" s="809"/>
      <c r="IA17" s="809"/>
      <c r="IB17" s="809"/>
      <c r="IC17" s="809"/>
      <c r="ID17" s="809"/>
      <c r="IE17" s="809"/>
      <c r="IF17" s="809"/>
      <c r="IG17" s="809"/>
      <c r="IH17" s="809"/>
      <c r="II17" s="809"/>
      <c r="IJ17" s="809"/>
      <c r="IK17" s="809"/>
      <c r="IL17" s="809"/>
      <c r="IM17" s="809"/>
      <c r="IN17" s="809"/>
      <c r="IO17" s="809"/>
      <c r="IP17" s="809"/>
      <c r="IQ17" s="809"/>
      <c r="IR17" s="809"/>
      <c r="IS17" s="809"/>
      <c r="IT17" s="809"/>
      <c r="IU17" s="809"/>
      <c r="IV17" s="809"/>
      <c r="IW17" s="809"/>
    </row>
    <row r="18" customFormat="false" ht="12.75" hidden="false" customHeight="false" outlineLevel="0" collapsed="false">
      <c r="A18" s="0" t="s">
        <v>681</v>
      </c>
      <c r="B18" s="0"/>
      <c r="C18" s="931" t="n">
        <v>0.065</v>
      </c>
      <c r="D18" s="0"/>
      <c r="E18" s="0"/>
      <c r="F18" s="1"/>
      <c r="G18" s="930"/>
      <c r="H18" s="1"/>
      <c r="I18" s="1"/>
      <c r="J18" s="1"/>
      <c r="K18" s="1"/>
      <c r="L18" s="1"/>
      <c r="M18" s="1"/>
      <c r="N18" s="1"/>
      <c r="O18" s="1"/>
      <c r="P18" s="1"/>
      <c r="Q18" s="1"/>
      <c r="R18" s="1"/>
      <c r="S18" s="1"/>
      <c r="T18" s="1"/>
      <c r="U18" s="1"/>
      <c r="V18" s="1"/>
      <c r="W18" s="1"/>
      <c r="X18" s="1"/>
      <c r="Y18" s="1"/>
      <c r="Z18" s="1"/>
      <c r="AA18" s="1"/>
      <c r="AB18" s="1"/>
      <c r="AC18" s="1"/>
      <c r="AD18" s="1"/>
      <c r="AE18" s="1"/>
      <c r="AF18" s="809"/>
      <c r="AG18" s="809"/>
      <c r="AH18" s="809"/>
      <c r="AI18" s="809"/>
      <c r="AJ18" s="809"/>
      <c r="AK18" s="809"/>
      <c r="AL18" s="809"/>
      <c r="AM18" s="809"/>
      <c r="AN18" s="809"/>
      <c r="AO18" s="809"/>
      <c r="AP18" s="809"/>
      <c r="AQ18" s="809"/>
      <c r="AR18" s="809"/>
      <c r="AS18" s="809"/>
      <c r="AT18" s="809"/>
      <c r="AU18" s="809"/>
      <c r="AV18" s="809"/>
      <c r="AW18" s="809"/>
      <c r="AX18" s="809"/>
      <c r="AY18" s="809"/>
      <c r="AZ18" s="809"/>
      <c r="BA18" s="809"/>
      <c r="BB18" s="809"/>
      <c r="BC18" s="809"/>
      <c r="BD18" s="809"/>
      <c r="BE18" s="809"/>
      <c r="BF18" s="809"/>
      <c r="BG18" s="809"/>
      <c r="BH18" s="809"/>
      <c r="BI18" s="809"/>
      <c r="BJ18" s="809"/>
      <c r="BK18" s="809"/>
      <c r="BL18" s="809"/>
      <c r="BM18" s="809"/>
      <c r="BN18" s="809"/>
      <c r="BO18" s="809"/>
      <c r="BP18" s="809"/>
      <c r="BQ18" s="809"/>
      <c r="BR18" s="809"/>
      <c r="BS18" s="809"/>
      <c r="BT18" s="809"/>
      <c r="BU18" s="809"/>
      <c r="BV18" s="809"/>
      <c r="BW18" s="809"/>
      <c r="BX18" s="809"/>
      <c r="BY18" s="809"/>
      <c r="BZ18" s="809"/>
      <c r="CA18" s="809"/>
      <c r="CB18" s="809"/>
      <c r="CC18" s="809"/>
      <c r="CD18" s="809"/>
      <c r="CE18" s="809"/>
      <c r="CF18" s="809"/>
      <c r="CG18" s="809"/>
      <c r="CH18" s="809"/>
      <c r="CI18" s="809"/>
      <c r="CJ18" s="809"/>
      <c r="CK18" s="809"/>
      <c r="CL18" s="809"/>
      <c r="CM18" s="809"/>
      <c r="CN18" s="809"/>
      <c r="CO18" s="809"/>
      <c r="CP18" s="809"/>
      <c r="CQ18" s="809"/>
      <c r="CR18" s="809"/>
      <c r="CS18" s="809"/>
      <c r="CT18" s="809"/>
      <c r="CU18" s="809"/>
      <c r="CV18" s="809"/>
      <c r="CW18" s="809"/>
      <c r="CX18" s="809"/>
      <c r="CY18" s="809"/>
      <c r="CZ18" s="809"/>
      <c r="DA18" s="809"/>
      <c r="DB18" s="809"/>
      <c r="DC18" s="809"/>
      <c r="DD18" s="809"/>
      <c r="DE18" s="809"/>
      <c r="DF18" s="809"/>
      <c r="DG18" s="809"/>
      <c r="DH18" s="809"/>
      <c r="DI18" s="809"/>
      <c r="DJ18" s="809"/>
      <c r="DK18" s="809"/>
      <c r="DL18" s="809"/>
      <c r="DM18" s="809"/>
      <c r="DN18" s="809"/>
      <c r="DO18" s="809"/>
      <c r="DP18" s="809"/>
      <c r="DQ18" s="809"/>
      <c r="DR18" s="809"/>
      <c r="DS18" s="809"/>
      <c r="DT18" s="809"/>
      <c r="DU18" s="809"/>
      <c r="DV18" s="809"/>
      <c r="DW18" s="809"/>
      <c r="DX18" s="809"/>
      <c r="DY18" s="809"/>
      <c r="DZ18" s="809"/>
      <c r="EA18" s="809"/>
      <c r="EB18" s="809"/>
      <c r="EC18" s="809"/>
      <c r="ED18" s="809"/>
      <c r="EE18" s="809"/>
      <c r="EF18" s="809"/>
      <c r="EG18" s="809"/>
      <c r="EH18" s="809"/>
      <c r="EI18" s="809"/>
      <c r="EJ18" s="809"/>
      <c r="EK18" s="809"/>
      <c r="EL18" s="809"/>
      <c r="EM18" s="809"/>
      <c r="EN18" s="809"/>
      <c r="EO18" s="809"/>
      <c r="EP18" s="809"/>
      <c r="EQ18" s="809"/>
      <c r="ER18" s="809"/>
      <c r="ES18" s="809"/>
      <c r="ET18" s="809"/>
      <c r="EU18" s="809"/>
      <c r="EV18" s="809"/>
      <c r="EW18" s="809"/>
      <c r="EX18" s="809"/>
      <c r="EY18" s="809"/>
      <c r="EZ18" s="809"/>
      <c r="FA18" s="809"/>
      <c r="FB18" s="809"/>
      <c r="FC18" s="809"/>
      <c r="FD18" s="809"/>
      <c r="FE18" s="809"/>
      <c r="FF18" s="809"/>
      <c r="FG18" s="809"/>
      <c r="FH18" s="809"/>
      <c r="FI18" s="809"/>
      <c r="FJ18" s="809"/>
      <c r="FK18" s="809"/>
      <c r="FL18" s="809"/>
      <c r="FM18" s="809"/>
      <c r="FN18" s="809"/>
      <c r="FO18" s="809"/>
      <c r="FP18" s="809"/>
      <c r="FQ18" s="809"/>
      <c r="FR18" s="809"/>
      <c r="FS18" s="809"/>
      <c r="FT18" s="809"/>
      <c r="FU18" s="809"/>
      <c r="FV18" s="809"/>
      <c r="FW18" s="809"/>
      <c r="FX18" s="809"/>
      <c r="FY18" s="809"/>
      <c r="FZ18" s="809"/>
      <c r="GA18" s="809"/>
      <c r="GB18" s="809"/>
      <c r="GC18" s="809"/>
      <c r="GD18" s="809"/>
      <c r="GE18" s="809"/>
      <c r="GF18" s="809"/>
      <c r="GG18" s="809"/>
      <c r="GH18" s="809"/>
      <c r="GI18" s="809"/>
      <c r="GJ18" s="809"/>
      <c r="GK18" s="809"/>
      <c r="GL18" s="809"/>
      <c r="GM18" s="809"/>
      <c r="GN18" s="809"/>
      <c r="GO18" s="809"/>
      <c r="GP18" s="809"/>
      <c r="GQ18" s="809"/>
      <c r="GR18" s="809"/>
      <c r="GS18" s="809"/>
      <c r="GT18" s="809"/>
      <c r="GU18" s="809"/>
      <c r="GV18" s="809"/>
      <c r="GW18" s="809"/>
      <c r="GX18" s="809"/>
      <c r="GY18" s="809"/>
      <c r="GZ18" s="809"/>
      <c r="HA18" s="809"/>
      <c r="HB18" s="809"/>
      <c r="HC18" s="809"/>
      <c r="HD18" s="809"/>
      <c r="HE18" s="809"/>
      <c r="HF18" s="809"/>
      <c r="HG18" s="809"/>
      <c r="HH18" s="809"/>
      <c r="HI18" s="809"/>
      <c r="HJ18" s="809"/>
      <c r="HK18" s="809"/>
      <c r="HL18" s="809"/>
      <c r="HM18" s="809"/>
      <c r="HN18" s="809"/>
      <c r="HO18" s="809"/>
      <c r="HP18" s="809"/>
      <c r="HQ18" s="809"/>
      <c r="HR18" s="809"/>
      <c r="HS18" s="809"/>
      <c r="HT18" s="809"/>
      <c r="HU18" s="809"/>
      <c r="HV18" s="809"/>
      <c r="HW18" s="809"/>
      <c r="HX18" s="809"/>
      <c r="HY18" s="809"/>
      <c r="HZ18" s="809"/>
      <c r="IA18" s="809"/>
      <c r="IB18" s="809"/>
      <c r="IC18" s="809"/>
      <c r="ID18" s="809"/>
      <c r="IE18" s="809"/>
      <c r="IF18" s="809"/>
      <c r="IG18" s="809"/>
      <c r="IH18" s="809"/>
      <c r="II18" s="809"/>
      <c r="IJ18" s="809"/>
      <c r="IK18" s="809"/>
      <c r="IL18" s="809"/>
      <c r="IM18" s="809"/>
      <c r="IN18" s="809"/>
      <c r="IO18" s="809"/>
      <c r="IP18" s="809"/>
      <c r="IQ18" s="809"/>
      <c r="IR18" s="809"/>
      <c r="IS18" s="809"/>
      <c r="IT18" s="809"/>
      <c r="IU18" s="809"/>
      <c r="IV18" s="809"/>
      <c r="IW18" s="809"/>
    </row>
    <row r="19" customFormat="false" ht="38.25" hidden="false" customHeight="false" outlineLevel="0" collapsed="false">
      <c r="A19" s="932" t="s">
        <v>682</v>
      </c>
      <c r="B19" s="933" t="n">
        <v>0</v>
      </c>
      <c r="C19" s="0"/>
      <c r="D19" s="0"/>
      <c r="E19" s="932" t="s">
        <v>683</v>
      </c>
      <c r="F19" s="934" t="s">
        <v>684</v>
      </c>
      <c r="G19" s="935" t="s">
        <v>685</v>
      </c>
      <c r="H19" s="934" t="s">
        <v>686</v>
      </c>
      <c r="I19" s="935" t="s">
        <v>687</v>
      </c>
      <c r="J19" s="936" t="s">
        <v>688</v>
      </c>
      <c r="K19" s="1"/>
      <c r="L19" s="1"/>
      <c r="M19" s="1"/>
      <c r="N19" s="1"/>
      <c r="O19" s="1"/>
      <c r="P19" s="1"/>
      <c r="Q19" s="1"/>
      <c r="R19" s="1"/>
      <c r="S19" s="1"/>
      <c r="T19" s="1"/>
      <c r="U19" s="1"/>
      <c r="V19" s="1"/>
      <c r="W19" s="1"/>
      <c r="X19" s="1"/>
      <c r="Y19" s="1"/>
      <c r="Z19" s="1"/>
      <c r="AA19" s="1"/>
      <c r="AB19" s="1"/>
      <c r="AC19" s="1"/>
      <c r="AD19" s="1"/>
      <c r="AE19" s="1"/>
      <c r="AF19" s="809"/>
      <c r="AG19" s="809"/>
      <c r="AH19" s="809"/>
      <c r="AI19" s="809"/>
      <c r="AJ19" s="809"/>
      <c r="AK19" s="809"/>
      <c r="AL19" s="809"/>
      <c r="AM19" s="809"/>
      <c r="AN19" s="809"/>
      <c r="AO19" s="809"/>
      <c r="AP19" s="809"/>
      <c r="AQ19" s="809"/>
      <c r="AR19" s="809"/>
      <c r="AS19" s="809"/>
      <c r="AT19" s="809"/>
      <c r="AU19" s="809"/>
      <c r="AV19" s="809"/>
      <c r="AW19" s="809"/>
      <c r="AX19" s="809"/>
      <c r="AY19" s="809"/>
      <c r="AZ19" s="809"/>
      <c r="BA19" s="809"/>
      <c r="BB19" s="809"/>
      <c r="BC19" s="809"/>
      <c r="BD19" s="809"/>
      <c r="BE19" s="809"/>
      <c r="BF19" s="809"/>
      <c r="BG19" s="809"/>
      <c r="BH19" s="809"/>
      <c r="BI19" s="809"/>
      <c r="BJ19" s="809"/>
      <c r="BK19" s="809"/>
      <c r="BL19" s="809"/>
      <c r="BM19" s="809"/>
      <c r="BN19" s="809"/>
      <c r="BO19" s="809"/>
      <c r="BP19" s="809"/>
      <c r="BQ19" s="809"/>
      <c r="BR19" s="809"/>
      <c r="BS19" s="809"/>
      <c r="BT19" s="809"/>
      <c r="BU19" s="809"/>
      <c r="BV19" s="809"/>
      <c r="BW19" s="809"/>
      <c r="BX19" s="809"/>
      <c r="BY19" s="809"/>
      <c r="BZ19" s="809"/>
      <c r="CA19" s="809"/>
      <c r="CB19" s="809"/>
      <c r="CC19" s="809"/>
      <c r="CD19" s="809"/>
      <c r="CE19" s="809"/>
      <c r="CF19" s="809"/>
      <c r="CG19" s="809"/>
      <c r="CH19" s="809"/>
      <c r="CI19" s="809"/>
      <c r="CJ19" s="809"/>
      <c r="CK19" s="809"/>
      <c r="CL19" s="809"/>
      <c r="CM19" s="809"/>
      <c r="CN19" s="809"/>
      <c r="CO19" s="809"/>
      <c r="CP19" s="809"/>
      <c r="CQ19" s="809"/>
      <c r="CR19" s="809"/>
      <c r="CS19" s="809"/>
      <c r="CT19" s="809"/>
      <c r="CU19" s="809"/>
      <c r="CV19" s="809"/>
      <c r="CW19" s="809"/>
      <c r="CX19" s="809"/>
      <c r="CY19" s="809"/>
      <c r="CZ19" s="809"/>
      <c r="DA19" s="809"/>
      <c r="DB19" s="809"/>
      <c r="DC19" s="809"/>
      <c r="DD19" s="809"/>
      <c r="DE19" s="809"/>
      <c r="DF19" s="809"/>
      <c r="DG19" s="809"/>
      <c r="DH19" s="809"/>
      <c r="DI19" s="809"/>
      <c r="DJ19" s="809"/>
      <c r="DK19" s="809"/>
      <c r="DL19" s="809"/>
      <c r="DM19" s="809"/>
      <c r="DN19" s="809"/>
      <c r="DO19" s="809"/>
      <c r="DP19" s="809"/>
      <c r="DQ19" s="809"/>
      <c r="DR19" s="809"/>
      <c r="DS19" s="809"/>
      <c r="DT19" s="809"/>
      <c r="DU19" s="809"/>
      <c r="DV19" s="809"/>
      <c r="DW19" s="809"/>
      <c r="DX19" s="809"/>
      <c r="DY19" s="809"/>
      <c r="DZ19" s="809"/>
      <c r="EA19" s="809"/>
      <c r="EB19" s="809"/>
      <c r="EC19" s="809"/>
      <c r="ED19" s="809"/>
      <c r="EE19" s="809"/>
      <c r="EF19" s="809"/>
      <c r="EG19" s="809"/>
      <c r="EH19" s="809"/>
      <c r="EI19" s="809"/>
      <c r="EJ19" s="809"/>
      <c r="EK19" s="809"/>
      <c r="EL19" s="809"/>
      <c r="EM19" s="809"/>
      <c r="EN19" s="809"/>
      <c r="EO19" s="809"/>
      <c r="EP19" s="809"/>
      <c r="EQ19" s="809"/>
      <c r="ER19" s="809"/>
      <c r="ES19" s="809"/>
      <c r="ET19" s="809"/>
      <c r="EU19" s="809"/>
      <c r="EV19" s="809"/>
      <c r="EW19" s="809"/>
      <c r="EX19" s="809"/>
      <c r="EY19" s="809"/>
      <c r="EZ19" s="809"/>
      <c r="FA19" s="809"/>
      <c r="FB19" s="809"/>
      <c r="FC19" s="809"/>
      <c r="FD19" s="809"/>
      <c r="FE19" s="809"/>
      <c r="FF19" s="809"/>
      <c r="FG19" s="809"/>
      <c r="FH19" s="809"/>
      <c r="FI19" s="809"/>
      <c r="FJ19" s="809"/>
      <c r="FK19" s="809"/>
      <c r="FL19" s="809"/>
      <c r="FM19" s="809"/>
      <c r="FN19" s="809"/>
      <c r="FO19" s="809"/>
      <c r="FP19" s="809"/>
      <c r="FQ19" s="809"/>
      <c r="FR19" s="809"/>
      <c r="FS19" s="809"/>
      <c r="FT19" s="809"/>
      <c r="FU19" s="809"/>
      <c r="FV19" s="809"/>
      <c r="FW19" s="809"/>
      <c r="FX19" s="809"/>
      <c r="FY19" s="809"/>
      <c r="FZ19" s="809"/>
      <c r="GA19" s="809"/>
      <c r="GB19" s="809"/>
      <c r="GC19" s="809"/>
      <c r="GD19" s="809"/>
      <c r="GE19" s="809"/>
      <c r="GF19" s="809"/>
      <c r="GG19" s="809"/>
      <c r="GH19" s="809"/>
      <c r="GI19" s="809"/>
      <c r="GJ19" s="809"/>
      <c r="GK19" s="809"/>
      <c r="GL19" s="809"/>
      <c r="GM19" s="809"/>
      <c r="GN19" s="809"/>
      <c r="GO19" s="809"/>
      <c r="GP19" s="809"/>
      <c r="GQ19" s="809"/>
      <c r="GR19" s="809"/>
      <c r="GS19" s="809"/>
      <c r="GT19" s="809"/>
      <c r="GU19" s="809"/>
      <c r="GV19" s="809"/>
      <c r="GW19" s="809"/>
      <c r="GX19" s="809"/>
      <c r="GY19" s="809"/>
      <c r="GZ19" s="809"/>
      <c r="HA19" s="809"/>
      <c r="HB19" s="809"/>
      <c r="HC19" s="809"/>
      <c r="HD19" s="809"/>
      <c r="HE19" s="809"/>
      <c r="HF19" s="809"/>
      <c r="HG19" s="809"/>
      <c r="HH19" s="809"/>
      <c r="HI19" s="809"/>
      <c r="HJ19" s="809"/>
      <c r="HK19" s="809"/>
      <c r="HL19" s="809"/>
      <c r="HM19" s="809"/>
      <c r="HN19" s="809"/>
      <c r="HO19" s="809"/>
      <c r="HP19" s="809"/>
      <c r="HQ19" s="809"/>
      <c r="HR19" s="809"/>
      <c r="HS19" s="809"/>
      <c r="HT19" s="809"/>
      <c r="HU19" s="809"/>
      <c r="HV19" s="809"/>
      <c r="HW19" s="809"/>
      <c r="HX19" s="809"/>
      <c r="HY19" s="809"/>
      <c r="HZ19" s="809"/>
      <c r="IA19" s="809"/>
      <c r="IB19" s="809"/>
      <c r="IC19" s="809"/>
      <c r="ID19" s="809"/>
      <c r="IE19" s="809"/>
      <c r="IF19" s="809"/>
      <c r="IG19" s="809"/>
      <c r="IH19" s="809"/>
      <c r="II19" s="809"/>
      <c r="IJ19" s="809"/>
      <c r="IK19" s="809"/>
      <c r="IL19" s="809"/>
      <c r="IM19" s="809"/>
      <c r="IN19" s="809"/>
      <c r="IO19" s="809"/>
      <c r="IP19" s="809"/>
      <c r="IQ19" s="809"/>
      <c r="IR19" s="809"/>
      <c r="IS19" s="809"/>
      <c r="IT19" s="809"/>
      <c r="IU19" s="809"/>
      <c r="IV19" s="809"/>
      <c r="IW19" s="809"/>
    </row>
    <row r="20" customFormat="false" ht="12.75" hidden="false" customHeight="false" outlineLevel="0" collapsed="false">
      <c r="A20" s="937" t="s">
        <v>689</v>
      </c>
      <c r="B20" s="938" t="n">
        <v>2.5</v>
      </c>
      <c r="C20" s="0"/>
      <c r="D20" s="0"/>
      <c r="E20" s="42"/>
      <c r="F20" s="43"/>
      <c r="G20" s="43"/>
      <c r="H20" s="43"/>
      <c r="I20" s="43"/>
      <c r="J20" s="47"/>
      <c r="K20" s="1"/>
      <c r="L20" s="1"/>
      <c r="M20" s="1"/>
      <c r="N20" s="1"/>
      <c r="O20" s="1"/>
      <c r="P20" s="1"/>
      <c r="Q20" s="1"/>
      <c r="R20" s="1"/>
      <c r="S20" s="1"/>
      <c r="T20" s="1"/>
      <c r="U20" s="1"/>
      <c r="V20" s="1"/>
      <c r="W20" s="1"/>
      <c r="X20" s="1"/>
      <c r="Y20" s="1"/>
      <c r="Z20" s="1"/>
      <c r="AA20" s="1"/>
      <c r="AB20" s="1"/>
      <c r="AC20" s="1"/>
      <c r="AD20" s="1"/>
      <c r="AE20" s="1"/>
      <c r="AF20" s="809"/>
      <c r="AG20" s="809"/>
      <c r="AH20" s="809"/>
      <c r="AI20" s="809"/>
      <c r="AJ20" s="809"/>
      <c r="AK20" s="809"/>
      <c r="AL20" s="809"/>
      <c r="AM20" s="809"/>
      <c r="AN20" s="809"/>
      <c r="AO20" s="809"/>
      <c r="AP20" s="809"/>
      <c r="AQ20" s="809"/>
      <c r="AR20" s="809"/>
      <c r="AS20" s="809"/>
      <c r="AT20" s="809"/>
      <c r="AU20" s="809"/>
      <c r="AV20" s="809"/>
      <c r="AW20" s="809"/>
      <c r="AX20" s="809"/>
      <c r="AY20" s="809"/>
      <c r="AZ20" s="809"/>
      <c r="BA20" s="809"/>
      <c r="BB20" s="809"/>
      <c r="BC20" s="809"/>
      <c r="BD20" s="809"/>
      <c r="BE20" s="809"/>
      <c r="BF20" s="809"/>
      <c r="BG20" s="809"/>
      <c r="BH20" s="809"/>
      <c r="BI20" s="809"/>
      <c r="BJ20" s="809"/>
      <c r="BK20" s="809"/>
      <c r="BL20" s="809"/>
      <c r="BM20" s="809"/>
      <c r="BN20" s="809"/>
      <c r="BO20" s="809"/>
      <c r="BP20" s="809"/>
      <c r="BQ20" s="809"/>
      <c r="BR20" s="809"/>
      <c r="BS20" s="809"/>
      <c r="BT20" s="809"/>
      <c r="BU20" s="809"/>
      <c r="BV20" s="809"/>
      <c r="BW20" s="809"/>
      <c r="BX20" s="809"/>
      <c r="BY20" s="809"/>
      <c r="BZ20" s="809"/>
      <c r="CA20" s="809"/>
      <c r="CB20" s="809"/>
      <c r="CC20" s="809"/>
      <c r="CD20" s="809"/>
      <c r="CE20" s="809"/>
      <c r="CF20" s="809"/>
      <c r="CG20" s="809"/>
      <c r="CH20" s="809"/>
      <c r="CI20" s="809"/>
      <c r="CJ20" s="809"/>
      <c r="CK20" s="809"/>
      <c r="CL20" s="809"/>
      <c r="CM20" s="809"/>
      <c r="CN20" s="809"/>
      <c r="CO20" s="809"/>
      <c r="CP20" s="809"/>
      <c r="CQ20" s="809"/>
      <c r="CR20" s="809"/>
      <c r="CS20" s="809"/>
      <c r="CT20" s="809"/>
      <c r="CU20" s="809"/>
      <c r="CV20" s="809"/>
      <c r="CW20" s="809"/>
      <c r="CX20" s="809"/>
      <c r="CY20" s="809"/>
      <c r="CZ20" s="809"/>
      <c r="DA20" s="809"/>
      <c r="DB20" s="809"/>
      <c r="DC20" s="809"/>
      <c r="DD20" s="809"/>
      <c r="DE20" s="809"/>
      <c r="DF20" s="809"/>
      <c r="DG20" s="809"/>
      <c r="DH20" s="809"/>
      <c r="DI20" s="809"/>
      <c r="DJ20" s="809"/>
      <c r="DK20" s="809"/>
      <c r="DL20" s="809"/>
      <c r="DM20" s="809"/>
      <c r="DN20" s="809"/>
      <c r="DO20" s="809"/>
      <c r="DP20" s="809"/>
      <c r="DQ20" s="809"/>
      <c r="DR20" s="809"/>
      <c r="DS20" s="809"/>
      <c r="DT20" s="809"/>
      <c r="DU20" s="809"/>
      <c r="DV20" s="809"/>
      <c r="DW20" s="809"/>
      <c r="DX20" s="809"/>
      <c r="DY20" s="809"/>
      <c r="DZ20" s="809"/>
      <c r="EA20" s="809"/>
      <c r="EB20" s="809"/>
      <c r="EC20" s="809"/>
      <c r="ED20" s="809"/>
      <c r="EE20" s="809"/>
      <c r="EF20" s="809"/>
      <c r="EG20" s="809"/>
      <c r="EH20" s="809"/>
      <c r="EI20" s="809"/>
      <c r="EJ20" s="809"/>
      <c r="EK20" s="809"/>
      <c r="EL20" s="809"/>
      <c r="EM20" s="809"/>
      <c r="EN20" s="809"/>
      <c r="EO20" s="809"/>
      <c r="EP20" s="809"/>
      <c r="EQ20" s="809"/>
      <c r="ER20" s="809"/>
      <c r="ES20" s="809"/>
      <c r="ET20" s="809"/>
      <c r="EU20" s="809"/>
      <c r="EV20" s="809"/>
      <c r="EW20" s="809"/>
      <c r="EX20" s="809"/>
      <c r="EY20" s="809"/>
      <c r="EZ20" s="809"/>
      <c r="FA20" s="809"/>
      <c r="FB20" s="809"/>
      <c r="FC20" s="809"/>
      <c r="FD20" s="809"/>
      <c r="FE20" s="809"/>
      <c r="FF20" s="809"/>
      <c r="FG20" s="809"/>
      <c r="FH20" s="809"/>
      <c r="FI20" s="809"/>
      <c r="FJ20" s="809"/>
      <c r="FK20" s="809"/>
      <c r="FL20" s="809"/>
      <c r="FM20" s="809"/>
      <c r="FN20" s="809"/>
      <c r="FO20" s="809"/>
      <c r="FP20" s="809"/>
      <c r="FQ20" s="809"/>
      <c r="FR20" s="809"/>
      <c r="FS20" s="809"/>
      <c r="FT20" s="809"/>
      <c r="FU20" s="809"/>
      <c r="FV20" s="809"/>
      <c r="FW20" s="809"/>
      <c r="FX20" s="809"/>
      <c r="FY20" s="809"/>
      <c r="FZ20" s="809"/>
      <c r="GA20" s="809"/>
      <c r="GB20" s="809"/>
      <c r="GC20" s="809"/>
      <c r="GD20" s="809"/>
      <c r="GE20" s="809"/>
      <c r="GF20" s="809"/>
      <c r="GG20" s="809"/>
      <c r="GH20" s="809"/>
      <c r="GI20" s="809"/>
      <c r="GJ20" s="809"/>
      <c r="GK20" s="809"/>
      <c r="GL20" s="809"/>
      <c r="GM20" s="809"/>
      <c r="GN20" s="809"/>
      <c r="GO20" s="809"/>
      <c r="GP20" s="809"/>
      <c r="GQ20" s="809"/>
      <c r="GR20" s="809"/>
      <c r="GS20" s="809"/>
      <c r="GT20" s="809"/>
      <c r="GU20" s="809"/>
      <c r="GV20" s="809"/>
      <c r="GW20" s="809"/>
      <c r="GX20" s="809"/>
      <c r="GY20" s="809"/>
      <c r="GZ20" s="809"/>
      <c r="HA20" s="809"/>
      <c r="HB20" s="809"/>
      <c r="HC20" s="809"/>
      <c r="HD20" s="809"/>
      <c r="HE20" s="809"/>
      <c r="HF20" s="809"/>
      <c r="HG20" s="809"/>
      <c r="HH20" s="809"/>
      <c r="HI20" s="809"/>
      <c r="HJ20" s="809"/>
      <c r="HK20" s="809"/>
      <c r="HL20" s="809"/>
      <c r="HM20" s="809"/>
      <c r="HN20" s="809"/>
      <c r="HO20" s="809"/>
      <c r="HP20" s="809"/>
      <c r="HQ20" s="809"/>
      <c r="HR20" s="809"/>
      <c r="HS20" s="809"/>
      <c r="HT20" s="809"/>
      <c r="HU20" s="809"/>
      <c r="HV20" s="809"/>
      <c r="HW20" s="809"/>
      <c r="HX20" s="809"/>
      <c r="HY20" s="809"/>
      <c r="HZ20" s="809"/>
      <c r="IA20" s="809"/>
      <c r="IB20" s="809"/>
      <c r="IC20" s="809"/>
      <c r="ID20" s="809"/>
      <c r="IE20" s="809"/>
      <c r="IF20" s="809"/>
      <c r="IG20" s="809"/>
      <c r="IH20" s="809"/>
      <c r="II20" s="809"/>
      <c r="IJ20" s="809"/>
      <c r="IK20" s="809"/>
      <c r="IL20" s="809"/>
      <c r="IM20" s="809"/>
      <c r="IN20" s="809"/>
      <c r="IO20" s="809"/>
      <c r="IP20" s="809"/>
      <c r="IQ20" s="809"/>
      <c r="IR20" s="809"/>
      <c r="IS20" s="809"/>
      <c r="IT20" s="809"/>
      <c r="IU20" s="809"/>
      <c r="IV20" s="809"/>
      <c r="IW20" s="809"/>
    </row>
    <row r="21" customFormat="false" ht="12.75" hidden="false" customHeight="false" outlineLevel="0" collapsed="false">
      <c r="A21" s="937" t="s">
        <v>690</v>
      </c>
      <c r="B21" s="938" t="n">
        <f aca="false">'Project Assumptions'!N60</f>
        <v>0</v>
      </c>
      <c r="C21" s="0"/>
      <c r="D21" s="0"/>
      <c r="E21" s="42" t="n">
        <v>20</v>
      </c>
      <c r="F21" s="46" t="n">
        <f aca="false">8*457</f>
        <v>3656</v>
      </c>
      <c r="G21" s="46" t="n">
        <f aca="false">$B$21*$B$23*($B$20*(1+$B$19))</f>
        <v>0</v>
      </c>
      <c r="H21" s="46" t="n">
        <f aca="false">G21+F21</f>
        <v>3656</v>
      </c>
      <c r="I21" s="939" t="n">
        <f aca="false">G21/H21</f>
        <v>0</v>
      </c>
      <c r="J21" s="940" t="n">
        <f aca="false">1-I21</f>
        <v>1</v>
      </c>
      <c r="K21" s="1"/>
      <c r="L21" s="1"/>
      <c r="M21" s="1"/>
      <c r="N21" s="1"/>
      <c r="O21" s="1"/>
      <c r="P21" s="1"/>
      <c r="Q21" s="1"/>
      <c r="R21" s="1"/>
      <c r="S21" s="1"/>
      <c r="T21" s="1"/>
      <c r="U21" s="1"/>
      <c r="V21" s="1"/>
      <c r="W21" s="1"/>
      <c r="X21" s="1"/>
      <c r="Y21" s="1"/>
      <c r="Z21" s="1"/>
      <c r="AA21" s="1"/>
      <c r="AB21" s="1"/>
      <c r="AC21" s="1"/>
      <c r="AD21" s="1"/>
      <c r="AE21" s="1"/>
      <c r="AF21" s="809"/>
      <c r="AG21" s="809"/>
      <c r="AH21" s="809"/>
      <c r="AI21" s="809"/>
      <c r="AJ21" s="809"/>
      <c r="AK21" s="809"/>
      <c r="AL21" s="809"/>
      <c r="AM21" s="809"/>
      <c r="AN21" s="809"/>
      <c r="AO21" s="809"/>
      <c r="AP21" s="809"/>
      <c r="AQ21" s="809"/>
      <c r="AR21" s="809"/>
      <c r="AS21" s="809"/>
      <c r="AT21" s="809"/>
      <c r="AU21" s="809"/>
      <c r="AV21" s="809"/>
      <c r="AW21" s="809"/>
      <c r="AX21" s="809"/>
      <c r="AY21" s="809"/>
      <c r="AZ21" s="809"/>
      <c r="BA21" s="809"/>
      <c r="BB21" s="809"/>
      <c r="BC21" s="809"/>
      <c r="BD21" s="809"/>
      <c r="BE21" s="809"/>
      <c r="BF21" s="809"/>
      <c r="BG21" s="809"/>
      <c r="BH21" s="809"/>
      <c r="BI21" s="809"/>
      <c r="BJ21" s="809"/>
      <c r="BK21" s="809"/>
      <c r="BL21" s="809"/>
      <c r="BM21" s="809"/>
      <c r="BN21" s="809"/>
      <c r="BO21" s="809"/>
      <c r="BP21" s="809"/>
      <c r="BQ21" s="809"/>
      <c r="BR21" s="809"/>
      <c r="BS21" s="809"/>
      <c r="BT21" s="809"/>
      <c r="BU21" s="809"/>
      <c r="BV21" s="809"/>
      <c r="BW21" s="809"/>
      <c r="BX21" s="809"/>
      <c r="BY21" s="809"/>
      <c r="BZ21" s="809"/>
      <c r="CA21" s="809"/>
      <c r="CB21" s="809"/>
      <c r="CC21" s="809"/>
      <c r="CD21" s="809"/>
      <c r="CE21" s="809"/>
      <c r="CF21" s="809"/>
      <c r="CG21" s="809"/>
      <c r="CH21" s="809"/>
      <c r="CI21" s="809"/>
      <c r="CJ21" s="809"/>
      <c r="CK21" s="809"/>
      <c r="CL21" s="809"/>
      <c r="CM21" s="809"/>
      <c r="CN21" s="809"/>
      <c r="CO21" s="809"/>
      <c r="CP21" s="809"/>
      <c r="CQ21" s="809"/>
      <c r="CR21" s="809"/>
      <c r="CS21" s="809"/>
      <c r="CT21" s="809"/>
      <c r="CU21" s="809"/>
      <c r="CV21" s="809"/>
      <c r="CW21" s="809"/>
      <c r="CX21" s="809"/>
      <c r="CY21" s="809"/>
      <c r="CZ21" s="809"/>
      <c r="DA21" s="809"/>
      <c r="DB21" s="809"/>
      <c r="DC21" s="809"/>
      <c r="DD21" s="809"/>
      <c r="DE21" s="809"/>
      <c r="DF21" s="809"/>
      <c r="DG21" s="809"/>
      <c r="DH21" s="809"/>
      <c r="DI21" s="809"/>
      <c r="DJ21" s="809"/>
      <c r="DK21" s="809"/>
      <c r="DL21" s="809"/>
      <c r="DM21" s="809"/>
      <c r="DN21" s="809"/>
      <c r="DO21" s="809"/>
      <c r="DP21" s="809"/>
      <c r="DQ21" s="809"/>
      <c r="DR21" s="809"/>
      <c r="DS21" s="809"/>
      <c r="DT21" s="809"/>
      <c r="DU21" s="809"/>
      <c r="DV21" s="809"/>
      <c r="DW21" s="809"/>
      <c r="DX21" s="809"/>
      <c r="DY21" s="809"/>
      <c r="DZ21" s="809"/>
      <c r="EA21" s="809"/>
      <c r="EB21" s="809"/>
      <c r="EC21" s="809"/>
      <c r="ED21" s="809"/>
      <c r="EE21" s="809"/>
      <c r="EF21" s="809"/>
      <c r="EG21" s="809"/>
      <c r="EH21" s="809"/>
      <c r="EI21" s="809"/>
      <c r="EJ21" s="809"/>
      <c r="EK21" s="809"/>
      <c r="EL21" s="809"/>
      <c r="EM21" s="809"/>
      <c r="EN21" s="809"/>
      <c r="EO21" s="809"/>
      <c r="EP21" s="809"/>
      <c r="EQ21" s="809"/>
      <c r="ER21" s="809"/>
      <c r="ES21" s="809"/>
      <c r="ET21" s="809"/>
      <c r="EU21" s="809"/>
      <c r="EV21" s="809"/>
      <c r="EW21" s="809"/>
      <c r="EX21" s="809"/>
      <c r="EY21" s="809"/>
      <c r="EZ21" s="809"/>
      <c r="FA21" s="809"/>
      <c r="FB21" s="809"/>
      <c r="FC21" s="809"/>
      <c r="FD21" s="809"/>
      <c r="FE21" s="809"/>
      <c r="FF21" s="809"/>
      <c r="FG21" s="809"/>
      <c r="FH21" s="809"/>
      <c r="FI21" s="809"/>
      <c r="FJ21" s="809"/>
      <c r="FK21" s="809"/>
      <c r="FL21" s="809"/>
      <c r="FM21" s="809"/>
      <c r="FN21" s="809"/>
      <c r="FO21" s="809"/>
      <c r="FP21" s="809"/>
      <c r="FQ21" s="809"/>
      <c r="FR21" s="809"/>
      <c r="FS21" s="809"/>
      <c r="FT21" s="809"/>
      <c r="FU21" s="809"/>
      <c r="FV21" s="809"/>
      <c r="FW21" s="809"/>
      <c r="FX21" s="809"/>
      <c r="FY21" s="809"/>
      <c r="FZ21" s="809"/>
      <c r="GA21" s="809"/>
      <c r="GB21" s="809"/>
      <c r="GC21" s="809"/>
      <c r="GD21" s="809"/>
      <c r="GE21" s="809"/>
      <c r="GF21" s="809"/>
      <c r="GG21" s="809"/>
      <c r="GH21" s="809"/>
      <c r="GI21" s="809"/>
      <c r="GJ21" s="809"/>
      <c r="GK21" s="809"/>
      <c r="GL21" s="809"/>
      <c r="GM21" s="809"/>
      <c r="GN21" s="809"/>
      <c r="GO21" s="809"/>
      <c r="GP21" s="809"/>
      <c r="GQ21" s="809"/>
      <c r="GR21" s="809"/>
      <c r="GS21" s="809"/>
      <c r="GT21" s="809"/>
      <c r="GU21" s="809"/>
      <c r="GV21" s="809"/>
      <c r="GW21" s="809"/>
      <c r="GX21" s="809"/>
      <c r="GY21" s="809"/>
      <c r="GZ21" s="809"/>
      <c r="HA21" s="809"/>
      <c r="HB21" s="809"/>
      <c r="HC21" s="809"/>
      <c r="HD21" s="809"/>
      <c r="HE21" s="809"/>
      <c r="HF21" s="809"/>
      <c r="HG21" s="809"/>
      <c r="HH21" s="809"/>
      <c r="HI21" s="809"/>
      <c r="HJ21" s="809"/>
      <c r="HK21" s="809"/>
      <c r="HL21" s="809"/>
      <c r="HM21" s="809"/>
      <c r="HN21" s="809"/>
      <c r="HO21" s="809"/>
      <c r="HP21" s="809"/>
      <c r="HQ21" s="809"/>
      <c r="HR21" s="809"/>
      <c r="HS21" s="809"/>
      <c r="HT21" s="809"/>
      <c r="HU21" s="809"/>
      <c r="HV21" s="809"/>
      <c r="HW21" s="809"/>
      <c r="HX21" s="809"/>
      <c r="HY21" s="809"/>
      <c r="HZ21" s="809"/>
      <c r="IA21" s="809"/>
      <c r="IB21" s="809"/>
      <c r="IC21" s="809"/>
      <c r="ID21" s="809"/>
      <c r="IE21" s="809"/>
      <c r="IF21" s="809"/>
      <c r="IG21" s="809"/>
      <c r="IH21" s="809"/>
      <c r="II21" s="809"/>
      <c r="IJ21" s="809"/>
      <c r="IK21" s="809"/>
      <c r="IL21" s="809"/>
      <c r="IM21" s="809"/>
      <c r="IN21" s="809"/>
      <c r="IO21" s="809"/>
      <c r="IP21" s="809"/>
      <c r="IQ21" s="809"/>
      <c r="IR21" s="809"/>
      <c r="IS21" s="809"/>
      <c r="IT21" s="809"/>
      <c r="IU21" s="809"/>
      <c r="IV21" s="809"/>
      <c r="IW21" s="809"/>
    </row>
    <row r="22" customFormat="false" ht="12.75" hidden="false" customHeight="false" outlineLevel="0" collapsed="false">
      <c r="A22" s="941"/>
      <c r="B22" s="47"/>
      <c r="C22" s="0"/>
      <c r="D22" s="0"/>
      <c r="E22" s="42" t="n">
        <v>30</v>
      </c>
      <c r="F22" s="46" t="n">
        <f aca="false">8*457</f>
        <v>3656</v>
      </c>
      <c r="G22" s="46" t="n">
        <f aca="false">$B$21*$B$23*($B$20*(1+$B$19))</f>
        <v>0</v>
      </c>
      <c r="H22" s="46" t="n">
        <f aca="false">G22+F22</f>
        <v>3656</v>
      </c>
      <c r="I22" s="939" t="n">
        <f aca="false">G22/H22</f>
        <v>0</v>
      </c>
      <c r="J22" s="940" t="n">
        <f aca="false">1-I22</f>
        <v>1</v>
      </c>
      <c r="K22" s="1"/>
      <c r="L22" s="1"/>
      <c r="M22" s="1"/>
      <c r="N22" s="1"/>
      <c r="O22" s="1"/>
      <c r="P22" s="1"/>
      <c r="Q22" s="1"/>
      <c r="R22" s="1"/>
      <c r="S22" s="1"/>
      <c r="T22" s="1"/>
      <c r="U22" s="1"/>
      <c r="V22" s="1"/>
      <c r="W22" s="1"/>
      <c r="X22" s="1"/>
      <c r="Y22" s="1"/>
      <c r="Z22" s="1"/>
      <c r="AA22" s="1"/>
      <c r="AB22" s="1"/>
      <c r="AC22" s="1"/>
      <c r="AD22" s="1"/>
      <c r="AE22" s="1"/>
      <c r="AF22" s="809"/>
      <c r="AG22" s="809"/>
      <c r="AH22" s="809"/>
      <c r="AI22" s="809"/>
      <c r="AJ22" s="809"/>
      <c r="AK22" s="809"/>
      <c r="AL22" s="809"/>
      <c r="AM22" s="809"/>
      <c r="AN22" s="809"/>
      <c r="AO22" s="809"/>
      <c r="AP22" s="809"/>
      <c r="AQ22" s="809"/>
      <c r="AR22" s="809"/>
      <c r="AS22" s="809"/>
      <c r="AT22" s="809"/>
      <c r="AU22" s="809"/>
      <c r="AV22" s="809"/>
      <c r="AW22" s="809"/>
      <c r="AX22" s="809"/>
      <c r="AY22" s="809"/>
      <c r="AZ22" s="809"/>
      <c r="BA22" s="809"/>
      <c r="BB22" s="809"/>
      <c r="BC22" s="809"/>
      <c r="BD22" s="809"/>
      <c r="BE22" s="809"/>
      <c r="BF22" s="809"/>
      <c r="BG22" s="809"/>
      <c r="BH22" s="809"/>
      <c r="BI22" s="809"/>
      <c r="BJ22" s="809"/>
      <c r="BK22" s="809"/>
      <c r="BL22" s="809"/>
      <c r="BM22" s="809"/>
      <c r="BN22" s="809"/>
      <c r="BO22" s="809"/>
      <c r="BP22" s="809"/>
      <c r="BQ22" s="809"/>
      <c r="BR22" s="809"/>
      <c r="BS22" s="809"/>
      <c r="BT22" s="809"/>
      <c r="BU22" s="809"/>
      <c r="BV22" s="809"/>
      <c r="BW22" s="809"/>
      <c r="BX22" s="809"/>
      <c r="BY22" s="809"/>
      <c r="BZ22" s="809"/>
      <c r="CA22" s="809"/>
      <c r="CB22" s="809"/>
      <c r="CC22" s="809"/>
      <c r="CD22" s="809"/>
      <c r="CE22" s="809"/>
      <c r="CF22" s="809"/>
      <c r="CG22" s="809"/>
      <c r="CH22" s="809"/>
      <c r="CI22" s="809"/>
      <c r="CJ22" s="809"/>
      <c r="CK22" s="809"/>
      <c r="CL22" s="809"/>
      <c r="CM22" s="809"/>
      <c r="CN22" s="809"/>
      <c r="CO22" s="809"/>
      <c r="CP22" s="809"/>
      <c r="CQ22" s="809"/>
      <c r="CR22" s="809"/>
      <c r="CS22" s="809"/>
      <c r="CT22" s="809"/>
      <c r="CU22" s="809"/>
      <c r="CV22" s="809"/>
      <c r="CW22" s="809"/>
      <c r="CX22" s="809"/>
      <c r="CY22" s="809"/>
      <c r="CZ22" s="809"/>
      <c r="DA22" s="809"/>
      <c r="DB22" s="809"/>
      <c r="DC22" s="809"/>
      <c r="DD22" s="809"/>
      <c r="DE22" s="809"/>
      <c r="DF22" s="809"/>
      <c r="DG22" s="809"/>
      <c r="DH22" s="809"/>
      <c r="DI22" s="809"/>
      <c r="DJ22" s="809"/>
      <c r="DK22" s="809"/>
      <c r="DL22" s="809"/>
      <c r="DM22" s="809"/>
      <c r="DN22" s="809"/>
      <c r="DO22" s="809"/>
      <c r="DP22" s="809"/>
      <c r="DQ22" s="809"/>
      <c r="DR22" s="809"/>
      <c r="DS22" s="809"/>
      <c r="DT22" s="809"/>
      <c r="DU22" s="809"/>
      <c r="DV22" s="809"/>
      <c r="DW22" s="809"/>
      <c r="DX22" s="809"/>
      <c r="DY22" s="809"/>
      <c r="DZ22" s="809"/>
      <c r="EA22" s="809"/>
      <c r="EB22" s="809"/>
      <c r="EC22" s="809"/>
      <c r="ED22" s="809"/>
      <c r="EE22" s="809"/>
      <c r="EF22" s="809"/>
      <c r="EG22" s="809"/>
      <c r="EH22" s="809"/>
      <c r="EI22" s="809"/>
      <c r="EJ22" s="809"/>
      <c r="EK22" s="809"/>
      <c r="EL22" s="809"/>
      <c r="EM22" s="809"/>
      <c r="EN22" s="809"/>
      <c r="EO22" s="809"/>
      <c r="EP22" s="809"/>
      <c r="EQ22" s="809"/>
      <c r="ER22" s="809"/>
      <c r="ES22" s="809"/>
      <c r="ET22" s="809"/>
      <c r="EU22" s="809"/>
      <c r="EV22" s="809"/>
      <c r="EW22" s="809"/>
      <c r="EX22" s="809"/>
      <c r="EY22" s="809"/>
      <c r="EZ22" s="809"/>
      <c r="FA22" s="809"/>
      <c r="FB22" s="809"/>
      <c r="FC22" s="809"/>
      <c r="FD22" s="809"/>
      <c r="FE22" s="809"/>
      <c r="FF22" s="809"/>
      <c r="FG22" s="809"/>
      <c r="FH22" s="809"/>
      <c r="FI22" s="809"/>
      <c r="FJ22" s="809"/>
      <c r="FK22" s="809"/>
      <c r="FL22" s="809"/>
      <c r="FM22" s="809"/>
      <c r="FN22" s="809"/>
      <c r="FO22" s="809"/>
      <c r="FP22" s="809"/>
      <c r="FQ22" s="809"/>
      <c r="FR22" s="809"/>
      <c r="FS22" s="809"/>
      <c r="FT22" s="809"/>
      <c r="FU22" s="809"/>
      <c r="FV22" s="809"/>
      <c r="FW22" s="809"/>
      <c r="FX22" s="809"/>
      <c r="FY22" s="809"/>
      <c r="FZ22" s="809"/>
      <c r="GA22" s="809"/>
      <c r="GB22" s="809"/>
      <c r="GC22" s="809"/>
      <c r="GD22" s="809"/>
      <c r="GE22" s="809"/>
      <c r="GF22" s="809"/>
      <c r="GG22" s="809"/>
      <c r="GH22" s="809"/>
      <c r="GI22" s="809"/>
      <c r="GJ22" s="809"/>
      <c r="GK22" s="809"/>
      <c r="GL22" s="809"/>
      <c r="GM22" s="809"/>
      <c r="GN22" s="809"/>
      <c r="GO22" s="809"/>
      <c r="GP22" s="809"/>
      <c r="GQ22" s="809"/>
      <c r="GR22" s="809"/>
      <c r="GS22" s="809"/>
      <c r="GT22" s="809"/>
      <c r="GU22" s="809"/>
      <c r="GV22" s="809"/>
      <c r="GW22" s="809"/>
      <c r="GX22" s="809"/>
      <c r="GY22" s="809"/>
      <c r="GZ22" s="809"/>
      <c r="HA22" s="809"/>
      <c r="HB22" s="809"/>
      <c r="HC22" s="809"/>
      <c r="HD22" s="809"/>
      <c r="HE22" s="809"/>
      <c r="HF22" s="809"/>
      <c r="HG22" s="809"/>
      <c r="HH22" s="809"/>
      <c r="HI22" s="809"/>
      <c r="HJ22" s="809"/>
      <c r="HK22" s="809"/>
      <c r="HL22" s="809"/>
      <c r="HM22" s="809"/>
      <c r="HN22" s="809"/>
      <c r="HO22" s="809"/>
      <c r="HP22" s="809"/>
      <c r="HQ22" s="809"/>
      <c r="HR22" s="809"/>
      <c r="HS22" s="809"/>
      <c r="HT22" s="809"/>
      <c r="HU22" s="809"/>
      <c r="HV22" s="809"/>
      <c r="HW22" s="809"/>
      <c r="HX22" s="809"/>
      <c r="HY22" s="809"/>
      <c r="HZ22" s="809"/>
      <c r="IA22" s="809"/>
      <c r="IB22" s="809"/>
      <c r="IC22" s="809"/>
      <c r="ID22" s="809"/>
      <c r="IE22" s="809"/>
      <c r="IF22" s="809"/>
      <c r="IG22" s="809"/>
      <c r="IH22" s="809"/>
      <c r="II22" s="809"/>
      <c r="IJ22" s="809"/>
      <c r="IK22" s="809"/>
      <c r="IL22" s="809"/>
      <c r="IM22" s="809"/>
      <c r="IN22" s="809"/>
      <c r="IO22" s="809"/>
      <c r="IP22" s="809"/>
      <c r="IQ22" s="809"/>
      <c r="IR22" s="809"/>
      <c r="IS22" s="809"/>
      <c r="IT22" s="809"/>
      <c r="IU22" s="809"/>
      <c r="IV22" s="809"/>
      <c r="IW22" s="809"/>
    </row>
    <row r="23" customFormat="false" ht="12.75" hidden="false" customHeight="false" outlineLevel="0" collapsed="false">
      <c r="A23" s="50" t="s">
        <v>121</v>
      </c>
      <c r="B23" s="942" t="n">
        <v>8</v>
      </c>
      <c r="C23" s="0"/>
      <c r="D23" s="0"/>
      <c r="E23" s="42" t="n">
        <v>40</v>
      </c>
      <c r="F23" s="46" t="n">
        <f aca="false">8*457</f>
        <v>3656</v>
      </c>
      <c r="G23" s="46" t="n">
        <f aca="false">$B$21*$B$23*($B$20*(1+$B$19))</f>
        <v>0</v>
      </c>
      <c r="H23" s="46" t="n">
        <f aca="false">G23+F23</f>
        <v>3656</v>
      </c>
      <c r="I23" s="939" t="n">
        <f aca="false">G23/H23</f>
        <v>0</v>
      </c>
      <c r="J23" s="940" t="n">
        <f aca="false">1-I23</f>
        <v>1</v>
      </c>
      <c r="K23" s="1"/>
      <c r="L23" s="1"/>
      <c r="M23" s="1"/>
      <c r="N23" s="1"/>
      <c r="O23" s="1"/>
      <c r="P23" s="1"/>
      <c r="Q23" s="1"/>
      <c r="R23" s="1"/>
      <c r="S23" s="1"/>
      <c r="T23" s="1"/>
      <c r="U23" s="1"/>
      <c r="V23" s="1"/>
      <c r="W23" s="1"/>
      <c r="X23" s="1"/>
      <c r="Y23" s="1"/>
      <c r="Z23" s="1"/>
      <c r="AA23" s="1"/>
      <c r="AB23" s="1"/>
      <c r="AC23" s="1"/>
      <c r="AD23" s="1"/>
      <c r="AE23" s="1"/>
      <c r="AF23" s="809"/>
      <c r="AG23" s="809"/>
      <c r="AH23" s="809"/>
      <c r="AI23" s="809"/>
      <c r="AJ23" s="809"/>
      <c r="AK23" s="809"/>
      <c r="AL23" s="809"/>
      <c r="AM23" s="809"/>
      <c r="AN23" s="809"/>
      <c r="AO23" s="809"/>
      <c r="AP23" s="809"/>
      <c r="AQ23" s="809"/>
      <c r="AR23" s="809"/>
      <c r="AS23" s="809"/>
      <c r="AT23" s="809"/>
      <c r="AU23" s="809"/>
      <c r="AV23" s="809"/>
      <c r="AW23" s="809"/>
      <c r="AX23" s="809"/>
      <c r="AY23" s="809"/>
      <c r="AZ23" s="809"/>
      <c r="BA23" s="809"/>
      <c r="BB23" s="809"/>
      <c r="BC23" s="809"/>
      <c r="BD23" s="809"/>
      <c r="BE23" s="809"/>
      <c r="BF23" s="809"/>
      <c r="BG23" s="809"/>
      <c r="BH23" s="809"/>
      <c r="BI23" s="809"/>
      <c r="BJ23" s="809"/>
      <c r="BK23" s="809"/>
      <c r="BL23" s="809"/>
      <c r="BM23" s="809"/>
      <c r="BN23" s="809"/>
      <c r="BO23" s="809"/>
      <c r="BP23" s="809"/>
      <c r="BQ23" s="809"/>
      <c r="BR23" s="809"/>
      <c r="BS23" s="809"/>
      <c r="BT23" s="809"/>
      <c r="BU23" s="809"/>
      <c r="BV23" s="809"/>
      <c r="BW23" s="809"/>
      <c r="BX23" s="809"/>
      <c r="BY23" s="809"/>
      <c r="BZ23" s="809"/>
      <c r="CA23" s="809"/>
      <c r="CB23" s="809"/>
      <c r="CC23" s="809"/>
      <c r="CD23" s="809"/>
      <c r="CE23" s="809"/>
      <c r="CF23" s="809"/>
      <c r="CG23" s="809"/>
      <c r="CH23" s="809"/>
      <c r="CI23" s="809"/>
      <c r="CJ23" s="809"/>
      <c r="CK23" s="809"/>
      <c r="CL23" s="809"/>
      <c r="CM23" s="809"/>
      <c r="CN23" s="809"/>
      <c r="CO23" s="809"/>
      <c r="CP23" s="809"/>
      <c r="CQ23" s="809"/>
      <c r="CR23" s="809"/>
      <c r="CS23" s="809"/>
      <c r="CT23" s="809"/>
      <c r="CU23" s="809"/>
      <c r="CV23" s="809"/>
      <c r="CW23" s="809"/>
      <c r="CX23" s="809"/>
      <c r="CY23" s="809"/>
      <c r="CZ23" s="809"/>
      <c r="DA23" s="809"/>
      <c r="DB23" s="809"/>
      <c r="DC23" s="809"/>
      <c r="DD23" s="809"/>
      <c r="DE23" s="809"/>
      <c r="DF23" s="809"/>
      <c r="DG23" s="809"/>
      <c r="DH23" s="809"/>
      <c r="DI23" s="809"/>
      <c r="DJ23" s="809"/>
      <c r="DK23" s="809"/>
      <c r="DL23" s="809"/>
      <c r="DM23" s="809"/>
      <c r="DN23" s="809"/>
      <c r="DO23" s="809"/>
      <c r="DP23" s="809"/>
      <c r="DQ23" s="809"/>
      <c r="DR23" s="809"/>
      <c r="DS23" s="809"/>
      <c r="DT23" s="809"/>
      <c r="DU23" s="809"/>
      <c r="DV23" s="809"/>
      <c r="DW23" s="809"/>
      <c r="DX23" s="809"/>
      <c r="DY23" s="809"/>
      <c r="DZ23" s="809"/>
      <c r="EA23" s="809"/>
      <c r="EB23" s="809"/>
      <c r="EC23" s="809"/>
      <c r="ED23" s="809"/>
      <c r="EE23" s="809"/>
      <c r="EF23" s="809"/>
      <c r="EG23" s="809"/>
      <c r="EH23" s="809"/>
      <c r="EI23" s="809"/>
      <c r="EJ23" s="809"/>
      <c r="EK23" s="809"/>
      <c r="EL23" s="809"/>
      <c r="EM23" s="809"/>
      <c r="EN23" s="809"/>
      <c r="EO23" s="809"/>
      <c r="EP23" s="809"/>
      <c r="EQ23" s="809"/>
      <c r="ER23" s="809"/>
      <c r="ES23" s="809"/>
      <c r="ET23" s="809"/>
      <c r="EU23" s="809"/>
      <c r="EV23" s="809"/>
      <c r="EW23" s="809"/>
      <c r="EX23" s="809"/>
      <c r="EY23" s="809"/>
      <c r="EZ23" s="809"/>
      <c r="FA23" s="809"/>
      <c r="FB23" s="809"/>
      <c r="FC23" s="809"/>
      <c r="FD23" s="809"/>
      <c r="FE23" s="809"/>
      <c r="FF23" s="809"/>
      <c r="FG23" s="809"/>
      <c r="FH23" s="809"/>
      <c r="FI23" s="809"/>
      <c r="FJ23" s="809"/>
      <c r="FK23" s="809"/>
      <c r="FL23" s="809"/>
      <c r="FM23" s="809"/>
      <c r="FN23" s="809"/>
      <c r="FO23" s="809"/>
      <c r="FP23" s="809"/>
      <c r="FQ23" s="809"/>
      <c r="FR23" s="809"/>
      <c r="FS23" s="809"/>
      <c r="FT23" s="809"/>
      <c r="FU23" s="809"/>
      <c r="FV23" s="809"/>
      <c r="FW23" s="809"/>
      <c r="FX23" s="809"/>
      <c r="FY23" s="809"/>
      <c r="FZ23" s="809"/>
      <c r="GA23" s="809"/>
      <c r="GB23" s="809"/>
      <c r="GC23" s="809"/>
      <c r="GD23" s="809"/>
      <c r="GE23" s="809"/>
      <c r="GF23" s="809"/>
      <c r="GG23" s="809"/>
      <c r="GH23" s="809"/>
      <c r="GI23" s="809"/>
      <c r="GJ23" s="809"/>
      <c r="GK23" s="809"/>
      <c r="GL23" s="809"/>
      <c r="GM23" s="809"/>
      <c r="GN23" s="809"/>
      <c r="GO23" s="809"/>
      <c r="GP23" s="809"/>
      <c r="GQ23" s="809"/>
      <c r="GR23" s="809"/>
      <c r="GS23" s="809"/>
      <c r="GT23" s="809"/>
      <c r="GU23" s="809"/>
      <c r="GV23" s="809"/>
      <c r="GW23" s="809"/>
      <c r="GX23" s="809"/>
      <c r="GY23" s="809"/>
      <c r="GZ23" s="809"/>
      <c r="HA23" s="809"/>
      <c r="HB23" s="809"/>
      <c r="HC23" s="809"/>
      <c r="HD23" s="809"/>
      <c r="HE23" s="809"/>
      <c r="HF23" s="809"/>
      <c r="HG23" s="809"/>
      <c r="HH23" s="809"/>
      <c r="HI23" s="809"/>
      <c r="HJ23" s="809"/>
      <c r="HK23" s="809"/>
      <c r="HL23" s="809"/>
      <c r="HM23" s="809"/>
      <c r="HN23" s="809"/>
      <c r="HO23" s="809"/>
      <c r="HP23" s="809"/>
      <c r="HQ23" s="809"/>
      <c r="HR23" s="809"/>
      <c r="HS23" s="809"/>
      <c r="HT23" s="809"/>
      <c r="HU23" s="809"/>
      <c r="HV23" s="809"/>
      <c r="HW23" s="809"/>
      <c r="HX23" s="809"/>
      <c r="HY23" s="809"/>
      <c r="HZ23" s="809"/>
      <c r="IA23" s="809"/>
      <c r="IB23" s="809"/>
      <c r="IC23" s="809"/>
      <c r="ID23" s="809"/>
      <c r="IE23" s="809"/>
      <c r="IF23" s="809"/>
      <c r="IG23" s="809"/>
      <c r="IH23" s="809"/>
      <c r="II23" s="809"/>
      <c r="IJ23" s="809"/>
      <c r="IK23" s="809"/>
      <c r="IL23" s="809"/>
      <c r="IM23" s="809"/>
      <c r="IN23" s="809"/>
      <c r="IO23" s="809"/>
      <c r="IP23" s="809"/>
      <c r="IQ23" s="809"/>
      <c r="IR23" s="809"/>
      <c r="IS23" s="809"/>
      <c r="IT23" s="809"/>
      <c r="IU23" s="809"/>
      <c r="IV23" s="809"/>
      <c r="IW23" s="809"/>
    </row>
    <row r="24" customFormat="false" ht="12.75" hidden="false" customHeight="false" outlineLevel="0" collapsed="false">
      <c r="A24" s="0"/>
      <c r="B24" s="0"/>
      <c r="C24" s="0"/>
      <c r="D24" s="0"/>
      <c r="E24" s="42" t="n">
        <v>50</v>
      </c>
      <c r="F24" s="46" t="n">
        <f aca="false">8*457</f>
        <v>3656</v>
      </c>
      <c r="G24" s="46" t="n">
        <f aca="false">$B$21*$B$23*($B$20*(1+$B$19))</f>
        <v>0</v>
      </c>
      <c r="H24" s="46" t="n">
        <f aca="false">G24+F24</f>
        <v>3656</v>
      </c>
      <c r="I24" s="939" t="n">
        <f aca="false">G24/H24</f>
        <v>0</v>
      </c>
      <c r="J24" s="940" t="n">
        <f aca="false">1-I24</f>
        <v>1</v>
      </c>
      <c r="K24" s="1"/>
      <c r="L24" s="1"/>
      <c r="M24" s="1"/>
      <c r="N24" s="1"/>
      <c r="O24" s="1"/>
      <c r="P24" s="1"/>
      <c r="Q24" s="1"/>
      <c r="R24" s="1"/>
      <c r="S24" s="1"/>
      <c r="T24" s="1"/>
      <c r="U24" s="1"/>
      <c r="V24" s="1"/>
      <c r="W24" s="1"/>
      <c r="X24" s="1"/>
      <c r="Y24" s="1"/>
      <c r="Z24" s="1"/>
      <c r="AA24" s="1"/>
      <c r="AB24" s="1"/>
      <c r="AC24" s="1"/>
      <c r="AD24" s="1"/>
      <c r="AE24" s="1"/>
      <c r="AF24" s="809"/>
      <c r="AG24" s="809"/>
      <c r="AH24" s="809"/>
      <c r="AI24" s="809"/>
      <c r="AJ24" s="809"/>
      <c r="AK24" s="809"/>
      <c r="AL24" s="809"/>
      <c r="AM24" s="809"/>
      <c r="AN24" s="809"/>
      <c r="AO24" s="809"/>
      <c r="AP24" s="809"/>
      <c r="AQ24" s="809"/>
      <c r="AR24" s="809"/>
      <c r="AS24" s="809"/>
      <c r="AT24" s="809"/>
      <c r="AU24" s="809"/>
      <c r="AV24" s="809"/>
      <c r="AW24" s="809"/>
      <c r="AX24" s="809"/>
      <c r="AY24" s="809"/>
      <c r="AZ24" s="809"/>
      <c r="BA24" s="809"/>
      <c r="BB24" s="809"/>
      <c r="BC24" s="809"/>
      <c r="BD24" s="809"/>
      <c r="BE24" s="809"/>
      <c r="BF24" s="809"/>
      <c r="BG24" s="809"/>
      <c r="BH24" s="809"/>
      <c r="BI24" s="809"/>
      <c r="BJ24" s="809"/>
      <c r="BK24" s="809"/>
      <c r="BL24" s="809"/>
      <c r="BM24" s="809"/>
      <c r="BN24" s="809"/>
      <c r="BO24" s="809"/>
      <c r="BP24" s="809"/>
      <c r="BQ24" s="809"/>
      <c r="BR24" s="809"/>
      <c r="BS24" s="809"/>
      <c r="BT24" s="809"/>
      <c r="BU24" s="809"/>
      <c r="BV24" s="809"/>
      <c r="BW24" s="809"/>
      <c r="BX24" s="809"/>
      <c r="BY24" s="809"/>
      <c r="BZ24" s="809"/>
      <c r="CA24" s="809"/>
      <c r="CB24" s="809"/>
      <c r="CC24" s="809"/>
      <c r="CD24" s="809"/>
      <c r="CE24" s="809"/>
      <c r="CF24" s="809"/>
      <c r="CG24" s="809"/>
      <c r="CH24" s="809"/>
      <c r="CI24" s="809"/>
      <c r="CJ24" s="809"/>
      <c r="CK24" s="809"/>
      <c r="CL24" s="809"/>
      <c r="CM24" s="809"/>
      <c r="CN24" s="809"/>
      <c r="CO24" s="809"/>
      <c r="CP24" s="809"/>
      <c r="CQ24" s="809"/>
      <c r="CR24" s="809"/>
      <c r="CS24" s="809"/>
      <c r="CT24" s="809"/>
      <c r="CU24" s="809"/>
      <c r="CV24" s="809"/>
      <c r="CW24" s="809"/>
      <c r="CX24" s="809"/>
      <c r="CY24" s="809"/>
      <c r="CZ24" s="809"/>
      <c r="DA24" s="809"/>
      <c r="DB24" s="809"/>
      <c r="DC24" s="809"/>
      <c r="DD24" s="809"/>
      <c r="DE24" s="809"/>
      <c r="DF24" s="809"/>
      <c r="DG24" s="809"/>
      <c r="DH24" s="809"/>
      <c r="DI24" s="809"/>
      <c r="DJ24" s="809"/>
      <c r="DK24" s="809"/>
      <c r="DL24" s="809"/>
      <c r="DM24" s="809"/>
      <c r="DN24" s="809"/>
      <c r="DO24" s="809"/>
      <c r="DP24" s="809"/>
      <c r="DQ24" s="809"/>
      <c r="DR24" s="809"/>
      <c r="DS24" s="809"/>
      <c r="DT24" s="809"/>
      <c r="DU24" s="809"/>
      <c r="DV24" s="809"/>
      <c r="DW24" s="809"/>
      <c r="DX24" s="809"/>
      <c r="DY24" s="809"/>
      <c r="DZ24" s="809"/>
      <c r="EA24" s="809"/>
      <c r="EB24" s="809"/>
      <c r="EC24" s="809"/>
      <c r="ED24" s="809"/>
      <c r="EE24" s="809"/>
      <c r="EF24" s="809"/>
      <c r="EG24" s="809"/>
      <c r="EH24" s="809"/>
      <c r="EI24" s="809"/>
      <c r="EJ24" s="809"/>
      <c r="EK24" s="809"/>
      <c r="EL24" s="809"/>
      <c r="EM24" s="809"/>
      <c r="EN24" s="809"/>
      <c r="EO24" s="809"/>
      <c r="EP24" s="809"/>
      <c r="EQ24" s="809"/>
      <c r="ER24" s="809"/>
      <c r="ES24" s="809"/>
      <c r="ET24" s="809"/>
      <c r="EU24" s="809"/>
      <c r="EV24" s="809"/>
      <c r="EW24" s="809"/>
      <c r="EX24" s="809"/>
      <c r="EY24" s="809"/>
      <c r="EZ24" s="809"/>
      <c r="FA24" s="809"/>
      <c r="FB24" s="809"/>
      <c r="FC24" s="809"/>
      <c r="FD24" s="809"/>
      <c r="FE24" s="809"/>
      <c r="FF24" s="809"/>
      <c r="FG24" s="809"/>
      <c r="FH24" s="809"/>
      <c r="FI24" s="809"/>
      <c r="FJ24" s="809"/>
      <c r="FK24" s="809"/>
      <c r="FL24" s="809"/>
      <c r="FM24" s="809"/>
      <c r="FN24" s="809"/>
      <c r="FO24" s="809"/>
      <c r="FP24" s="809"/>
      <c r="FQ24" s="809"/>
      <c r="FR24" s="809"/>
      <c r="FS24" s="809"/>
      <c r="FT24" s="809"/>
      <c r="FU24" s="809"/>
      <c r="FV24" s="809"/>
      <c r="FW24" s="809"/>
      <c r="FX24" s="809"/>
      <c r="FY24" s="809"/>
      <c r="FZ24" s="809"/>
      <c r="GA24" s="809"/>
      <c r="GB24" s="809"/>
      <c r="GC24" s="809"/>
      <c r="GD24" s="809"/>
      <c r="GE24" s="809"/>
      <c r="GF24" s="809"/>
      <c r="GG24" s="809"/>
      <c r="GH24" s="809"/>
      <c r="GI24" s="809"/>
      <c r="GJ24" s="809"/>
      <c r="GK24" s="809"/>
      <c r="GL24" s="809"/>
      <c r="GM24" s="809"/>
      <c r="GN24" s="809"/>
      <c r="GO24" s="809"/>
      <c r="GP24" s="809"/>
      <c r="GQ24" s="809"/>
      <c r="GR24" s="809"/>
      <c r="GS24" s="809"/>
      <c r="GT24" s="809"/>
      <c r="GU24" s="809"/>
      <c r="GV24" s="809"/>
      <c r="GW24" s="809"/>
      <c r="GX24" s="809"/>
      <c r="GY24" s="809"/>
      <c r="GZ24" s="809"/>
      <c r="HA24" s="809"/>
      <c r="HB24" s="809"/>
      <c r="HC24" s="809"/>
      <c r="HD24" s="809"/>
      <c r="HE24" s="809"/>
      <c r="HF24" s="809"/>
      <c r="HG24" s="809"/>
      <c r="HH24" s="809"/>
      <c r="HI24" s="809"/>
      <c r="HJ24" s="809"/>
      <c r="HK24" s="809"/>
      <c r="HL24" s="809"/>
      <c r="HM24" s="809"/>
      <c r="HN24" s="809"/>
      <c r="HO24" s="809"/>
      <c r="HP24" s="809"/>
      <c r="HQ24" s="809"/>
      <c r="HR24" s="809"/>
      <c r="HS24" s="809"/>
      <c r="HT24" s="809"/>
      <c r="HU24" s="809"/>
      <c r="HV24" s="809"/>
      <c r="HW24" s="809"/>
      <c r="HX24" s="809"/>
      <c r="HY24" s="809"/>
      <c r="HZ24" s="809"/>
      <c r="IA24" s="809"/>
      <c r="IB24" s="809"/>
      <c r="IC24" s="809"/>
      <c r="ID24" s="809"/>
      <c r="IE24" s="809"/>
      <c r="IF24" s="809"/>
      <c r="IG24" s="809"/>
      <c r="IH24" s="809"/>
      <c r="II24" s="809"/>
      <c r="IJ24" s="809"/>
      <c r="IK24" s="809"/>
      <c r="IL24" s="809"/>
      <c r="IM24" s="809"/>
      <c r="IN24" s="809"/>
      <c r="IO24" s="809"/>
      <c r="IP24" s="809"/>
      <c r="IQ24" s="809"/>
      <c r="IR24" s="809"/>
      <c r="IS24" s="809"/>
      <c r="IT24" s="809"/>
      <c r="IU24" s="809"/>
      <c r="IV24" s="809"/>
      <c r="IW24" s="809"/>
    </row>
    <row r="25" customFormat="false" ht="12.75" hidden="false" customHeight="false" outlineLevel="0" collapsed="false">
      <c r="A25" s="0"/>
      <c r="B25" s="0"/>
      <c r="C25" s="0"/>
      <c r="D25" s="0"/>
      <c r="E25" s="42" t="n">
        <v>60</v>
      </c>
      <c r="F25" s="46" t="n">
        <f aca="false">8*1243</f>
        <v>9944</v>
      </c>
      <c r="G25" s="46" t="n">
        <f aca="false">$B$21*$B$23*($B$20*(1+$B$19))</f>
        <v>0</v>
      </c>
      <c r="H25" s="46" t="n">
        <f aca="false">G25+F25</f>
        <v>9944</v>
      </c>
      <c r="I25" s="939" t="n">
        <f aca="false">G25/H25</f>
        <v>0</v>
      </c>
      <c r="J25" s="940" t="n">
        <f aca="false">1-I25</f>
        <v>1</v>
      </c>
      <c r="K25" s="1"/>
      <c r="L25" s="1"/>
      <c r="M25" s="1"/>
      <c r="N25" s="1"/>
      <c r="O25" s="1"/>
      <c r="P25" s="1"/>
      <c r="Q25" s="1"/>
      <c r="R25" s="1"/>
      <c r="S25" s="1"/>
      <c r="T25" s="1"/>
      <c r="U25" s="1"/>
      <c r="V25" s="1"/>
      <c r="W25" s="1"/>
      <c r="X25" s="1"/>
      <c r="Y25" s="1"/>
      <c r="Z25" s="1"/>
      <c r="AA25" s="1"/>
      <c r="AB25" s="1"/>
      <c r="AC25" s="1"/>
      <c r="AD25" s="1"/>
      <c r="AE25" s="1"/>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809"/>
      <c r="BK25" s="809"/>
      <c r="BL25" s="809"/>
      <c r="BM25" s="809"/>
      <c r="BN25" s="809"/>
      <c r="BO25" s="809"/>
      <c r="BP25" s="809"/>
      <c r="BQ25" s="809"/>
      <c r="BR25" s="809"/>
      <c r="BS25" s="809"/>
      <c r="BT25" s="809"/>
      <c r="BU25" s="809"/>
      <c r="BV25" s="809"/>
      <c r="BW25" s="809"/>
      <c r="BX25" s="809"/>
      <c r="BY25" s="809"/>
      <c r="BZ25" s="809"/>
      <c r="CA25" s="809"/>
      <c r="CB25" s="809"/>
      <c r="CC25" s="809"/>
      <c r="CD25" s="809"/>
      <c r="CE25" s="809"/>
      <c r="CF25" s="809"/>
      <c r="CG25" s="809"/>
      <c r="CH25" s="809"/>
      <c r="CI25" s="809"/>
      <c r="CJ25" s="809"/>
      <c r="CK25" s="809"/>
      <c r="CL25" s="809"/>
      <c r="CM25" s="809"/>
      <c r="CN25" s="809"/>
      <c r="CO25" s="809"/>
      <c r="CP25" s="809"/>
      <c r="CQ25" s="809"/>
      <c r="CR25" s="809"/>
      <c r="CS25" s="809"/>
      <c r="CT25" s="809"/>
      <c r="CU25" s="809"/>
      <c r="CV25" s="809"/>
      <c r="CW25" s="809"/>
      <c r="CX25" s="809"/>
      <c r="CY25" s="809"/>
      <c r="CZ25" s="809"/>
      <c r="DA25" s="809"/>
      <c r="DB25" s="809"/>
      <c r="DC25" s="809"/>
      <c r="DD25" s="809"/>
      <c r="DE25" s="809"/>
      <c r="DF25" s="809"/>
      <c r="DG25" s="809"/>
      <c r="DH25" s="809"/>
      <c r="DI25" s="809"/>
      <c r="DJ25" s="809"/>
      <c r="DK25" s="809"/>
      <c r="DL25" s="809"/>
      <c r="DM25" s="809"/>
      <c r="DN25" s="809"/>
      <c r="DO25" s="809"/>
      <c r="DP25" s="809"/>
      <c r="DQ25" s="809"/>
      <c r="DR25" s="809"/>
      <c r="DS25" s="809"/>
      <c r="DT25" s="809"/>
      <c r="DU25" s="809"/>
      <c r="DV25" s="809"/>
      <c r="DW25" s="809"/>
      <c r="DX25" s="809"/>
      <c r="DY25" s="809"/>
      <c r="DZ25" s="809"/>
      <c r="EA25" s="809"/>
      <c r="EB25" s="809"/>
      <c r="EC25" s="809"/>
      <c r="ED25" s="809"/>
      <c r="EE25" s="809"/>
      <c r="EF25" s="809"/>
      <c r="EG25" s="809"/>
      <c r="EH25" s="809"/>
      <c r="EI25" s="809"/>
      <c r="EJ25" s="809"/>
      <c r="EK25" s="809"/>
      <c r="EL25" s="809"/>
      <c r="EM25" s="809"/>
      <c r="EN25" s="809"/>
      <c r="EO25" s="809"/>
      <c r="EP25" s="809"/>
      <c r="EQ25" s="809"/>
      <c r="ER25" s="809"/>
      <c r="ES25" s="809"/>
      <c r="ET25" s="809"/>
      <c r="EU25" s="809"/>
      <c r="EV25" s="809"/>
      <c r="EW25" s="809"/>
      <c r="EX25" s="809"/>
      <c r="EY25" s="809"/>
      <c r="EZ25" s="809"/>
      <c r="FA25" s="809"/>
      <c r="FB25" s="809"/>
      <c r="FC25" s="809"/>
      <c r="FD25" s="809"/>
      <c r="FE25" s="809"/>
      <c r="FF25" s="809"/>
      <c r="FG25" s="809"/>
      <c r="FH25" s="809"/>
      <c r="FI25" s="809"/>
      <c r="FJ25" s="809"/>
      <c r="FK25" s="809"/>
      <c r="FL25" s="809"/>
      <c r="FM25" s="809"/>
      <c r="FN25" s="809"/>
      <c r="FO25" s="809"/>
      <c r="FP25" s="809"/>
      <c r="FQ25" s="809"/>
      <c r="FR25" s="809"/>
      <c r="FS25" s="809"/>
      <c r="FT25" s="809"/>
      <c r="FU25" s="809"/>
      <c r="FV25" s="809"/>
      <c r="FW25" s="809"/>
      <c r="FX25" s="809"/>
      <c r="FY25" s="809"/>
      <c r="FZ25" s="809"/>
      <c r="GA25" s="809"/>
      <c r="GB25" s="809"/>
      <c r="GC25" s="809"/>
      <c r="GD25" s="809"/>
      <c r="GE25" s="809"/>
      <c r="GF25" s="809"/>
      <c r="GG25" s="809"/>
      <c r="GH25" s="809"/>
      <c r="GI25" s="809"/>
      <c r="GJ25" s="809"/>
      <c r="GK25" s="809"/>
      <c r="GL25" s="809"/>
      <c r="GM25" s="809"/>
      <c r="GN25" s="809"/>
      <c r="GO25" s="809"/>
      <c r="GP25" s="809"/>
      <c r="GQ25" s="809"/>
      <c r="GR25" s="809"/>
      <c r="GS25" s="809"/>
      <c r="GT25" s="809"/>
      <c r="GU25" s="809"/>
      <c r="GV25" s="809"/>
      <c r="GW25" s="809"/>
      <c r="GX25" s="809"/>
      <c r="GY25" s="809"/>
      <c r="GZ25" s="809"/>
      <c r="HA25" s="809"/>
      <c r="HB25" s="809"/>
      <c r="HC25" s="809"/>
      <c r="HD25" s="809"/>
      <c r="HE25" s="809"/>
      <c r="HF25" s="809"/>
      <c r="HG25" s="809"/>
      <c r="HH25" s="809"/>
      <c r="HI25" s="809"/>
      <c r="HJ25" s="809"/>
      <c r="HK25" s="809"/>
      <c r="HL25" s="809"/>
      <c r="HM25" s="809"/>
      <c r="HN25" s="809"/>
      <c r="HO25" s="809"/>
      <c r="HP25" s="809"/>
      <c r="HQ25" s="809"/>
      <c r="HR25" s="809"/>
      <c r="HS25" s="809"/>
      <c r="HT25" s="809"/>
      <c r="HU25" s="809"/>
      <c r="HV25" s="809"/>
      <c r="HW25" s="809"/>
      <c r="HX25" s="809"/>
      <c r="HY25" s="809"/>
      <c r="HZ25" s="809"/>
      <c r="IA25" s="809"/>
      <c r="IB25" s="809"/>
      <c r="IC25" s="809"/>
      <c r="ID25" s="809"/>
      <c r="IE25" s="809"/>
      <c r="IF25" s="809"/>
      <c r="IG25" s="809"/>
      <c r="IH25" s="809"/>
      <c r="II25" s="809"/>
      <c r="IJ25" s="809"/>
      <c r="IK25" s="809"/>
      <c r="IL25" s="809"/>
      <c r="IM25" s="809"/>
      <c r="IN25" s="809"/>
      <c r="IO25" s="809"/>
      <c r="IP25" s="809"/>
      <c r="IQ25" s="809"/>
      <c r="IR25" s="809"/>
      <c r="IS25" s="809"/>
      <c r="IT25" s="809"/>
      <c r="IU25" s="809"/>
      <c r="IV25" s="809"/>
      <c r="IW25" s="809"/>
    </row>
    <row r="26" customFormat="false" ht="12.75" hidden="false" customHeight="false" outlineLevel="0" collapsed="false">
      <c r="A26" s="809"/>
      <c r="B26" s="809"/>
      <c r="C26" s="809"/>
      <c r="D26" s="809"/>
      <c r="E26" s="42" t="n">
        <v>70</v>
      </c>
      <c r="F26" s="46" t="n">
        <f aca="false">8*1243</f>
        <v>9944</v>
      </c>
      <c r="G26" s="46" t="n">
        <f aca="false">$B$21*$B$23*($B$20*(1+$B$19))</f>
        <v>0</v>
      </c>
      <c r="H26" s="46" t="n">
        <f aca="false">G26+F26</f>
        <v>9944</v>
      </c>
      <c r="I26" s="939" t="n">
        <f aca="false">G26/H26</f>
        <v>0</v>
      </c>
      <c r="J26" s="940" t="n">
        <f aca="false">1-I26</f>
        <v>1</v>
      </c>
      <c r="K26" s="1"/>
      <c r="L26" s="1"/>
      <c r="M26" s="1"/>
      <c r="N26" s="1"/>
      <c r="O26" s="1"/>
      <c r="P26" s="1"/>
      <c r="Q26" s="1"/>
      <c r="R26" s="1"/>
      <c r="S26" s="1"/>
      <c r="T26" s="1"/>
      <c r="U26" s="1"/>
      <c r="V26" s="1"/>
      <c r="W26" s="1"/>
      <c r="X26" s="1"/>
      <c r="Y26" s="1"/>
      <c r="Z26" s="1"/>
      <c r="AA26" s="1"/>
      <c r="AB26" s="1"/>
      <c r="AC26" s="1"/>
      <c r="AD26" s="1"/>
      <c r="AE26" s="1"/>
      <c r="AF26" s="809"/>
      <c r="AG26" s="809"/>
      <c r="AH26" s="809"/>
      <c r="AI26" s="809"/>
      <c r="AJ26" s="809"/>
      <c r="AK26" s="809"/>
      <c r="AL26" s="809"/>
      <c r="AM26" s="809"/>
      <c r="AN26" s="809"/>
      <c r="AO26" s="809"/>
      <c r="AP26" s="809"/>
      <c r="AQ26" s="809"/>
      <c r="AR26" s="809"/>
      <c r="AS26" s="809"/>
      <c r="AT26" s="809"/>
      <c r="AU26" s="809"/>
      <c r="AV26" s="809"/>
      <c r="AW26" s="809"/>
      <c r="AX26" s="809"/>
      <c r="AY26" s="809"/>
      <c r="AZ26" s="809"/>
      <c r="BA26" s="809"/>
      <c r="BB26" s="809"/>
      <c r="BC26" s="809"/>
      <c r="BD26" s="809"/>
      <c r="BE26" s="809"/>
      <c r="BF26" s="809"/>
      <c r="BG26" s="809"/>
      <c r="BH26" s="809"/>
      <c r="BI26" s="809"/>
      <c r="BJ26" s="809"/>
      <c r="BK26" s="809"/>
      <c r="BL26" s="809"/>
      <c r="BM26" s="809"/>
      <c r="BN26" s="809"/>
      <c r="BO26" s="809"/>
      <c r="BP26" s="809"/>
      <c r="BQ26" s="809"/>
      <c r="BR26" s="809"/>
      <c r="BS26" s="809"/>
      <c r="BT26" s="809"/>
      <c r="BU26" s="809"/>
      <c r="BV26" s="809"/>
      <c r="BW26" s="809"/>
      <c r="BX26" s="809"/>
      <c r="BY26" s="809"/>
      <c r="BZ26" s="809"/>
      <c r="CA26" s="809"/>
      <c r="CB26" s="809"/>
      <c r="CC26" s="809"/>
      <c r="CD26" s="809"/>
      <c r="CE26" s="809"/>
      <c r="CF26" s="809"/>
      <c r="CG26" s="809"/>
      <c r="CH26" s="809"/>
      <c r="CI26" s="809"/>
      <c r="CJ26" s="809"/>
      <c r="CK26" s="809"/>
      <c r="CL26" s="809"/>
      <c r="CM26" s="809"/>
      <c r="CN26" s="809"/>
      <c r="CO26" s="809"/>
      <c r="CP26" s="809"/>
      <c r="CQ26" s="809"/>
      <c r="CR26" s="809"/>
      <c r="CS26" s="809"/>
      <c r="CT26" s="809"/>
      <c r="CU26" s="809"/>
      <c r="CV26" s="809"/>
      <c r="CW26" s="809"/>
      <c r="CX26" s="809"/>
      <c r="CY26" s="809"/>
      <c r="CZ26" s="809"/>
      <c r="DA26" s="809"/>
      <c r="DB26" s="809"/>
      <c r="DC26" s="809"/>
      <c r="DD26" s="809"/>
      <c r="DE26" s="809"/>
      <c r="DF26" s="809"/>
      <c r="DG26" s="809"/>
      <c r="DH26" s="809"/>
      <c r="DI26" s="809"/>
      <c r="DJ26" s="809"/>
      <c r="DK26" s="809"/>
      <c r="DL26" s="809"/>
      <c r="DM26" s="809"/>
      <c r="DN26" s="809"/>
      <c r="DO26" s="809"/>
      <c r="DP26" s="809"/>
      <c r="DQ26" s="809"/>
      <c r="DR26" s="809"/>
      <c r="DS26" s="809"/>
      <c r="DT26" s="809"/>
      <c r="DU26" s="809"/>
      <c r="DV26" s="809"/>
      <c r="DW26" s="809"/>
      <c r="DX26" s="809"/>
      <c r="DY26" s="809"/>
      <c r="DZ26" s="809"/>
      <c r="EA26" s="809"/>
      <c r="EB26" s="809"/>
      <c r="EC26" s="809"/>
      <c r="ED26" s="809"/>
      <c r="EE26" s="809"/>
      <c r="EF26" s="809"/>
      <c r="EG26" s="809"/>
      <c r="EH26" s="809"/>
      <c r="EI26" s="809"/>
      <c r="EJ26" s="809"/>
      <c r="EK26" s="809"/>
      <c r="EL26" s="809"/>
      <c r="EM26" s="809"/>
      <c r="EN26" s="809"/>
      <c r="EO26" s="809"/>
      <c r="EP26" s="809"/>
      <c r="EQ26" s="809"/>
      <c r="ER26" s="809"/>
      <c r="ES26" s="809"/>
      <c r="ET26" s="809"/>
      <c r="EU26" s="809"/>
      <c r="EV26" s="809"/>
      <c r="EW26" s="809"/>
      <c r="EX26" s="809"/>
      <c r="EY26" s="809"/>
      <c r="EZ26" s="809"/>
      <c r="FA26" s="809"/>
      <c r="FB26" s="809"/>
      <c r="FC26" s="809"/>
      <c r="FD26" s="809"/>
      <c r="FE26" s="809"/>
      <c r="FF26" s="809"/>
      <c r="FG26" s="809"/>
      <c r="FH26" s="809"/>
      <c r="FI26" s="809"/>
      <c r="FJ26" s="809"/>
      <c r="FK26" s="809"/>
      <c r="FL26" s="809"/>
      <c r="FM26" s="809"/>
      <c r="FN26" s="809"/>
      <c r="FO26" s="809"/>
      <c r="FP26" s="809"/>
      <c r="FQ26" s="809"/>
      <c r="FR26" s="809"/>
      <c r="FS26" s="809"/>
      <c r="FT26" s="809"/>
      <c r="FU26" s="809"/>
      <c r="FV26" s="809"/>
      <c r="FW26" s="809"/>
      <c r="FX26" s="809"/>
      <c r="FY26" s="809"/>
      <c r="FZ26" s="809"/>
      <c r="GA26" s="809"/>
      <c r="GB26" s="809"/>
      <c r="GC26" s="809"/>
      <c r="GD26" s="809"/>
      <c r="GE26" s="809"/>
      <c r="GF26" s="809"/>
      <c r="GG26" s="809"/>
      <c r="GH26" s="809"/>
      <c r="GI26" s="809"/>
      <c r="GJ26" s="809"/>
      <c r="GK26" s="809"/>
      <c r="GL26" s="809"/>
      <c r="GM26" s="809"/>
      <c r="GN26" s="809"/>
      <c r="GO26" s="809"/>
      <c r="GP26" s="809"/>
      <c r="GQ26" s="809"/>
      <c r="GR26" s="809"/>
      <c r="GS26" s="809"/>
      <c r="GT26" s="809"/>
      <c r="GU26" s="809"/>
      <c r="GV26" s="809"/>
      <c r="GW26" s="809"/>
      <c r="GX26" s="809"/>
      <c r="GY26" s="809"/>
      <c r="GZ26" s="809"/>
      <c r="HA26" s="809"/>
      <c r="HB26" s="809"/>
      <c r="HC26" s="809"/>
      <c r="HD26" s="809"/>
      <c r="HE26" s="809"/>
      <c r="HF26" s="809"/>
      <c r="HG26" s="809"/>
      <c r="HH26" s="809"/>
      <c r="HI26" s="809"/>
      <c r="HJ26" s="809"/>
      <c r="HK26" s="809"/>
      <c r="HL26" s="809"/>
      <c r="HM26" s="809"/>
      <c r="HN26" s="809"/>
      <c r="HO26" s="809"/>
      <c r="HP26" s="809"/>
      <c r="HQ26" s="809"/>
      <c r="HR26" s="809"/>
      <c r="HS26" s="809"/>
      <c r="HT26" s="809"/>
      <c r="HU26" s="809"/>
      <c r="HV26" s="809"/>
      <c r="HW26" s="809"/>
      <c r="HX26" s="809"/>
      <c r="HY26" s="809"/>
      <c r="HZ26" s="809"/>
      <c r="IA26" s="809"/>
      <c r="IB26" s="809"/>
      <c r="IC26" s="809"/>
      <c r="ID26" s="809"/>
      <c r="IE26" s="809"/>
      <c r="IF26" s="809"/>
      <c r="IG26" s="809"/>
      <c r="IH26" s="809"/>
      <c r="II26" s="809"/>
      <c r="IJ26" s="809"/>
      <c r="IK26" s="809"/>
      <c r="IL26" s="809"/>
      <c r="IM26" s="809"/>
      <c r="IN26" s="809"/>
      <c r="IO26" s="809"/>
      <c r="IP26" s="809"/>
      <c r="IQ26" s="809"/>
      <c r="IR26" s="809"/>
      <c r="IS26" s="809"/>
      <c r="IT26" s="809"/>
      <c r="IU26" s="809"/>
      <c r="IV26" s="809"/>
      <c r="IW26" s="809"/>
    </row>
    <row r="27" customFormat="false" ht="12.75" hidden="false" customHeight="false" outlineLevel="0" collapsed="false">
      <c r="A27" s="809"/>
      <c r="B27" s="809"/>
      <c r="C27" s="809"/>
      <c r="D27" s="809"/>
      <c r="E27" s="42" t="n">
        <v>80</v>
      </c>
      <c r="F27" s="46" t="n">
        <f aca="false">8*1243</f>
        <v>9944</v>
      </c>
      <c r="G27" s="46" t="n">
        <f aca="false">$B$21*$B$23*($B$20*(1+$B$19))</f>
        <v>0</v>
      </c>
      <c r="H27" s="46" t="n">
        <f aca="false">G27+F27</f>
        <v>9944</v>
      </c>
      <c r="I27" s="939" t="n">
        <f aca="false">G27/H27</f>
        <v>0</v>
      </c>
      <c r="J27" s="940" t="n">
        <f aca="false">1-I27</f>
        <v>1</v>
      </c>
      <c r="K27" s="1"/>
      <c r="L27" s="1"/>
      <c r="M27" s="1"/>
      <c r="N27" s="1"/>
      <c r="O27" s="1"/>
      <c r="P27" s="1"/>
      <c r="Q27" s="1"/>
      <c r="R27" s="1"/>
      <c r="S27" s="1"/>
      <c r="T27" s="1"/>
      <c r="U27" s="1"/>
      <c r="V27" s="1"/>
      <c r="W27" s="1"/>
      <c r="X27" s="1"/>
      <c r="Y27" s="1"/>
      <c r="Z27" s="1"/>
      <c r="AA27" s="1"/>
      <c r="AB27" s="1"/>
      <c r="AC27" s="1"/>
      <c r="AD27" s="1"/>
      <c r="AE27" s="1"/>
      <c r="AF27" s="809"/>
      <c r="AG27" s="809"/>
      <c r="AH27" s="809"/>
      <c r="AI27" s="809"/>
      <c r="AJ27" s="809"/>
      <c r="AK27" s="809"/>
      <c r="AL27" s="809"/>
      <c r="AM27" s="809"/>
      <c r="AN27" s="809"/>
      <c r="AO27" s="809"/>
      <c r="AP27" s="809"/>
      <c r="AQ27" s="809"/>
      <c r="AR27" s="809"/>
      <c r="AS27" s="809"/>
      <c r="AT27" s="809"/>
      <c r="AU27" s="809"/>
      <c r="AV27" s="809"/>
      <c r="AW27" s="809"/>
      <c r="AX27" s="809"/>
      <c r="AY27" s="809"/>
      <c r="AZ27" s="809"/>
      <c r="BA27" s="809"/>
      <c r="BB27" s="809"/>
      <c r="BC27" s="809"/>
      <c r="BD27" s="809"/>
      <c r="BE27" s="809"/>
      <c r="BF27" s="809"/>
      <c r="BG27" s="809"/>
      <c r="BH27" s="809"/>
      <c r="BI27" s="809"/>
      <c r="BJ27" s="809"/>
      <c r="BK27" s="809"/>
      <c r="BL27" s="809"/>
      <c r="BM27" s="809"/>
      <c r="BN27" s="809"/>
      <c r="BO27" s="809"/>
      <c r="BP27" s="809"/>
      <c r="BQ27" s="809"/>
      <c r="BR27" s="809"/>
      <c r="BS27" s="809"/>
      <c r="BT27" s="809"/>
      <c r="BU27" s="809"/>
      <c r="BV27" s="809"/>
      <c r="BW27" s="809"/>
      <c r="BX27" s="809"/>
      <c r="BY27" s="809"/>
      <c r="BZ27" s="809"/>
      <c r="CA27" s="809"/>
      <c r="CB27" s="809"/>
      <c r="CC27" s="809"/>
      <c r="CD27" s="809"/>
      <c r="CE27" s="809"/>
      <c r="CF27" s="809"/>
      <c r="CG27" s="809"/>
      <c r="CH27" s="809"/>
      <c r="CI27" s="809"/>
      <c r="CJ27" s="809"/>
      <c r="CK27" s="809"/>
      <c r="CL27" s="809"/>
      <c r="CM27" s="809"/>
      <c r="CN27" s="809"/>
      <c r="CO27" s="809"/>
      <c r="CP27" s="809"/>
      <c r="CQ27" s="809"/>
      <c r="CR27" s="809"/>
      <c r="CS27" s="809"/>
      <c r="CT27" s="809"/>
      <c r="CU27" s="809"/>
      <c r="CV27" s="809"/>
      <c r="CW27" s="809"/>
      <c r="CX27" s="809"/>
      <c r="CY27" s="809"/>
      <c r="CZ27" s="809"/>
      <c r="DA27" s="809"/>
      <c r="DB27" s="809"/>
      <c r="DC27" s="809"/>
      <c r="DD27" s="809"/>
      <c r="DE27" s="809"/>
      <c r="DF27" s="809"/>
      <c r="DG27" s="809"/>
      <c r="DH27" s="809"/>
      <c r="DI27" s="809"/>
      <c r="DJ27" s="809"/>
      <c r="DK27" s="809"/>
      <c r="DL27" s="809"/>
      <c r="DM27" s="809"/>
      <c r="DN27" s="809"/>
      <c r="DO27" s="809"/>
      <c r="DP27" s="809"/>
      <c r="DQ27" s="809"/>
      <c r="DR27" s="809"/>
      <c r="DS27" s="809"/>
      <c r="DT27" s="809"/>
      <c r="DU27" s="809"/>
      <c r="DV27" s="809"/>
      <c r="DW27" s="809"/>
      <c r="DX27" s="809"/>
      <c r="DY27" s="809"/>
      <c r="DZ27" s="809"/>
      <c r="EA27" s="809"/>
      <c r="EB27" s="809"/>
      <c r="EC27" s="809"/>
      <c r="ED27" s="809"/>
      <c r="EE27" s="809"/>
      <c r="EF27" s="809"/>
      <c r="EG27" s="809"/>
      <c r="EH27" s="809"/>
      <c r="EI27" s="809"/>
      <c r="EJ27" s="809"/>
      <c r="EK27" s="809"/>
      <c r="EL27" s="809"/>
      <c r="EM27" s="809"/>
      <c r="EN27" s="809"/>
      <c r="EO27" s="809"/>
      <c r="EP27" s="809"/>
      <c r="EQ27" s="809"/>
      <c r="ER27" s="809"/>
      <c r="ES27" s="809"/>
      <c r="ET27" s="809"/>
      <c r="EU27" s="809"/>
      <c r="EV27" s="809"/>
      <c r="EW27" s="809"/>
      <c r="EX27" s="809"/>
      <c r="EY27" s="809"/>
      <c r="EZ27" s="809"/>
      <c r="FA27" s="809"/>
      <c r="FB27" s="809"/>
      <c r="FC27" s="809"/>
      <c r="FD27" s="809"/>
      <c r="FE27" s="809"/>
      <c r="FF27" s="809"/>
      <c r="FG27" s="809"/>
      <c r="FH27" s="809"/>
      <c r="FI27" s="809"/>
      <c r="FJ27" s="809"/>
      <c r="FK27" s="809"/>
      <c r="FL27" s="809"/>
      <c r="FM27" s="809"/>
      <c r="FN27" s="809"/>
      <c r="FO27" s="809"/>
      <c r="FP27" s="809"/>
      <c r="FQ27" s="809"/>
      <c r="FR27" s="809"/>
      <c r="FS27" s="809"/>
      <c r="FT27" s="809"/>
      <c r="FU27" s="809"/>
      <c r="FV27" s="809"/>
      <c r="FW27" s="809"/>
      <c r="FX27" s="809"/>
      <c r="FY27" s="809"/>
      <c r="FZ27" s="809"/>
      <c r="GA27" s="809"/>
      <c r="GB27" s="809"/>
      <c r="GC27" s="809"/>
      <c r="GD27" s="809"/>
      <c r="GE27" s="809"/>
      <c r="GF27" s="809"/>
      <c r="GG27" s="809"/>
      <c r="GH27" s="809"/>
      <c r="GI27" s="809"/>
      <c r="GJ27" s="809"/>
      <c r="GK27" s="809"/>
      <c r="GL27" s="809"/>
      <c r="GM27" s="809"/>
      <c r="GN27" s="809"/>
      <c r="GO27" s="809"/>
      <c r="GP27" s="809"/>
      <c r="GQ27" s="809"/>
      <c r="GR27" s="809"/>
      <c r="GS27" s="809"/>
      <c r="GT27" s="809"/>
      <c r="GU27" s="809"/>
      <c r="GV27" s="809"/>
      <c r="GW27" s="809"/>
      <c r="GX27" s="809"/>
      <c r="GY27" s="809"/>
      <c r="GZ27" s="809"/>
      <c r="HA27" s="809"/>
      <c r="HB27" s="809"/>
      <c r="HC27" s="809"/>
      <c r="HD27" s="809"/>
      <c r="HE27" s="809"/>
      <c r="HF27" s="809"/>
      <c r="HG27" s="809"/>
      <c r="HH27" s="809"/>
      <c r="HI27" s="809"/>
      <c r="HJ27" s="809"/>
      <c r="HK27" s="809"/>
      <c r="HL27" s="809"/>
      <c r="HM27" s="809"/>
      <c r="HN27" s="809"/>
      <c r="HO27" s="809"/>
      <c r="HP27" s="809"/>
      <c r="HQ27" s="809"/>
      <c r="HR27" s="809"/>
      <c r="HS27" s="809"/>
      <c r="HT27" s="809"/>
      <c r="HU27" s="809"/>
      <c r="HV27" s="809"/>
      <c r="HW27" s="809"/>
      <c r="HX27" s="809"/>
      <c r="HY27" s="809"/>
      <c r="HZ27" s="809"/>
      <c r="IA27" s="809"/>
      <c r="IB27" s="809"/>
      <c r="IC27" s="809"/>
      <c r="ID27" s="809"/>
      <c r="IE27" s="809"/>
      <c r="IF27" s="809"/>
      <c r="IG27" s="809"/>
      <c r="IH27" s="809"/>
      <c r="II27" s="809"/>
      <c r="IJ27" s="809"/>
      <c r="IK27" s="809"/>
      <c r="IL27" s="809"/>
      <c r="IM27" s="809"/>
      <c r="IN27" s="809"/>
      <c r="IO27" s="809"/>
      <c r="IP27" s="809"/>
      <c r="IQ27" s="809"/>
      <c r="IR27" s="809"/>
      <c r="IS27" s="809"/>
      <c r="IT27" s="809"/>
      <c r="IU27" s="809"/>
      <c r="IV27" s="809"/>
      <c r="IW27" s="809"/>
    </row>
    <row r="28" customFormat="false" ht="12.75" hidden="false" customHeight="false" outlineLevel="0" collapsed="false">
      <c r="A28" s="809"/>
      <c r="B28" s="809"/>
      <c r="C28" s="809"/>
      <c r="D28" s="809"/>
      <c r="E28" s="42" t="n">
        <v>90</v>
      </c>
      <c r="F28" s="46" t="n">
        <f aca="false">8*1243</f>
        <v>9944</v>
      </c>
      <c r="G28" s="46" t="n">
        <f aca="false">$B$21*$B$23*($B$20*(1+$B$19))</f>
        <v>0</v>
      </c>
      <c r="H28" s="46" t="n">
        <f aca="false">G28+F28</f>
        <v>9944</v>
      </c>
      <c r="I28" s="939" t="n">
        <f aca="false">G28/H28</f>
        <v>0</v>
      </c>
      <c r="J28" s="940" t="n">
        <f aca="false">1-I28</f>
        <v>1</v>
      </c>
      <c r="K28" s="1"/>
      <c r="L28" s="1"/>
      <c r="M28" s="1"/>
      <c r="N28" s="1"/>
      <c r="O28" s="1"/>
      <c r="P28" s="1"/>
      <c r="Q28" s="1"/>
      <c r="R28" s="1"/>
      <c r="S28" s="1"/>
      <c r="T28" s="1"/>
      <c r="U28" s="1"/>
      <c r="V28" s="1"/>
      <c r="W28" s="1"/>
      <c r="X28" s="1"/>
      <c r="Y28" s="1"/>
      <c r="Z28" s="1"/>
      <c r="AA28" s="1"/>
      <c r="AB28" s="1"/>
      <c r="AC28" s="1"/>
      <c r="AD28" s="1"/>
      <c r="AE28" s="1"/>
      <c r="AF28" s="809"/>
      <c r="AG28" s="809"/>
      <c r="AH28" s="809"/>
      <c r="AI28" s="809"/>
      <c r="AJ28" s="809"/>
      <c r="AK28" s="809"/>
      <c r="AL28" s="809"/>
      <c r="AM28" s="809"/>
      <c r="AN28" s="809"/>
      <c r="AO28" s="809"/>
      <c r="AP28" s="809"/>
      <c r="AQ28" s="809"/>
      <c r="AR28" s="809"/>
      <c r="AS28" s="809"/>
      <c r="AT28" s="809"/>
      <c r="AU28" s="809"/>
      <c r="AV28" s="809"/>
      <c r="AW28" s="809"/>
      <c r="AX28" s="809"/>
      <c r="AY28" s="809"/>
      <c r="AZ28" s="809"/>
      <c r="BA28" s="809"/>
      <c r="BB28" s="809"/>
      <c r="BC28" s="809"/>
      <c r="BD28" s="809"/>
      <c r="BE28" s="809"/>
      <c r="BF28" s="809"/>
      <c r="BG28" s="809"/>
      <c r="BH28" s="809"/>
      <c r="BI28" s="809"/>
      <c r="BJ28" s="809"/>
      <c r="BK28" s="809"/>
      <c r="BL28" s="809"/>
      <c r="BM28" s="809"/>
      <c r="BN28" s="809"/>
      <c r="BO28" s="809"/>
      <c r="BP28" s="809"/>
      <c r="BQ28" s="809"/>
      <c r="BR28" s="809"/>
      <c r="BS28" s="809"/>
      <c r="BT28" s="809"/>
      <c r="BU28" s="809"/>
      <c r="BV28" s="809"/>
      <c r="BW28" s="809"/>
      <c r="BX28" s="809"/>
      <c r="BY28" s="809"/>
      <c r="BZ28" s="809"/>
      <c r="CA28" s="809"/>
      <c r="CB28" s="809"/>
      <c r="CC28" s="809"/>
      <c r="CD28" s="809"/>
      <c r="CE28" s="809"/>
      <c r="CF28" s="809"/>
      <c r="CG28" s="809"/>
      <c r="CH28" s="809"/>
      <c r="CI28" s="809"/>
      <c r="CJ28" s="809"/>
      <c r="CK28" s="809"/>
      <c r="CL28" s="809"/>
      <c r="CM28" s="809"/>
      <c r="CN28" s="809"/>
      <c r="CO28" s="809"/>
      <c r="CP28" s="809"/>
      <c r="CQ28" s="809"/>
      <c r="CR28" s="809"/>
      <c r="CS28" s="809"/>
      <c r="CT28" s="809"/>
      <c r="CU28" s="809"/>
      <c r="CV28" s="809"/>
      <c r="CW28" s="809"/>
      <c r="CX28" s="809"/>
      <c r="CY28" s="809"/>
      <c r="CZ28" s="809"/>
      <c r="DA28" s="809"/>
      <c r="DB28" s="809"/>
      <c r="DC28" s="809"/>
      <c r="DD28" s="809"/>
      <c r="DE28" s="809"/>
      <c r="DF28" s="809"/>
      <c r="DG28" s="809"/>
      <c r="DH28" s="809"/>
      <c r="DI28" s="809"/>
      <c r="DJ28" s="809"/>
      <c r="DK28" s="809"/>
      <c r="DL28" s="809"/>
      <c r="DM28" s="809"/>
      <c r="DN28" s="809"/>
      <c r="DO28" s="809"/>
      <c r="DP28" s="809"/>
      <c r="DQ28" s="809"/>
      <c r="DR28" s="809"/>
      <c r="DS28" s="809"/>
      <c r="DT28" s="809"/>
      <c r="DU28" s="809"/>
      <c r="DV28" s="809"/>
      <c r="DW28" s="809"/>
      <c r="DX28" s="809"/>
      <c r="DY28" s="809"/>
      <c r="DZ28" s="809"/>
      <c r="EA28" s="809"/>
      <c r="EB28" s="809"/>
      <c r="EC28" s="809"/>
      <c r="ED28" s="809"/>
      <c r="EE28" s="809"/>
      <c r="EF28" s="809"/>
      <c r="EG28" s="809"/>
      <c r="EH28" s="809"/>
      <c r="EI28" s="809"/>
      <c r="EJ28" s="809"/>
      <c r="EK28" s="809"/>
      <c r="EL28" s="809"/>
      <c r="EM28" s="809"/>
      <c r="EN28" s="809"/>
      <c r="EO28" s="809"/>
      <c r="EP28" s="809"/>
      <c r="EQ28" s="809"/>
      <c r="ER28" s="809"/>
      <c r="ES28" s="809"/>
      <c r="ET28" s="809"/>
      <c r="EU28" s="809"/>
      <c r="EV28" s="809"/>
      <c r="EW28" s="809"/>
      <c r="EX28" s="809"/>
      <c r="EY28" s="809"/>
      <c r="EZ28" s="809"/>
      <c r="FA28" s="809"/>
      <c r="FB28" s="809"/>
      <c r="FC28" s="809"/>
      <c r="FD28" s="809"/>
      <c r="FE28" s="809"/>
      <c r="FF28" s="809"/>
      <c r="FG28" s="809"/>
      <c r="FH28" s="809"/>
      <c r="FI28" s="809"/>
      <c r="FJ28" s="809"/>
      <c r="FK28" s="809"/>
      <c r="FL28" s="809"/>
      <c r="FM28" s="809"/>
      <c r="FN28" s="809"/>
      <c r="FO28" s="809"/>
      <c r="FP28" s="809"/>
      <c r="FQ28" s="809"/>
      <c r="FR28" s="809"/>
      <c r="FS28" s="809"/>
      <c r="FT28" s="809"/>
      <c r="FU28" s="809"/>
      <c r="FV28" s="809"/>
      <c r="FW28" s="809"/>
      <c r="FX28" s="809"/>
      <c r="FY28" s="809"/>
      <c r="FZ28" s="809"/>
      <c r="GA28" s="809"/>
      <c r="GB28" s="809"/>
      <c r="GC28" s="809"/>
      <c r="GD28" s="809"/>
      <c r="GE28" s="809"/>
      <c r="GF28" s="809"/>
      <c r="GG28" s="809"/>
      <c r="GH28" s="809"/>
      <c r="GI28" s="809"/>
      <c r="GJ28" s="809"/>
      <c r="GK28" s="809"/>
      <c r="GL28" s="809"/>
      <c r="GM28" s="809"/>
      <c r="GN28" s="809"/>
      <c r="GO28" s="809"/>
      <c r="GP28" s="809"/>
      <c r="GQ28" s="809"/>
      <c r="GR28" s="809"/>
      <c r="GS28" s="809"/>
      <c r="GT28" s="809"/>
      <c r="GU28" s="809"/>
      <c r="GV28" s="809"/>
      <c r="GW28" s="809"/>
      <c r="GX28" s="809"/>
      <c r="GY28" s="809"/>
      <c r="GZ28" s="809"/>
      <c r="HA28" s="809"/>
      <c r="HB28" s="809"/>
      <c r="HC28" s="809"/>
      <c r="HD28" s="809"/>
      <c r="HE28" s="809"/>
      <c r="HF28" s="809"/>
      <c r="HG28" s="809"/>
      <c r="HH28" s="809"/>
      <c r="HI28" s="809"/>
      <c r="HJ28" s="809"/>
      <c r="HK28" s="809"/>
      <c r="HL28" s="809"/>
      <c r="HM28" s="809"/>
      <c r="HN28" s="809"/>
      <c r="HO28" s="809"/>
      <c r="HP28" s="809"/>
      <c r="HQ28" s="809"/>
      <c r="HR28" s="809"/>
      <c r="HS28" s="809"/>
      <c r="HT28" s="809"/>
      <c r="HU28" s="809"/>
      <c r="HV28" s="809"/>
      <c r="HW28" s="809"/>
      <c r="HX28" s="809"/>
      <c r="HY28" s="809"/>
      <c r="HZ28" s="809"/>
      <c r="IA28" s="809"/>
      <c r="IB28" s="809"/>
      <c r="IC28" s="809"/>
      <c r="ID28" s="809"/>
      <c r="IE28" s="809"/>
      <c r="IF28" s="809"/>
      <c r="IG28" s="809"/>
      <c r="IH28" s="809"/>
      <c r="II28" s="809"/>
      <c r="IJ28" s="809"/>
      <c r="IK28" s="809"/>
      <c r="IL28" s="809"/>
      <c r="IM28" s="809"/>
      <c r="IN28" s="809"/>
      <c r="IO28" s="809"/>
      <c r="IP28" s="809"/>
      <c r="IQ28" s="809"/>
      <c r="IR28" s="809"/>
      <c r="IS28" s="809"/>
      <c r="IT28" s="809"/>
      <c r="IU28" s="809"/>
      <c r="IV28" s="809"/>
      <c r="IW28" s="809"/>
    </row>
    <row r="29" customFormat="false" ht="12.75" hidden="false" customHeight="false" outlineLevel="0" collapsed="false">
      <c r="A29" s="809"/>
      <c r="B29" s="809"/>
      <c r="C29" s="809"/>
      <c r="D29" s="809"/>
      <c r="E29" s="42" t="n">
        <v>100</v>
      </c>
      <c r="F29" s="46" t="n">
        <f aca="false">8*1243</f>
        <v>9944</v>
      </c>
      <c r="G29" s="46" t="n">
        <f aca="false">$B$21*$B$23*($B$20*(1+$B$19))</f>
        <v>0</v>
      </c>
      <c r="H29" s="46" t="n">
        <f aca="false">G29+F29</f>
        <v>9944</v>
      </c>
      <c r="I29" s="939" t="n">
        <f aca="false">G29/H29</f>
        <v>0</v>
      </c>
      <c r="J29" s="940" t="n">
        <f aca="false">1-I29</f>
        <v>1</v>
      </c>
      <c r="K29" s="1"/>
      <c r="L29" s="1"/>
      <c r="M29" s="1"/>
      <c r="N29" s="1"/>
      <c r="O29" s="1"/>
      <c r="P29" s="1"/>
      <c r="Q29" s="1"/>
      <c r="R29" s="1"/>
      <c r="S29" s="1"/>
      <c r="T29" s="1"/>
      <c r="U29" s="1"/>
      <c r="V29" s="1"/>
      <c r="W29" s="1"/>
      <c r="X29" s="1"/>
      <c r="Y29" s="1"/>
      <c r="Z29" s="1"/>
      <c r="AA29" s="1"/>
      <c r="AB29" s="1"/>
      <c r="AC29" s="1"/>
      <c r="AD29" s="1"/>
      <c r="AE29" s="1"/>
      <c r="AF29" s="809"/>
      <c r="AG29" s="809"/>
      <c r="AH29" s="809"/>
      <c r="AI29" s="809"/>
      <c r="AJ29" s="809"/>
      <c r="AK29" s="809"/>
      <c r="AL29" s="809"/>
      <c r="AM29" s="809"/>
      <c r="AN29" s="809"/>
      <c r="AO29" s="809"/>
      <c r="AP29" s="809"/>
      <c r="AQ29" s="809"/>
      <c r="AR29" s="809"/>
      <c r="AS29" s="809"/>
      <c r="AT29" s="809"/>
      <c r="AU29" s="809"/>
      <c r="AV29" s="809"/>
      <c r="AW29" s="809"/>
      <c r="AX29" s="809"/>
      <c r="AY29" s="809"/>
      <c r="AZ29" s="809"/>
      <c r="BA29" s="809"/>
      <c r="BB29" s="809"/>
      <c r="BC29" s="809"/>
      <c r="BD29" s="809"/>
      <c r="BE29" s="809"/>
      <c r="BF29" s="809"/>
      <c r="BG29" s="809"/>
      <c r="BH29" s="809"/>
      <c r="BI29" s="809"/>
      <c r="BJ29" s="809"/>
      <c r="BK29" s="809"/>
      <c r="BL29" s="809"/>
      <c r="BM29" s="809"/>
      <c r="BN29" s="809"/>
      <c r="BO29" s="809"/>
      <c r="BP29" s="809"/>
      <c r="BQ29" s="809"/>
      <c r="BR29" s="809"/>
      <c r="BS29" s="809"/>
      <c r="BT29" s="809"/>
      <c r="BU29" s="809"/>
      <c r="BV29" s="809"/>
      <c r="BW29" s="809"/>
      <c r="BX29" s="809"/>
      <c r="BY29" s="809"/>
      <c r="BZ29" s="809"/>
      <c r="CA29" s="809"/>
      <c r="CB29" s="809"/>
      <c r="CC29" s="809"/>
      <c r="CD29" s="809"/>
      <c r="CE29" s="809"/>
      <c r="CF29" s="809"/>
      <c r="CG29" s="809"/>
      <c r="CH29" s="809"/>
      <c r="CI29" s="809"/>
      <c r="CJ29" s="809"/>
      <c r="CK29" s="809"/>
      <c r="CL29" s="809"/>
      <c r="CM29" s="809"/>
      <c r="CN29" s="809"/>
      <c r="CO29" s="809"/>
      <c r="CP29" s="809"/>
      <c r="CQ29" s="809"/>
      <c r="CR29" s="809"/>
      <c r="CS29" s="809"/>
      <c r="CT29" s="809"/>
      <c r="CU29" s="809"/>
      <c r="CV29" s="809"/>
      <c r="CW29" s="809"/>
      <c r="CX29" s="809"/>
      <c r="CY29" s="809"/>
      <c r="CZ29" s="809"/>
      <c r="DA29" s="809"/>
      <c r="DB29" s="809"/>
      <c r="DC29" s="809"/>
      <c r="DD29" s="809"/>
      <c r="DE29" s="809"/>
      <c r="DF29" s="809"/>
      <c r="DG29" s="809"/>
      <c r="DH29" s="809"/>
      <c r="DI29" s="809"/>
      <c r="DJ29" s="809"/>
      <c r="DK29" s="809"/>
      <c r="DL29" s="809"/>
      <c r="DM29" s="809"/>
      <c r="DN29" s="809"/>
      <c r="DO29" s="809"/>
      <c r="DP29" s="809"/>
      <c r="DQ29" s="809"/>
      <c r="DR29" s="809"/>
      <c r="DS29" s="809"/>
      <c r="DT29" s="809"/>
      <c r="DU29" s="809"/>
      <c r="DV29" s="809"/>
      <c r="DW29" s="809"/>
      <c r="DX29" s="809"/>
      <c r="DY29" s="809"/>
      <c r="DZ29" s="809"/>
      <c r="EA29" s="809"/>
      <c r="EB29" s="809"/>
      <c r="EC29" s="809"/>
      <c r="ED29" s="809"/>
      <c r="EE29" s="809"/>
      <c r="EF29" s="809"/>
      <c r="EG29" s="809"/>
      <c r="EH29" s="809"/>
      <c r="EI29" s="809"/>
      <c r="EJ29" s="809"/>
      <c r="EK29" s="809"/>
      <c r="EL29" s="809"/>
      <c r="EM29" s="809"/>
      <c r="EN29" s="809"/>
      <c r="EO29" s="809"/>
      <c r="EP29" s="809"/>
      <c r="EQ29" s="809"/>
      <c r="ER29" s="809"/>
      <c r="ES29" s="809"/>
      <c r="ET29" s="809"/>
      <c r="EU29" s="809"/>
      <c r="EV29" s="809"/>
      <c r="EW29" s="809"/>
      <c r="EX29" s="809"/>
      <c r="EY29" s="809"/>
      <c r="EZ29" s="809"/>
      <c r="FA29" s="809"/>
      <c r="FB29" s="809"/>
      <c r="FC29" s="809"/>
      <c r="FD29" s="809"/>
      <c r="FE29" s="809"/>
      <c r="FF29" s="809"/>
      <c r="FG29" s="809"/>
      <c r="FH29" s="809"/>
      <c r="FI29" s="809"/>
      <c r="FJ29" s="809"/>
      <c r="FK29" s="809"/>
      <c r="FL29" s="809"/>
      <c r="FM29" s="809"/>
      <c r="FN29" s="809"/>
      <c r="FO29" s="809"/>
      <c r="FP29" s="809"/>
      <c r="FQ29" s="809"/>
      <c r="FR29" s="809"/>
      <c r="FS29" s="809"/>
      <c r="FT29" s="809"/>
      <c r="FU29" s="809"/>
      <c r="FV29" s="809"/>
      <c r="FW29" s="809"/>
      <c r="FX29" s="809"/>
      <c r="FY29" s="809"/>
      <c r="FZ29" s="809"/>
      <c r="GA29" s="809"/>
      <c r="GB29" s="809"/>
      <c r="GC29" s="809"/>
      <c r="GD29" s="809"/>
      <c r="GE29" s="809"/>
      <c r="GF29" s="809"/>
      <c r="GG29" s="809"/>
      <c r="GH29" s="809"/>
      <c r="GI29" s="809"/>
      <c r="GJ29" s="809"/>
      <c r="GK29" s="809"/>
      <c r="GL29" s="809"/>
      <c r="GM29" s="809"/>
      <c r="GN29" s="809"/>
      <c r="GO29" s="809"/>
      <c r="GP29" s="809"/>
      <c r="GQ29" s="809"/>
      <c r="GR29" s="809"/>
      <c r="GS29" s="809"/>
      <c r="GT29" s="809"/>
      <c r="GU29" s="809"/>
      <c r="GV29" s="809"/>
      <c r="GW29" s="809"/>
      <c r="GX29" s="809"/>
      <c r="GY29" s="809"/>
      <c r="GZ29" s="809"/>
      <c r="HA29" s="809"/>
      <c r="HB29" s="809"/>
      <c r="HC29" s="809"/>
      <c r="HD29" s="809"/>
      <c r="HE29" s="809"/>
      <c r="HF29" s="809"/>
      <c r="HG29" s="809"/>
      <c r="HH29" s="809"/>
      <c r="HI29" s="809"/>
      <c r="HJ29" s="809"/>
      <c r="HK29" s="809"/>
      <c r="HL29" s="809"/>
      <c r="HM29" s="809"/>
      <c r="HN29" s="809"/>
      <c r="HO29" s="809"/>
      <c r="HP29" s="809"/>
      <c r="HQ29" s="809"/>
      <c r="HR29" s="809"/>
      <c r="HS29" s="809"/>
      <c r="HT29" s="809"/>
      <c r="HU29" s="809"/>
      <c r="HV29" s="809"/>
      <c r="HW29" s="809"/>
      <c r="HX29" s="809"/>
      <c r="HY29" s="809"/>
      <c r="HZ29" s="809"/>
      <c r="IA29" s="809"/>
      <c r="IB29" s="809"/>
      <c r="IC29" s="809"/>
      <c r="ID29" s="809"/>
      <c r="IE29" s="809"/>
      <c r="IF29" s="809"/>
      <c r="IG29" s="809"/>
      <c r="IH29" s="809"/>
      <c r="II29" s="809"/>
      <c r="IJ29" s="809"/>
      <c r="IK29" s="809"/>
      <c r="IL29" s="809"/>
      <c r="IM29" s="809"/>
      <c r="IN29" s="809"/>
      <c r="IO29" s="809"/>
      <c r="IP29" s="809"/>
      <c r="IQ29" s="809"/>
      <c r="IR29" s="809"/>
      <c r="IS29" s="809"/>
      <c r="IT29" s="809"/>
      <c r="IU29" s="809"/>
      <c r="IV29" s="809"/>
      <c r="IW29" s="809"/>
    </row>
    <row r="30" customFormat="false" ht="12.75" hidden="false" customHeight="false" outlineLevel="0" collapsed="false">
      <c r="A30" s="809"/>
      <c r="B30" s="809"/>
      <c r="C30" s="809"/>
      <c r="D30" s="809"/>
      <c r="E30" s="42" t="n">
        <v>110</v>
      </c>
      <c r="F30" s="46" t="n">
        <f aca="false">8*1243</f>
        <v>9944</v>
      </c>
      <c r="G30" s="46" t="n">
        <f aca="false">$B$21*$B$23*($B$20*(1+$B$19))</f>
        <v>0</v>
      </c>
      <c r="H30" s="46" t="n">
        <f aca="false">G30+F30</f>
        <v>9944</v>
      </c>
      <c r="I30" s="939" t="n">
        <f aca="false">G30/H30</f>
        <v>0</v>
      </c>
      <c r="J30" s="940" t="n">
        <f aca="false">1-I30</f>
        <v>1</v>
      </c>
      <c r="K30" s="1"/>
      <c r="L30" s="1"/>
      <c r="M30" s="1"/>
      <c r="N30" s="1"/>
      <c r="O30" s="1"/>
      <c r="P30" s="1"/>
      <c r="Q30" s="1"/>
      <c r="R30" s="1"/>
      <c r="S30" s="1"/>
      <c r="T30" s="1"/>
      <c r="U30" s="1"/>
      <c r="V30" s="1"/>
      <c r="W30" s="1"/>
      <c r="X30" s="1"/>
      <c r="Y30" s="1"/>
      <c r="Z30" s="1"/>
      <c r="AA30" s="1"/>
      <c r="AB30" s="1"/>
      <c r="AC30" s="1"/>
      <c r="AD30" s="1"/>
      <c r="AE30" s="1"/>
      <c r="AF30" s="809"/>
      <c r="AG30" s="809"/>
      <c r="AH30" s="809"/>
      <c r="AI30" s="809"/>
      <c r="AJ30" s="809"/>
      <c r="AK30" s="809"/>
      <c r="AL30" s="809"/>
      <c r="AM30" s="809"/>
      <c r="AN30" s="809"/>
      <c r="AO30" s="809"/>
      <c r="AP30" s="809"/>
      <c r="AQ30" s="809"/>
      <c r="AR30" s="809"/>
      <c r="AS30" s="809"/>
      <c r="AT30" s="809"/>
      <c r="AU30" s="809"/>
      <c r="AV30" s="809"/>
      <c r="AW30" s="809"/>
      <c r="AX30" s="809"/>
      <c r="AY30" s="809"/>
      <c r="AZ30" s="809"/>
      <c r="BA30" s="809"/>
      <c r="BB30" s="809"/>
      <c r="BC30" s="809"/>
      <c r="BD30" s="809"/>
      <c r="BE30" s="809"/>
      <c r="BF30" s="809"/>
      <c r="BG30" s="809"/>
      <c r="BH30" s="809"/>
      <c r="BI30" s="809"/>
      <c r="BJ30" s="809"/>
      <c r="BK30" s="809"/>
      <c r="BL30" s="809"/>
      <c r="BM30" s="809"/>
      <c r="BN30" s="809"/>
      <c r="BO30" s="809"/>
      <c r="BP30" s="809"/>
      <c r="BQ30" s="809"/>
      <c r="BR30" s="809"/>
      <c r="BS30" s="809"/>
      <c r="BT30" s="809"/>
      <c r="BU30" s="809"/>
      <c r="BV30" s="809"/>
      <c r="BW30" s="809"/>
      <c r="BX30" s="809"/>
      <c r="BY30" s="809"/>
      <c r="BZ30" s="809"/>
      <c r="CA30" s="809"/>
      <c r="CB30" s="809"/>
      <c r="CC30" s="809"/>
      <c r="CD30" s="809"/>
      <c r="CE30" s="809"/>
      <c r="CF30" s="809"/>
      <c r="CG30" s="809"/>
      <c r="CH30" s="809"/>
      <c r="CI30" s="809"/>
      <c r="CJ30" s="809"/>
      <c r="CK30" s="809"/>
      <c r="CL30" s="809"/>
      <c r="CM30" s="809"/>
      <c r="CN30" s="809"/>
      <c r="CO30" s="809"/>
      <c r="CP30" s="809"/>
      <c r="CQ30" s="809"/>
      <c r="CR30" s="809"/>
      <c r="CS30" s="809"/>
      <c r="CT30" s="809"/>
      <c r="CU30" s="809"/>
      <c r="CV30" s="809"/>
      <c r="CW30" s="809"/>
      <c r="CX30" s="809"/>
      <c r="CY30" s="809"/>
      <c r="CZ30" s="809"/>
      <c r="DA30" s="809"/>
      <c r="DB30" s="809"/>
      <c r="DC30" s="809"/>
      <c r="DD30" s="809"/>
      <c r="DE30" s="809"/>
      <c r="DF30" s="809"/>
      <c r="DG30" s="809"/>
      <c r="DH30" s="809"/>
      <c r="DI30" s="809"/>
      <c r="DJ30" s="809"/>
      <c r="DK30" s="809"/>
      <c r="DL30" s="809"/>
      <c r="DM30" s="809"/>
      <c r="DN30" s="809"/>
      <c r="DO30" s="809"/>
      <c r="DP30" s="809"/>
      <c r="DQ30" s="809"/>
      <c r="DR30" s="809"/>
      <c r="DS30" s="809"/>
      <c r="DT30" s="809"/>
      <c r="DU30" s="809"/>
      <c r="DV30" s="809"/>
      <c r="DW30" s="809"/>
      <c r="DX30" s="809"/>
      <c r="DY30" s="809"/>
      <c r="DZ30" s="809"/>
      <c r="EA30" s="809"/>
      <c r="EB30" s="809"/>
      <c r="EC30" s="809"/>
      <c r="ED30" s="809"/>
      <c r="EE30" s="809"/>
      <c r="EF30" s="809"/>
      <c r="EG30" s="809"/>
      <c r="EH30" s="809"/>
      <c r="EI30" s="809"/>
      <c r="EJ30" s="809"/>
      <c r="EK30" s="809"/>
      <c r="EL30" s="809"/>
      <c r="EM30" s="809"/>
      <c r="EN30" s="809"/>
      <c r="EO30" s="809"/>
      <c r="EP30" s="809"/>
      <c r="EQ30" s="809"/>
      <c r="ER30" s="809"/>
      <c r="ES30" s="809"/>
      <c r="ET30" s="809"/>
      <c r="EU30" s="809"/>
      <c r="EV30" s="809"/>
      <c r="EW30" s="809"/>
      <c r="EX30" s="809"/>
      <c r="EY30" s="809"/>
      <c r="EZ30" s="809"/>
      <c r="FA30" s="809"/>
      <c r="FB30" s="809"/>
      <c r="FC30" s="809"/>
      <c r="FD30" s="809"/>
      <c r="FE30" s="809"/>
      <c r="FF30" s="809"/>
      <c r="FG30" s="809"/>
      <c r="FH30" s="809"/>
      <c r="FI30" s="809"/>
      <c r="FJ30" s="809"/>
      <c r="FK30" s="809"/>
      <c r="FL30" s="809"/>
      <c r="FM30" s="809"/>
      <c r="FN30" s="809"/>
      <c r="FO30" s="809"/>
      <c r="FP30" s="809"/>
      <c r="FQ30" s="809"/>
      <c r="FR30" s="809"/>
      <c r="FS30" s="809"/>
      <c r="FT30" s="809"/>
      <c r="FU30" s="809"/>
      <c r="FV30" s="809"/>
      <c r="FW30" s="809"/>
      <c r="FX30" s="809"/>
      <c r="FY30" s="809"/>
      <c r="FZ30" s="809"/>
      <c r="GA30" s="809"/>
      <c r="GB30" s="809"/>
      <c r="GC30" s="809"/>
      <c r="GD30" s="809"/>
      <c r="GE30" s="809"/>
      <c r="GF30" s="809"/>
      <c r="GG30" s="809"/>
      <c r="GH30" s="809"/>
      <c r="GI30" s="809"/>
      <c r="GJ30" s="809"/>
      <c r="GK30" s="809"/>
      <c r="GL30" s="809"/>
      <c r="GM30" s="809"/>
      <c r="GN30" s="809"/>
      <c r="GO30" s="809"/>
      <c r="GP30" s="809"/>
      <c r="GQ30" s="809"/>
      <c r="GR30" s="809"/>
      <c r="GS30" s="809"/>
      <c r="GT30" s="809"/>
      <c r="GU30" s="809"/>
      <c r="GV30" s="809"/>
      <c r="GW30" s="809"/>
      <c r="GX30" s="809"/>
      <c r="GY30" s="809"/>
      <c r="GZ30" s="809"/>
      <c r="HA30" s="809"/>
      <c r="HB30" s="809"/>
      <c r="HC30" s="809"/>
      <c r="HD30" s="809"/>
      <c r="HE30" s="809"/>
      <c r="HF30" s="809"/>
      <c r="HG30" s="809"/>
      <c r="HH30" s="809"/>
      <c r="HI30" s="809"/>
      <c r="HJ30" s="809"/>
      <c r="HK30" s="809"/>
      <c r="HL30" s="809"/>
      <c r="HM30" s="809"/>
      <c r="HN30" s="809"/>
      <c r="HO30" s="809"/>
      <c r="HP30" s="809"/>
      <c r="HQ30" s="809"/>
      <c r="HR30" s="809"/>
      <c r="HS30" s="809"/>
      <c r="HT30" s="809"/>
      <c r="HU30" s="809"/>
      <c r="HV30" s="809"/>
      <c r="HW30" s="809"/>
      <c r="HX30" s="809"/>
      <c r="HY30" s="809"/>
      <c r="HZ30" s="809"/>
      <c r="IA30" s="809"/>
      <c r="IB30" s="809"/>
      <c r="IC30" s="809"/>
      <c r="ID30" s="809"/>
      <c r="IE30" s="809"/>
      <c r="IF30" s="809"/>
      <c r="IG30" s="809"/>
      <c r="IH30" s="809"/>
      <c r="II30" s="809"/>
      <c r="IJ30" s="809"/>
      <c r="IK30" s="809"/>
      <c r="IL30" s="809"/>
      <c r="IM30" s="809"/>
      <c r="IN30" s="809"/>
      <c r="IO30" s="809"/>
      <c r="IP30" s="809"/>
      <c r="IQ30" s="809"/>
      <c r="IR30" s="809"/>
      <c r="IS30" s="809"/>
      <c r="IT30" s="809"/>
      <c r="IU30" s="809"/>
      <c r="IV30" s="809"/>
      <c r="IW30" s="809"/>
    </row>
    <row r="31" customFormat="false" ht="12.75" hidden="false" customHeight="false" outlineLevel="0" collapsed="false">
      <c r="A31" s="809"/>
      <c r="B31" s="809"/>
      <c r="C31" s="809"/>
      <c r="D31" s="809"/>
      <c r="E31" s="42" t="n">
        <v>120</v>
      </c>
      <c r="F31" s="46" t="n">
        <f aca="false">8*1874</f>
        <v>14992</v>
      </c>
      <c r="G31" s="46" t="n">
        <f aca="false">$B$21*$B$23*($B$20*(1+$B$19))</f>
        <v>0</v>
      </c>
      <c r="H31" s="46" t="n">
        <f aca="false">G31+F31</f>
        <v>14992</v>
      </c>
      <c r="I31" s="939" t="n">
        <f aca="false">G31/H31</f>
        <v>0</v>
      </c>
      <c r="J31" s="940" t="n">
        <f aca="false">1-I31</f>
        <v>1</v>
      </c>
      <c r="K31" s="1"/>
      <c r="L31" s="1"/>
      <c r="M31" s="1"/>
      <c r="N31" s="1"/>
      <c r="O31" s="1"/>
      <c r="P31" s="1"/>
      <c r="Q31" s="1"/>
      <c r="R31" s="1"/>
      <c r="S31" s="1"/>
      <c r="T31" s="1"/>
      <c r="U31" s="1"/>
      <c r="V31" s="1"/>
      <c r="W31" s="1"/>
      <c r="X31" s="1"/>
      <c r="Y31" s="1"/>
      <c r="Z31" s="1"/>
      <c r="AA31" s="1"/>
      <c r="AB31" s="1"/>
      <c r="AC31" s="1"/>
      <c r="AD31" s="1"/>
      <c r="AE31" s="1"/>
      <c r="AF31" s="809"/>
      <c r="AG31" s="809"/>
      <c r="AH31" s="809"/>
      <c r="AI31" s="809"/>
      <c r="AJ31" s="809"/>
      <c r="AK31" s="809"/>
      <c r="AL31" s="809"/>
      <c r="AM31" s="809"/>
      <c r="AN31" s="809"/>
      <c r="AO31" s="809"/>
      <c r="AP31" s="809"/>
      <c r="AQ31" s="809"/>
      <c r="AR31" s="809"/>
      <c r="AS31" s="809"/>
      <c r="AT31" s="809"/>
      <c r="AU31" s="809"/>
      <c r="AV31" s="809"/>
      <c r="AW31" s="809"/>
      <c r="AX31" s="809"/>
      <c r="AY31" s="809"/>
      <c r="AZ31" s="809"/>
      <c r="BA31" s="809"/>
      <c r="BB31" s="809"/>
      <c r="BC31" s="809"/>
      <c r="BD31" s="809"/>
      <c r="BE31" s="809"/>
      <c r="BF31" s="809"/>
      <c r="BG31" s="809"/>
      <c r="BH31" s="809"/>
      <c r="BI31" s="809"/>
      <c r="BJ31" s="809"/>
      <c r="BK31" s="809"/>
      <c r="BL31" s="809"/>
      <c r="BM31" s="809"/>
      <c r="BN31" s="809"/>
      <c r="BO31" s="809"/>
      <c r="BP31" s="809"/>
      <c r="BQ31" s="809"/>
      <c r="BR31" s="809"/>
      <c r="BS31" s="809"/>
      <c r="BT31" s="809"/>
      <c r="BU31" s="809"/>
      <c r="BV31" s="809"/>
      <c r="BW31" s="809"/>
      <c r="BX31" s="809"/>
      <c r="BY31" s="809"/>
      <c r="BZ31" s="809"/>
      <c r="CA31" s="809"/>
      <c r="CB31" s="809"/>
      <c r="CC31" s="809"/>
      <c r="CD31" s="809"/>
      <c r="CE31" s="809"/>
      <c r="CF31" s="809"/>
      <c r="CG31" s="809"/>
      <c r="CH31" s="809"/>
      <c r="CI31" s="809"/>
      <c r="CJ31" s="809"/>
      <c r="CK31" s="809"/>
      <c r="CL31" s="809"/>
      <c r="CM31" s="809"/>
      <c r="CN31" s="809"/>
      <c r="CO31" s="809"/>
      <c r="CP31" s="809"/>
      <c r="CQ31" s="809"/>
      <c r="CR31" s="809"/>
      <c r="CS31" s="809"/>
      <c r="CT31" s="809"/>
      <c r="CU31" s="809"/>
      <c r="CV31" s="809"/>
      <c r="CW31" s="809"/>
      <c r="CX31" s="809"/>
      <c r="CY31" s="809"/>
      <c r="CZ31" s="809"/>
      <c r="DA31" s="809"/>
      <c r="DB31" s="809"/>
      <c r="DC31" s="809"/>
      <c r="DD31" s="809"/>
      <c r="DE31" s="809"/>
      <c r="DF31" s="809"/>
      <c r="DG31" s="809"/>
      <c r="DH31" s="809"/>
      <c r="DI31" s="809"/>
      <c r="DJ31" s="809"/>
      <c r="DK31" s="809"/>
      <c r="DL31" s="809"/>
      <c r="DM31" s="809"/>
      <c r="DN31" s="809"/>
      <c r="DO31" s="809"/>
      <c r="DP31" s="809"/>
      <c r="DQ31" s="809"/>
      <c r="DR31" s="809"/>
      <c r="DS31" s="809"/>
      <c r="DT31" s="809"/>
      <c r="DU31" s="809"/>
      <c r="DV31" s="809"/>
      <c r="DW31" s="809"/>
      <c r="DX31" s="809"/>
      <c r="DY31" s="809"/>
      <c r="DZ31" s="809"/>
      <c r="EA31" s="809"/>
      <c r="EB31" s="809"/>
      <c r="EC31" s="809"/>
      <c r="ED31" s="809"/>
      <c r="EE31" s="809"/>
      <c r="EF31" s="809"/>
      <c r="EG31" s="809"/>
      <c r="EH31" s="809"/>
      <c r="EI31" s="809"/>
      <c r="EJ31" s="809"/>
      <c r="EK31" s="809"/>
      <c r="EL31" s="809"/>
      <c r="EM31" s="809"/>
      <c r="EN31" s="809"/>
      <c r="EO31" s="809"/>
      <c r="EP31" s="809"/>
      <c r="EQ31" s="809"/>
      <c r="ER31" s="809"/>
      <c r="ES31" s="809"/>
      <c r="ET31" s="809"/>
      <c r="EU31" s="809"/>
      <c r="EV31" s="809"/>
      <c r="EW31" s="809"/>
      <c r="EX31" s="809"/>
      <c r="EY31" s="809"/>
      <c r="EZ31" s="809"/>
      <c r="FA31" s="809"/>
      <c r="FB31" s="809"/>
      <c r="FC31" s="809"/>
      <c r="FD31" s="809"/>
      <c r="FE31" s="809"/>
      <c r="FF31" s="809"/>
      <c r="FG31" s="809"/>
      <c r="FH31" s="809"/>
      <c r="FI31" s="809"/>
      <c r="FJ31" s="809"/>
      <c r="FK31" s="809"/>
      <c r="FL31" s="809"/>
      <c r="FM31" s="809"/>
      <c r="FN31" s="809"/>
      <c r="FO31" s="809"/>
      <c r="FP31" s="809"/>
      <c r="FQ31" s="809"/>
      <c r="FR31" s="809"/>
      <c r="FS31" s="809"/>
      <c r="FT31" s="809"/>
      <c r="FU31" s="809"/>
      <c r="FV31" s="809"/>
      <c r="FW31" s="809"/>
      <c r="FX31" s="809"/>
      <c r="FY31" s="809"/>
      <c r="FZ31" s="809"/>
      <c r="GA31" s="809"/>
      <c r="GB31" s="809"/>
      <c r="GC31" s="809"/>
      <c r="GD31" s="809"/>
      <c r="GE31" s="809"/>
      <c r="GF31" s="809"/>
      <c r="GG31" s="809"/>
      <c r="GH31" s="809"/>
      <c r="GI31" s="809"/>
      <c r="GJ31" s="809"/>
      <c r="GK31" s="809"/>
      <c r="GL31" s="809"/>
      <c r="GM31" s="809"/>
      <c r="GN31" s="809"/>
      <c r="GO31" s="809"/>
      <c r="GP31" s="809"/>
      <c r="GQ31" s="809"/>
      <c r="GR31" s="809"/>
      <c r="GS31" s="809"/>
      <c r="GT31" s="809"/>
      <c r="GU31" s="809"/>
      <c r="GV31" s="809"/>
      <c r="GW31" s="809"/>
      <c r="GX31" s="809"/>
      <c r="GY31" s="809"/>
      <c r="GZ31" s="809"/>
      <c r="HA31" s="809"/>
      <c r="HB31" s="809"/>
      <c r="HC31" s="809"/>
      <c r="HD31" s="809"/>
      <c r="HE31" s="809"/>
      <c r="HF31" s="809"/>
      <c r="HG31" s="809"/>
      <c r="HH31" s="809"/>
      <c r="HI31" s="809"/>
      <c r="HJ31" s="809"/>
      <c r="HK31" s="809"/>
      <c r="HL31" s="809"/>
      <c r="HM31" s="809"/>
      <c r="HN31" s="809"/>
      <c r="HO31" s="809"/>
      <c r="HP31" s="809"/>
      <c r="HQ31" s="809"/>
      <c r="HR31" s="809"/>
      <c r="HS31" s="809"/>
      <c r="HT31" s="809"/>
      <c r="HU31" s="809"/>
      <c r="HV31" s="809"/>
      <c r="HW31" s="809"/>
      <c r="HX31" s="809"/>
      <c r="HY31" s="809"/>
      <c r="HZ31" s="809"/>
      <c r="IA31" s="809"/>
      <c r="IB31" s="809"/>
      <c r="IC31" s="809"/>
      <c r="ID31" s="809"/>
      <c r="IE31" s="809"/>
      <c r="IF31" s="809"/>
      <c r="IG31" s="809"/>
      <c r="IH31" s="809"/>
      <c r="II31" s="809"/>
      <c r="IJ31" s="809"/>
      <c r="IK31" s="809"/>
      <c r="IL31" s="809"/>
      <c r="IM31" s="809"/>
      <c r="IN31" s="809"/>
      <c r="IO31" s="809"/>
      <c r="IP31" s="809"/>
      <c r="IQ31" s="809"/>
      <c r="IR31" s="809"/>
      <c r="IS31" s="809"/>
      <c r="IT31" s="809"/>
      <c r="IU31" s="809"/>
      <c r="IV31" s="809"/>
      <c r="IW31" s="809"/>
    </row>
    <row r="32" customFormat="false" ht="12.75" hidden="false" customHeight="false" outlineLevel="0" collapsed="false">
      <c r="A32" s="809"/>
      <c r="B32" s="809"/>
      <c r="C32" s="809"/>
      <c r="D32" s="809"/>
      <c r="E32" s="42" t="n">
        <v>130</v>
      </c>
      <c r="F32" s="46" t="n">
        <f aca="false">8*1874</f>
        <v>14992</v>
      </c>
      <c r="G32" s="46" t="n">
        <f aca="false">$B$21*$B$23*($B$20*(1+$B$19))</f>
        <v>0</v>
      </c>
      <c r="H32" s="46" t="n">
        <f aca="false">G32+F32</f>
        <v>14992</v>
      </c>
      <c r="I32" s="939" t="n">
        <f aca="false">G32/H32</f>
        <v>0</v>
      </c>
      <c r="J32" s="940" t="n">
        <f aca="false">1-I32</f>
        <v>1</v>
      </c>
      <c r="K32" s="1"/>
      <c r="L32" s="1"/>
      <c r="M32" s="1"/>
      <c r="N32" s="1"/>
      <c r="O32" s="1"/>
      <c r="P32" s="1"/>
      <c r="Q32" s="1"/>
      <c r="R32" s="1"/>
      <c r="S32" s="1"/>
      <c r="T32" s="1"/>
      <c r="U32" s="1"/>
      <c r="V32" s="1"/>
      <c r="W32" s="1"/>
      <c r="X32" s="1"/>
      <c r="Y32" s="1"/>
      <c r="Z32" s="1"/>
      <c r="AA32" s="1"/>
      <c r="AB32" s="1"/>
      <c r="AC32" s="1"/>
      <c r="AD32" s="1"/>
      <c r="AE32" s="1"/>
      <c r="AF32" s="809"/>
      <c r="AG32" s="809"/>
      <c r="AH32" s="809"/>
      <c r="AI32" s="809"/>
      <c r="AJ32" s="809"/>
      <c r="AK32" s="809"/>
      <c r="AL32" s="809"/>
      <c r="AM32" s="809"/>
      <c r="AN32" s="809"/>
      <c r="AO32" s="809"/>
      <c r="AP32" s="809"/>
      <c r="AQ32" s="809"/>
      <c r="AR32" s="809"/>
      <c r="AS32" s="809"/>
      <c r="AT32" s="809"/>
      <c r="AU32" s="809"/>
      <c r="AV32" s="809"/>
      <c r="AW32" s="809"/>
      <c r="AX32" s="809"/>
      <c r="AY32" s="809"/>
      <c r="AZ32" s="809"/>
      <c r="BA32" s="809"/>
      <c r="BB32" s="809"/>
      <c r="BC32" s="809"/>
      <c r="BD32" s="809"/>
      <c r="BE32" s="809"/>
      <c r="BF32" s="809"/>
      <c r="BG32" s="809"/>
      <c r="BH32" s="809"/>
      <c r="BI32" s="809"/>
      <c r="BJ32" s="809"/>
      <c r="BK32" s="809"/>
      <c r="BL32" s="809"/>
      <c r="BM32" s="809"/>
      <c r="BN32" s="809"/>
      <c r="BO32" s="809"/>
      <c r="BP32" s="809"/>
      <c r="BQ32" s="809"/>
      <c r="BR32" s="809"/>
      <c r="BS32" s="809"/>
      <c r="BT32" s="809"/>
      <c r="BU32" s="809"/>
      <c r="BV32" s="809"/>
      <c r="BW32" s="809"/>
      <c r="BX32" s="809"/>
      <c r="BY32" s="809"/>
      <c r="BZ32" s="809"/>
      <c r="CA32" s="809"/>
      <c r="CB32" s="809"/>
      <c r="CC32" s="809"/>
      <c r="CD32" s="809"/>
      <c r="CE32" s="809"/>
      <c r="CF32" s="809"/>
      <c r="CG32" s="809"/>
      <c r="CH32" s="809"/>
      <c r="CI32" s="809"/>
      <c r="CJ32" s="809"/>
      <c r="CK32" s="809"/>
      <c r="CL32" s="809"/>
      <c r="CM32" s="809"/>
      <c r="CN32" s="809"/>
      <c r="CO32" s="809"/>
      <c r="CP32" s="809"/>
      <c r="CQ32" s="809"/>
      <c r="CR32" s="809"/>
      <c r="CS32" s="809"/>
      <c r="CT32" s="809"/>
      <c r="CU32" s="809"/>
      <c r="CV32" s="809"/>
      <c r="CW32" s="809"/>
      <c r="CX32" s="809"/>
      <c r="CY32" s="809"/>
      <c r="CZ32" s="809"/>
      <c r="DA32" s="809"/>
      <c r="DB32" s="809"/>
      <c r="DC32" s="809"/>
      <c r="DD32" s="809"/>
      <c r="DE32" s="809"/>
      <c r="DF32" s="809"/>
      <c r="DG32" s="809"/>
      <c r="DH32" s="809"/>
      <c r="DI32" s="809"/>
      <c r="DJ32" s="809"/>
      <c r="DK32" s="809"/>
      <c r="DL32" s="809"/>
      <c r="DM32" s="809"/>
      <c r="DN32" s="809"/>
      <c r="DO32" s="809"/>
      <c r="DP32" s="809"/>
      <c r="DQ32" s="809"/>
      <c r="DR32" s="809"/>
      <c r="DS32" s="809"/>
      <c r="DT32" s="809"/>
      <c r="DU32" s="809"/>
      <c r="DV32" s="809"/>
      <c r="DW32" s="809"/>
      <c r="DX32" s="809"/>
      <c r="DY32" s="809"/>
      <c r="DZ32" s="809"/>
      <c r="EA32" s="809"/>
      <c r="EB32" s="809"/>
      <c r="EC32" s="809"/>
      <c r="ED32" s="809"/>
      <c r="EE32" s="809"/>
      <c r="EF32" s="809"/>
      <c r="EG32" s="809"/>
      <c r="EH32" s="809"/>
      <c r="EI32" s="809"/>
      <c r="EJ32" s="809"/>
      <c r="EK32" s="809"/>
      <c r="EL32" s="809"/>
      <c r="EM32" s="809"/>
      <c r="EN32" s="809"/>
      <c r="EO32" s="809"/>
      <c r="EP32" s="809"/>
      <c r="EQ32" s="809"/>
      <c r="ER32" s="809"/>
      <c r="ES32" s="809"/>
      <c r="ET32" s="809"/>
      <c r="EU32" s="809"/>
      <c r="EV32" s="809"/>
      <c r="EW32" s="809"/>
      <c r="EX32" s="809"/>
      <c r="EY32" s="809"/>
      <c r="EZ32" s="809"/>
      <c r="FA32" s="809"/>
      <c r="FB32" s="809"/>
      <c r="FC32" s="809"/>
      <c r="FD32" s="809"/>
      <c r="FE32" s="809"/>
      <c r="FF32" s="809"/>
      <c r="FG32" s="809"/>
      <c r="FH32" s="809"/>
      <c r="FI32" s="809"/>
      <c r="FJ32" s="809"/>
      <c r="FK32" s="809"/>
      <c r="FL32" s="809"/>
      <c r="FM32" s="809"/>
      <c r="FN32" s="809"/>
      <c r="FO32" s="809"/>
      <c r="FP32" s="809"/>
      <c r="FQ32" s="809"/>
      <c r="FR32" s="809"/>
      <c r="FS32" s="809"/>
      <c r="FT32" s="809"/>
      <c r="FU32" s="809"/>
      <c r="FV32" s="809"/>
      <c r="FW32" s="809"/>
      <c r="FX32" s="809"/>
      <c r="FY32" s="809"/>
      <c r="FZ32" s="809"/>
      <c r="GA32" s="809"/>
      <c r="GB32" s="809"/>
      <c r="GC32" s="809"/>
      <c r="GD32" s="809"/>
      <c r="GE32" s="809"/>
      <c r="GF32" s="809"/>
      <c r="GG32" s="809"/>
      <c r="GH32" s="809"/>
      <c r="GI32" s="809"/>
      <c r="GJ32" s="809"/>
      <c r="GK32" s="809"/>
      <c r="GL32" s="809"/>
      <c r="GM32" s="809"/>
      <c r="GN32" s="809"/>
      <c r="GO32" s="809"/>
      <c r="GP32" s="809"/>
      <c r="GQ32" s="809"/>
      <c r="GR32" s="809"/>
      <c r="GS32" s="809"/>
      <c r="GT32" s="809"/>
      <c r="GU32" s="809"/>
      <c r="GV32" s="809"/>
      <c r="GW32" s="809"/>
      <c r="GX32" s="809"/>
      <c r="GY32" s="809"/>
      <c r="GZ32" s="809"/>
      <c r="HA32" s="809"/>
      <c r="HB32" s="809"/>
      <c r="HC32" s="809"/>
      <c r="HD32" s="809"/>
      <c r="HE32" s="809"/>
      <c r="HF32" s="809"/>
      <c r="HG32" s="809"/>
      <c r="HH32" s="809"/>
      <c r="HI32" s="809"/>
      <c r="HJ32" s="809"/>
      <c r="HK32" s="809"/>
      <c r="HL32" s="809"/>
      <c r="HM32" s="809"/>
      <c r="HN32" s="809"/>
      <c r="HO32" s="809"/>
      <c r="HP32" s="809"/>
      <c r="HQ32" s="809"/>
      <c r="HR32" s="809"/>
      <c r="HS32" s="809"/>
      <c r="HT32" s="809"/>
      <c r="HU32" s="809"/>
      <c r="HV32" s="809"/>
      <c r="HW32" s="809"/>
      <c r="HX32" s="809"/>
      <c r="HY32" s="809"/>
      <c r="HZ32" s="809"/>
      <c r="IA32" s="809"/>
      <c r="IB32" s="809"/>
      <c r="IC32" s="809"/>
      <c r="ID32" s="809"/>
      <c r="IE32" s="809"/>
      <c r="IF32" s="809"/>
      <c r="IG32" s="809"/>
      <c r="IH32" s="809"/>
      <c r="II32" s="809"/>
      <c r="IJ32" s="809"/>
      <c r="IK32" s="809"/>
      <c r="IL32" s="809"/>
      <c r="IM32" s="809"/>
      <c r="IN32" s="809"/>
      <c r="IO32" s="809"/>
      <c r="IP32" s="809"/>
      <c r="IQ32" s="809"/>
      <c r="IR32" s="809"/>
      <c r="IS32" s="809"/>
      <c r="IT32" s="809"/>
      <c r="IU32" s="809"/>
      <c r="IV32" s="809"/>
      <c r="IW32" s="809"/>
    </row>
    <row r="33" customFormat="false" ht="12.75" hidden="false" customHeight="false" outlineLevel="0" collapsed="false">
      <c r="A33" s="809"/>
      <c r="B33" s="809"/>
      <c r="C33" s="809"/>
      <c r="D33" s="809"/>
      <c r="E33" s="42" t="n">
        <v>140</v>
      </c>
      <c r="F33" s="46" t="n">
        <f aca="false">8*1874</f>
        <v>14992</v>
      </c>
      <c r="G33" s="46" t="n">
        <f aca="false">$B$21*$B$23*($B$20*(1+$B$19))</f>
        <v>0</v>
      </c>
      <c r="H33" s="46" t="n">
        <f aca="false">G33+F33</f>
        <v>14992</v>
      </c>
      <c r="I33" s="939" t="n">
        <f aca="false">G33/H33</f>
        <v>0</v>
      </c>
      <c r="J33" s="940" t="n">
        <f aca="false">1-I33</f>
        <v>1</v>
      </c>
      <c r="K33" s="1"/>
      <c r="L33" s="1"/>
      <c r="M33" s="1"/>
      <c r="N33" s="1"/>
      <c r="O33" s="1"/>
      <c r="P33" s="1"/>
      <c r="Q33" s="1"/>
      <c r="R33" s="1"/>
      <c r="S33" s="1"/>
      <c r="T33" s="1"/>
      <c r="U33" s="1"/>
      <c r="V33" s="1"/>
      <c r="W33" s="1"/>
      <c r="X33" s="1"/>
      <c r="Y33" s="1"/>
      <c r="Z33" s="1"/>
      <c r="AA33" s="1"/>
      <c r="AB33" s="1"/>
      <c r="AC33" s="1"/>
      <c r="AD33" s="1"/>
      <c r="AE33" s="1"/>
      <c r="AF33" s="809"/>
      <c r="AG33" s="809"/>
      <c r="AH33" s="809"/>
      <c r="AI33" s="809"/>
      <c r="AJ33" s="809"/>
      <c r="AK33" s="809"/>
      <c r="AL33" s="809"/>
      <c r="AM33" s="809"/>
      <c r="AN33" s="809"/>
      <c r="AO33" s="809"/>
      <c r="AP33" s="809"/>
      <c r="AQ33" s="809"/>
      <c r="AR33" s="809"/>
      <c r="AS33" s="809"/>
      <c r="AT33" s="809"/>
      <c r="AU33" s="809"/>
      <c r="AV33" s="809"/>
      <c r="AW33" s="809"/>
      <c r="AX33" s="809"/>
      <c r="AY33" s="809"/>
      <c r="AZ33" s="809"/>
      <c r="BA33" s="809"/>
      <c r="BB33" s="809"/>
      <c r="BC33" s="809"/>
      <c r="BD33" s="809"/>
      <c r="BE33" s="809"/>
      <c r="BF33" s="809"/>
      <c r="BG33" s="809"/>
      <c r="BH33" s="809"/>
      <c r="BI33" s="809"/>
      <c r="BJ33" s="809"/>
      <c r="BK33" s="809"/>
      <c r="BL33" s="809"/>
      <c r="BM33" s="809"/>
      <c r="BN33" s="809"/>
      <c r="BO33" s="809"/>
      <c r="BP33" s="809"/>
      <c r="BQ33" s="809"/>
      <c r="BR33" s="809"/>
      <c r="BS33" s="809"/>
      <c r="BT33" s="809"/>
      <c r="BU33" s="809"/>
      <c r="BV33" s="809"/>
      <c r="BW33" s="809"/>
      <c r="BX33" s="809"/>
      <c r="BY33" s="809"/>
      <c r="BZ33" s="809"/>
      <c r="CA33" s="809"/>
      <c r="CB33" s="809"/>
      <c r="CC33" s="809"/>
      <c r="CD33" s="809"/>
      <c r="CE33" s="809"/>
      <c r="CF33" s="809"/>
      <c r="CG33" s="809"/>
      <c r="CH33" s="809"/>
      <c r="CI33" s="809"/>
      <c r="CJ33" s="809"/>
      <c r="CK33" s="809"/>
      <c r="CL33" s="809"/>
      <c r="CM33" s="809"/>
      <c r="CN33" s="809"/>
      <c r="CO33" s="809"/>
      <c r="CP33" s="809"/>
      <c r="CQ33" s="809"/>
      <c r="CR33" s="809"/>
      <c r="CS33" s="809"/>
      <c r="CT33" s="809"/>
      <c r="CU33" s="809"/>
      <c r="CV33" s="809"/>
      <c r="CW33" s="809"/>
      <c r="CX33" s="809"/>
      <c r="CY33" s="809"/>
      <c r="CZ33" s="809"/>
      <c r="DA33" s="809"/>
      <c r="DB33" s="809"/>
      <c r="DC33" s="809"/>
      <c r="DD33" s="809"/>
      <c r="DE33" s="809"/>
      <c r="DF33" s="809"/>
      <c r="DG33" s="809"/>
      <c r="DH33" s="809"/>
      <c r="DI33" s="809"/>
      <c r="DJ33" s="809"/>
      <c r="DK33" s="809"/>
      <c r="DL33" s="809"/>
      <c r="DM33" s="809"/>
      <c r="DN33" s="809"/>
      <c r="DO33" s="809"/>
      <c r="DP33" s="809"/>
      <c r="DQ33" s="809"/>
      <c r="DR33" s="809"/>
      <c r="DS33" s="809"/>
      <c r="DT33" s="809"/>
      <c r="DU33" s="809"/>
      <c r="DV33" s="809"/>
      <c r="DW33" s="809"/>
      <c r="DX33" s="809"/>
      <c r="DY33" s="809"/>
      <c r="DZ33" s="809"/>
      <c r="EA33" s="809"/>
      <c r="EB33" s="809"/>
      <c r="EC33" s="809"/>
      <c r="ED33" s="809"/>
      <c r="EE33" s="809"/>
      <c r="EF33" s="809"/>
      <c r="EG33" s="809"/>
      <c r="EH33" s="809"/>
      <c r="EI33" s="809"/>
      <c r="EJ33" s="809"/>
      <c r="EK33" s="809"/>
      <c r="EL33" s="809"/>
      <c r="EM33" s="809"/>
      <c r="EN33" s="809"/>
      <c r="EO33" s="809"/>
      <c r="EP33" s="809"/>
      <c r="EQ33" s="809"/>
      <c r="ER33" s="809"/>
      <c r="ES33" s="809"/>
      <c r="ET33" s="809"/>
      <c r="EU33" s="809"/>
      <c r="EV33" s="809"/>
      <c r="EW33" s="809"/>
      <c r="EX33" s="809"/>
      <c r="EY33" s="809"/>
      <c r="EZ33" s="809"/>
      <c r="FA33" s="809"/>
      <c r="FB33" s="809"/>
      <c r="FC33" s="809"/>
      <c r="FD33" s="809"/>
      <c r="FE33" s="809"/>
      <c r="FF33" s="809"/>
      <c r="FG33" s="809"/>
      <c r="FH33" s="809"/>
      <c r="FI33" s="809"/>
      <c r="FJ33" s="809"/>
      <c r="FK33" s="809"/>
      <c r="FL33" s="809"/>
      <c r="FM33" s="809"/>
      <c r="FN33" s="809"/>
      <c r="FO33" s="809"/>
      <c r="FP33" s="809"/>
      <c r="FQ33" s="809"/>
      <c r="FR33" s="809"/>
      <c r="FS33" s="809"/>
      <c r="FT33" s="809"/>
      <c r="FU33" s="809"/>
      <c r="FV33" s="809"/>
      <c r="FW33" s="809"/>
      <c r="FX33" s="809"/>
      <c r="FY33" s="809"/>
      <c r="FZ33" s="809"/>
      <c r="GA33" s="809"/>
      <c r="GB33" s="809"/>
      <c r="GC33" s="809"/>
      <c r="GD33" s="809"/>
      <c r="GE33" s="809"/>
      <c r="GF33" s="809"/>
      <c r="GG33" s="809"/>
      <c r="GH33" s="809"/>
      <c r="GI33" s="809"/>
      <c r="GJ33" s="809"/>
      <c r="GK33" s="809"/>
      <c r="GL33" s="809"/>
      <c r="GM33" s="809"/>
      <c r="GN33" s="809"/>
      <c r="GO33" s="809"/>
      <c r="GP33" s="809"/>
      <c r="GQ33" s="809"/>
      <c r="GR33" s="809"/>
      <c r="GS33" s="809"/>
      <c r="GT33" s="809"/>
      <c r="GU33" s="809"/>
      <c r="GV33" s="809"/>
      <c r="GW33" s="809"/>
      <c r="GX33" s="809"/>
      <c r="GY33" s="809"/>
      <c r="GZ33" s="809"/>
      <c r="HA33" s="809"/>
      <c r="HB33" s="809"/>
      <c r="HC33" s="809"/>
      <c r="HD33" s="809"/>
      <c r="HE33" s="809"/>
      <c r="HF33" s="809"/>
      <c r="HG33" s="809"/>
      <c r="HH33" s="809"/>
      <c r="HI33" s="809"/>
      <c r="HJ33" s="809"/>
      <c r="HK33" s="809"/>
      <c r="HL33" s="809"/>
      <c r="HM33" s="809"/>
      <c r="HN33" s="809"/>
      <c r="HO33" s="809"/>
      <c r="HP33" s="809"/>
      <c r="HQ33" s="809"/>
      <c r="HR33" s="809"/>
      <c r="HS33" s="809"/>
      <c r="HT33" s="809"/>
      <c r="HU33" s="809"/>
      <c r="HV33" s="809"/>
      <c r="HW33" s="809"/>
      <c r="HX33" s="809"/>
      <c r="HY33" s="809"/>
      <c r="HZ33" s="809"/>
      <c r="IA33" s="809"/>
      <c r="IB33" s="809"/>
      <c r="IC33" s="809"/>
      <c r="ID33" s="809"/>
      <c r="IE33" s="809"/>
      <c r="IF33" s="809"/>
      <c r="IG33" s="809"/>
      <c r="IH33" s="809"/>
      <c r="II33" s="809"/>
      <c r="IJ33" s="809"/>
      <c r="IK33" s="809"/>
      <c r="IL33" s="809"/>
      <c r="IM33" s="809"/>
      <c r="IN33" s="809"/>
      <c r="IO33" s="809"/>
      <c r="IP33" s="809"/>
      <c r="IQ33" s="809"/>
      <c r="IR33" s="809"/>
      <c r="IS33" s="809"/>
      <c r="IT33" s="809"/>
      <c r="IU33" s="809"/>
      <c r="IV33" s="809"/>
      <c r="IW33" s="809"/>
    </row>
    <row r="34" customFormat="false" ht="12.75" hidden="false" customHeight="false" outlineLevel="0" collapsed="false">
      <c r="A34" s="809"/>
      <c r="B34" s="809"/>
      <c r="C34" s="809"/>
      <c r="D34" s="809"/>
      <c r="E34" s="42" t="n">
        <v>150</v>
      </c>
      <c r="F34" s="46" t="n">
        <f aca="false">8*1874</f>
        <v>14992</v>
      </c>
      <c r="G34" s="46" t="n">
        <f aca="false">$B$21*$B$23*($B$20*(1+$B$19))</f>
        <v>0</v>
      </c>
      <c r="H34" s="46" t="n">
        <f aca="false">G34+F34</f>
        <v>14992</v>
      </c>
      <c r="I34" s="939" t="n">
        <f aca="false">G34/H34</f>
        <v>0</v>
      </c>
      <c r="J34" s="940" t="n">
        <f aca="false">1-I34</f>
        <v>1</v>
      </c>
      <c r="K34" s="1"/>
      <c r="L34" s="1"/>
      <c r="M34" s="1"/>
      <c r="N34" s="1"/>
      <c r="O34" s="1"/>
      <c r="P34" s="1"/>
      <c r="Q34" s="1"/>
      <c r="R34" s="1"/>
      <c r="S34" s="1"/>
      <c r="T34" s="1"/>
      <c r="U34" s="1"/>
      <c r="V34" s="1"/>
      <c r="W34" s="1"/>
      <c r="X34" s="1"/>
      <c r="Y34" s="1"/>
      <c r="Z34" s="1"/>
      <c r="AA34" s="1"/>
      <c r="AB34" s="1"/>
      <c r="AC34" s="1"/>
      <c r="AD34" s="1"/>
      <c r="AE34" s="1"/>
      <c r="AF34" s="809"/>
      <c r="AG34" s="809"/>
      <c r="AH34" s="809"/>
      <c r="AI34" s="809"/>
      <c r="AJ34" s="809"/>
      <c r="AK34" s="809"/>
      <c r="AL34" s="809"/>
      <c r="AM34" s="809"/>
      <c r="AN34" s="809"/>
      <c r="AO34" s="809"/>
      <c r="AP34" s="809"/>
      <c r="AQ34" s="809"/>
      <c r="AR34" s="809"/>
      <c r="AS34" s="809"/>
      <c r="AT34" s="809"/>
      <c r="AU34" s="809"/>
      <c r="AV34" s="809"/>
      <c r="AW34" s="809"/>
      <c r="AX34" s="809"/>
      <c r="AY34" s="809"/>
      <c r="AZ34" s="809"/>
      <c r="BA34" s="809"/>
      <c r="BB34" s="809"/>
      <c r="BC34" s="809"/>
      <c r="BD34" s="809"/>
      <c r="BE34" s="809"/>
      <c r="BF34" s="809"/>
      <c r="BG34" s="809"/>
      <c r="BH34" s="809"/>
      <c r="BI34" s="809"/>
      <c r="BJ34" s="809"/>
      <c r="BK34" s="809"/>
      <c r="BL34" s="809"/>
      <c r="BM34" s="809"/>
      <c r="BN34" s="809"/>
      <c r="BO34" s="809"/>
      <c r="BP34" s="809"/>
      <c r="BQ34" s="809"/>
      <c r="BR34" s="809"/>
      <c r="BS34" s="809"/>
      <c r="BT34" s="809"/>
      <c r="BU34" s="809"/>
      <c r="BV34" s="809"/>
      <c r="BW34" s="809"/>
      <c r="BX34" s="809"/>
      <c r="BY34" s="809"/>
      <c r="BZ34" s="809"/>
      <c r="CA34" s="809"/>
      <c r="CB34" s="809"/>
      <c r="CC34" s="809"/>
      <c r="CD34" s="809"/>
      <c r="CE34" s="809"/>
      <c r="CF34" s="809"/>
      <c r="CG34" s="809"/>
      <c r="CH34" s="809"/>
      <c r="CI34" s="809"/>
      <c r="CJ34" s="809"/>
      <c r="CK34" s="809"/>
      <c r="CL34" s="809"/>
      <c r="CM34" s="809"/>
      <c r="CN34" s="809"/>
      <c r="CO34" s="809"/>
      <c r="CP34" s="809"/>
      <c r="CQ34" s="809"/>
      <c r="CR34" s="809"/>
      <c r="CS34" s="809"/>
      <c r="CT34" s="809"/>
      <c r="CU34" s="809"/>
      <c r="CV34" s="809"/>
      <c r="CW34" s="809"/>
      <c r="CX34" s="809"/>
      <c r="CY34" s="809"/>
      <c r="CZ34" s="809"/>
      <c r="DA34" s="809"/>
      <c r="DB34" s="809"/>
      <c r="DC34" s="809"/>
      <c r="DD34" s="809"/>
      <c r="DE34" s="809"/>
      <c r="DF34" s="809"/>
      <c r="DG34" s="809"/>
      <c r="DH34" s="809"/>
      <c r="DI34" s="809"/>
      <c r="DJ34" s="809"/>
      <c r="DK34" s="809"/>
      <c r="DL34" s="809"/>
      <c r="DM34" s="809"/>
      <c r="DN34" s="809"/>
      <c r="DO34" s="809"/>
      <c r="DP34" s="809"/>
      <c r="DQ34" s="809"/>
      <c r="DR34" s="809"/>
      <c r="DS34" s="809"/>
      <c r="DT34" s="809"/>
      <c r="DU34" s="809"/>
      <c r="DV34" s="809"/>
      <c r="DW34" s="809"/>
      <c r="DX34" s="809"/>
      <c r="DY34" s="809"/>
      <c r="DZ34" s="809"/>
      <c r="EA34" s="809"/>
      <c r="EB34" s="809"/>
      <c r="EC34" s="809"/>
      <c r="ED34" s="809"/>
      <c r="EE34" s="809"/>
      <c r="EF34" s="809"/>
      <c r="EG34" s="809"/>
      <c r="EH34" s="809"/>
      <c r="EI34" s="809"/>
      <c r="EJ34" s="809"/>
      <c r="EK34" s="809"/>
      <c r="EL34" s="809"/>
      <c r="EM34" s="809"/>
      <c r="EN34" s="809"/>
      <c r="EO34" s="809"/>
      <c r="EP34" s="809"/>
      <c r="EQ34" s="809"/>
      <c r="ER34" s="809"/>
      <c r="ES34" s="809"/>
      <c r="ET34" s="809"/>
      <c r="EU34" s="809"/>
      <c r="EV34" s="809"/>
      <c r="EW34" s="809"/>
      <c r="EX34" s="809"/>
      <c r="EY34" s="809"/>
      <c r="EZ34" s="809"/>
      <c r="FA34" s="809"/>
      <c r="FB34" s="809"/>
      <c r="FC34" s="809"/>
      <c r="FD34" s="809"/>
      <c r="FE34" s="809"/>
      <c r="FF34" s="809"/>
      <c r="FG34" s="809"/>
      <c r="FH34" s="809"/>
      <c r="FI34" s="809"/>
      <c r="FJ34" s="809"/>
      <c r="FK34" s="809"/>
      <c r="FL34" s="809"/>
      <c r="FM34" s="809"/>
      <c r="FN34" s="809"/>
      <c r="FO34" s="809"/>
      <c r="FP34" s="809"/>
      <c r="FQ34" s="809"/>
      <c r="FR34" s="809"/>
      <c r="FS34" s="809"/>
      <c r="FT34" s="809"/>
      <c r="FU34" s="809"/>
      <c r="FV34" s="809"/>
      <c r="FW34" s="809"/>
      <c r="FX34" s="809"/>
      <c r="FY34" s="809"/>
      <c r="FZ34" s="809"/>
      <c r="GA34" s="809"/>
      <c r="GB34" s="809"/>
      <c r="GC34" s="809"/>
      <c r="GD34" s="809"/>
      <c r="GE34" s="809"/>
      <c r="GF34" s="809"/>
      <c r="GG34" s="809"/>
      <c r="GH34" s="809"/>
      <c r="GI34" s="809"/>
      <c r="GJ34" s="809"/>
      <c r="GK34" s="809"/>
      <c r="GL34" s="809"/>
      <c r="GM34" s="809"/>
      <c r="GN34" s="809"/>
      <c r="GO34" s="809"/>
      <c r="GP34" s="809"/>
      <c r="GQ34" s="809"/>
      <c r="GR34" s="809"/>
      <c r="GS34" s="809"/>
      <c r="GT34" s="809"/>
      <c r="GU34" s="809"/>
      <c r="GV34" s="809"/>
      <c r="GW34" s="809"/>
      <c r="GX34" s="809"/>
      <c r="GY34" s="809"/>
      <c r="GZ34" s="809"/>
      <c r="HA34" s="809"/>
      <c r="HB34" s="809"/>
      <c r="HC34" s="809"/>
      <c r="HD34" s="809"/>
      <c r="HE34" s="809"/>
      <c r="HF34" s="809"/>
      <c r="HG34" s="809"/>
      <c r="HH34" s="809"/>
      <c r="HI34" s="809"/>
      <c r="HJ34" s="809"/>
      <c r="HK34" s="809"/>
      <c r="HL34" s="809"/>
      <c r="HM34" s="809"/>
      <c r="HN34" s="809"/>
      <c r="HO34" s="809"/>
      <c r="HP34" s="809"/>
      <c r="HQ34" s="809"/>
      <c r="HR34" s="809"/>
      <c r="HS34" s="809"/>
      <c r="HT34" s="809"/>
      <c r="HU34" s="809"/>
      <c r="HV34" s="809"/>
      <c r="HW34" s="809"/>
      <c r="HX34" s="809"/>
      <c r="HY34" s="809"/>
      <c r="HZ34" s="809"/>
      <c r="IA34" s="809"/>
      <c r="IB34" s="809"/>
      <c r="IC34" s="809"/>
      <c r="ID34" s="809"/>
      <c r="IE34" s="809"/>
      <c r="IF34" s="809"/>
      <c r="IG34" s="809"/>
      <c r="IH34" s="809"/>
      <c r="II34" s="809"/>
      <c r="IJ34" s="809"/>
      <c r="IK34" s="809"/>
      <c r="IL34" s="809"/>
      <c r="IM34" s="809"/>
      <c r="IN34" s="809"/>
      <c r="IO34" s="809"/>
      <c r="IP34" s="809"/>
      <c r="IQ34" s="809"/>
      <c r="IR34" s="809"/>
      <c r="IS34" s="809"/>
      <c r="IT34" s="809"/>
      <c r="IU34" s="809"/>
      <c r="IV34" s="809"/>
      <c r="IW34" s="809"/>
    </row>
    <row r="35" customFormat="false" ht="12.75" hidden="false" customHeight="false" outlineLevel="0" collapsed="false">
      <c r="E35" s="42" t="n">
        <v>160</v>
      </c>
      <c r="F35" s="46" t="n">
        <f aca="false">8*1874</f>
        <v>14992</v>
      </c>
      <c r="G35" s="46" t="n">
        <f aca="false">$B$21*$B$23*($B$20*(1+$B$19))</f>
        <v>0</v>
      </c>
      <c r="H35" s="46" t="n">
        <f aca="false">G35+F35</f>
        <v>14992</v>
      </c>
      <c r="I35" s="939" t="n">
        <f aca="false">G35/H35</f>
        <v>0</v>
      </c>
      <c r="J35" s="940" t="n">
        <f aca="false">1-I35</f>
        <v>1</v>
      </c>
    </row>
    <row r="36" customFormat="false" ht="12.75" hidden="false" customHeight="false" outlineLevel="0" collapsed="false">
      <c r="E36" s="42" t="n">
        <v>170</v>
      </c>
      <c r="F36" s="46" t="n">
        <f aca="false">8*1874</f>
        <v>14992</v>
      </c>
      <c r="G36" s="46" t="n">
        <f aca="false">$B$21*$B$23*($B$20*(1+$B$19))</f>
        <v>0</v>
      </c>
      <c r="H36" s="46" t="n">
        <f aca="false">G36+F36</f>
        <v>14992</v>
      </c>
      <c r="I36" s="939" t="n">
        <f aca="false">G36/H36</f>
        <v>0</v>
      </c>
      <c r="J36" s="940" t="n">
        <f aca="false">1-I36</f>
        <v>1</v>
      </c>
    </row>
    <row r="37" customFormat="false" ht="12.75" hidden="false" customHeight="false" outlineLevel="0" collapsed="false">
      <c r="E37" s="42" t="n">
        <v>180</v>
      </c>
      <c r="F37" s="46" t="n">
        <f aca="false">8*2580</f>
        <v>20640</v>
      </c>
      <c r="G37" s="46" t="n">
        <f aca="false">$B$21*$B$23*($B$20*(1+$B$19))</f>
        <v>0</v>
      </c>
      <c r="H37" s="46" t="n">
        <f aca="false">G37+F37</f>
        <v>20640</v>
      </c>
      <c r="I37" s="939" t="n">
        <f aca="false">G37/H37</f>
        <v>0</v>
      </c>
      <c r="J37" s="940" t="n">
        <f aca="false">1-I37</f>
        <v>1</v>
      </c>
    </row>
    <row r="38" customFormat="false" ht="12.75" hidden="false" customHeight="false" outlineLevel="0" collapsed="false">
      <c r="E38" s="42" t="n">
        <v>190</v>
      </c>
      <c r="F38" s="46" t="n">
        <f aca="false">8*2580</f>
        <v>20640</v>
      </c>
      <c r="G38" s="46" t="n">
        <f aca="false">$B$21*$B$23*($B$20*(1+$B$19))</f>
        <v>0</v>
      </c>
      <c r="H38" s="46" t="n">
        <f aca="false">G38+F38</f>
        <v>20640</v>
      </c>
      <c r="I38" s="939" t="n">
        <f aca="false">G38/H38</f>
        <v>0</v>
      </c>
      <c r="J38" s="940" t="n">
        <f aca="false">1-I38</f>
        <v>1</v>
      </c>
    </row>
    <row r="39" customFormat="false" ht="12.75" hidden="false" customHeight="false" outlineLevel="0" collapsed="false">
      <c r="E39" s="42" t="n">
        <v>200</v>
      </c>
      <c r="F39" s="46" t="n">
        <f aca="false">8*2580</f>
        <v>20640</v>
      </c>
      <c r="G39" s="46" t="n">
        <f aca="false">$B$21*$B$23*($B$20*(1+$B$19))</f>
        <v>0</v>
      </c>
      <c r="H39" s="46" t="n">
        <f aca="false">G39+F39</f>
        <v>20640</v>
      </c>
      <c r="I39" s="939" t="n">
        <f aca="false">G39/H39</f>
        <v>0</v>
      </c>
      <c r="J39" s="940" t="n">
        <f aca="false">1-I39</f>
        <v>1</v>
      </c>
    </row>
    <row r="40" customFormat="false" ht="12.75" hidden="false" customHeight="false" outlineLevel="0" collapsed="false">
      <c r="E40" s="42" t="n">
        <v>210</v>
      </c>
      <c r="F40" s="46" t="n">
        <f aca="false">8*2580</f>
        <v>20640</v>
      </c>
      <c r="G40" s="46" t="n">
        <f aca="false">$B$21*$B$23*($B$20*(1+$B$19))</f>
        <v>0</v>
      </c>
      <c r="H40" s="46" t="n">
        <f aca="false">G40+F40</f>
        <v>20640</v>
      </c>
      <c r="I40" s="939" t="n">
        <f aca="false">G40/H40</f>
        <v>0</v>
      </c>
      <c r="J40" s="940" t="n">
        <f aca="false">1-I40</f>
        <v>1</v>
      </c>
    </row>
    <row r="41" customFormat="false" ht="12.75" hidden="false" customHeight="false" outlineLevel="0" collapsed="false">
      <c r="E41" s="42" t="n">
        <v>220</v>
      </c>
      <c r="F41" s="46" t="n">
        <f aca="false">8*2580</f>
        <v>20640</v>
      </c>
      <c r="G41" s="46" t="n">
        <f aca="false">$B$21*$B$23*($B$20*(1+$B$19))</f>
        <v>0</v>
      </c>
      <c r="H41" s="46" t="n">
        <f aca="false">G41+F41</f>
        <v>20640</v>
      </c>
      <c r="I41" s="939" t="n">
        <f aca="false">G41/H41</f>
        <v>0</v>
      </c>
      <c r="J41" s="940" t="n">
        <f aca="false">1-I41</f>
        <v>1</v>
      </c>
    </row>
    <row r="42" customFormat="false" ht="12.75" hidden="false" customHeight="false" outlineLevel="0" collapsed="false">
      <c r="E42" s="42" t="n">
        <v>230</v>
      </c>
      <c r="F42" s="46" t="n">
        <f aca="false">8*2580</f>
        <v>20640</v>
      </c>
      <c r="G42" s="46" t="n">
        <f aca="false">$B$21*$B$23*($B$20*(1+$B$19))</f>
        <v>0</v>
      </c>
      <c r="H42" s="46" t="n">
        <f aca="false">G42+F42</f>
        <v>20640</v>
      </c>
      <c r="I42" s="939" t="n">
        <f aca="false">G42/H42</f>
        <v>0</v>
      </c>
      <c r="J42" s="940" t="n">
        <f aca="false">1-I42</f>
        <v>1</v>
      </c>
    </row>
    <row r="43" customFormat="false" ht="12.75" hidden="false" customHeight="false" outlineLevel="0" collapsed="false">
      <c r="E43" s="42" t="n">
        <v>240</v>
      </c>
      <c r="F43" s="46" t="n">
        <f aca="false">8*3137</f>
        <v>25096</v>
      </c>
      <c r="G43" s="46" t="n">
        <f aca="false">$B$21*$B$23*($B$20*(1+$B$19))</f>
        <v>0</v>
      </c>
      <c r="H43" s="46" t="n">
        <f aca="false">G43+F43</f>
        <v>25096</v>
      </c>
      <c r="I43" s="939" t="n">
        <f aca="false">G43/H43</f>
        <v>0</v>
      </c>
      <c r="J43" s="940" t="n">
        <f aca="false">1-I43</f>
        <v>1</v>
      </c>
    </row>
    <row r="44" customFormat="false" ht="12.75" hidden="false" customHeight="false" outlineLevel="0" collapsed="false">
      <c r="E44" s="943" t="n">
        <v>250</v>
      </c>
      <c r="F44" s="944" t="n">
        <f aca="false">8*3137</f>
        <v>25096</v>
      </c>
      <c r="G44" s="944" t="n">
        <f aca="false">$B$21*$B$23*($B$20*(1+$B$19))</f>
        <v>0</v>
      </c>
      <c r="H44" s="944" t="n">
        <f aca="false">G44+F44</f>
        <v>25096</v>
      </c>
      <c r="I44" s="945" t="n">
        <f aca="false">G44/H44</f>
        <v>0</v>
      </c>
      <c r="J44" s="946" t="n">
        <f aca="false">1-I44</f>
        <v>1</v>
      </c>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76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28125" defaultRowHeight="11.25" customHeight="true" zeroHeight="false" outlineLevelRow="0" outlineLevelCol="0"/>
  <cols>
    <col collapsed="false" customWidth="true" hidden="false" outlineLevel="0" max="1" min="1" style="1" width="37.99"/>
    <col collapsed="false" customWidth="true" hidden="false" outlineLevel="0" max="2" min="2" style="2" width="10.13"/>
    <col collapsed="false" customWidth="true" hidden="false" outlineLevel="0" max="3" min="3" style="1" width="10.28"/>
    <col collapsed="false" customWidth="true" hidden="false" outlineLevel="0" max="4" min="4" style="3" width="10.28"/>
    <col collapsed="false" customWidth="true" hidden="false" outlineLevel="0" max="19" min="5" style="1" width="10.28"/>
    <col collapsed="false" customWidth="false" hidden="false" outlineLevel="0" max="25" min="20" style="1" width="9.28"/>
    <col collapsed="false" customWidth="false" hidden="false" outlineLevel="0" max="257" min="26" style="4" width="9.28"/>
  </cols>
  <sheetData>
    <row r="1" customFormat="false" ht="18.75" hidden="false" customHeight="false" outlineLevel="0" collapsed="false">
      <c r="A1" s="5" t="str">
        <f aca="false">'PPA Assumptions &amp;Summary'!A1</f>
        <v>WILTON CENTER, Will County, IL</v>
      </c>
    </row>
    <row r="2" customFormat="false" ht="19.5" hidden="false" customHeight="false" outlineLevel="0" collapsed="false">
      <c r="A2" s="6" t="s">
        <v>0</v>
      </c>
      <c r="B2" s="7"/>
    </row>
    <row r="3" customFormat="false" ht="40.5" hidden="false" customHeight="true" outlineLevel="0" collapsed="false">
      <c r="A3" s="8" t="s">
        <v>1</v>
      </c>
      <c r="B3" s="7"/>
    </row>
    <row r="4" customFormat="false" ht="11.25" hidden="false" customHeight="false" outlineLevel="0" collapsed="false">
      <c r="A4" s="9" t="s">
        <v>2</v>
      </c>
      <c r="B4" s="10" t="n">
        <f aca="false">'Project Assumptions'!I68</f>
        <v>36647.8955151645</v>
      </c>
      <c r="C4" s="11"/>
      <c r="D4" s="11"/>
      <c r="E4" s="11"/>
      <c r="F4" s="11"/>
      <c r="G4" s="11"/>
      <c r="H4" s="11"/>
      <c r="I4" s="11"/>
      <c r="J4" s="11"/>
      <c r="K4" s="11"/>
      <c r="L4" s="11"/>
      <c r="M4" s="11"/>
      <c r="N4" s="11"/>
      <c r="O4" s="11"/>
      <c r="P4" s="11"/>
      <c r="Q4" s="11"/>
      <c r="R4" s="11"/>
      <c r="S4" s="11"/>
      <c r="T4" s="11"/>
      <c r="U4" s="11"/>
      <c r="V4" s="11"/>
    </row>
    <row r="5" customFormat="false" ht="11.25" hidden="false" customHeight="false" outlineLevel="0" collapsed="false">
      <c r="A5" s="12" t="s">
        <v>3</v>
      </c>
      <c r="B5" s="13" t="n">
        <f aca="false">'Project Assumptions'!G68</f>
        <v>78518.858230404</v>
      </c>
      <c r="C5" s="11"/>
      <c r="D5" s="11"/>
      <c r="E5" s="11"/>
      <c r="F5" s="11"/>
      <c r="G5" s="11"/>
      <c r="H5" s="11"/>
      <c r="I5" s="11"/>
      <c r="J5" s="11"/>
      <c r="K5" s="11"/>
      <c r="L5" s="11"/>
      <c r="M5" s="11"/>
      <c r="N5" s="11"/>
      <c r="O5" s="11"/>
      <c r="P5" s="11"/>
      <c r="Q5" s="11"/>
      <c r="R5" s="11"/>
      <c r="S5" s="11"/>
      <c r="T5" s="11"/>
      <c r="U5" s="11"/>
      <c r="V5" s="11"/>
    </row>
    <row r="6" customFormat="false" ht="11.25" hidden="false" customHeight="false" outlineLevel="0" collapsed="false">
      <c r="A6" s="14" t="s">
        <v>4</v>
      </c>
      <c r="B6" s="15" t="s">
        <v>5</v>
      </c>
      <c r="C6" s="15" t="s">
        <v>6</v>
      </c>
      <c r="D6" s="16" t="n">
        <f aca="false">'PPA Assumptions &amp;Summary'!C4</f>
        <v>2000</v>
      </c>
      <c r="E6" s="17" t="n">
        <f aca="false">'PPA Assumptions &amp;Summary'!D4</f>
        <v>2001</v>
      </c>
      <c r="F6" s="17" t="n">
        <f aca="false">'PPA Assumptions &amp;Summary'!E4</f>
        <v>2002</v>
      </c>
      <c r="G6" s="17" t="n">
        <f aca="false">'PPA Assumptions &amp;Summary'!F4</f>
        <v>2003</v>
      </c>
      <c r="H6" s="17" t="n">
        <f aca="false">'PPA Assumptions &amp;Summary'!G4</f>
        <v>2004</v>
      </c>
      <c r="I6" s="17" t="n">
        <f aca="false">'PPA Assumptions &amp;Summary'!H4</f>
        <v>2005</v>
      </c>
      <c r="J6" s="17" t="n">
        <f aca="false">'PPA Assumptions &amp;Summary'!I4</f>
        <v>2006</v>
      </c>
      <c r="K6" s="17" t="n">
        <f aca="false">'PPA Assumptions &amp;Summary'!J4</f>
        <v>2007</v>
      </c>
      <c r="L6" s="17" t="n">
        <f aca="false">'PPA Assumptions &amp;Summary'!K4</f>
        <v>2008</v>
      </c>
      <c r="M6" s="17" t="n">
        <f aca="false">'PPA Assumptions &amp;Summary'!L4</f>
        <v>2009</v>
      </c>
      <c r="N6" s="18" t="n">
        <f aca="false">'PPA Assumptions &amp;Summary'!M4</f>
        <v>2010</v>
      </c>
      <c r="O6" s="11" t="n">
        <f aca="false">'PPA Assumptions &amp;Summary'!N4</f>
        <v>2011</v>
      </c>
      <c r="P6" s="11" t="n">
        <f aca="false">'PPA Assumptions &amp;Summary'!O4</f>
        <v>2012</v>
      </c>
      <c r="Q6" s="11" t="n">
        <f aca="false">'PPA Assumptions &amp;Summary'!P4</f>
        <v>2013</v>
      </c>
      <c r="R6" s="11" t="n">
        <f aca="false">'PPA Assumptions &amp;Summary'!Q4</f>
        <v>2014</v>
      </c>
      <c r="S6" s="11" t="n">
        <f aca="false">'PPA Assumptions &amp;Summary'!R4</f>
        <v>2015</v>
      </c>
      <c r="T6" s="11" t="n">
        <f aca="false">'PPA Assumptions &amp;Summary'!S4</f>
        <v>2016</v>
      </c>
      <c r="U6" s="11" t="n">
        <f aca="false">'PPA Assumptions &amp;Summary'!T4</f>
        <v>2017</v>
      </c>
      <c r="V6" s="11" t="n">
        <f aca="false">'PPA Assumptions &amp;Summary'!U4</f>
        <v>2018</v>
      </c>
      <c r="W6" s="11" t="n">
        <f aca="false">'PPA Assumptions &amp;Summary'!V4</f>
        <v>2019</v>
      </c>
      <c r="X6" s="11" t="n">
        <f aca="false">'PPA Assumptions &amp;Summary'!W4</f>
        <v>2020</v>
      </c>
      <c r="Y6" s="11" t="n">
        <f aca="false">'PPA Assumptions &amp;Summary'!X4</f>
        <v>2021</v>
      </c>
    </row>
    <row r="7" customFormat="false" ht="11.25" hidden="false" customHeight="false" outlineLevel="0" collapsed="false">
      <c r="A7" s="14" t="s">
        <v>7</v>
      </c>
      <c r="B7" s="19" t="n">
        <f aca="false">NPV(0.1,D7:Y7)</f>
        <v>587133.411132182</v>
      </c>
      <c r="C7" s="19" t="n">
        <v>0</v>
      </c>
      <c r="D7" s="20" t="n">
        <f aca="false">'Book Income Statement'!D18</f>
        <v>41364.1276</v>
      </c>
      <c r="E7" s="21" t="n">
        <f aca="false">'Book Income Statement'!E18</f>
        <v>53599.168868</v>
      </c>
      <c r="F7" s="21" t="n">
        <f aca="false">'Book Income Statement'!F18</f>
        <v>53676.46137404</v>
      </c>
      <c r="G7" s="21" t="n">
        <f aca="false">'Book Income Statement'!G18</f>
        <v>65143.1014397198</v>
      </c>
      <c r="H7" s="21" t="n">
        <f aca="false">'Book Income Statement'!H18</f>
        <v>73806.6892850544</v>
      </c>
      <c r="I7" s="21" t="n">
        <f aca="false">'Book Income Statement'!I18</f>
        <v>75317.217318826</v>
      </c>
      <c r="J7" s="21" t="n">
        <f aca="false">'Book Income Statement'!J18</f>
        <v>75252.7853412367</v>
      </c>
      <c r="K7" s="21" t="n">
        <f aca="false">'Book Income Statement'!K18</f>
        <v>75972.2541927211</v>
      </c>
      <c r="L7" s="21" t="n">
        <f aca="false">'Book Income Statement'!L18</f>
        <v>76688.2738478309</v>
      </c>
      <c r="M7" s="21" t="n">
        <f aca="false">'Book Income Statement'!M18</f>
        <v>77399.9898328172</v>
      </c>
      <c r="N7" s="22" t="n">
        <f aca="false">'Book Income Statement'!N18</f>
        <v>78106.4995097831</v>
      </c>
      <c r="O7" s="23" t="n">
        <f aca="false">'Book Income Statement'!O18</f>
        <v>78806.8499558608</v>
      </c>
      <c r="P7" s="23" t="n">
        <f aca="false">'Book Income Statement'!P18</f>
        <v>79500.0357584877</v>
      </c>
      <c r="Q7" s="23" t="n">
        <f aca="false">'Book Income Statement'!Q18</f>
        <v>80184.9967236554</v>
      </c>
      <c r="R7" s="23" t="n">
        <f aca="false">'Book Income Statement'!R18</f>
        <v>80860.6154938939</v>
      </c>
      <c r="S7" s="23" t="n">
        <f aca="false">'Book Income Statement'!S18</f>
        <v>81525.7150726388</v>
      </c>
      <c r="T7" s="23" t="n">
        <f aca="false">'Book Income Statement'!T18</f>
        <v>82179.0562515073</v>
      </c>
      <c r="U7" s="23" t="n">
        <f aca="false">'Book Income Statement'!U18</f>
        <v>82819.3349368859</v>
      </c>
      <c r="V7" s="23" t="n">
        <f aca="false">'Book Income Statement'!V18</f>
        <v>83445.1793721043</v>
      </c>
      <c r="W7" s="23" t="n">
        <f aca="false">'Book Income Statement'!W18</f>
        <v>82865.4323941846</v>
      </c>
      <c r="X7" s="23" t="n">
        <f aca="false">'Book Income Statement'!X18</f>
        <v>35526.3023726025</v>
      </c>
      <c r="Y7" s="23" t="n">
        <f aca="false">'Book Income Statement'!Y18</f>
        <v>0</v>
      </c>
    </row>
    <row r="8" customFormat="false" ht="11.25" hidden="false" customHeight="false" outlineLevel="0" collapsed="false">
      <c r="A8" s="24" t="s">
        <v>8</v>
      </c>
      <c r="B8" s="19" t="n">
        <f aca="false">NPV(0.1,D8:Y8)</f>
        <v>254857.050690902</v>
      </c>
      <c r="C8" s="19" t="n">
        <v>0</v>
      </c>
      <c r="D8" s="20" t="n">
        <f aca="false">'Book Income Statement'!D62</f>
        <v>26210.0861897371</v>
      </c>
      <c r="E8" s="21" t="n">
        <f aca="false">'Book Income Statement'!E62</f>
        <v>27281.2941147838</v>
      </c>
      <c r="F8" s="21" t="n">
        <f aca="false">'Book Income Statement'!F62</f>
        <v>27431.9090467068</v>
      </c>
      <c r="G8" s="21" t="n">
        <f aca="false">'Book Income Statement'!G62</f>
        <v>28988.8688180517</v>
      </c>
      <c r="H8" s="21" t="n">
        <f aca="false">'Book Income Statement'!H62</f>
        <v>29966.2932664393</v>
      </c>
      <c r="I8" s="21" t="n">
        <f aca="false">'Book Income Statement'!I62</f>
        <v>30107.4336646501</v>
      </c>
      <c r="J8" s="21" t="n">
        <f aca="false">'Book Income Statement'!J62</f>
        <v>30296.0520858048</v>
      </c>
      <c r="K8" s="21" t="n">
        <f aca="false">'Book Income Statement'!K62</f>
        <v>30490.3290595942</v>
      </c>
      <c r="L8" s="21" t="n">
        <f aca="false">'Book Income Statement'!L62</f>
        <v>30690.4343425972</v>
      </c>
      <c r="M8" s="21" t="n">
        <f aca="false">'Book Income Statement'!M62</f>
        <v>30854.5585015684</v>
      </c>
      <c r="N8" s="22" t="n">
        <f aca="false">'Book Income Statement'!N62</f>
        <v>31066.8501963063</v>
      </c>
      <c r="O8" s="23" t="n">
        <f aca="false">'Book Income Statement'!O62</f>
        <v>31285.5106418863</v>
      </c>
      <c r="P8" s="23" t="n">
        <f aca="false">'Book Income Statement'!P62</f>
        <v>31510.7309008338</v>
      </c>
      <c r="Q8" s="23" t="n">
        <f aca="false">'Book Income Statement'!Q62</f>
        <v>31700.7234850278</v>
      </c>
      <c r="R8" s="23" t="n">
        <f aca="false">'Book Income Statement'!R62</f>
        <v>31939.6596577451</v>
      </c>
      <c r="S8" s="23" t="n">
        <f aca="false">'Book Income Statement'!S62</f>
        <v>32185.763915644</v>
      </c>
      <c r="T8" s="23" t="n">
        <f aca="false">'Book Income Statement'!T62</f>
        <v>32439.2513012798</v>
      </c>
      <c r="U8" s="23" t="n">
        <f aca="false">'Book Income Statement'!U62</f>
        <v>32658.3590259628</v>
      </c>
      <c r="V8" s="23" t="n">
        <f aca="false">'Book Income Statement'!V62</f>
        <v>32927.2837933838</v>
      </c>
      <c r="W8" s="23" t="n">
        <f aca="false">'Book Income Statement'!W62</f>
        <v>33204.2763038275</v>
      </c>
      <c r="X8" s="23" t="n">
        <f aca="false">'Book Income Statement'!X62</f>
        <v>16244.4276600361</v>
      </c>
      <c r="Y8" s="23" t="n">
        <f aca="false">'Book Income Statement'!Y62</f>
        <v>0</v>
      </c>
    </row>
    <row r="9" customFormat="false" ht="11.25" hidden="false" customHeight="false" outlineLevel="0" collapsed="false">
      <c r="A9" s="24" t="s">
        <v>9</v>
      </c>
      <c r="B9" s="19" t="n">
        <f aca="false">NPV(0.1,D9:Y9)</f>
        <v>113129.257666805</v>
      </c>
      <c r="C9" s="19" t="n">
        <v>0</v>
      </c>
      <c r="D9" s="20" t="n">
        <f aca="false">'Book Income Statement'!D77</f>
        <v>-2413.21209469624</v>
      </c>
      <c r="E9" s="21" t="n">
        <f aca="false">'Book Income Statement'!E77</f>
        <v>3082.92820937433</v>
      </c>
      <c r="F9" s="21" t="n">
        <f aca="false">'Book Income Statement'!F77</f>
        <v>3338.33394879045</v>
      </c>
      <c r="G9" s="21" t="n">
        <f aca="false">'Book Income Statement'!G77</f>
        <v>9816.32367864604</v>
      </c>
      <c r="H9" s="21" t="n">
        <f aca="false">'Book Income Statement'!H77</f>
        <v>15060.2809245398</v>
      </c>
      <c r="I9" s="21" t="n">
        <f aca="false">'Book Income Statement'!I77</f>
        <v>16351.5161271686</v>
      </c>
      <c r="J9" s="21" t="n">
        <f aca="false">'Book Income Statement'!J77</f>
        <v>16620.5987683187</v>
      </c>
      <c r="K9" s="21" t="n">
        <f aca="false">'Book Income Statement'!K77</f>
        <v>17336.2266006256</v>
      </c>
      <c r="L9" s="21" t="n">
        <f aca="false">'Book Income Statement'!L77</f>
        <v>18046.1870680178</v>
      </c>
      <c r="M9" s="21" t="n">
        <f aca="false">'Book Income Statement'!M77</f>
        <v>19024.0001858759</v>
      </c>
      <c r="N9" s="22" t="n">
        <f aca="false">'Book Income Statement'!N77</f>
        <v>20142.2267080148</v>
      </c>
      <c r="O9" s="23" t="n">
        <f aca="false">'Book Income Statement'!O77</f>
        <v>20631.5457597937</v>
      </c>
      <c r="P9" s="23" t="n">
        <f aca="false">'Book Income Statement'!P77</f>
        <v>21161.248004941</v>
      </c>
      <c r="Q9" s="23" t="n">
        <f aca="false">'Book Income Statement'!Q77</f>
        <v>21707.4455171858</v>
      </c>
      <c r="R9" s="23" t="n">
        <f aca="false">'Book Income Statement'!R77</f>
        <v>22218.0378981786</v>
      </c>
      <c r="S9" s="23" t="n">
        <f aca="false">'Book Income Statement'!S77</f>
        <v>22717.825623727</v>
      </c>
      <c r="T9" s="23" t="n">
        <f aca="false">'Book Income Statement'!T77</f>
        <v>23205.9203331973</v>
      </c>
      <c r="U9" s="23" t="n">
        <f aca="false">'Book Income Statement'!U77</f>
        <v>23950.8724684318</v>
      </c>
      <c r="V9" s="23" t="n">
        <f aca="false">'Book Income Statement'!V77</f>
        <v>24754.1094611796</v>
      </c>
      <c r="W9" s="23" t="n">
        <f aca="false">'Book Income Statement'!W77</f>
        <v>24962.2577368288</v>
      </c>
      <c r="X9" s="23" t="n">
        <f aca="false">'Book Income Statement'!X77</f>
        <v>7233.45702356724</v>
      </c>
      <c r="Y9" s="23" t="n">
        <f aca="false">'Book Income Statement'!Y77</f>
        <v>0</v>
      </c>
    </row>
    <row r="10" customFormat="false" ht="11.25" hidden="false" customHeight="false" outlineLevel="0" collapsed="false">
      <c r="A10" s="24" t="s">
        <v>10</v>
      </c>
      <c r="B10" s="19" t="n">
        <f aca="false">NPV(0.1,D10:Y10)</f>
        <v>124915.639324131</v>
      </c>
      <c r="C10" s="19" t="n">
        <v>0</v>
      </c>
      <c r="D10" s="25" t="n">
        <f aca="false">'Cash Flow Statement'!D23</f>
        <v>-6468.42515109317</v>
      </c>
      <c r="E10" s="26" t="n">
        <f aca="false">'Cash Flow Statement'!E23</f>
        <v>5559.07881263144</v>
      </c>
      <c r="F10" s="26" t="n">
        <f aca="false">'Cash Flow Statement'!F23</f>
        <v>3261.90558142484</v>
      </c>
      <c r="G10" s="26" t="n">
        <f aca="false">'Cash Flow Statement'!G23</f>
        <v>11278.4644544389</v>
      </c>
      <c r="H10" s="26" t="n">
        <f aca="false">'Cash Flow Statement'!H23</f>
        <v>25387.1243188477</v>
      </c>
      <c r="I10" s="26" t="n">
        <f aca="false">'Cash Flow Statement'!I23</f>
        <v>24618.6983083578</v>
      </c>
      <c r="J10" s="26" t="n">
        <f aca="false">'Cash Flow Statement'!J23</f>
        <v>18637.6261096789</v>
      </c>
      <c r="K10" s="26" t="n">
        <f aca="false">'Cash Flow Statement'!K23</f>
        <v>19363.2152203354</v>
      </c>
      <c r="L10" s="26" t="n">
        <f aca="false">'Cash Flow Statement'!L23</f>
        <v>14622.214409378</v>
      </c>
      <c r="M10" s="26" t="n">
        <f aca="false">'Cash Flow Statement'!M23</f>
        <v>11859.3645230637</v>
      </c>
      <c r="N10" s="27" t="n">
        <f aca="false">'Cash Flow Statement'!N23</f>
        <v>26612.114049375</v>
      </c>
      <c r="O10" s="23" t="n">
        <f aca="false">'Cash Flow Statement'!O23</f>
        <v>26123.2543795034</v>
      </c>
      <c r="P10" s="23" t="n">
        <f aca="false">'Cash Flow Statement'!P23</f>
        <v>26642.9953463012</v>
      </c>
      <c r="Q10" s="23" t="n">
        <f aca="false">'Cash Flow Statement'!Q23</f>
        <v>27157.1698543737</v>
      </c>
      <c r="R10" s="23" t="n">
        <f aca="false">'Cash Flow Statement'!R23</f>
        <v>27699.7852395388</v>
      </c>
      <c r="S10" s="23" t="n">
        <f aca="false">'Cash Flow Statement'!S23</f>
        <v>25260.9958519794</v>
      </c>
      <c r="T10" s="23" t="n">
        <f aca="false">'Cash Flow Statement'!T23</f>
        <v>17869.8134483419</v>
      </c>
      <c r="U10" s="23" t="n">
        <f aca="false">'Cash Flow Statement'!U23</f>
        <v>16596.5013010546</v>
      </c>
      <c r="V10" s="23" t="n">
        <f aca="false">'Cash Flow Statement'!V23</f>
        <v>14477.3025763242</v>
      </c>
      <c r="W10" s="23" t="n">
        <f aca="false">'Cash Flow Statement'!W23</f>
        <v>12709.1708519734</v>
      </c>
      <c r="X10" s="23" t="n">
        <f aca="false">'Cash Flow Statement'!X23</f>
        <v>11778.7501387118</v>
      </c>
      <c r="Y10" s="23" t="n">
        <f aca="false">'Cash Flow Statement'!Y23</f>
        <v>0</v>
      </c>
    </row>
    <row r="11" customFormat="false" ht="11.25" hidden="false" customHeight="false" outlineLevel="0" collapsed="false">
      <c r="A11" s="28"/>
      <c r="B11" s="7"/>
      <c r="D11" s="1"/>
      <c r="E11" s="3"/>
    </row>
    <row r="12" customFormat="false" ht="11.25" hidden="false" customHeight="false" outlineLevel="0" collapsed="false">
      <c r="A12" s="28" t="s">
        <v>11</v>
      </c>
      <c r="B12" s="7"/>
      <c r="D12" s="1"/>
      <c r="E12" s="3"/>
    </row>
    <row r="13" customFormat="false" ht="11.25" hidden="false" customHeight="false" outlineLevel="0" collapsed="false">
      <c r="D13" s="1"/>
      <c r="E13" s="3"/>
    </row>
    <row r="14" customFormat="false" ht="11.25" hidden="false" customHeight="false" outlineLevel="0" collapsed="false">
      <c r="A14" s="9" t="s">
        <v>2</v>
      </c>
      <c r="B14" s="10" t="n">
        <v>55212.3446820289</v>
      </c>
      <c r="D14" s="11"/>
      <c r="E14" s="11"/>
      <c r="F14" s="11"/>
      <c r="G14" s="11"/>
      <c r="H14" s="11"/>
      <c r="I14" s="11"/>
      <c r="J14" s="11"/>
      <c r="K14" s="11"/>
      <c r="L14" s="11"/>
      <c r="M14" s="11"/>
      <c r="N14" s="11"/>
      <c r="O14" s="11"/>
      <c r="P14" s="11"/>
      <c r="Q14" s="11"/>
      <c r="R14" s="11"/>
      <c r="S14" s="11"/>
      <c r="T14" s="11"/>
      <c r="U14" s="11"/>
      <c r="V14" s="11"/>
      <c r="W14" s="11"/>
    </row>
    <row r="15" customFormat="false" ht="11.25" hidden="false" customHeight="false" outlineLevel="0" collapsed="false">
      <c r="A15" s="29" t="s">
        <v>3</v>
      </c>
      <c r="B15" s="30" t="n">
        <v>92794.0693970802</v>
      </c>
      <c r="D15" s="11"/>
      <c r="E15" s="11"/>
      <c r="F15" s="11"/>
      <c r="G15" s="11"/>
      <c r="H15" s="11"/>
      <c r="I15" s="11"/>
      <c r="J15" s="11"/>
      <c r="K15" s="11"/>
      <c r="L15" s="11"/>
      <c r="M15" s="11"/>
      <c r="N15" s="11"/>
      <c r="O15" s="11"/>
      <c r="P15" s="11"/>
      <c r="Q15" s="11"/>
      <c r="R15" s="11"/>
      <c r="S15" s="11"/>
      <c r="T15" s="11"/>
      <c r="U15" s="11"/>
      <c r="V15" s="11"/>
      <c r="W15" s="11"/>
    </row>
    <row r="16" customFormat="false" ht="11.25" hidden="false" customHeight="false" outlineLevel="0" collapsed="false">
      <c r="A16" s="9" t="s">
        <v>4</v>
      </c>
      <c r="B16" s="15" t="s">
        <v>5</v>
      </c>
      <c r="C16" s="15" t="s">
        <v>6</v>
      </c>
      <c r="D16" s="17" t="n">
        <v>2000</v>
      </c>
      <c r="E16" s="17" t="n">
        <v>2001</v>
      </c>
      <c r="F16" s="17" t="n">
        <v>2002</v>
      </c>
      <c r="G16" s="17" t="n">
        <v>2003</v>
      </c>
      <c r="H16" s="17" t="n">
        <v>2004</v>
      </c>
      <c r="I16" s="17" t="n">
        <v>2005</v>
      </c>
      <c r="J16" s="17" t="n">
        <v>2006</v>
      </c>
      <c r="K16" s="17" t="n">
        <v>2007</v>
      </c>
      <c r="L16" s="17" t="n">
        <v>2008</v>
      </c>
      <c r="M16" s="17" t="n">
        <v>2009</v>
      </c>
      <c r="N16" s="18" t="n">
        <v>2010</v>
      </c>
      <c r="O16" s="11" t="n">
        <v>2011</v>
      </c>
      <c r="P16" s="11" t="n">
        <v>2012</v>
      </c>
      <c r="Q16" s="11" t="n">
        <v>2013</v>
      </c>
      <c r="R16" s="11" t="n">
        <v>2014</v>
      </c>
      <c r="S16" s="11" t="n">
        <v>2015</v>
      </c>
      <c r="T16" s="11" t="n">
        <v>2016</v>
      </c>
      <c r="U16" s="11" t="n">
        <v>2017</v>
      </c>
      <c r="V16" s="11" t="n">
        <v>2018</v>
      </c>
      <c r="W16" s="11" t="n">
        <v>2019</v>
      </c>
      <c r="X16" s="11" t="n">
        <v>2020</v>
      </c>
      <c r="Y16" s="11" t="n">
        <v>2021</v>
      </c>
    </row>
    <row r="17" customFormat="false" ht="11.25" hidden="false" customHeight="false" outlineLevel="0" collapsed="false">
      <c r="A17" s="29" t="s">
        <v>7</v>
      </c>
      <c r="B17" s="19" t="n">
        <f aca="false">NPV(0.1,D17:Y17)</f>
        <v>560779.272030459</v>
      </c>
      <c r="C17" s="19" t="n">
        <f aca="false">B17-B7</f>
        <v>-26354.1391017227</v>
      </c>
      <c r="D17" s="21" t="n">
        <v>32832.33051995</v>
      </c>
      <c r="E17" s="21" t="n">
        <v>45948.8315117</v>
      </c>
      <c r="F17" s="21" t="n">
        <v>46302.6393854</v>
      </c>
      <c r="G17" s="21" t="n">
        <v>58642.2015138294</v>
      </c>
      <c r="H17" s="21" t="n">
        <v>68535.8832891462</v>
      </c>
      <c r="I17" s="21" t="n">
        <v>69912.486379192</v>
      </c>
      <c r="J17" s="21" t="n">
        <v>71068.0410975853</v>
      </c>
      <c r="K17" s="21" t="n">
        <v>72352.9549646082</v>
      </c>
      <c r="L17" s="21" t="n">
        <v>73764.1114482578</v>
      </c>
      <c r="M17" s="21" t="n">
        <v>75306.5884206946</v>
      </c>
      <c r="N17" s="22" t="n">
        <v>77015.3855990713</v>
      </c>
      <c r="O17" s="23" t="n">
        <v>79087.6799959171</v>
      </c>
      <c r="P17" s="23" t="n">
        <v>81341.4149940612</v>
      </c>
      <c r="Q17" s="23" t="n">
        <v>83693.5435010986</v>
      </c>
      <c r="R17" s="23" t="n">
        <v>86135.9089011244</v>
      </c>
      <c r="S17" s="23" t="n">
        <v>88626.5956364911</v>
      </c>
      <c r="T17" s="23" t="n">
        <v>90748.6238406609</v>
      </c>
      <c r="U17" s="23" t="n">
        <v>93097.4829152898</v>
      </c>
      <c r="V17" s="23" t="n">
        <v>95133.9207568918</v>
      </c>
      <c r="W17" s="23" t="n">
        <v>97164.5429430644</v>
      </c>
      <c r="X17" s="23" t="n">
        <v>23377.1322242946</v>
      </c>
      <c r="Y17" s="23" t="n">
        <v>0</v>
      </c>
    </row>
    <row r="18" customFormat="false" ht="11.25" hidden="false" customHeight="false" outlineLevel="0" collapsed="false">
      <c r="A18" s="29" t="s">
        <v>8</v>
      </c>
      <c r="B18" s="19" t="n">
        <f aca="false">NPV(0.1,D18:Y18)</f>
        <v>237600.453966607</v>
      </c>
      <c r="C18" s="19" t="n">
        <f aca="false">B18-B8</f>
        <v>-17256.5967242953</v>
      </c>
      <c r="D18" s="21" t="n">
        <v>19632.0057132833</v>
      </c>
      <c r="E18" s="21" t="n">
        <v>23930.1048045</v>
      </c>
      <c r="F18" s="21" t="n">
        <v>24352.579375584</v>
      </c>
      <c r="G18" s="21" t="n">
        <v>24688.8373492195</v>
      </c>
      <c r="H18" s="21" t="n">
        <v>25110.5555563201</v>
      </c>
      <c r="I18" s="21" t="n">
        <v>25628.3152507597</v>
      </c>
      <c r="J18" s="21" t="n">
        <v>26236.2159503065</v>
      </c>
      <c r="K18" s="21" t="n">
        <v>26976.1732499457</v>
      </c>
      <c r="L18" s="21" t="n">
        <v>27851.4254746631</v>
      </c>
      <c r="M18" s="21" t="n">
        <v>28868.069552163</v>
      </c>
      <c r="N18" s="22" t="n">
        <v>30056.7906313969</v>
      </c>
      <c r="O18" s="23" t="n">
        <v>31434.3235655808</v>
      </c>
      <c r="P18" s="23" t="n">
        <v>32990.1487623822</v>
      </c>
      <c r="Q18" s="23" t="n">
        <v>34641.9593197596</v>
      </c>
      <c r="R18" s="23" t="n">
        <v>36387.7678291404</v>
      </c>
      <c r="S18" s="23" t="n">
        <v>38186.4855948246</v>
      </c>
      <c r="T18" s="23" t="n">
        <v>40044.6992953064</v>
      </c>
      <c r="U18" s="23" t="n">
        <v>42156.7476026056</v>
      </c>
      <c r="V18" s="23" t="n">
        <v>43990.9071040067</v>
      </c>
      <c r="W18" s="23" t="n">
        <v>45888.3445408039</v>
      </c>
      <c r="X18" s="23" t="n">
        <v>0</v>
      </c>
      <c r="Y18" s="23" t="n">
        <v>0</v>
      </c>
    </row>
    <row r="19" customFormat="false" ht="11.25" hidden="false" customHeight="false" outlineLevel="0" collapsed="false">
      <c r="A19" s="29" t="s">
        <v>9</v>
      </c>
      <c r="B19" s="19" t="n">
        <f aca="false">NPV(0.1,D19:Y19)</f>
        <v>100299.361923387</v>
      </c>
      <c r="C19" s="19" t="n">
        <f aca="false">B19-B9</f>
        <v>-12829.8957434178</v>
      </c>
      <c r="D19" s="21" t="n">
        <v>251.1457240908</v>
      </c>
      <c r="E19" s="21" t="n">
        <v>98.6295635733968</v>
      </c>
      <c r="F19" s="21" t="n">
        <v>118.465974578352</v>
      </c>
      <c r="G19" s="21" t="n">
        <v>7593.90034263641</v>
      </c>
      <c r="H19" s="21" t="n">
        <v>13474.4069458814</v>
      </c>
      <c r="I19" s="21" t="n">
        <v>14372.6859077238</v>
      </c>
      <c r="J19" s="21" t="n">
        <v>15066.3034665868</v>
      </c>
      <c r="K19" s="21" t="n">
        <v>15645.7625484402</v>
      </c>
      <c r="L19" s="21" t="n">
        <v>16280.5211311691</v>
      </c>
      <c r="M19" s="21" t="n">
        <v>16943.5113916631</v>
      </c>
      <c r="N19" s="22" t="n">
        <v>17639.9488864435</v>
      </c>
      <c r="O19" s="23" t="n">
        <v>18451.8959559068</v>
      </c>
      <c r="P19" s="23" t="n">
        <v>19344.6987545406</v>
      </c>
      <c r="Q19" s="23" t="n">
        <v>20289.2370331187</v>
      </c>
      <c r="R19" s="23" t="n">
        <v>21285.7471174538</v>
      </c>
      <c r="S19" s="23" t="n">
        <v>22301.473003651</v>
      </c>
      <c r="T19" s="23" t="n">
        <v>23151.8907730274</v>
      </c>
      <c r="U19" s="23" t="n">
        <v>24045.2904255709</v>
      </c>
      <c r="V19" s="23" t="n">
        <v>24981.2386627922</v>
      </c>
      <c r="W19" s="23" t="n">
        <v>25697.3041959576</v>
      </c>
      <c r="X19" s="23" t="n">
        <v>0</v>
      </c>
      <c r="Y19" s="23" t="n">
        <v>0</v>
      </c>
    </row>
    <row r="20" customFormat="false" ht="11.25" hidden="false" customHeight="false" outlineLevel="0" collapsed="false">
      <c r="A20" s="12" t="s">
        <v>10</v>
      </c>
      <c r="B20" s="19" t="n">
        <f aca="false">NPV(0.1,D20:Y20)</f>
        <v>138438.458049126</v>
      </c>
      <c r="C20" s="19" t="n">
        <f aca="false">B20-B10</f>
        <v>13522.8187249955</v>
      </c>
      <c r="D20" s="26" t="n">
        <v>4598.7136249971</v>
      </c>
      <c r="E20" s="26" t="n">
        <v>8219.56433396829</v>
      </c>
      <c r="F20" s="26" t="n">
        <v>7663.43253131989</v>
      </c>
      <c r="G20" s="26" t="n">
        <v>20702.6560473479</v>
      </c>
      <c r="H20" s="26" t="n">
        <v>26397.2979728909</v>
      </c>
      <c r="I20" s="26" t="n">
        <v>26126.1070219705</v>
      </c>
      <c r="J20" s="26" t="n">
        <v>19804.2761682556</v>
      </c>
      <c r="K20" s="26" t="n">
        <v>19751.5565170786</v>
      </c>
      <c r="L20" s="26" t="n">
        <v>19694.3582555832</v>
      </c>
      <c r="M20" s="26" t="n">
        <v>19631.4194042687</v>
      </c>
      <c r="N20" s="27" t="n">
        <v>19522.1272710814</v>
      </c>
      <c r="O20" s="23" t="n">
        <v>19417.1854808876</v>
      </c>
      <c r="P20" s="23" t="n">
        <v>19294.4600700872</v>
      </c>
      <c r="Q20" s="23" t="n">
        <v>19159.0512871053</v>
      </c>
      <c r="R20" s="23" t="n">
        <v>18977.8982326293</v>
      </c>
      <c r="S20" s="23" t="n">
        <v>14267.1464561883</v>
      </c>
      <c r="T20" s="23" t="n">
        <v>13274.8143542137</v>
      </c>
      <c r="U20" s="23" t="n">
        <v>12886.0281874643</v>
      </c>
      <c r="V20" s="23" t="n">
        <v>12456.2029847128</v>
      </c>
      <c r="W20" s="23" t="n">
        <v>19096.122652516</v>
      </c>
      <c r="X20" s="23" t="n">
        <v>0</v>
      </c>
      <c r="Y20" s="23" t="n">
        <v>0</v>
      </c>
    </row>
    <row r="21" customFormat="false" ht="11.25" hidden="false" customHeight="false" outlineLevel="0" collapsed="false">
      <c r="D21" s="1"/>
      <c r="E21" s="3"/>
    </row>
    <row r="22" customFormat="false" ht="11.25" hidden="false" customHeight="false" outlineLevel="0" collapsed="false">
      <c r="A22" s="31" t="n">
        <v>36216</v>
      </c>
      <c r="D22" s="1"/>
      <c r="E22" s="3"/>
    </row>
    <row r="23" customFormat="false" ht="11.25" hidden="false" customHeight="false" outlineLevel="0" collapsed="false">
      <c r="A23" s="28" t="s">
        <v>12</v>
      </c>
      <c r="D23" s="1"/>
      <c r="E23" s="3"/>
    </row>
    <row r="24" customFormat="false" ht="11.25" hidden="false" customHeight="false" outlineLevel="0" collapsed="false">
      <c r="A24" s="28"/>
      <c r="D24" s="1"/>
      <c r="E24" s="3"/>
    </row>
    <row r="25" customFormat="false" ht="11.25" hidden="false" customHeight="false" outlineLevel="0" collapsed="false">
      <c r="A25" s="28" t="s">
        <v>13</v>
      </c>
      <c r="D25" s="1"/>
      <c r="E25" s="3"/>
    </row>
    <row r="26" customFormat="false" ht="11.25" hidden="false" customHeight="false" outlineLevel="0" collapsed="false">
      <c r="D26" s="1"/>
      <c r="E26" s="3"/>
    </row>
    <row r="27" customFormat="false" ht="11.25" hidden="false" customHeight="false" outlineLevel="0" collapsed="false">
      <c r="A27" s="9" t="s">
        <v>2</v>
      </c>
      <c r="B27" s="10" t="n">
        <v>55636.712688538</v>
      </c>
      <c r="D27" s="11"/>
      <c r="E27" s="11"/>
      <c r="F27" s="11"/>
      <c r="G27" s="11"/>
      <c r="H27" s="11"/>
      <c r="I27" s="11"/>
      <c r="J27" s="11"/>
      <c r="K27" s="11"/>
      <c r="L27" s="11"/>
      <c r="M27" s="11"/>
      <c r="N27" s="11"/>
      <c r="O27" s="11"/>
      <c r="P27" s="11"/>
      <c r="Q27" s="11"/>
      <c r="R27" s="11"/>
      <c r="S27" s="11"/>
      <c r="T27" s="11"/>
      <c r="U27" s="11"/>
      <c r="V27" s="11"/>
      <c r="W27" s="11"/>
    </row>
    <row r="28" customFormat="false" ht="11.25" hidden="false" customHeight="false" outlineLevel="0" collapsed="false">
      <c r="A28" s="12" t="s">
        <v>3</v>
      </c>
      <c r="B28" s="13" t="n">
        <v>92567.1748290004</v>
      </c>
      <c r="D28" s="11"/>
      <c r="E28" s="11"/>
      <c r="F28" s="11"/>
      <c r="G28" s="11"/>
      <c r="H28" s="11"/>
      <c r="I28" s="11"/>
      <c r="J28" s="11"/>
      <c r="K28" s="11"/>
      <c r="L28" s="11"/>
      <c r="M28" s="11"/>
      <c r="N28" s="11"/>
      <c r="O28" s="11"/>
      <c r="P28" s="11"/>
      <c r="Q28" s="11"/>
      <c r="R28" s="11"/>
      <c r="S28" s="11"/>
      <c r="T28" s="11"/>
      <c r="U28" s="11"/>
      <c r="V28" s="11"/>
      <c r="W28" s="11"/>
    </row>
    <row r="29" customFormat="false" ht="11.25" hidden="false" customHeight="false" outlineLevel="0" collapsed="false">
      <c r="A29" s="14" t="s">
        <v>4</v>
      </c>
      <c r="B29" s="15" t="s">
        <v>5</v>
      </c>
      <c r="C29" s="15" t="s">
        <v>6</v>
      </c>
      <c r="D29" s="16" t="n">
        <v>2000</v>
      </c>
      <c r="E29" s="17" t="n">
        <v>2001</v>
      </c>
      <c r="F29" s="17" t="n">
        <v>2002</v>
      </c>
      <c r="G29" s="17" t="n">
        <v>2003</v>
      </c>
      <c r="H29" s="17" t="n">
        <v>2004</v>
      </c>
      <c r="I29" s="17" t="n">
        <v>2005</v>
      </c>
      <c r="J29" s="17" t="n">
        <v>2006</v>
      </c>
      <c r="K29" s="17" t="n">
        <v>2007</v>
      </c>
      <c r="L29" s="17" t="n">
        <v>2008</v>
      </c>
      <c r="M29" s="17" t="n">
        <v>2009</v>
      </c>
      <c r="N29" s="18" t="n">
        <v>2010</v>
      </c>
      <c r="O29" s="11" t="n">
        <v>2011</v>
      </c>
      <c r="P29" s="11" t="n">
        <v>2012</v>
      </c>
      <c r="Q29" s="11" t="n">
        <v>2013</v>
      </c>
      <c r="R29" s="11" t="n">
        <v>2014</v>
      </c>
      <c r="S29" s="11" t="n">
        <v>2015</v>
      </c>
      <c r="T29" s="11" t="n">
        <v>2016</v>
      </c>
      <c r="U29" s="11" t="n">
        <v>2017</v>
      </c>
      <c r="V29" s="11" t="n">
        <v>2018</v>
      </c>
      <c r="W29" s="11" t="n">
        <v>2019</v>
      </c>
      <c r="X29" s="11" t="n">
        <v>2020</v>
      </c>
      <c r="Y29" s="11" t="n">
        <v>2021</v>
      </c>
    </row>
    <row r="30" customFormat="false" ht="11.25" hidden="false" customHeight="false" outlineLevel="0" collapsed="false">
      <c r="A30" s="14" t="s">
        <v>7</v>
      </c>
      <c r="B30" s="19" t="n">
        <f aca="false">NPV(0.1,D30:Y30)</f>
        <v>560779.272030459</v>
      </c>
      <c r="C30" s="19" t="n">
        <f aca="false">B30-B17</f>
        <v>0</v>
      </c>
      <c r="D30" s="20" t="n">
        <v>32832.33051995</v>
      </c>
      <c r="E30" s="21" t="n">
        <v>45948.8315117</v>
      </c>
      <c r="F30" s="21" t="n">
        <v>46302.6393854</v>
      </c>
      <c r="G30" s="21" t="n">
        <v>58642.2015138294</v>
      </c>
      <c r="H30" s="21" t="n">
        <v>68535.8832891462</v>
      </c>
      <c r="I30" s="21" t="n">
        <v>69912.486379192</v>
      </c>
      <c r="J30" s="21" t="n">
        <v>71068.0410975853</v>
      </c>
      <c r="K30" s="21" t="n">
        <v>72352.9549646082</v>
      </c>
      <c r="L30" s="21" t="n">
        <v>73764.1114482578</v>
      </c>
      <c r="M30" s="21" t="n">
        <v>75306.5884206946</v>
      </c>
      <c r="N30" s="22" t="n">
        <v>77015.3855990713</v>
      </c>
      <c r="O30" s="23" t="n">
        <v>79087.6799959171</v>
      </c>
      <c r="P30" s="23" t="n">
        <v>81341.4149940612</v>
      </c>
      <c r="Q30" s="23" t="n">
        <v>83693.5435010986</v>
      </c>
      <c r="R30" s="23" t="n">
        <v>86135.9089011244</v>
      </c>
      <c r="S30" s="23" t="n">
        <v>88626.5956364911</v>
      </c>
      <c r="T30" s="23" t="n">
        <v>90748.6238406609</v>
      </c>
      <c r="U30" s="23" t="n">
        <v>93097.4829152898</v>
      </c>
      <c r="V30" s="23" t="n">
        <v>95133.9207568918</v>
      </c>
      <c r="W30" s="23" t="n">
        <v>97164.5429430644</v>
      </c>
      <c r="X30" s="23" t="n">
        <v>23377.1322242946</v>
      </c>
      <c r="Y30" s="23" t="n">
        <v>0</v>
      </c>
    </row>
    <row r="31" customFormat="false" ht="11.25" hidden="false" customHeight="false" outlineLevel="0" collapsed="false">
      <c r="A31" s="24" t="s">
        <v>8</v>
      </c>
      <c r="B31" s="19" t="n">
        <f aca="false">NPV(0.1,D31:Y31)</f>
        <v>237864.882884797</v>
      </c>
      <c r="C31" s="19" t="n">
        <f aca="false">B31-B18</f>
        <v>264.42891819033</v>
      </c>
      <c r="D31" s="20" t="n">
        <v>19632.0057132833</v>
      </c>
      <c r="E31" s="21" t="n">
        <v>23863.702022977</v>
      </c>
      <c r="F31" s="21" t="n">
        <v>24296.949834061</v>
      </c>
      <c r="G31" s="21" t="n">
        <v>24643.9810476965</v>
      </c>
      <c r="H31" s="21" t="n">
        <v>25076.4724947971</v>
      </c>
      <c r="I31" s="21" t="n">
        <v>25605.0054292367</v>
      </c>
      <c r="J31" s="21" t="n">
        <v>26223.6793687835</v>
      </c>
      <c r="K31" s="21" t="n">
        <v>26979.7965284227</v>
      </c>
      <c r="L31" s="21" t="n">
        <v>27871.20861314</v>
      </c>
      <c r="M31" s="21" t="n">
        <v>28904.0125506399</v>
      </c>
      <c r="N31" s="22" t="n">
        <v>30114.2801098738</v>
      </c>
      <c r="O31" s="23" t="n">
        <v>31513.3595240577</v>
      </c>
      <c r="P31" s="23" t="n">
        <v>33096.1178208591</v>
      </c>
      <c r="Q31" s="23" t="n">
        <v>34780.2480982366</v>
      </c>
      <c r="R31" s="23" t="n">
        <v>36558.3763276174</v>
      </c>
      <c r="S31" s="23" t="n">
        <v>38389.4138133016</v>
      </c>
      <c r="T31" s="23" t="n">
        <v>40290.7204737833</v>
      </c>
      <c r="U31" s="23" t="n">
        <v>42451.2483610825</v>
      </c>
      <c r="V31" s="23" t="n">
        <v>44333.8874424837</v>
      </c>
      <c r="W31" s="23" t="n">
        <v>46247.4847392809</v>
      </c>
      <c r="X31" s="23" t="n">
        <v>0</v>
      </c>
      <c r="Y31" s="23" t="n">
        <v>0</v>
      </c>
    </row>
    <row r="32" customFormat="false" ht="11.25" hidden="false" customHeight="false" outlineLevel="0" collapsed="false">
      <c r="A32" s="24" t="s">
        <v>9</v>
      </c>
      <c r="B32" s="19" t="n">
        <f aca="false">NPV(0.1,D32:Y32)</f>
        <v>100270.890414917</v>
      </c>
      <c r="C32" s="19" t="n">
        <f aca="false">B32-B19</f>
        <v>-28.4715084693162</v>
      </c>
      <c r="D32" s="20" t="n">
        <v>255.571924344232</v>
      </c>
      <c r="E32" s="21" t="n">
        <v>147.622542978328</v>
      </c>
      <c r="F32" s="21" t="n">
        <v>163.480169071095</v>
      </c>
      <c r="G32" s="21" t="n">
        <v>7634.79961380984</v>
      </c>
      <c r="H32" s="21" t="n">
        <v>13510.5300299769</v>
      </c>
      <c r="I32" s="21" t="n">
        <v>14403.9707008589</v>
      </c>
      <c r="J32" s="21" t="n">
        <v>15092.6828965685</v>
      </c>
      <c r="K32" s="21" t="n">
        <v>15663.8309368439</v>
      </c>
      <c r="L32" s="21" t="n">
        <v>16290.0935812943</v>
      </c>
      <c r="M32" s="21" t="n">
        <v>16944.3882150731</v>
      </c>
      <c r="N32" s="22" t="n">
        <v>17628.5811791709</v>
      </c>
      <c r="O32" s="23" t="n">
        <v>18427.9441376644</v>
      </c>
      <c r="P32" s="23" t="n">
        <v>19304.4628381624</v>
      </c>
      <c r="Q32" s="23" t="n">
        <v>20228.8810280074</v>
      </c>
      <c r="R32" s="23" t="n">
        <v>21204.621389762</v>
      </c>
      <c r="S32" s="23" t="n">
        <v>22198.8759488236</v>
      </c>
      <c r="T32" s="23" t="n">
        <v>23020.3981772328</v>
      </c>
      <c r="U32" s="23" t="n">
        <v>23880.5373694108</v>
      </c>
      <c r="V32" s="23" t="n">
        <v>24782.0042693145</v>
      </c>
      <c r="W32" s="23" t="n">
        <v>25481.6530101717</v>
      </c>
      <c r="X32" s="23" t="n">
        <v>0</v>
      </c>
      <c r="Y32" s="23" t="n">
        <v>0</v>
      </c>
    </row>
    <row r="33" customFormat="false" ht="11.25" hidden="false" customHeight="false" outlineLevel="0" collapsed="false">
      <c r="A33" s="24" t="s">
        <v>10</v>
      </c>
      <c r="B33" s="19" t="n">
        <f aca="false">NPV(0.1,D33:Y33)</f>
        <v>139069.377800638</v>
      </c>
      <c r="C33" s="19" t="n">
        <f aca="false">B33-B20</f>
        <v>630.919751511654</v>
      </c>
      <c r="D33" s="25" t="n">
        <v>4599.29464933543</v>
      </c>
      <c r="E33" s="26" t="n">
        <v>8176.29185467577</v>
      </c>
      <c r="F33" s="26" t="n">
        <v>7693.74499355042</v>
      </c>
      <c r="G33" s="26" t="n">
        <v>20741.3391099846</v>
      </c>
      <c r="H33" s="26" t="n">
        <v>26429.5170915275</v>
      </c>
      <c r="I33" s="26" t="n">
        <v>26806.5064806366</v>
      </c>
      <c r="J33" s="26" t="n">
        <v>19908.643396313</v>
      </c>
      <c r="K33" s="26" t="n">
        <v>19848.6933637682</v>
      </c>
      <c r="L33" s="26" t="n">
        <v>19778.9920030094</v>
      </c>
      <c r="M33" s="26" t="n">
        <v>19703.6730667043</v>
      </c>
      <c r="N33" s="27" t="n">
        <v>19586.3417314853</v>
      </c>
      <c r="O33" s="23" t="n">
        <v>19468.1833112529</v>
      </c>
      <c r="P33" s="23" t="n">
        <v>19336.6752253107</v>
      </c>
      <c r="Q33" s="23" t="n">
        <v>19191.6148844172</v>
      </c>
      <c r="R33" s="23" t="n">
        <v>18995.8238466364</v>
      </c>
      <c r="S33" s="23" t="n">
        <v>14270.8662970657</v>
      </c>
      <c r="T33" s="23" t="n">
        <v>13273.2112640387</v>
      </c>
      <c r="U33" s="23" t="n">
        <v>12873.17250002</v>
      </c>
      <c r="V33" s="23" t="n">
        <v>12427.4601780829</v>
      </c>
      <c r="W33" s="23" t="n">
        <v>19048.5747372565</v>
      </c>
      <c r="X33" s="23" t="n">
        <v>0</v>
      </c>
      <c r="Y33" s="23" t="n">
        <v>0</v>
      </c>
    </row>
    <row r="34" customFormat="false" ht="11.25" hidden="false" customHeight="false" outlineLevel="0" collapsed="false">
      <c r="D34" s="1"/>
      <c r="E34" s="3"/>
    </row>
    <row r="35" customFormat="false" ht="11.25" hidden="false" customHeight="false" outlineLevel="0" collapsed="false">
      <c r="A35" s="28" t="s">
        <v>14</v>
      </c>
      <c r="D35" s="1"/>
      <c r="E35" s="3"/>
    </row>
    <row r="36" customFormat="false" ht="11.25" hidden="false" customHeight="false" outlineLevel="0" collapsed="false">
      <c r="D36" s="1"/>
      <c r="E36" s="3"/>
    </row>
    <row r="37" customFormat="false" ht="11.25" hidden="false" customHeight="false" outlineLevel="0" collapsed="false">
      <c r="A37" s="9" t="s">
        <v>2</v>
      </c>
      <c r="B37" s="10" t="n">
        <v>55249.3444603727</v>
      </c>
      <c r="D37" s="11"/>
      <c r="E37" s="11"/>
      <c r="F37" s="11"/>
      <c r="G37" s="11"/>
      <c r="H37" s="11"/>
      <c r="I37" s="11"/>
      <c r="J37" s="11"/>
      <c r="K37" s="11"/>
      <c r="L37" s="11"/>
      <c r="M37" s="11"/>
      <c r="N37" s="11"/>
      <c r="O37" s="11"/>
      <c r="P37" s="11"/>
      <c r="Q37" s="11"/>
      <c r="R37" s="11"/>
      <c r="S37" s="11"/>
      <c r="T37" s="11"/>
      <c r="U37" s="11"/>
      <c r="V37" s="11"/>
      <c r="W37" s="11"/>
    </row>
    <row r="38" customFormat="false" ht="11.25" hidden="false" customHeight="false" outlineLevel="0" collapsed="false">
      <c r="A38" s="12" t="s">
        <v>3</v>
      </c>
      <c r="B38" s="13" t="n">
        <v>92110.9383665689</v>
      </c>
      <c r="D38" s="11"/>
      <c r="E38" s="11"/>
      <c r="F38" s="11"/>
      <c r="G38" s="11"/>
      <c r="H38" s="11"/>
      <c r="I38" s="11"/>
      <c r="J38" s="11"/>
      <c r="K38" s="11"/>
      <c r="L38" s="11"/>
      <c r="M38" s="11"/>
      <c r="N38" s="11"/>
      <c r="O38" s="11"/>
      <c r="P38" s="11"/>
      <c r="Q38" s="11"/>
      <c r="R38" s="11"/>
      <c r="S38" s="11"/>
      <c r="T38" s="11"/>
      <c r="U38" s="11"/>
      <c r="V38" s="11"/>
      <c r="W38" s="11"/>
    </row>
    <row r="39" customFormat="false" ht="11.25" hidden="false" customHeight="false" outlineLevel="0" collapsed="false">
      <c r="A39" s="14" t="s">
        <v>4</v>
      </c>
      <c r="B39" s="15" t="s">
        <v>5</v>
      </c>
      <c r="C39" s="15" t="s">
        <v>6</v>
      </c>
      <c r="D39" s="16" t="n">
        <v>2000</v>
      </c>
      <c r="E39" s="17" t="n">
        <v>2001</v>
      </c>
      <c r="F39" s="17" t="n">
        <v>2002</v>
      </c>
      <c r="G39" s="17" t="n">
        <v>2003</v>
      </c>
      <c r="H39" s="17" t="n">
        <v>2004</v>
      </c>
      <c r="I39" s="17" t="n">
        <v>2005</v>
      </c>
      <c r="J39" s="17" t="n">
        <v>2006</v>
      </c>
      <c r="K39" s="17" t="n">
        <v>2007</v>
      </c>
      <c r="L39" s="17" t="n">
        <v>2008</v>
      </c>
      <c r="M39" s="17" t="n">
        <v>2009</v>
      </c>
      <c r="N39" s="18" t="n">
        <v>2010</v>
      </c>
      <c r="O39" s="11" t="n">
        <v>2011</v>
      </c>
      <c r="P39" s="11" t="n">
        <v>2012</v>
      </c>
      <c r="Q39" s="11" t="n">
        <v>2013</v>
      </c>
      <c r="R39" s="11" t="n">
        <v>2014</v>
      </c>
      <c r="S39" s="11" t="n">
        <v>2015</v>
      </c>
      <c r="T39" s="11" t="n">
        <v>2016</v>
      </c>
      <c r="U39" s="11" t="n">
        <v>2017</v>
      </c>
      <c r="V39" s="11" t="n">
        <v>2018</v>
      </c>
      <c r="W39" s="11" t="n">
        <v>2019</v>
      </c>
      <c r="X39" s="11" t="n">
        <v>2020</v>
      </c>
      <c r="Y39" s="11" t="n">
        <v>2021</v>
      </c>
    </row>
    <row r="40" customFormat="false" ht="11.25" hidden="false" customHeight="false" outlineLevel="0" collapsed="false">
      <c r="A40" s="14" t="s">
        <v>7</v>
      </c>
      <c r="B40" s="19" t="n">
        <f aca="false">NPV(0.1,D40:Y40)</f>
        <v>560779.272030459</v>
      </c>
      <c r="C40" s="19" t="n">
        <f aca="false">B40-B30</f>
        <v>0</v>
      </c>
      <c r="D40" s="20" t="n">
        <v>32832.33051995</v>
      </c>
      <c r="E40" s="21" t="n">
        <v>45948.8315117</v>
      </c>
      <c r="F40" s="21" t="n">
        <v>46302.6393854</v>
      </c>
      <c r="G40" s="21" t="n">
        <v>58642.2015138294</v>
      </c>
      <c r="H40" s="21" t="n">
        <v>68535.8832891462</v>
      </c>
      <c r="I40" s="21" t="n">
        <v>69912.486379192</v>
      </c>
      <c r="J40" s="21" t="n">
        <v>71068.0410975853</v>
      </c>
      <c r="K40" s="21" t="n">
        <v>72352.9549646082</v>
      </c>
      <c r="L40" s="21" t="n">
        <v>73764.1114482578</v>
      </c>
      <c r="M40" s="21" t="n">
        <v>75306.5884206946</v>
      </c>
      <c r="N40" s="22" t="n">
        <v>77015.3855990713</v>
      </c>
      <c r="O40" s="23" t="n">
        <v>79087.6799959171</v>
      </c>
      <c r="P40" s="23" t="n">
        <v>81341.4149940612</v>
      </c>
      <c r="Q40" s="23" t="n">
        <v>83693.5435010986</v>
      </c>
      <c r="R40" s="23" t="n">
        <v>86135.9089011244</v>
      </c>
      <c r="S40" s="23" t="n">
        <v>88626.5956364911</v>
      </c>
      <c r="T40" s="23" t="n">
        <v>90748.6238406609</v>
      </c>
      <c r="U40" s="23" t="n">
        <v>93097.4829152898</v>
      </c>
      <c r="V40" s="23" t="n">
        <v>95133.9207568918</v>
      </c>
      <c r="W40" s="23" t="n">
        <v>97164.5429430644</v>
      </c>
      <c r="X40" s="23" t="n">
        <v>23377.1322242946</v>
      </c>
      <c r="Y40" s="23" t="n">
        <v>0</v>
      </c>
    </row>
    <row r="41" customFormat="false" ht="11.25" hidden="false" customHeight="false" outlineLevel="0" collapsed="false">
      <c r="A41" s="24" t="s">
        <v>8</v>
      </c>
      <c r="B41" s="19" t="n">
        <f aca="false">NPV(0.1,D41:Y41)</f>
        <v>237864.882884797</v>
      </c>
      <c r="C41" s="19" t="n">
        <f aca="false">B41-B31</f>
        <v>0</v>
      </c>
      <c r="D41" s="20" t="n">
        <v>19632.0057132833</v>
      </c>
      <c r="E41" s="21" t="n">
        <v>23863.702022977</v>
      </c>
      <c r="F41" s="21" t="n">
        <v>24296.949834061</v>
      </c>
      <c r="G41" s="21" t="n">
        <v>24643.9810476965</v>
      </c>
      <c r="H41" s="21" t="n">
        <v>25076.4724947971</v>
      </c>
      <c r="I41" s="21" t="n">
        <v>25605.0054292367</v>
      </c>
      <c r="J41" s="21" t="n">
        <v>26223.6793687835</v>
      </c>
      <c r="K41" s="21" t="n">
        <v>26979.7965284227</v>
      </c>
      <c r="L41" s="21" t="n">
        <v>27871.20861314</v>
      </c>
      <c r="M41" s="21" t="n">
        <v>28904.0125506399</v>
      </c>
      <c r="N41" s="22" t="n">
        <v>30114.2801098738</v>
      </c>
      <c r="O41" s="23" t="n">
        <v>31513.3595240577</v>
      </c>
      <c r="P41" s="23" t="n">
        <v>33096.1178208591</v>
      </c>
      <c r="Q41" s="23" t="n">
        <v>34780.2480982366</v>
      </c>
      <c r="R41" s="23" t="n">
        <v>36558.3763276174</v>
      </c>
      <c r="S41" s="23" t="n">
        <v>38389.4138133016</v>
      </c>
      <c r="T41" s="23" t="n">
        <v>40290.7204737833</v>
      </c>
      <c r="U41" s="23" t="n">
        <v>42451.2483610825</v>
      </c>
      <c r="V41" s="23" t="n">
        <v>44333.8874424837</v>
      </c>
      <c r="W41" s="23" t="n">
        <v>46247.4847392809</v>
      </c>
      <c r="X41" s="23" t="n">
        <v>0</v>
      </c>
      <c r="Y41" s="23" t="n">
        <v>0</v>
      </c>
    </row>
    <row r="42" customFormat="false" ht="11.25" hidden="false" customHeight="false" outlineLevel="0" collapsed="false">
      <c r="A42" s="24" t="s">
        <v>9</v>
      </c>
      <c r="B42" s="19" t="n">
        <f aca="false">NPV(0.1,D42:Y42)</f>
        <v>100188.212714807</v>
      </c>
      <c r="C42" s="19" t="n">
        <f aca="false">B42-B32</f>
        <v>-82.6777001102018</v>
      </c>
      <c r="D42" s="20" t="n">
        <v>249.643222762227</v>
      </c>
      <c r="E42" s="21" t="n">
        <v>137.459054552033</v>
      </c>
      <c r="F42" s="21" t="n">
        <v>153.3166806448</v>
      </c>
      <c r="G42" s="21" t="n">
        <v>7624.63612538354</v>
      </c>
      <c r="H42" s="21" t="n">
        <v>13500.3665415506</v>
      </c>
      <c r="I42" s="21" t="n">
        <v>14393.8072124326</v>
      </c>
      <c r="J42" s="21" t="n">
        <v>15082.5194081422</v>
      </c>
      <c r="K42" s="21" t="n">
        <v>15653.6674484176</v>
      </c>
      <c r="L42" s="21" t="n">
        <v>16279.930092868</v>
      </c>
      <c r="M42" s="21" t="n">
        <v>16934.2247266468</v>
      </c>
      <c r="N42" s="22" t="n">
        <v>17618.4176907446</v>
      </c>
      <c r="O42" s="23" t="n">
        <v>18417.7806492381</v>
      </c>
      <c r="P42" s="23" t="n">
        <v>19294.2993497361</v>
      </c>
      <c r="Q42" s="23" t="n">
        <v>20218.7175395811</v>
      </c>
      <c r="R42" s="23" t="n">
        <v>21194.4579013357</v>
      </c>
      <c r="S42" s="23" t="n">
        <v>22188.7124603973</v>
      </c>
      <c r="T42" s="23" t="n">
        <v>23010.2346888065</v>
      </c>
      <c r="U42" s="23" t="n">
        <v>23870.3738809845</v>
      </c>
      <c r="V42" s="23" t="n">
        <v>24771.8407808882</v>
      </c>
      <c r="W42" s="23" t="n">
        <v>25471.4895217454</v>
      </c>
      <c r="X42" s="23" t="n">
        <v>0</v>
      </c>
      <c r="Y42" s="23" t="n">
        <v>0</v>
      </c>
    </row>
    <row r="43" customFormat="false" ht="11.25" hidden="false" customHeight="false" outlineLevel="0" collapsed="false">
      <c r="A43" s="24" t="s">
        <v>10</v>
      </c>
      <c r="B43" s="19" t="n">
        <f aca="false">NPV(0.1,D43:Y43)</f>
        <v>139144.960402825</v>
      </c>
      <c r="C43" s="19" t="n">
        <f aca="false">B43-B33</f>
        <v>75.5826021865651</v>
      </c>
      <c r="D43" s="25" t="n">
        <v>4599.29464933543</v>
      </c>
      <c r="E43" s="26" t="n">
        <v>8176.29185467577</v>
      </c>
      <c r="F43" s="26" t="n">
        <v>7693.74499355042</v>
      </c>
      <c r="G43" s="26" t="n">
        <v>20741.3391099846</v>
      </c>
      <c r="H43" s="26" t="n">
        <v>26429.5170915275</v>
      </c>
      <c r="I43" s="26" t="n">
        <v>26884.048174299</v>
      </c>
      <c r="J43" s="26" t="n">
        <v>19918.4596887914</v>
      </c>
      <c r="K43" s="26" t="n">
        <v>19858.5270479805</v>
      </c>
      <c r="L43" s="26" t="n">
        <v>19788.8082954878</v>
      </c>
      <c r="M43" s="26" t="n">
        <v>19713.5067509167</v>
      </c>
      <c r="N43" s="27" t="n">
        <v>19596.1580239637</v>
      </c>
      <c r="O43" s="23" t="n">
        <v>19478.0169954652</v>
      </c>
      <c r="P43" s="23" t="n">
        <v>19346.4915177891</v>
      </c>
      <c r="Q43" s="23" t="n">
        <v>19201.4485686295</v>
      </c>
      <c r="R43" s="23" t="n">
        <v>19005.6401391148</v>
      </c>
      <c r="S43" s="23" t="n">
        <v>14271.708454827</v>
      </c>
      <c r="T43" s="23" t="n">
        <v>13272.7664334878</v>
      </c>
      <c r="U43" s="23" t="n">
        <v>12872.7276694692</v>
      </c>
      <c r="V43" s="23" t="n">
        <v>12427.015347532</v>
      </c>
      <c r="W43" s="23" t="n">
        <v>19048.1299067056</v>
      </c>
      <c r="X43" s="23" t="n">
        <v>0</v>
      </c>
      <c r="Y43" s="23" t="n">
        <v>0</v>
      </c>
    </row>
    <row r="44" customFormat="false" ht="11.25" hidden="false" customHeight="false" outlineLevel="0" collapsed="false">
      <c r="D44" s="1"/>
      <c r="E44" s="3"/>
    </row>
    <row r="45" customFormat="false" ht="11.25" hidden="false" customHeight="false" outlineLevel="0" collapsed="false">
      <c r="A45" s="28" t="s">
        <v>15</v>
      </c>
      <c r="D45" s="1"/>
      <c r="E45" s="3"/>
    </row>
    <row r="46" customFormat="false" ht="11.25" hidden="false" customHeight="false" outlineLevel="0" collapsed="false">
      <c r="D46" s="1"/>
      <c r="E46" s="3"/>
    </row>
    <row r="47" customFormat="false" ht="11.25" hidden="false" customHeight="false" outlineLevel="0" collapsed="false">
      <c r="A47" s="9" t="s">
        <v>2</v>
      </c>
      <c r="B47" s="10" t="n">
        <v>55625.9174679603</v>
      </c>
      <c r="D47" s="11"/>
      <c r="E47" s="11"/>
      <c r="F47" s="11"/>
      <c r="G47" s="11"/>
      <c r="H47" s="11"/>
      <c r="I47" s="11"/>
      <c r="J47" s="11"/>
      <c r="K47" s="11"/>
      <c r="L47" s="11"/>
      <c r="M47" s="11"/>
      <c r="N47" s="11"/>
      <c r="O47" s="11"/>
      <c r="P47" s="11"/>
      <c r="Q47" s="11"/>
      <c r="R47" s="11"/>
      <c r="S47" s="11"/>
      <c r="T47" s="11"/>
      <c r="U47" s="11"/>
      <c r="V47" s="11"/>
      <c r="W47" s="11"/>
    </row>
    <row r="48" customFormat="false" ht="11.25" hidden="false" customHeight="false" outlineLevel="0" collapsed="false">
      <c r="A48" s="12" t="s">
        <v>3</v>
      </c>
      <c r="B48" s="13" t="n">
        <v>92580.6883664119</v>
      </c>
      <c r="D48" s="11"/>
      <c r="E48" s="11"/>
      <c r="F48" s="11"/>
      <c r="G48" s="11"/>
      <c r="H48" s="11"/>
      <c r="I48" s="11"/>
      <c r="J48" s="11"/>
      <c r="K48" s="11"/>
      <c r="L48" s="11"/>
      <c r="M48" s="11"/>
      <c r="N48" s="11"/>
      <c r="O48" s="11"/>
      <c r="P48" s="11"/>
      <c r="Q48" s="11"/>
      <c r="R48" s="11"/>
      <c r="S48" s="11"/>
      <c r="T48" s="11"/>
      <c r="U48" s="11"/>
      <c r="V48" s="11"/>
      <c r="W48" s="11"/>
    </row>
    <row r="49" customFormat="false" ht="11.25" hidden="false" customHeight="false" outlineLevel="0" collapsed="false">
      <c r="A49" s="14" t="s">
        <v>4</v>
      </c>
      <c r="B49" s="15" t="s">
        <v>5</v>
      </c>
      <c r="C49" s="15" t="s">
        <v>6</v>
      </c>
      <c r="D49" s="16" t="n">
        <v>2000</v>
      </c>
      <c r="E49" s="17" t="n">
        <v>2001</v>
      </c>
      <c r="F49" s="17" t="n">
        <v>2002</v>
      </c>
      <c r="G49" s="17" t="n">
        <v>2003</v>
      </c>
      <c r="H49" s="17" t="n">
        <v>2004</v>
      </c>
      <c r="I49" s="17" t="n">
        <v>2005</v>
      </c>
      <c r="J49" s="17" t="n">
        <v>2006</v>
      </c>
      <c r="K49" s="17" t="n">
        <v>2007</v>
      </c>
      <c r="L49" s="17" t="n">
        <v>2008</v>
      </c>
      <c r="M49" s="17" t="n">
        <v>2009</v>
      </c>
      <c r="N49" s="18" t="n">
        <v>2010</v>
      </c>
      <c r="O49" s="11" t="n">
        <v>2011</v>
      </c>
      <c r="P49" s="11" t="n">
        <v>2012</v>
      </c>
      <c r="Q49" s="11" t="n">
        <v>2013</v>
      </c>
      <c r="R49" s="11" t="n">
        <v>2014</v>
      </c>
      <c r="S49" s="11" t="n">
        <v>2015</v>
      </c>
      <c r="T49" s="11" t="n">
        <v>2016</v>
      </c>
      <c r="U49" s="11" t="n">
        <v>2017</v>
      </c>
      <c r="V49" s="11" t="n">
        <v>2018</v>
      </c>
      <c r="W49" s="11" t="n">
        <v>2019</v>
      </c>
      <c r="X49" s="11" t="n">
        <v>2020</v>
      </c>
      <c r="Y49" s="11" t="n">
        <v>2021</v>
      </c>
    </row>
    <row r="50" customFormat="false" ht="11.25" hidden="false" customHeight="false" outlineLevel="0" collapsed="false">
      <c r="A50" s="14" t="s">
        <v>7</v>
      </c>
      <c r="B50" s="19" t="n">
        <f aca="false">NPV(0.1,D50:Y50)</f>
        <v>560779.272030459</v>
      </c>
      <c r="C50" s="19" t="n">
        <f aca="false">B50-B40</f>
        <v>0</v>
      </c>
      <c r="D50" s="20" t="n">
        <v>32832.33051995</v>
      </c>
      <c r="E50" s="21" t="n">
        <v>45948.8315117</v>
      </c>
      <c r="F50" s="21" t="n">
        <v>46302.6393854</v>
      </c>
      <c r="G50" s="21" t="n">
        <v>58642.2015138294</v>
      </c>
      <c r="H50" s="21" t="n">
        <v>68535.8832891462</v>
      </c>
      <c r="I50" s="21" t="n">
        <v>69912.486379192</v>
      </c>
      <c r="J50" s="21" t="n">
        <v>71068.0410975853</v>
      </c>
      <c r="K50" s="21" t="n">
        <v>72352.9549646082</v>
      </c>
      <c r="L50" s="21" t="n">
        <v>73764.1114482578</v>
      </c>
      <c r="M50" s="21" t="n">
        <v>75306.5884206946</v>
      </c>
      <c r="N50" s="22" t="n">
        <v>77015.3855990713</v>
      </c>
      <c r="O50" s="23" t="n">
        <v>79087.6799959171</v>
      </c>
      <c r="P50" s="23" t="n">
        <v>81341.4149940612</v>
      </c>
      <c r="Q50" s="23" t="n">
        <v>83693.5435010986</v>
      </c>
      <c r="R50" s="23" t="n">
        <v>86135.9089011244</v>
      </c>
      <c r="S50" s="23" t="n">
        <v>88626.5956364911</v>
      </c>
      <c r="T50" s="23" t="n">
        <v>90748.6238406609</v>
      </c>
      <c r="U50" s="23" t="n">
        <v>93097.4829152898</v>
      </c>
      <c r="V50" s="23" t="n">
        <v>95133.9207568918</v>
      </c>
      <c r="W50" s="23" t="n">
        <v>97164.5429430644</v>
      </c>
      <c r="X50" s="23" t="n">
        <v>23377.1322242946</v>
      </c>
      <c r="Y50" s="23" t="n">
        <v>0</v>
      </c>
    </row>
    <row r="51" customFormat="false" ht="11.25" hidden="false" customHeight="false" outlineLevel="0" collapsed="false">
      <c r="A51" s="24" t="s">
        <v>8</v>
      </c>
      <c r="B51" s="19" t="n">
        <f aca="false">NPV(0.1,D51:Y51)</f>
        <v>237339.397151784</v>
      </c>
      <c r="C51" s="19" t="n">
        <f aca="false">B51-B41</f>
        <v>-525.485733013484</v>
      </c>
      <c r="D51" s="20" t="n">
        <v>19632.0057132833</v>
      </c>
      <c r="E51" s="21" t="n">
        <v>23863.702022977</v>
      </c>
      <c r="F51" s="21" t="n">
        <v>24296.949834061</v>
      </c>
      <c r="G51" s="21" t="n">
        <v>24643.9810476965</v>
      </c>
      <c r="H51" s="21" t="n">
        <v>25076.4724947971</v>
      </c>
      <c r="I51" s="21" t="n">
        <v>25548.9807174194</v>
      </c>
      <c r="J51" s="21" t="n">
        <v>26167.6546569662</v>
      </c>
      <c r="K51" s="21" t="n">
        <v>26923.7718166054</v>
      </c>
      <c r="L51" s="21" t="n">
        <v>27815.1839013228</v>
      </c>
      <c r="M51" s="21" t="n">
        <v>28791.9631270055</v>
      </c>
      <c r="N51" s="22" t="n">
        <v>30002.2306862393</v>
      </c>
      <c r="O51" s="23" t="n">
        <v>31401.3101004232</v>
      </c>
      <c r="P51" s="23" t="n">
        <v>32984.0683972247</v>
      </c>
      <c r="Q51" s="23" t="n">
        <v>34612.1739627849</v>
      </c>
      <c r="R51" s="23" t="n">
        <v>36390.3021921657</v>
      </c>
      <c r="S51" s="23" t="n">
        <v>38221.3396778499</v>
      </c>
      <c r="T51" s="23" t="n">
        <v>40122.6463383316</v>
      </c>
      <c r="U51" s="23" t="n">
        <v>42227.1495138136</v>
      </c>
      <c r="V51" s="23" t="n">
        <v>44109.7885952148</v>
      </c>
      <c r="W51" s="23" t="n">
        <v>46023.385892012</v>
      </c>
      <c r="X51" s="23" t="n">
        <v>0</v>
      </c>
      <c r="Y51" s="23" t="n">
        <v>0</v>
      </c>
    </row>
    <row r="52" customFormat="false" ht="11.25" hidden="false" customHeight="false" outlineLevel="0" collapsed="false">
      <c r="A52" s="24" t="s">
        <v>9</v>
      </c>
      <c r="B52" s="19" t="n">
        <f aca="false">NPV(0.1,D52:Y52)</f>
        <v>100372.302957823</v>
      </c>
      <c r="C52" s="19" t="n">
        <f aca="false">B52-B42</f>
        <v>184.090243016195</v>
      </c>
      <c r="D52" s="20" t="n">
        <v>241.576707554482</v>
      </c>
      <c r="E52" s="21" t="n">
        <v>123.005587838727</v>
      </c>
      <c r="F52" s="21" t="n">
        <v>137.743070261213</v>
      </c>
      <c r="G52" s="21" t="n">
        <v>7607.85556019523</v>
      </c>
      <c r="H52" s="21" t="n">
        <v>13482.2435311472</v>
      </c>
      <c r="I52" s="21" t="n">
        <v>14408.9024528694</v>
      </c>
      <c r="J52" s="21" t="n">
        <v>15097.1581994137</v>
      </c>
      <c r="K52" s="21" t="n">
        <v>15667.8132745906</v>
      </c>
      <c r="L52" s="21" t="n">
        <v>16293.5435167345</v>
      </c>
      <c r="M52" s="21" t="n">
        <v>16981.9312476949</v>
      </c>
      <c r="N52" s="22" t="n">
        <v>17666.612596676</v>
      </c>
      <c r="O52" s="23" t="n">
        <v>18466.5030108434</v>
      </c>
      <c r="P52" s="23" t="n">
        <v>19343.5913634693</v>
      </c>
      <c r="Q52" s="23" t="n">
        <v>20303.2928692848</v>
      </c>
      <c r="R52" s="23" t="n">
        <v>21280.8070522149</v>
      </c>
      <c r="S52" s="23" t="n">
        <v>22276.977338146</v>
      </c>
      <c r="T52" s="23" t="n">
        <v>23100.5685515743</v>
      </c>
      <c r="U52" s="23" t="n">
        <v>23997.6103392454</v>
      </c>
      <c r="V52" s="23" t="n">
        <v>24902.5998822088</v>
      </c>
      <c r="W52" s="23" t="n">
        <v>25606.0530775705</v>
      </c>
      <c r="X52" s="23" t="n">
        <v>0</v>
      </c>
      <c r="Y52" s="23" t="n">
        <v>0</v>
      </c>
    </row>
    <row r="53" customFormat="false" ht="11.25" hidden="false" customHeight="false" outlineLevel="0" collapsed="false">
      <c r="A53" s="24" t="s">
        <v>10</v>
      </c>
      <c r="B53" s="19" t="n">
        <f aca="false">NPV(0.1,D53:Y53)</f>
        <v>139263.140177729</v>
      </c>
      <c r="C53" s="19" t="n">
        <f aca="false">B53-B43</f>
        <v>118.179774904245</v>
      </c>
      <c r="D53" s="25" t="n">
        <v>4599.29464933543</v>
      </c>
      <c r="E53" s="26" t="n">
        <v>8176.29185467577</v>
      </c>
      <c r="F53" s="26" t="n">
        <v>7693.74499355042</v>
      </c>
      <c r="G53" s="26" t="n">
        <v>20741.3391099846</v>
      </c>
      <c r="H53" s="26" t="n">
        <v>26429.5170915275</v>
      </c>
      <c r="I53" s="26" t="n">
        <v>26898.9305424195</v>
      </c>
      <c r="J53" s="26" t="n">
        <v>19943.3270444095</v>
      </c>
      <c r="K53" s="26" t="n">
        <v>19883.698085395</v>
      </c>
      <c r="L53" s="26" t="n">
        <v>19814.3073092424</v>
      </c>
      <c r="M53" s="26" t="n">
        <v>19695.5934742468</v>
      </c>
      <c r="N53" s="27" t="n">
        <v>19633.9685988695</v>
      </c>
      <c r="O53" s="23" t="n">
        <v>19515.5026413101</v>
      </c>
      <c r="P53" s="23" t="n">
        <v>19383.6262402481</v>
      </c>
      <c r="Q53" s="23" t="n">
        <v>19194.4377889603</v>
      </c>
      <c r="R53" s="23" t="n">
        <v>19053.5613423809</v>
      </c>
      <c r="S53" s="23" t="n">
        <v>14318.4495109007</v>
      </c>
      <c r="T53" s="23" t="n">
        <v>13318.2329305938</v>
      </c>
      <c r="U53" s="23" t="n">
        <v>12873.0511380183</v>
      </c>
      <c r="V53" s="23" t="n">
        <v>12481.1934704737</v>
      </c>
      <c r="W53" s="23" t="n">
        <v>19099.9643676287</v>
      </c>
      <c r="X53" s="23" t="n">
        <v>0</v>
      </c>
      <c r="Y53" s="23" t="n">
        <v>0</v>
      </c>
    </row>
    <row r="54" customFormat="false" ht="11.25" hidden="false" customHeight="false" outlineLevel="0" collapsed="false">
      <c r="D54" s="1"/>
      <c r="E54" s="3"/>
    </row>
    <row r="55" customFormat="false" ht="11.25" hidden="false" customHeight="false" outlineLevel="0" collapsed="false">
      <c r="A55" s="28" t="s">
        <v>16</v>
      </c>
      <c r="D55" s="1"/>
      <c r="E55" s="3"/>
    </row>
    <row r="56" customFormat="false" ht="11.25" hidden="false" customHeight="false" outlineLevel="0" collapsed="false">
      <c r="D56" s="1"/>
      <c r="E56" s="3"/>
    </row>
    <row r="57" customFormat="false" ht="11.25" hidden="false" customHeight="false" outlineLevel="0" collapsed="false">
      <c r="A57" s="9" t="s">
        <v>2</v>
      </c>
      <c r="B57" s="10" t="n">
        <v>58331.6270582647</v>
      </c>
      <c r="D57" s="11"/>
      <c r="E57" s="11"/>
      <c r="F57" s="11"/>
      <c r="G57" s="11"/>
      <c r="H57" s="11"/>
      <c r="I57" s="11"/>
      <c r="J57" s="11"/>
      <c r="K57" s="11"/>
      <c r="L57" s="11"/>
      <c r="M57" s="11"/>
      <c r="N57" s="11"/>
      <c r="O57" s="11"/>
      <c r="P57" s="11"/>
      <c r="Q57" s="11"/>
      <c r="R57" s="11"/>
      <c r="S57" s="11"/>
      <c r="T57" s="11"/>
      <c r="U57" s="11"/>
      <c r="V57" s="11"/>
      <c r="W57" s="11"/>
    </row>
    <row r="58" customFormat="false" ht="11.25" hidden="false" customHeight="false" outlineLevel="0" collapsed="false">
      <c r="A58" s="12" t="s">
        <v>3</v>
      </c>
      <c r="B58" s="13" t="n">
        <v>95767.4323533777</v>
      </c>
      <c r="D58" s="11"/>
      <c r="E58" s="11"/>
      <c r="F58" s="11"/>
      <c r="G58" s="11"/>
      <c r="H58" s="11"/>
      <c r="I58" s="11"/>
      <c r="J58" s="11"/>
      <c r="K58" s="11"/>
      <c r="L58" s="11"/>
      <c r="M58" s="11"/>
      <c r="N58" s="11"/>
      <c r="O58" s="11"/>
      <c r="P58" s="11"/>
      <c r="Q58" s="11"/>
      <c r="R58" s="11"/>
      <c r="S58" s="11"/>
      <c r="T58" s="11"/>
      <c r="U58" s="11"/>
      <c r="V58" s="11"/>
      <c r="W58" s="11"/>
    </row>
    <row r="59" customFormat="false" ht="11.25" hidden="false" customHeight="false" outlineLevel="0" collapsed="false">
      <c r="A59" s="14" t="s">
        <v>4</v>
      </c>
      <c r="B59" s="15" t="s">
        <v>5</v>
      </c>
      <c r="C59" s="15" t="s">
        <v>6</v>
      </c>
      <c r="D59" s="16" t="n">
        <v>2000</v>
      </c>
      <c r="E59" s="17" t="n">
        <v>2001</v>
      </c>
      <c r="F59" s="17" t="n">
        <v>2002</v>
      </c>
      <c r="G59" s="17" t="n">
        <v>2003</v>
      </c>
      <c r="H59" s="17" t="n">
        <v>2004</v>
      </c>
      <c r="I59" s="17" t="n">
        <v>2005</v>
      </c>
      <c r="J59" s="17" t="n">
        <v>2006</v>
      </c>
      <c r="K59" s="17" t="n">
        <v>2007</v>
      </c>
      <c r="L59" s="17" t="n">
        <v>2008</v>
      </c>
      <c r="M59" s="17" t="n">
        <v>2009</v>
      </c>
      <c r="N59" s="18" t="n">
        <v>2010</v>
      </c>
      <c r="O59" s="11" t="n">
        <v>2011</v>
      </c>
      <c r="P59" s="11" t="n">
        <v>2012</v>
      </c>
      <c r="Q59" s="11" t="n">
        <v>2013</v>
      </c>
      <c r="R59" s="11" t="n">
        <v>2014</v>
      </c>
      <c r="S59" s="11" t="n">
        <v>2015</v>
      </c>
      <c r="T59" s="11" t="n">
        <v>2016</v>
      </c>
      <c r="U59" s="11" t="n">
        <v>2017</v>
      </c>
      <c r="V59" s="11" t="n">
        <v>2018</v>
      </c>
      <c r="W59" s="11" t="n">
        <v>2019</v>
      </c>
      <c r="X59" s="11" t="n">
        <v>2020</v>
      </c>
      <c r="Y59" s="11" t="n">
        <v>2021</v>
      </c>
    </row>
    <row r="60" customFormat="false" ht="11.25" hidden="false" customHeight="false" outlineLevel="0" collapsed="false">
      <c r="A60" s="14" t="s">
        <v>7</v>
      </c>
      <c r="B60" s="19" t="n">
        <f aca="false">NPV(0.1,D60:Y60)</f>
        <v>560779.272030459</v>
      </c>
      <c r="C60" s="19" t="n">
        <f aca="false">B60-B50</f>
        <v>0</v>
      </c>
      <c r="D60" s="20" t="n">
        <v>32832.33051995</v>
      </c>
      <c r="E60" s="21" t="n">
        <v>45948.8315117</v>
      </c>
      <c r="F60" s="21" t="n">
        <v>46302.6393854</v>
      </c>
      <c r="G60" s="21" t="n">
        <v>58642.2015138294</v>
      </c>
      <c r="H60" s="21" t="n">
        <v>68535.8832891462</v>
      </c>
      <c r="I60" s="21" t="n">
        <v>69912.486379192</v>
      </c>
      <c r="J60" s="21" t="n">
        <v>71068.0410975853</v>
      </c>
      <c r="K60" s="21" t="n">
        <v>72352.9549646082</v>
      </c>
      <c r="L60" s="21" t="n">
        <v>73764.1114482578</v>
      </c>
      <c r="M60" s="21" t="n">
        <v>75306.5884206946</v>
      </c>
      <c r="N60" s="22" t="n">
        <v>77015.3855990713</v>
      </c>
      <c r="O60" s="23" t="n">
        <v>79087.6799959171</v>
      </c>
      <c r="P60" s="23" t="n">
        <v>81341.4149940612</v>
      </c>
      <c r="Q60" s="23" t="n">
        <v>83693.5435010986</v>
      </c>
      <c r="R60" s="23" t="n">
        <v>86135.9089011244</v>
      </c>
      <c r="S60" s="23" t="n">
        <v>88626.5956364911</v>
      </c>
      <c r="T60" s="23" t="n">
        <v>90748.6238406609</v>
      </c>
      <c r="U60" s="23" t="n">
        <v>93097.4829152898</v>
      </c>
      <c r="V60" s="23" t="n">
        <v>95133.9207568918</v>
      </c>
      <c r="W60" s="23" t="n">
        <v>97164.5429430644</v>
      </c>
      <c r="X60" s="23" t="n">
        <v>23377.1322242946</v>
      </c>
      <c r="Y60" s="23" t="n">
        <v>0</v>
      </c>
    </row>
    <row r="61" customFormat="false" ht="11.25" hidden="false" customHeight="false" outlineLevel="0" collapsed="false">
      <c r="A61" s="24" t="s">
        <v>8</v>
      </c>
      <c r="B61" s="19" t="n">
        <f aca="false">NPV(0.1,D61:Y61)</f>
        <v>237339.397151784</v>
      </c>
      <c r="C61" s="19" t="n">
        <f aca="false">B61-B51</f>
        <v>0</v>
      </c>
      <c r="D61" s="20" t="n">
        <v>19632.0057132833</v>
      </c>
      <c r="E61" s="21" t="n">
        <v>23863.702022977</v>
      </c>
      <c r="F61" s="21" t="n">
        <v>24296.949834061</v>
      </c>
      <c r="G61" s="21" t="n">
        <v>24643.9810476965</v>
      </c>
      <c r="H61" s="21" t="n">
        <v>25076.4724947971</v>
      </c>
      <c r="I61" s="21" t="n">
        <v>25548.9807174194</v>
      </c>
      <c r="J61" s="21" t="n">
        <v>26167.6546569662</v>
      </c>
      <c r="K61" s="21" t="n">
        <v>26923.7718166054</v>
      </c>
      <c r="L61" s="21" t="n">
        <v>27815.1839013228</v>
      </c>
      <c r="M61" s="21" t="n">
        <v>28791.9631270055</v>
      </c>
      <c r="N61" s="22" t="n">
        <v>30002.2306862393</v>
      </c>
      <c r="O61" s="23" t="n">
        <v>31401.3101004232</v>
      </c>
      <c r="P61" s="23" t="n">
        <v>32984.0683972247</v>
      </c>
      <c r="Q61" s="23" t="n">
        <v>34612.1739627849</v>
      </c>
      <c r="R61" s="23" t="n">
        <v>36390.3021921657</v>
      </c>
      <c r="S61" s="23" t="n">
        <v>38221.3396778499</v>
      </c>
      <c r="T61" s="23" t="n">
        <v>40122.6463383316</v>
      </c>
      <c r="U61" s="23" t="n">
        <v>42227.1495138136</v>
      </c>
      <c r="V61" s="23" t="n">
        <v>44109.7885952148</v>
      </c>
      <c r="W61" s="23" t="n">
        <v>46023.385892012</v>
      </c>
      <c r="X61" s="23" t="n">
        <v>0</v>
      </c>
      <c r="Y61" s="23" t="n">
        <v>0</v>
      </c>
    </row>
    <row r="62" customFormat="false" ht="11.25" hidden="false" customHeight="false" outlineLevel="0" collapsed="false">
      <c r="A62" s="24" t="s">
        <v>9</v>
      </c>
      <c r="B62" s="19" t="n">
        <f aca="false">NPV(0.1,D62:Y62)</f>
        <v>100949.794424153</v>
      </c>
      <c r="C62" s="19" t="n">
        <f aca="false">B62-B52</f>
        <v>577.491466329069</v>
      </c>
      <c r="D62" s="20" t="n">
        <v>282.987808316305</v>
      </c>
      <c r="E62" s="21" t="n">
        <v>193.996046287568</v>
      </c>
      <c r="F62" s="21" t="n">
        <v>208.733528710054</v>
      </c>
      <c r="G62" s="21" t="n">
        <v>7678.84601864407</v>
      </c>
      <c r="H62" s="21" t="n">
        <v>13553.2339895961</v>
      </c>
      <c r="I62" s="21" t="n">
        <v>14479.8929113183</v>
      </c>
      <c r="J62" s="21" t="n">
        <v>15168.1486578625</v>
      </c>
      <c r="K62" s="21" t="n">
        <v>15738.8037330394</v>
      </c>
      <c r="L62" s="21" t="n">
        <v>16364.5339751834</v>
      </c>
      <c r="M62" s="21" t="n">
        <v>17052.9217061437</v>
      </c>
      <c r="N62" s="22" t="n">
        <v>17737.6030551248</v>
      </c>
      <c r="O62" s="23" t="n">
        <v>18537.4934692923</v>
      </c>
      <c r="P62" s="23" t="n">
        <v>19414.5818219181</v>
      </c>
      <c r="Q62" s="23" t="n">
        <v>20374.2833277337</v>
      </c>
      <c r="R62" s="23" t="n">
        <v>21351.7975106637</v>
      </c>
      <c r="S62" s="23" t="n">
        <v>22347.9677965948</v>
      </c>
      <c r="T62" s="23" t="n">
        <v>23171.5590100231</v>
      </c>
      <c r="U62" s="23" t="n">
        <v>24068.6007976942</v>
      </c>
      <c r="V62" s="23" t="n">
        <v>24973.5903406576</v>
      </c>
      <c r="W62" s="23" t="n">
        <v>25677.0435360193</v>
      </c>
      <c r="X62" s="23" t="n">
        <v>0</v>
      </c>
      <c r="Y62" s="23" t="n">
        <v>0</v>
      </c>
    </row>
    <row r="63" customFormat="false" ht="11.25" hidden="false" customHeight="false" outlineLevel="0" collapsed="false">
      <c r="A63" s="24" t="s">
        <v>10</v>
      </c>
      <c r="B63" s="19" t="n">
        <f aca="false">NPV(0.1,D63:Y63)</f>
        <v>138735.206917521</v>
      </c>
      <c r="C63" s="19" t="n">
        <f aca="false">B63-B53</f>
        <v>-527.933260207938</v>
      </c>
      <c r="D63" s="25" t="n">
        <v>4599.29464933543</v>
      </c>
      <c r="E63" s="26" t="n">
        <v>8176.29185467577</v>
      </c>
      <c r="F63" s="26" t="n">
        <v>7693.74499355042</v>
      </c>
      <c r="G63" s="26" t="n">
        <v>20741.3391099846</v>
      </c>
      <c r="H63" s="26" t="n">
        <v>26429.5170915275</v>
      </c>
      <c r="I63" s="26" t="n">
        <v>26357.3133189715</v>
      </c>
      <c r="J63" s="26" t="n">
        <v>19874.7616981348</v>
      </c>
      <c r="K63" s="26" t="n">
        <v>19815.0112604395</v>
      </c>
      <c r="L63" s="26" t="n">
        <v>19745.7419629676</v>
      </c>
      <c r="M63" s="26" t="n">
        <v>19626.9066492913</v>
      </c>
      <c r="N63" s="27" t="n">
        <v>19565.4032525947</v>
      </c>
      <c r="O63" s="23" t="n">
        <v>19446.8158163545</v>
      </c>
      <c r="P63" s="23" t="n">
        <v>19315.0608939734</v>
      </c>
      <c r="Q63" s="23" t="n">
        <v>19125.7509640047</v>
      </c>
      <c r="R63" s="23" t="n">
        <v>18984.9959961062</v>
      </c>
      <c r="S63" s="23" t="n">
        <v>14312.5671639101</v>
      </c>
      <c r="T63" s="23" t="n">
        <v>13321.3400059811</v>
      </c>
      <c r="U63" s="23" t="n">
        <v>12876.1582134056</v>
      </c>
      <c r="V63" s="23" t="n">
        <v>12484.300545861</v>
      </c>
      <c r="W63" s="23" t="n">
        <v>19103.071443016</v>
      </c>
      <c r="X63" s="23" t="n">
        <v>0</v>
      </c>
      <c r="Y63" s="23" t="n">
        <v>0</v>
      </c>
    </row>
    <row r="64" customFormat="false" ht="11.25" hidden="false" customHeight="false" outlineLevel="0" collapsed="false">
      <c r="D64" s="1"/>
      <c r="E64" s="3"/>
    </row>
    <row r="65" customFormat="false" ht="11.25" hidden="false" customHeight="false" outlineLevel="0" collapsed="false">
      <c r="A65" s="28" t="s">
        <v>17</v>
      </c>
      <c r="D65" s="1"/>
      <c r="E65" s="3"/>
    </row>
    <row r="66" customFormat="false" ht="11.25" hidden="false" customHeight="false" outlineLevel="0" collapsed="false">
      <c r="A66" s="31" t="n">
        <v>36221</v>
      </c>
      <c r="D66" s="1"/>
      <c r="E66" s="3"/>
    </row>
    <row r="67" customFormat="false" ht="11.25" hidden="false" customHeight="false" outlineLevel="0" collapsed="false">
      <c r="A67" s="9" t="s">
        <v>2</v>
      </c>
      <c r="B67" s="10" t="n">
        <v>58331.6270582647</v>
      </c>
      <c r="D67" s="11"/>
      <c r="E67" s="11"/>
      <c r="F67" s="11"/>
      <c r="G67" s="11"/>
      <c r="H67" s="11"/>
      <c r="I67" s="11"/>
      <c r="J67" s="11"/>
      <c r="K67" s="11"/>
      <c r="L67" s="11"/>
      <c r="M67" s="11"/>
      <c r="N67" s="11"/>
      <c r="O67" s="11"/>
      <c r="P67" s="11"/>
      <c r="Q67" s="11"/>
      <c r="R67" s="11"/>
      <c r="S67" s="11"/>
      <c r="T67" s="11"/>
      <c r="U67" s="11"/>
      <c r="V67" s="11"/>
      <c r="W67" s="11"/>
    </row>
    <row r="68" customFormat="false" ht="11.25" hidden="false" customHeight="false" outlineLevel="0" collapsed="false">
      <c r="A68" s="12" t="s">
        <v>3</v>
      </c>
      <c r="B68" s="13" t="n">
        <v>95767.4323533777</v>
      </c>
      <c r="D68" s="11"/>
      <c r="E68" s="11"/>
      <c r="F68" s="11"/>
      <c r="G68" s="11"/>
      <c r="H68" s="11"/>
      <c r="I68" s="11"/>
      <c r="J68" s="11"/>
      <c r="K68" s="11"/>
      <c r="L68" s="11"/>
      <c r="M68" s="11"/>
      <c r="N68" s="11"/>
      <c r="O68" s="11"/>
      <c r="P68" s="11"/>
      <c r="Q68" s="11"/>
      <c r="R68" s="11"/>
      <c r="S68" s="11"/>
      <c r="T68" s="11"/>
      <c r="U68" s="11"/>
      <c r="V68" s="11"/>
      <c r="W68" s="11"/>
    </row>
    <row r="69" customFormat="false" ht="11.25" hidden="false" customHeight="false" outlineLevel="0" collapsed="false">
      <c r="A69" s="14" t="s">
        <v>4</v>
      </c>
      <c r="B69" s="15" t="s">
        <v>5</v>
      </c>
      <c r="C69" s="15" t="s">
        <v>6</v>
      </c>
      <c r="D69" s="16" t="n">
        <v>2000</v>
      </c>
      <c r="E69" s="17" t="n">
        <v>2001</v>
      </c>
      <c r="F69" s="17" t="n">
        <v>2002</v>
      </c>
      <c r="G69" s="17" t="n">
        <v>2003</v>
      </c>
      <c r="H69" s="17" t="n">
        <v>2004</v>
      </c>
      <c r="I69" s="17" t="n">
        <v>2005</v>
      </c>
      <c r="J69" s="17" t="n">
        <v>2006</v>
      </c>
      <c r="K69" s="17" t="n">
        <v>2007</v>
      </c>
      <c r="L69" s="17" t="n">
        <v>2008</v>
      </c>
      <c r="M69" s="17" t="n">
        <v>2009</v>
      </c>
      <c r="N69" s="18" t="n">
        <v>2010</v>
      </c>
      <c r="O69" s="11" t="n">
        <v>2011</v>
      </c>
      <c r="P69" s="11" t="n">
        <v>2012</v>
      </c>
      <c r="Q69" s="11" t="n">
        <v>2013</v>
      </c>
      <c r="R69" s="11" t="n">
        <v>2014</v>
      </c>
      <c r="S69" s="11" t="n">
        <v>2015</v>
      </c>
      <c r="T69" s="11" t="n">
        <v>2016</v>
      </c>
      <c r="U69" s="11" t="n">
        <v>2017</v>
      </c>
      <c r="V69" s="11" t="n">
        <v>2018</v>
      </c>
      <c r="W69" s="11" t="n">
        <v>2019</v>
      </c>
      <c r="X69" s="11" t="n">
        <v>2020</v>
      </c>
      <c r="Y69" s="11" t="n">
        <v>2021</v>
      </c>
    </row>
    <row r="70" customFormat="false" ht="11.25" hidden="false" customHeight="false" outlineLevel="0" collapsed="false">
      <c r="A70" s="14" t="s">
        <v>7</v>
      </c>
      <c r="B70" s="19" t="n">
        <f aca="false">NPV(0.1,D70:Y70)</f>
        <v>562772.681772662</v>
      </c>
      <c r="C70" s="19" t="n">
        <f aca="false">B70-B60</f>
        <v>1993.40974220261</v>
      </c>
      <c r="D70" s="20" t="n">
        <v>33018.9820028</v>
      </c>
      <c r="E70" s="21" t="n">
        <v>46145.7042978556</v>
      </c>
      <c r="F70" s="21" t="n">
        <v>46505.4183551402</v>
      </c>
      <c r="G70" s="21" t="n">
        <v>58851.0638526619</v>
      </c>
      <c r="H70" s="21" t="n">
        <v>68751.0114981436</v>
      </c>
      <c r="I70" s="21" t="n">
        <v>70134.0684344594</v>
      </c>
      <c r="J70" s="21" t="n">
        <v>71296.2706145107</v>
      </c>
      <c r="K70" s="21" t="n">
        <v>72588.0313670414</v>
      </c>
      <c r="L70" s="21" t="n">
        <v>74006.2401427639</v>
      </c>
      <c r="M70" s="21" t="n">
        <v>75555.9809760359</v>
      </c>
      <c r="N70" s="22" t="n">
        <v>77272.2599310729</v>
      </c>
      <c r="O70" s="23" t="n">
        <v>79352.2605578787</v>
      </c>
      <c r="P70" s="23" t="n">
        <v>81613.9329728816</v>
      </c>
      <c r="Q70" s="23" t="n">
        <v>83974.2370192836</v>
      </c>
      <c r="R70" s="23" t="n">
        <v>86425.023224855</v>
      </c>
      <c r="S70" s="23" t="n">
        <v>88924.3833899336</v>
      </c>
      <c r="T70" s="23" t="n">
        <v>91055.3452267067</v>
      </c>
      <c r="U70" s="23" t="n">
        <v>93413.405942917</v>
      </c>
      <c r="V70" s="23" t="n">
        <v>95459.3214753478</v>
      </c>
      <c r="W70" s="23" t="n">
        <v>97499.705683074</v>
      </c>
      <c r="X70" s="23" t="n">
        <v>23377.1322242946</v>
      </c>
      <c r="Y70" s="23" t="n">
        <v>0</v>
      </c>
    </row>
    <row r="71" customFormat="false" ht="11.25" hidden="false" customHeight="false" outlineLevel="0" collapsed="false">
      <c r="A71" s="24" t="s">
        <v>8</v>
      </c>
      <c r="B71" s="19" t="n">
        <f aca="false">NPV(0.1,D71:Y71)</f>
        <v>239594.244030322</v>
      </c>
      <c r="C71" s="19" t="n">
        <f aca="false">B71-B61</f>
        <v>2254.84687853834</v>
      </c>
      <c r="D71" s="20" t="n">
        <v>19818.6571961333</v>
      </c>
      <c r="E71" s="21" t="n">
        <v>24060.5748091325</v>
      </c>
      <c r="F71" s="21" t="n">
        <v>24499.7288038012</v>
      </c>
      <c r="G71" s="21" t="n">
        <v>24852.8433865289</v>
      </c>
      <c r="H71" s="21" t="n">
        <v>25291.6007037945</v>
      </c>
      <c r="I71" s="21" t="n">
        <v>25770.5627726868</v>
      </c>
      <c r="J71" s="21" t="n">
        <v>26395.8841738916</v>
      </c>
      <c r="K71" s="21" t="n">
        <v>27158.8482190385</v>
      </c>
      <c r="L71" s="21" t="n">
        <v>28057.3125958289</v>
      </c>
      <c r="M71" s="21" t="n">
        <v>29041.3556823467</v>
      </c>
      <c r="N71" s="22" t="n">
        <v>30259.1050182409</v>
      </c>
      <c r="O71" s="23" t="n">
        <v>31665.8906623848</v>
      </c>
      <c r="P71" s="23" t="n">
        <v>33256.5863760451</v>
      </c>
      <c r="Q71" s="23" t="n">
        <v>34892.8674809699</v>
      </c>
      <c r="R71" s="23" t="n">
        <v>36679.4165158963</v>
      </c>
      <c r="S71" s="23" t="n">
        <v>38519.1274312924</v>
      </c>
      <c r="T71" s="23" t="n">
        <v>40429.3677243774</v>
      </c>
      <c r="U71" s="23" t="n">
        <v>42543.0725414407</v>
      </c>
      <c r="V71" s="23" t="n">
        <v>44435.1893136707</v>
      </c>
      <c r="W71" s="23" t="n">
        <v>46358.5486320216</v>
      </c>
      <c r="X71" s="23" t="n">
        <v>1934.70015359597</v>
      </c>
      <c r="Y71" s="23" t="n">
        <v>0</v>
      </c>
    </row>
    <row r="72" customFormat="false" ht="11.25" hidden="false" customHeight="false" outlineLevel="0" collapsed="false">
      <c r="A72" s="24" t="s">
        <v>9</v>
      </c>
      <c r="B72" s="19" t="n">
        <f aca="false">NPV(0.1,D72:Y72)</f>
        <v>100949.794424153</v>
      </c>
      <c r="C72" s="19" t="n">
        <f aca="false">B72-B62</f>
        <v>0</v>
      </c>
      <c r="D72" s="20" t="n">
        <v>282.987808316305</v>
      </c>
      <c r="E72" s="21" t="n">
        <v>193.996046287563</v>
      </c>
      <c r="F72" s="21" t="n">
        <v>208.733528710052</v>
      </c>
      <c r="G72" s="21" t="n">
        <v>7678.84601864406</v>
      </c>
      <c r="H72" s="21" t="n">
        <v>13553.233989596</v>
      </c>
      <c r="I72" s="21" t="n">
        <v>14479.8929113183</v>
      </c>
      <c r="J72" s="21" t="n">
        <v>15168.1486578625</v>
      </c>
      <c r="K72" s="21" t="n">
        <v>15738.8037330394</v>
      </c>
      <c r="L72" s="21" t="n">
        <v>16364.5339751834</v>
      </c>
      <c r="M72" s="21" t="n">
        <v>17052.9217061437</v>
      </c>
      <c r="N72" s="22" t="n">
        <v>17737.6030551248</v>
      </c>
      <c r="O72" s="23" t="n">
        <v>18537.4934692923</v>
      </c>
      <c r="P72" s="23" t="n">
        <v>19414.5818219181</v>
      </c>
      <c r="Q72" s="23" t="n">
        <v>20374.2833277337</v>
      </c>
      <c r="R72" s="23" t="n">
        <v>21351.7975106637</v>
      </c>
      <c r="S72" s="23" t="n">
        <v>22347.9677965948</v>
      </c>
      <c r="T72" s="23" t="n">
        <v>23171.5590100231</v>
      </c>
      <c r="U72" s="23" t="n">
        <v>24068.6007976942</v>
      </c>
      <c r="V72" s="23" t="n">
        <v>24973.5903406576</v>
      </c>
      <c r="W72" s="23" t="n">
        <v>25677.0435360193</v>
      </c>
      <c r="X72" s="23" t="n">
        <v>0</v>
      </c>
      <c r="Y72" s="23" t="n">
        <v>0</v>
      </c>
    </row>
    <row r="73" customFormat="false" ht="11.25" hidden="false" customHeight="false" outlineLevel="0" collapsed="false">
      <c r="A73" s="24" t="s">
        <v>10</v>
      </c>
      <c r="B73" s="19" t="n">
        <f aca="false">NPV(0.1,D73:Y73)</f>
        <v>138735.206917521</v>
      </c>
      <c r="C73" s="19" t="n">
        <f aca="false">B73-B63</f>
        <v>0</v>
      </c>
      <c r="D73" s="25" t="n">
        <v>4599.29464933543</v>
      </c>
      <c r="E73" s="26" t="n">
        <v>8176.29185467577</v>
      </c>
      <c r="F73" s="26" t="n">
        <v>7693.74499355042</v>
      </c>
      <c r="G73" s="26" t="n">
        <v>20741.3391099846</v>
      </c>
      <c r="H73" s="26" t="n">
        <v>26429.5170915275</v>
      </c>
      <c r="I73" s="26" t="n">
        <v>26357.3133189715</v>
      </c>
      <c r="J73" s="26" t="n">
        <v>19874.7616981348</v>
      </c>
      <c r="K73" s="26" t="n">
        <v>19815.0112604395</v>
      </c>
      <c r="L73" s="26" t="n">
        <v>19745.7419629676</v>
      </c>
      <c r="M73" s="26" t="n">
        <v>19626.9066492913</v>
      </c>
      <c r="N73" s="27" t="n">
        <v>19565.4032525947</v>
      </c>
      <c r="O73" s="23" t="n">
        <v>19446.8158163545</v>
      </c>
      <c r="P73" s="23" t="n">
        <v>19315.0608939734</v>
      </c>
      <c r="Q73" s="23" t="n">
        <v>19125.7509640047</v>
      </c>
      <c r="R73" s="23" t="n">
        <v>18984.9959961062</v>
      </c>
      <c r="S73" s="23" t="n">
        <v>14312.5671639101</v>
      </c>
      <c r="T73" s="23" t="n">
        <v>13321.3400059811</v>
      </c>
      <c r="U73" s="23" t="n">
        <v>12876.1582134056</v>
      </c>
      <c r="V73" s="23" t="n">
        <v>12484.300545861</v>
      </c>
      <c r="W73" s="23" t="n">
        <v>19103.071443016</v>
      </c>
      <c r="X73" s="23" t="n">
        <v>0</v>
      </c>
      <c r="Y73" s="23" t="n">
        <v>0</v>
      </c>
    </row>
    <row r="74" customFormat="false" ht="11.25" hidden="false" customHeight="false" outlineLevel="0" collapsed="false">
      <c r="D74" s="1"/>
      <c r="E74" s="3"/>
    </row>
    <row r="75" customFormat="false" ht="11.25" hidden="false" customHeight="false" outlineLevel="0" collapsed="false">
      <c r="A75" s="28" t="s">
        <v>18</v>
      </c>
      <c r="D75" s="1"/>
      <c r="E75" s="3"/>
    </row>
    <row r="76" customFormat="false" ht="11.25" hidden="false" customHeight="false" outlineLevel="0" collapsed="false">
      <c r="A76" s="31" t="n">
        <v>36221</v>
      </c>
      <c r="D76" s="1"/>
      <c r="E76" s="3"/>
    </row>
    <row r="77" customFormat="false" ht="11.25" hidden="false" customHeight="false" outlineLevel="0" collapsed="false">
      <c r="A77" s="9" t="s">
        <v>2</v>
      </c>
      <c r="B77" s="10" t="n">
        <v>55874.437518262</v>
      </c>
      <c r="D77" s="11"/>
      <c r="E77" s="11"/>
      <c r="F77" s="11"/>
      <c r="G77" s="11"/>
      <c r="H77" s="11"/>
      <c r="I77" s="11"/>
      <c r="J77" s="11"/>
      <c r="K77" s="11"/>
      <c r="L77" s="11"/>
      <c r="M77" s="11"/>
      <c r="N77" s="11"/>
      <c r="O77" s="11"/>
      <c r="P77" s="11"/>
      <c r="Q77" s="11"/>
      <c r="R77" s="11"/>
      <c r="S77" s="11"/>
      <c r="T77" s="11"/>
      <c r="U77" s="11"/>
      <c r="V77" s="11"/>
      <c r="W77" s="11"/>
    </row>
    <row r="78" customFormat="false" ht="11.25" hidden="false" customHeight="false" outlineLevel="0" collapsed="false">
      <c r="A78" s="12" t="s">
        <v>3</v>
      </c>
      <c r="B78" s="13" t="n">
        <v>92619.410596319</v>
      </c>
      <c r="D78" s="11"/>
      <c r="E78" s="11"/>
      <c r="F78" s="11"/>
      <c r="G78" s="11"/>
      <c r="H78" s="11"/>
      <c r="I78" s="11"/>
      <c r="J78" s="11"/>
      <c r="K78" s="11"/>
      <c r="L78" s="11"/>
      <c r="M78" s="11"/>
      <c r="N78" s="11"/>
      <c r="O78" s="11"/>
      <c r="P78" s="11"/>
      <c r="Q78" s="11"/>
      <c r="R78" s="11"/>
      <c r="S78" s="11"/>
      <c r="T78" s="11"/>
      <c r="U78" s="11"/>
      <c r="V78" s="11"/>
      <c r="W78" s="11"/>
    </row>
    <row r="79" customFormat="false" ht="11.25" hidden="false" customHeight="false" outlineLevel="0" collapsed="false">
      <c r="A79" s="14" t="s">
        <v>4</v>
      </c>
      <c r="B79" s="15" t="s">
        <v>5</v>
      </c>
      <c r="C79" s="15" t="s">
        <v>6</v>
      </c>
      <c r="D79" s="16" t="n">
        <v>2000</v>
      </c>
      <c r="E79" s="17" t="n">
        <v>2001</v>
      </c>
      <c r="F79" s="17" t="n">
        <v>2002</v>
      </c>
      <c r="G79" s="17" t="n">
        <v>2003</v>
      </c>
      <c r="H79" s="17" t="n">
        <v>2004</v>
      </c>
      <c r="I79" s="17" t="n">
        <v>2005</v>
      </c>
      <c r="J79" s="17" t="n">
        <v>2006</v>
      </c>
      <c r="K79" s="17" t="n">
        <v>2007</v>
      </c>
      <c r="L79" s="17" t="n">
        <v>2008</v>
      </c>
      <c r="M79" s="17" t="n">
        <v>2009</v>
      </c>
      <c r="N79" s="18" t="n">
        <v>2010</v>
      </c>
      <c r="O79" s="11" t="n">
        <v>2011</v>
      </c>
      <c r="P79" s="11" t="n">
        <v>2012</v>
      </c>
      <c r="Q79" s="11" t="n">
        <v>2013</v>
      </c>
      <c r="R79" s="11" t="n">
        <v>2014</v>
      </c>
      <c r="S79" s="11" t="n">
        <v>2015</v>
      </c>
      <c r="T79" s="11" t="n">
        <v>2016</v>
      </c>
      <c r="U79" s="11" t="n">
        <v>2017</v>
      </c>
      <c r="V79" s="11" t="n">
        <v>2018</v>
      </c>
      <c r="W79" s="11" t="n">
        <v>2019</v>
      </c>
      <c r="X79" s="11" t="n">
        <v>2020</v>
      </c>
      <c r="Y79" s="11" t="n">
        <v>2021</v>
      </c>
    </row>
    <row r="80" customFormat="false" ht="11.25" hidden="false" customHeight="false" outlineLevel="0" collapsed="false">
      <c r="A80" s="14" t="s">
        <v>7</v>
      </c>
      <c r="B80" s="19" t="n">
        <f aca="false">NPV(0.1,D80:Y80)</f>
        <v>562772.681772662</v>
      </c>
      <c r="C80" s="19" t="n">
        <f aca="false">B80-B70</f>
        <v>0</v>
      </c>
      <c r="D80" s="20" t="n">
        <v>33018.9820028</v>
      </c>
      <c r="E80" s="21" t="n">
        <v>46145.7042978556</v>
      </c>
      <c r="F80" s="21" t="n">
        <v>46505.4183551402</v>
      </c>
      <c r="G80" s="21" t="n">
        <v>58851.0638526619</v>
      </c>
      <c r="H80" s="21" t="n">
        <v>68751.0114981436</v>
      </c>
      <c r="I80" s="21" t="n">
        <v>70134.0684344594</v>
      </c>
      <c r="J80" s="21" t="n">
        <v>71296.2706145107</v>
      </c>
      <c r="K80" s="21" t="n">
        <v>72588.0313670414</v>
      </c>
      <c r="L80" s="21" t="n">
        <v>74006.2401427639</v>
      </c>
      <c r="M80" s="21" t="n">
        <v>75555.9809760359</v>
      </c>
      <c r="N80" s="22" t="n">
        <v>77272.2599310729</v>
      </c>
      <c r="O80" s="23" t="n">
        <v>79352.2605578787</v>
      </c>
      <c r="P80" s="23" t="n">
        <v>81613.9329728816</v>
      </c>
      <c r="Q80" s="23" t="n">
        <v>83974.2370192836</v>
      </c>
      <c r="R80" s="23" t="n">
        <v>86425.023224855</v>
      </c>
      <c r="S80" s="23" t="n">
        <v>88924.3833899336</v>
      </c>
      <c r="T80" s="23" t="n">
        <v>91055.3452267067</v>
      </c>
      <c r="U80" s="23" t="n">
        <v>93413.405942917</v>
      </c>
      <c r="V80" s="23" t="n">
        <v>95459.3214753478</v>
      </c>
      <c r="W80" s="23" t="n">
        <v>97499.705683074</v>
      </c>
      <c r="X80" s="23" t="n">
        <v>23377.1322242946</v>
      </c>
      <c r="Y80" s="23" t="n">
        <v>0</v>
      </c>
    </row>
    <row r="81" customFormat="false" ht="11.25" hidden="false" customHeight="false" outlineLevel="0" collapsed="false">
      <c r="A81" s="24" t="s">
        <v>8</v>
      </c>
      <c r="B81" s="19" t="n">
        <f aca="false">NPV(0.1,D81:Y81)</f>
        <v>242737.817404942</v>
      </c>
      <c r="C81" s="19" t="n">
        <f aca="false">B81-B71</f>
        <v>3143.57337461918</v>
      </c>
      <c r="D81" s="20" t="n">
        <v>19998.9071961333</v>
      </c>
      <c r="E81" s="21" t="n">
        <v>24378.8448091325</v>
      </c>
      <c r="F81" s="21" t="n">
        <v>24827.5469038012</v>
      </c>
      <c r="G81" s="21" t="n">
        <v>25190.4960295289</v>
      </c>
      <c r="H81" s="21" t="n">
        <v>25639.3829260845</v>
      </c>
      <c r="I81" s="21" t="n">
        <v>26128.7784616455</v>
      </c>
      <c r="J81" s="21" t="n">
        <v>26764.846333519</v>
      </c>
      <c r="K81" s="21" t="n">
        <v>27538.8792434548</v>
      </c>
      <c r="L81" s="21" t="n">
        <v>28448.7445509777</v>
      </c>
      <c r="M81" s="21" t="n">
        <v>29444.53059615</v>
      </c>
      <c r="N81" s="22" t="n">
        <v>30674.3751794582</v>
      </c>
      <c r="O81" s="23" t="n">
        <v>32093.6189284387</v>
      </c>
      <c r="P81" s="23" t="n">
        <v>33697.1464900806</v>
      </c>
      <c r="Q81" s="23" t="n">
        <v>35346.6443984265</v>
      </c>
      <c r="R81" s="23" t="n">
        <v>37146.8067408765</v>
      </c>
      <c r="S81" s="23" t="n">
        <v>39000.539363022</v>
      </c>
      <c r="T81" s="23" t="n">
        <v>40925.2220140589</v>
      </c>
      <c r="U81" s="23" t="n">
        <v>43053.8024598127</v>
      </c>
      <c r="V81" s="23" t="n">
        <v>44961.2411295939</v>
      </c>
      <c r="W81" s="23" t="n">
        <v>46900.3820024224</v>
      </c>
      <c r="X81" s="23" t="n">
        <v>2167.23697505966</v>
      </c>
      <c r="Y81" s="23" t="n">
        <v>0</v>
      </c>
    </row>
    <row r="82" customFormat="false" ht="11.25" hidden="false" customHeight="false" outlineLevel="0" collapsed="false">
      <c r="A82" s="24" t="s">
        <v>9</v>
      </c>
      <c r="B82" s="19" t="n">
        <f aca="false">NPV(0.1,D82:Y82)</f>
        <v>99536.439716113</v>
      </c>
      <c r="C82" s="19" t="n">
        <f aca="false">B82-B72</f>
        <v>-1413.35470803952</v>
      </c>
      <c r="D82" s="20" t="n">
        <v>218.816360136105</v>
      </c>
      <c r="E82" s="21" t="n">
        <v>76.2932562408342</v>
      </c>
      <c r="F82" s="21" t="n">
        <v>81.3171154005515</v>
      </c>
      <c r="G82" s="21" t="n">
        <v>7540.93855808443</v>
      </c>
      <c r="H82" s="21" t="n">
        <v>13408.2911769616</v>
      </c>
      <c r="I82" s="21" t="n">
        <v>14327.4647457491</v>
      </c>
      <c r="J82" s="21" t="n">
        <v>15007.7525232489</v>
      </c>
      <c r="K82" s="21" t="n">
        <v>15569.9218903467</v>
      </c>
      <c r="L82" s="21" t="n">
        <v>16186.6108572088</v>
      </c>
      <c r="M82" s="21" t="n">
        <v>16865.3609989916</v>
      </c>
      <c r="N82" s="22" t="n">
        <v>17539.7645494316</v>
      </c>
      <c r="O82" s="23" t="n">
        <v>18328.6896628785</v>
      </c>
      <c r="P82" s="23" t="n">
        <v>19194.0742540811</v>
      </c>
      <c r="Q82" s="23" t="n">
        <v>20141.278623815</v>
      </c>
      <c r="R82" s="23" t="n">
        <v>21105.4431138202</v>
      </c>
      <c r="S82" s="23" t="n">
        <v>22087.3473618569</v>
      </c>
      <c r="T82" s="23" t="n">
        <v>22895.6874337378</v>
      </c>
      <c r="U82" s="23" t="n">
        <v>23776.4188532974</v>
      </c>
      <c r="V82" s="23" t="n">
        <v>24663.9588894031</v>
      </c>
      <c r="W82" s="23" t="n">
        <v>25351.6914609221</v>
      </c>
      <c r="X82" s="23" t="n">
        <v>0</v>
      </c>
      <c r="Y82" s="23" t="n">
        <v>0</v>
      </c>
    </row>
    <row r="83" customFormat="false" ht="11.25" hidden="false" customHeight="false" outlineLevel="0" collapsed="false">
      <c r="A83" s="24" t="s">
        <v>10</v>
      </c>
      <c r="B83" s="19" t="n">
        <f aca="false">NPV(0.1,D83:Y83)</f>
        <v>137790.039883361</v>
      </c>
      <c r="C83" s="19" t="n">
        <f aca="false">B83-B73</f>
        <v>-945.167034160026</v>
      </c>
      <c r="D83" s="25" t="n">
        <v>4536.42645350209</v>
      </c>
      <c r="E83" s="26" t="n">
        <v>8065.42780467577</v>
      </c>
      <c r="F83" s="26" t="n">
        <v>7579.69824355042</v>
      </c>
      <c r="G83" s="26" t="n">
        <v>20533.9734741846</v>
      </c>
      <c r="H83" s="26" t="n">
        <v>26216.0737081535</v>
      </c>
      <c r="I83" s="26" t="n">
        <v>26586.9245705286</v>
      </c>
      <c r="J83" s="26" t="n">
        <v>19745.8588568472</v>
      </c>
      <c r="K83" s="26" t="n">
        <v>19684.6945597481</v>
      </c>
      <c r="L83" s="26" t="n">
        <v>19614.1544099412</v>
      </c>
      <c r="M83" s="26" t="n">
        <v>19494.2103750388</v>
      </c>
      <c r="N83" s="27" t="n">
        <v>19431.7812726925</v>
      </c>
      <c r="O83" s="23" t="n">
        <v>19312.4739390233</v>
      </c>
      <c r="P83" s="23" t="n">
        <v>19180.2297880318</v>
      </c>
      <c r="Q83" s="23" t="n">
        <v>18990.6883995954</v>
      </c>
      <c r="R83" s="23" t="n">
        <v>18849.9892722359</v>
      </c>
      <c r="S83" s="23" t="n">
        <v>14177.9357379768</v>
      </c>
      <c r="T83" s="23" t="n">
        <v>13187.4383416792</v>
      </c>
      <c r="U83" s="23" t="n">
        <v>12743.3788647209</v>
      </c>
      <c r="V83" s="23" t="n">
        <v>12353.0774962897</v>
      </c>
      <c r="W83" s="23" t="n">
        <v>18870.7479028215</v>
      </c>
      <c r="X83" s="23" t="n">
        <v>0</v>
      </c>
      <c r="Y83" s="23" t="n">
        <v>0</v>
      </c>
    </row>
    <row r="84" customFormat="false" ht="11.25" hidden="false" customHeight="false" outlineLevel="0" collapsed="false">
      <c r="D84" s="1"/>
      <c r="E84" s="3"/>
    </row>
    <row r="85" customFormat="false" ht="11.25" hidden="false" customHeight="false" outlineLevel="0" collapsed="false">
      <c r="A85" s="28" t="s">
        <v>19</v>
      </c>
      <c r="D85" s="1"/>
      <c r="E85" s="3"/>
    </row>
    <row r="86" customFormat="false" ht="11.25" hidden="false" customHeight="false" outlineLevel="0" collapsed="false">
      <c r="A86" s="31" t="n">
        <v>36221</v>
      </c>
      <c r="D86" s="1"/>
      <c r="E86" s="3"/>
    </row>
    <row r="87" customFormat="false" ht="11.25" hidden="false" customHeight="false" outlineLevel="0" collapsed="false">
      <c r="A87" s="9" t="s">
        <v>2</v>
      </c>
      <c r="B87" s="10" t="n">
        <v>55874.437518262</v>
      </c>
      <c r="D87" s="11"/>
      <c r="E87" s="11"/>
      <c r="F87" s="11"/>
      <c r="G87" s="11"/>
      <c r="H87" s="11"/>
      <c r="I87" s="11"/>
      <c r="J87" s="11"/>
      <c r="K87" s="11"/>
      <c r="L87" s="11"/>
      <c r="M87" s="11"/>
      <c r="N87" s="11"/>
      <c r="O87" s="11"/>
      <c r="P87" s="11"/>
      <c r="Q87" s="11"/>
      <c r="R87" s="11"/>
      <c r="S87" s="11"/>
      <c r="T87" s="11"/>
      <c r="U87" s="11"/>
      <c r="V87" s="11"/>
      <c r="W87" s="11"/>
    </row>
    <row r="88" customFormat="false" ht="11.25" hidden="false" customHeight="false" outlineLevel="0" collapsed="false">
      <c r="A88" s="12" t="s">
        <v>3</v>
      </c>
      <c r="B88" s="13" t="n">
        <v>92619.410596319</v>
      </c>
      <c r="D88" s="11"/>
      <c r="E88" s="11"/>
      <c r="F88" s="11"/>
      <c r="G88" s="11"/>
      <c r="H88" s="11"/>
      <c r="I88" s="11"/>
      <c r="J88" s="11"/>
      <c r="K88" s="11"/>
      <c r="L88" s="11"/>
      <c r="M88" s="11"/>
      <c r="N88" s="11"/>
      <c r="O88" s="11"/>
      <c r="P88" s="11"/>
      <c r="Q88" s="11"/>
      <c r="R88" s="11"/>
      <c r="S88" s="11"/>
      <c r="T88" s="11"/>
      <c r="U88" s="11"/>
      <c r="V88" s="11"/>
      <c r="W88" s="11"/>
    </row>
    <row r="89" customFormat="false" ht="11.25" hidden="false" customHeight="false" outlineLevel="0" collapsed="false">
      <c r="A89" s="14" t="s">
        <v>4</v>
      </c>
      <c r="B89" s="15" t="s">
        <v>5</v>
      </c>
      <c r="C89" s="15" t="s">
        <v>6</v>
      </c>
      <c r="D89" s="16" t="n">
        <v>2000</v>
      </c>
      <c r="E89" s="17" t="n">
        <v>2001</v>
      </c>
      <c r="F89" s="17" t="n">
        <v>2002</v>
      </c>
      <c r="G89" s="17" t="n">
        <v>2003</v>
      </c>
      <c r="H89" s="17" t="n">
        <v>2004</v>
      </c>
      <c r="I89" s="17" t="n">
        <v>2005</v>
      </c>
      <c r="J89" s="17" t="n">
        <v>2006</v>
      </c>
      <c r="K89" s="17" t="n">
        <v>2007</v>
      </c>
      <c r="L89" s="17" t="n">
        <v>2008</v>
      </c>
      <c r="M89" s="17" t="n">
        <v>2009</v>
      </c>
      <c r="N89" s="18" t="n">
        <v>2010</v>
      </c>
      <c r="O89" s="11" t="n">
        <v>2011</v>
      </c>
      <c r="P89" s="11" t="n">
        <v>2012</v>
      </c>
      <c r="Q89" s="11" t="n">
        <v>2013</v>
      </c>
      <c r="R89" s="11" t="n">
        <v>2014</v>
      </c>
      <c r="S89" s="11" t="n">
        <v>2015</v>
      </c>
      <c r="T89" s="11" t="n">
        <v>2016</v>
      </c>
      <c r="U89" s="11" t="n">
        <v>2017</v>
      </c>
      <c r="V89" s="11" t="n">
        <v>2018</v>
      </c>
      <c r="W89" s="11" t="n">
        <v>2019</v>
      </c>
      <c r="X89" s="11" t="n">
        <v>2020</v>
      </c>
      <c r="Y89" s="11" t="n">
        <v>2021</v>
      </c>
    </row>
    <row r="90" customFormat="false" ht="11.25" hidden="false" customHeight="false" outlineLevel="0" collapsed="false">
      <c r="A90" s="14" t="s">
        <v>7</v>
      </c>
      <c r="B90" s="19" t="n">
        <f aca="false">NPV(0.1,D90:Y90)</f>
        <v>562772.681772662</v>
      </c>
      <c r="C90" s="19" t="n">
        <f aca="false">B90-B80</f>
        <v>0</v>
      </c>
      <c r="D90" s="20" t="n">
        <v>33018.9820028</v>
      </c>
      <c r="E90" s="21" t="n">
        <v>46145.7042978556</v>
      </c>
      <c r="F90" s="21" t="n">
        <v>46505.4183551402</v>
      </c>
      <c r="G90" s="21" t="n">
        <v>58851.0638526619</v>
      </c>
      <c r="H90" s="21" t="n">
        <v>68751.0114981436</v>
      </c>
      <c r="I90" s="21" t="n">
        <v>70134.0684344594</v>
      </c>
      <c r="J90" s="21" t="n">
        <v>71296.2706145107</v>
      </c>
      <c r="K90" s="21" t="n">
        <v>72588.0313670414</v>
      </c>
      <c r="L90" s="21" t="n">
        <v>74006.2401427639</v>
      </c>
      <c r="M90" s="21" t="n">
        <v>75555.9809760359</v>
      </c>
      <c r="N90" s="22" t="n">
        <v>77272.2599310729</v>
      </c>
      <c r="O90" s="23" t="n">
        <v>79352.2605578787</v>
      </c>
      <c r="P90" s="23" t="n">
        <v>81613.9329728816</v>
      </c>
      <c r="Q90" s="23" t="n">
        <v>83974.2370192836</v>
      </c>
      <c r="R90" s="23" t="n">
        <v>86425.023224855</v>
      </c>
      <c r="S90" s="23" t="n">
        <v>88924.3833899336</v>
      </c>
      <c r="T90" s="23" t="n">
        <v>91055.3452267067</v>
      </c>
      <c r="U90" s="23" t="n">
        <v>93413.405942917</v>
      </c>
      <c r="V90" s="23" t="n">
        <v>95459.3214753478</v>
      </c>
      <c r="W90" s="23" t="n">
        <v>97499.705683074</v>
      </c>
      <c r="X90" s="23" t="n">
        <v>23377.1322242946</v>
      </c>
      <c r="Y90" s="23" t="n">
        <v>0</v>
      </c>
    </row>
    <row r="91" customFormat="false" ht="11.25" hidden="false" customHeight="false" outlineLevel="0" collapsed="false">
      <c r="A91" s="24" t="s">
        <v>8</v>
      </c>
      <c r="B91" s="19" t="n">
        <f aca="false">NPV(0.1,D91:Y91)</f>
        <v>242737.817404942</v>
      </c>
      <c r="C91" s="19" t="n">
        <f aca="false">B91-B81</f>
        <v>0</v>
      </c>
      <c r="D91" s="20" t="n">
        <v>19998.9071961333</v>
      </c>
      <c r="E91" s="21" t="n">
        <v>24378.8448091325</v>
      </c>
      <c r="F91" s="21" t="n">
        <v>24827.5469038012</v>
      </c>
      <c r="G91" s="21" t="n">
        <v>25190.4960295289</v>
      </c>
      <c r="H91" s="21" t="n">
        <v>25639.3829260845</v>
      </c>
      <c r="I91" s="21" t="n">
        <v>26128.7784616455</v>
      </c>
      <c r="J91" s="21" t="n">
        <v>26764.846333519</v>
      </c>
      <c r="K91" s="21" t="n">
        <v>27538.8792434548</v>
      </c>
      <c r="L91" s="21" t="n">
        <v>28448.7445509777</v>
      </c>
      <c r="M91" s="21" t="n">
        <v>29444.53059615</v>
      </c>
      <c r="N91" s="22" t="n">
        <v>30674.3751794582</v>
      </c>
      <c r="O91" s="23" t="n">
        <v>32093.6189284387</v>
      </c>
      <c r="P91" s="23" t="n">
        <v>33697.1464900806</v>
      </c>
      <c r="Q91" s="23" t="n">
        <v>35346.6443984265</v>
      </c>
      <c r="R91" s="23" t="n">
        <v>37146.8067408765</v>
      </c>
      <c r="S91" s="23" t="n">
        <v>39000.539363022</v>
      </c>
      <c r="T91" s="23" t="n">
        <v>40925.2220140589</v>
      </c>
      <c r="U91" s="23" t="n">
        <v>43053.8024598127</v>
      </c>
      <c r="V91" s="23" t="n">
        <v>44961.2411295939</v>
      </c>
      <c r="W91" s="23" t="n">
        <v>46900.3820024224</v>
      </c>
      <c r="X91" s="23" t="n">
        <v>2167.23697505966</v>
      </c>
      <c r="Y91" s="23" t="n">
        <v>0</v>
      </c>
    </row>
    <row r="92" customFormat="false" ht="11.25" hidden="false" customHeight="false" outlineLevel="0" collapsed="false">
      <c r="A92" s="24" t="s">
        <v>9</v>
      </c>
      <c r="B92" s="19" t="n">
        <f aca="false">NPV(0.1,D92:Y92)</f>
        <v>99453.0633914762</v>
      </c>
      <c r="C92" s="19" t="n">
        <f aca="false">B92-B82</f>
        <v>-83.3763246368617</v>
      </c>
      <c r="D92" s="20" t="n">
        <v>-191.138639863895</v>
      </c>
      <c r="E92" s="21" t="n">
        <v>169.113256240834</v>
      </c>
      <c r="F92" s="21" t="n">
        <v>174.137115400552</v>
      </c>
      <c r="G92" s="21" t="n">
        <v>7633.75855808443</v>
      </c>
      <c r="H92" s="21" t="n">
        <v>13501.1111769616</v>
      </c>
      <c r="I92" s="21" t="n">
        <v>14366.1397457491</v>
      </c>
      <c r="J92" s="21" t="n">
        <v>15007.7525232489</v>
      </c>
      <c r="K92" s="21" t="n">
        <v>15569.9218903467</v>
      </c>
      <c r="L92" s="21" t="n">
        <v>16186.6108572088</v>
      </c>
      <c r="M92" s="21" t="n">
        <v>16865.3609989916</v>
      </c>
      <c r="N92" s="22" t="n">
        <v>17539.7645494316</v>
      </c>
      <c r="O92" s="23" t="n">
        <v>18328.6896628785</v>
      </c>
      <c r="P92" s="23" t="n">
        <v>19194.0742540811</v>
      </c>
      <c r="Q92" s="23" t="n">
        <v>20141.278623815</v>
      </c>
      <c r="R92" s="23" t="n">
        <v>21105.4431138202</v>
      </c>
      <c r="S92" s="23" t="n">
        <v>22087.3473618569</v>
      </c>
      <c r="T92" s="23" t="n">
        <v>22895.6874337378</v>
      </c>
      <c r="U92" s="23" t="n">
        <v>23776.4188532974</v>
      </c>
      <c r="V92" s="23" t="n">
        <v>24663.9588894031</v>
      </c>
      <c r="W92" s="23" t="n">
        <v>25351.6914609221</v>
      </c>
      <c r="X92" s="23" t="n">
        <v>0</v>
      </c>
      <c r="Y92" s="23" t="n">
        <v>0</v>
      </c>
    </row>
    <row r="93" customFormat="false" ht="11.25" hidden="false" customHeight="false" outlineLevel="0" collapsed="false">
      <c r="A93" s="24" t="s">
        <v>10</v>
      </c>
      <c r="B93" s="19" t="n">
        <f aca="false">NPV(0.1,D93:Y93)</f>
        <v>137790.039883361</v>
      </c>
      <c r="C93" s="19" t="n">
        <f aca="false">B93-B83</f>
        <v>0</v>
      </c>
      <c r="D93" s="25" t="n">
        <v>4536.42645350209</v>
      </c>
      <c r="E93" s="26" t="n">
        <v>8065.42780467577</v>
      </c>
      <c r="F93" s="26" t="n">
        <v>7579.69824355042</v>
      </c>
      <c r="G93" s="26" t="n">
        <v>20533.9734741846</v>
      </c>
      <c r="H93" s="26" t="n">
        <v>26216.0737081535</v>
      </c>
      <c r="I93" s="26" t="n">
        <v>26586.9245705286</v>
      </c>
      <c r="J93" s="26" t="n">
        <v>19745.8588568472</v>
      </c>
      <c r="K93" s="26" t="n">
        <v>19684.6945597481</v>
      </c>
      <c r="L93" s="26" t="n">
        <v>19614.1544099412</v>
      </c>
      <c r="M93" s="26" t="n">
        <v>19494.2103750388</v>
      </c>
      <c r="N93" s="27" t="n">
        <v>19431.7812726925</v>
      </c>
      <c r="O93" s="23" t="n">
        <v>19312.4739390233</v>
      </c>
      <c r="P93" s="23" t="n">
        <v>19180.2297880318</v>
      </c>
      <c r="Q93" s="23" t="n">
        <v>18990.6883995954</v>
      </c>
      <c r="R93" s="23" t="n">
        <v>18849.9892722359</v>
      </c>
      <c r="S93" s="23" t="n">
        <v>14177.9357379768</v>
      </c>
      <c r="T93" s="23" t="n">
        <v>13187.4383416792</v>
      </c>
      <c r="U93" s="23" t="n">
        <v>12743.3788647209</v>
      </c>
      <c r="V93" s="23" t="n">
        <v>12353.0774962897</v>
      </c>
      <c r="W93" s="23" t="n">
        <v>18870.7479028215</v>
      </c>
      <c r="X93" s="23" t="n">
        <v>0</v>
      </c>
      <c r="Y93" s="23" t="n">
        <v>0</v>
      </c>
    </row>
    <row r="94" customFormat="false" ht="11.25" hidden="false" customHeight="false" outlineLevel="0" collapsed="false">
      <c r="D94" s="1"/>
      <c r="E94" s="3"/>
    </row>
    <row r="95" customFormat="false" ht="11.25" hidden="false" customHeight="false" outlineLevel="0" collapsed="false">
      <c r="A95" s="28" t="s">
        <v>20</v>
      </c>
      <c r="D95" s="1"/>
      <c r="E95" s="3"/>
    </row>
    <row r="96" customFormat="false" ht="11.25" hidden="false" customHeight="false" outlineLevel="0" collapsed="false">
      <c r="D96" s="1"/>
      <c r="E96" s="3"/>
    </row>
    <row r="97" customFormat="false" ht="11.25" hidden="false" customHeight="false" outlineLevel="0" collapsed="false">
      <c r="A97" s="9" t="s">
        <v>2</v>
      </c>
      <c r="B97" s="10" t="n">
        <v>55874.437518262</v>
      </c>
      <c r="D97" s="11"/>
      <c r="E97" s="11"/>
      <c r="F97" s="11"/>
      <c r="G97" s="11"/>
      <c r="H97" s="11"/>
      <c r="I97" s="11"/>
      <c r="J97" s="11"/>
      <c r="K97" s="11"/>
      <c r="L97" s="11"/>
      <c r="M97" s="11"/>
      <c r="N97" s="11"/>
      <c r="O97" s="11"/>
      <c r="P97" s="11"/>
      <c r="Q97" s="11"/>
      <c r="R97" s="11"/>
      <c r="S97" s="11"/>
      <c r="T97" s="11"/>
      <c r="U97" s="11"/>
      <c r="V97" s="11"/>
      <c r="W97" s="11"/>
    </row>
    <row r="98" customFormat="false" ht="11.25" hidden="false" customHeight="false" outlineLevel="0" collapsed="false">
      <c r="A98" s="12" t="s">
        <v>3</v>
      </c>
      <c r="B98" s="13" t="n">
        <v>92619.410596319</v>
      </c>
      <c r="D98" s="11"/>
      <c r="E98" s="11"/>
      <c r="F98" s="11"/>
      <c r="G98" s="11"/>
      <c r="H98" s="11"/>
      <c r="I98" s="11"/>
      <c r="J98" s="11"/>
      <c r="K98" s="11"/>
      <c r="L98" s="11"/>
      <c r="M98" s="11"/>
      <c r="N98" s="11"/>
      <c r="O98" s="11"/>
      <c r="P98" s="11"/>
      <c r="Q98" s="11"/>
      <c r="R98" s="11"/>
      <c r="S98" s="11"/>
      <c r="T98" s="11"/>
      <c r="U98" s="11"/>
      <c r="V98" s="11"/>
      <c r="W98" s="11"/>
    </row>
    <row r="99" customFormat="false" ht="11.25" hidden="false" customHeight="false" outlineLevel="0" collapsed="false">
      <c r="A99" s="14" t="s">
        <v>4</v>
      </c>
      <c r="B99" s="15" t="s">
        <v>5</v>
      </c>
      <c r="C99" s="15" t="s">
        <v>6</v>
      </c>
      <c r="D99" s="16" t="n">
        <v>2000</v>
      </c>
      <c r="E99" s="17" t="n">
        <v>2001</v>
      </c>
      <c r="F99" s="17" t="n">
        <v>2002</v>
      </c>
      <c r="G99" s="17" t="n">
        <v>2003</v>
      </c>
      <c r="H99" s="17" t="n">
        <v>2004</v>
      </c>
      <c r="I99" s="17" t="n">
        <v>2005</v>
      </c>
      <c r="J99" s="17" t="n">
        <v>2006</v>
      </c>
      <c r="K99" s="17" t="n">
        <v>2007</v>
      </c>
      <c r="L99" s="17" t="n">
        <v>2008</v>
      </c>
      <c r="M99" s="17" t="n">
        <v>2009</v>
      </c>
      <c r="N99" s="18" t="n">
        <v>2010</v>
      </c>
      <c r="O99" s="11" t="n">
        <v>2011</v>
      </c>
      <c r="P99" s="11" t="n">
        <v>2012</v>
      </c>
      <c r="Q99" s="11" t="n">
        <v>2013</v>
      </c>
      <c r="R99" s="11" t="n">
        <v>2014</v>
      </c>
      <c r="S99" s="11" t="n">
        <v>2015</v>
      </c>
      <c r="T99" s="11" t="n">
        <v>2016</v>
      </c>
      <c r="U99" s="11" t="n">
        <v>2017</v>
      </c>
      <c r="V99" s="11" t="n">
        <v>2018</v>
      </c>
      <c r="W99" s="11" t="n">
        <v>2019</v>
      </c>
      <c r="X99" s="11" t="n">
        <v>2020</v>
      </c>
      <c r="Y99" s="11" t="n">
        <v>2021</v>
      </c>
    </row>
    <row r="100" customFormat="false" ht="11.25" hidden="false" customHeight="false" outlineLevel="0" collapsed="false">
      <c r="A100" s="14" t="s">
        <v>7</v>
      </c>
      <c r="B100" s="19" t="n">
        <f aca="false">NPV(0.1,D100:Y100)</f>
        <v>562277.205443547</v>
      </c>
      <c r="C100" s="19" t="n">
        <f aca="false">B100-B90</f>
        <v>-495.476329114521</v>
      </c>
      <c r="D100" s="20" t="n">
        <v>32983.8973339833</v>
      </c>
      <c r="E100" s="21" t="n">
        <v>46095.4127057635</v>
      </c>
      <c r="F100" s="21" t="n">
        <v>46455.9113887784</v>
      </c>
      <c r="G100" s="21" t="n">
        <v>58803.2119848852</v>
      </c>
      <c r="H100" s="21" t="n">
        <v>68704.2237285016</v>
      </c>
      <c r="I100" s="21" t="n">
        <v>70087.6675920782</v>
      </c>
      <c r="J100" s="21" t="n">
        <v>71249.634178026</v>
      </c>
      <c r="K100" s="21" t="n">
        <v>72540.1374316722</v>
      </c>
      <c r="L100" s="21" t="n">
        <v>73956.0896836166</v>
      </c>
      <c r="M100" s="21" t="n">
        <v>75502.5275995342</v>
      </c>
      <c r="N100" s="22" t="n">
        <v>77214.1541370091</v>
      </c>
      <c r="O100" s="23" t="n">
        <v>79288.0609347871</v>
      </c>
      <c r="P100" s="23" t="n">
        <v>81542.2470376352</v>
      </c>
      <c r="Q100" s="23" t="n">
        <v>83894.3801606219</v>
      </c>
      <c r="R100" s="23" t="n">
        <v>86336.3792017494</v>
      </c>
      <c r="S100" s="23" t="n">
        <v>88826.6922973048</v>
      </c>
      <c r="T100" s="23" t="n">
        <v>90948.204720208</v>
      </c>
      <c r="U100" s="23" t="n">
        <v>93294.8066265034</v>
      </c>
      <c r="V100" s="23" t="n">
        <v>95331.8450604527</v>
      </c>
      <c r="W100" s="23" t="n">
        <v>97363.3037147211</v>
      </c>
      <c r="X100" s="23" t="n">
        <v>23377.1322242946</v>
      </c>
      <c r="Y100" s="23" t="n">
        <v>0</v>
      </c>
    </row>
    <row r="101" customFormat="false" ht="11.25" hidden="false" customHeight="false" outlineLevel="0" collapsed="false">
      <c r="A101" s="24" t="s">
        <v>8</v>
      </c>
      <c r="B101" s="19" t="n">
        <f aca="false">NPV(0.1,D101:Y101)</f>
        <v>242242.341075827</v>
      </c>
      <c r="C101" s="19" t="n">
        <f aca="false">B101-B91</f>
        <v>-495.476329114405</v>
      </c>
      <c r="D101" s="20" t="n">
        <v>19963.8225273167</v>
      </c>
      <c r="E101" s="21" t="n">
        <v>24328.5532170405</v>
      </c>
      <c r="F101" s="21" t="n">
        <v>24778.0399374394</v>
      </c>
      <c r="G101" s="21" t="n">
        <v>25142.6441617523</v>
      </c>
      <c r="H101" s="21" t="n">
        <v>25592.5951564425</v>
      </c>
      <c r="I101" s="21" t="n">
        <v>26082.3776192643</v>
      </c>
      <c r="J101" s="21" t="n">
        <v>26718.2098970344</v>
      </c>
      <c r="K101" s="21" t="n">
        <v>27490.9853080856</v>
      </c>
      <c r="L101" s="21" t="n">
        <v>28398.5940918304</v>
      </c>
      <c r="M101" s="21" t="n">
        <v>29391.0772196483</v>
      </c>
      <c r="N101" s="22" t="n">
        <v>30616.2693853945</v>
      </c>
      <c r="O101" s="23" t="n">
        <v>32029.419305347</v>
      </c>
      <c r="P101" s="23" t="n">
        <v>33625.4605548342</v>
      </c>
      <c r="Q101" s="23" t="n">
        <v>35266.7875397647</v>
      </c>
      <c r="R101" s="23" t="n">
        <v>37058.1627177709</v>
      </c>
      <c r="S101" s="23" t="n">
        <v>38902.8482703932</v>
      </c>
      <c r="T101" s="23" t="n">
        <v>40818.0815075603</v>
      </c>
      <c r="U101" s="23" t="n">
        <v>42935.2031433991</v>
      </c>
      <c r="V101" s="23" t="n">
        <v>44833.7647146988</v>
      </c>
      <c r="W101" s="23" t="n">
        <v>46763.9800340695</v>
      </c>
      <c r="X101" s="23" t="n">
        <v>2167.23697505966</v>
      </c>
      <c r="Y101" s="23" t="n">
        <v>0</v>
      </c>
    </row>
    <row r="102" customFormat="false" ht="11.25" hidden="false" customHeight="false" outlineLevel="0" collapsed="false">
      <c r="A102" s="24" t="s">
        <v>9</v>
      </c>
      <c r="B102" s="19" t="n">
        <f aca="false">NPV(0.1,D102:Y102)</f>
        <v>99453.0633914761</v>
      </c>
      <c r="C102" s="19" t="n">
        <f aca="false">B102-B92</f>
        <v>0</v>
      </c>
      <c r="D102" s="20" t="n">
        <v>-191.138639863897</v>
      </c>
      <c r="E102" s="21" t="n">
        <v>169.113256240834</v>
      </c>
      <c r="F102" s="21" t="n">
        <v>174.137115400552</v>
      </c>
      <c r="G102" s="21" t="n">
        <v>7633.75855808442</v>
      </c>
      <c r="H102" s="21" t="n">
        <v>13501.1111769616</v>
      </c>
      <c r="I102" s="21" t="n">
        <v>14366.1397457491</v>
      </c>
      <c r="J102" s="21" t="n">
        <v>15007.7525232489</v>
      </c>
      <c r="K102" s="21" t="n">
        <v>15569.9218903467</v>
      </c>
      <c r="L102" s="21" t="n">
        <v>16186.6108572087</v>
      </c>
      <c r="M102" s="21" t="n">
        <v>16865.3609989916</v>
      </c>
      <c r="N102" s="22" t="n">
        <v>17539.7645494316</v>
      </c>
      <c r="O102" s="23" t="n">
        <v>18328.6896628785</v>
      </c>
      <c r="P102" s="23" t="n">
        <v>19194.0742540811</v>
      </c>
      <c r="Q102" s="23" t="n">
        <v>20141.278623815</v>
      </c>
      <c r="R102" s="23" t="n">
        <v>21105.4431138202</v>
      </c>
      <c r="S102" s="23" t="n">
        <v>22087.3473618569</v>
      </c>
      <c r="T102" s="23" t="n">
        <v>22895.6874337378</v>
      </c>
      <c r="U102" s="23" t="n">
        <v>23776.4188532974</v>
      </c>
      <c r="V102" s="23" t="n">
        <v>24663.9588894031</v>
      </c>
      <c r="W102" s="23" t="n">
        <v>25351.6914609221</v>
      </c>
      <c r="X102" s="23" t="n">
        <v>0</v>
      </c>
      <c r="Y102" s="23" t="n">
        <v>0</v>
      </c>
    </row>
    <row r="103" customFormat="false" ht="11.25" hidden="false" customHeight="false" outlineLevel="0" collapsed="false">
      <c r="A103" s="24" t="s">
        <v>10</v>
      </c>
      <c r="B103" s="19" t="n">
        <f aca="false">NPV(0.1,D103:Y103)</f>
        <v>137790.039883361</v>
      </c>
      <c r="C103" s="19" t="n">
        <f aca="false">B103-B93</f>
        <v>0</v>
      </c>
      <c r="D103" s="25" t="n">
        <v>4536.42645350209</v>
      </c>
      <c r="E103" s="26" t="n">
        <v>8065.42780467577</v>
      </c>
      <c r="F103" s="26" t="n">
        <v>7579.69824355042</v>
      </c>
      <c r="G103" s="26" t="n">
        <v>20533.9734741846</v>
      </c>
      <c r="H103" s="26" t="n">
        <v>26216.0737081535</v>
      </c>
      <c r="I103" s="26" t="n">
        <v>26586.9245705286</v>
      </c>
      <c r="J103" s="26" t="n">
        <v>19745.8588568472</v>
      </c>
      <c r="K103" s="26" t="n">
        <v>19684.6945597481</v>
      </c>
      <c r="L103" s="26" t="n">
        <v>19614.1544099412</v>
      </c>
      <c r="M103" s="26" t="n">
        <v>19494.2103750388</v>
      </c>
      <c r="N103" s="27" t="n">
        <v>19431.7812726925</v>
      </c>
      <c r="O103" s="23" t="n">
        <v>19312.4739390233</v>
      </c>
      <c r="P103" s="23" t="n">
        <v>19180.2297880318</v>
      </c>
      <c r="Q103" s="23" t="n">
        <v>18990.6883995954</v>
      </c>
      <c r="R103" s="23" t="n">
        <v>18849.9892722359</v>
      </c>
      <c r="S103" s="23" t="n">
        <v>14177.9357379768</v>
      </c>
      <c r="T103" s="23" t="n">
        <v>13187.4383416792</v>
      </c>
      <c r="U103" s="23" t="n">
        <v>12743.3788647209</v>
      </c>
      <c r="V103" s="23" t="n">
        <v>12353.0774962897</v>
      </c>
      <c r="W103" s="23" t="n">
        <v>18870.7479028215</v>
      </c>
      <c r="X103" s="23" t="n">
        <v>0</v>
      </c>
      <c r="Y103" s="23" t="n">
        <v>0</v>
      </c>
    </row>
    <row r="104" customFormat="false" ht="11.25" hidden="false" customHeight="false" outlineLevel="0" collapsed="false">
      <c r="D104" s="1"/>
      <c r="E104" s="3"/>
    </row>
    <row r="105" customFormat="false" ht="11.25" hidden="false" customHeight="false" outlineLevel="0" collapsed="false">
      <c r="A105" s="28" t="s">
        <v>21</v>
      </c>
      <c r="D105" s="1"/>
      <c r="E105" s="3"/>
    </row>
    <row r="106" customFormat="false" ht="11.25" hidden="false" customHeight="false" outlineLevel="0" collapsed="false">
      <c r="A106" s="28" t="s">
        <v>22</v>
      </c>
      <c r="D106" s="1"/>
      <c r="E106" s="3"/>
    </row>
    <row r="107" customFormat="false" ht="11.25" hidden="false" customHeight="false" outlineLevel="0" collapsed="false">
      <c r="D107" s="1"/>
      <c r="E107" s="3"/>
    </row>
    <row r="108" customFormat="false" ht="11.25" hidden="false" customHeight="false" outlineLevel="0" collapsed="false">
      <c r="A108" s="9" t="s">
        <v>2</v>
      </c>
      <c r="B108" s="10" t="n">
        <v>54422.7162974938</v>
      </c>
      <c r="D108" s="11"/>
      <c r="E108" s="11"/>
      <c r="F108" s="11"/>
      <c r="G108" s="11"/>
      <c r="H108" s="11"/>
      <c r="I108" s="11"/>
      <c r="J108" s="11"/>
      <c r="K108" s="11"/>
      <c r="L108" s="11"/>
      <c r="M108" s="11"/>
      <c r="N108" s="11"/>
      <c r="O108" s="11"/>
      <c r="P108" s="11"/>
      <c r="Q108" s="11"/>
      <c r="R108" s="11"/>
      <c r="S108" s="11"/>
      <c r="T108" s="11"/>
      <c r="U108" s="11"/>
      <c r="V108" s="11"/>
      <c r="W108" s="11"/>
    </row>
    <row r="109" customFormat="false" ht="11.25" hidden="false" customHeight="false" outlineLevel="0" collapsed="false">
      <c r="A109" s="12" t="s">
        <v>3</v>
      </c>
      <c r="B109" s="13" t="n">
        <v>92619.410596319</v>
      </c>
      <c r="D109" s="11"/>
      <c r="E109" s="11"/>
      <c r="F109" s="11"/>
      <c r="G109" s="11"/>
      <c r="H109" s="11"/>
      <c r="I109" s="11"/>
      <c r="J109" s="11"/>
      <c r="K109" s="11"/>
      <c r="L109" s="11"/>
      <c r="M109" s="11"/>
      <c r="N109" s="11"/>
      <c r="O109" s="11"/>
      <c r="P109" s="11"/>
      <c r="Q109" s="11"/>
      <c r="R109" s="11"/>
      <c r="S109" s="11"/>
      <c r="T109" s="11"/>
      <c r="U109" s="11"/>
      <c r="V109" s="11"/>
      <c r="W109" s="11"/>
    </row>
    <row r="110" customFormat="false" ht="11.25" hidden="false" customHeight="false" outlineLevel="0" collapsed="false">
      <c r="A110" s="14" t="s">
        <v>4</v>
      </c>
      <c r="B110" s="15" t="s">
        <v>5</v>
      </c>
      <c r="C110" s="15" t="s">
        <v>6</v>
      </c>
      <c r="D110" s="16" t="n">
        <v>2000</v>
      </c>
      <c r="E110" s="17" t="n">
        <v>2001</v>
      </c>
      <c r="F110" s="17" t="n">
        <v>2002</v>
      </c>
      <c r="G110" s="17" t="n">
        <v>2003</v>
      </c>
      <c r="H110" s="17" t="n">
        <v>2004</v>
      </c>
      <c r="I110" s="17" t="n">
        <v>2005</v>
      </c>
      <c r="J110" s="17" t="n">
        <v>2006</v>
      </c>
      <c r="K110" s="17" t="n">
        <v>2007</v>
      </c>
      <c r="L110" s="17" t="n">
        <v>2008</v>
      </c>
      <c r="M110" s="17" t="n">
        <v>2009</v>
      </c>
      <c r="N110" s="18" t="n">
        <v>2010</v>
      </c>
      <c r="O110" s="11" t="n">
        <v>2011</v>
      </c>
      <c r="P110" s="11" t="n">
        <v>2012</v>
      </c>
      <c r="Q110" s="11" t="n">
        <v>2013</v>
      </c>
      <c r="R110" s="11" t="n">
        <v>2014</v>
      </c>
      <c r="S110" s="11" t="n">
        <v>2015</v>
      </c>
      <c r="T110" s="11" t="n">
        <v>2016</v>
      </c>
      <c r="U110" s="11" t="n">
        <v>2017</v>
      </c>
      <c r="V110" s="11" t="n">
        <v>2018</v>
      </c>
      <c r="W110" s="11" t="n">
        <v>2019</v>
      </c>
      <c r="X110" s="11" t="n">
        <v>2020</v>
      </c>
      <c r="Y110" s="11" t="n">
        <v>2021</v>
      </c>
    </row>
    <row r="111" customFormat="false" ht="11.25" hidden="false" customHeight="false" outlineLevel="0" collapsed="false">
      <c r="A111" s="14" t="s">
        <v>7</v>
      </c>
      <c r="B111" s="19" t="n">
        <f aca="false">NPV(0.1,D111:Y111)</f>
        <v>562277.205443547</v>
      </c>
      <c r="C111" s="19" t="n">
        <f aca="false">B111-B100</f>
        <v>0</v>
      </c>
      <c r="D111" s="20" t="n">
        <v>32983.8973339833</v>
      </c>
      <c r="E111" s="21" t="n">
        <v>46095.4127057635</v>
      </c>
      <c r="F111" s="21" t="n">
        <v>46455.9113887784</v>
      </c>
      <c r="G111" s="21" t="n">
        <v>58803.2119848852</v>
      </c>
      <c r="H111" s="21" t="n">
        <v>68704.2237285016</v>
      </c>
      <c r="I111" s="21" t="n">
        <v>70087.6675920782</v>
      </c>
      <c r="J111" s="21" t="n">
        <v>71249.634178026</v>
      </c>
      <c r="K111" s="21" t="n">
        <v>72540.1374316722</v>
      </c>
      <c r="L111" s="21" t="n">
        <v>73956.0896836166</v>
      </c>
      <c r="M111" s="21" t="n">
        <v>75502.5275995342</v>
      </c>
      <c r="N111" s="22" t="n">
        <v>77214.1541370091</v>
      </c>
      <c r="O111" s="23" t="n">
        <v>79288.0609347871</v>
      </c>
      <c r="P111" s="23" t="n">
        <v>81542.2470376352</v>
      </c>
      <c r="Q111" s="23" t="n">
        <v>83894.3801606219</v>
      </c>
      <c r="R111" s="23" t="n">
        <v>86336.3792017494</v>
      </c>
      <c r="S111" s="23" t="n">
        <v>88826.6922973048</v>
      </c>
      <c r="T111" s="23" t="n">
        <v>90948.204720208</v>
      </c>
      <c r="U111" s="23" t="n">
        <v>93294.8066265034</v>
      </c>
      <c r="V111" s="23" t="n">
        <v>95331.8450604527</v>
      </c>
      <c r="W111" s="23" t="n">
        <v>97363.3037147211</v>
      </c>
      <c r="X111" s="23" t="n">
        <v>23377.1322242946</v>
      </c>
      <c r="Y111" s="23" t="n">
        <v>0</v>
      </c>
    </row>
    <row r="112" customFormat="false" ht="11.25" hidden="false" customHeight="false" outlineLevel="0" collapsed="false">
      <c r="A112" s="24" t="s">
        <v>8</v>
      </c>
      <c r="B112" s="19" t="n">
        <f aca="false">NPV(0.1,D112:Y112)</f>
        <v>242242.341075827</v>
      </c>
      <c r="C112" s="19" t="n">
        <f aca="false">B112-B101</f>
        <v>0</v>
      </c>
      <c r="D112" s="20" t="n">
        <v>19963.8225273167</v>
      </c>
      <c r="E112" s="21" t="n">
        <v>24328.5532170405</v>
      </c>
      <c r="F112" s="21" t="n">
        <v>24778.0399374394</v>
      </c>
      <c r="G112" s="21" t="n">
        <v>25142.6441617523</v>
      </c>
      <c r="H112" s="21" t="n">
        <v>25592.5951564425</v>
      </c>
      <c r="I112" s="21" t="n">
        <v>26082.3776192643</v>
      </c>
      <c r="J112" s="21" t="n">
        <v>26718.2098970344</v>
      </c>
      <c r="K112" s="21" t="n">
        <v>27490.9853080856</v>
      </c>
      <c r="L112" s="21" t="n">
        <v>28398.5940918304</v>
      </c>
      <c r="M112" s="21" t="n">
        <v>29391.0772196483</v>
      </c>
      <c r="N112" s="22" t="n">
        <v>30616.2693853945</v>
      </c>
      <c r="O112" s="23" t="n">
        <v>32029.419305347</v>
      </c>
      <c r="P112" s="23" t="n">
        <v>33625.4605548342</v>
      </c>
      <c r="Q112" s="23" t="n">
        <v>35266.7875397647</v>
      </c>
      <c r="R112" s="23" t="n">
        <v>37058.1627177709</v>
      </c>
      <c r="S112" s="23" t="n">
        <v>38902.8482703932</v>
      </c>
      <c r="T112" s="23" t="n">
        <v>40818.0815075603</v>
      </c>
      <c r="U112" s="23" t="n">
        <v>42935.2031433991</v>
      </c>
      <c r="V112" s="23" t="n">
        <v>44833.7647146988</v>
      </c>
      <c r="W112" s="23" t="n">
        <v>46763.9800340695</v>
      </c>
      <c r="X112" s="23" t="n">
        <v>2167.23697505966</v>
      </c>
      <c r="Y112" s="23" t="n">
        <v>0</v>
      </c>
    </row>
    <row r="113" customFormat="false" ht="11.25" hidden="false" customHeight="false" outlineLevel="0" collapsed="false">
      <c r="A113" s="24" t="s">
        <v>9</v>
      </c>
      <c r="B113" s="19" t="n">
        <f aca="false">NPV(0.1,D113:Y113)</f>
        <v>96966.7368066892</v>
      </c>
      <c r="C113" s="19" t="n">
        <f aca="false">B113-B102</f>
        <v>-2486.3265847869</v>
      </c>
      <c r="D113" s="20" t="n">
        <v>-186.360173867299</v>
      </c>
      <c r="E113" s="21" t="n">
        <v>164.885424834813</v>
      </c>
      <c r="F113" s="21" t="n">
        <v>169.783687515538</v>
      </c>
      <c r="G113" s="21" t="n">
        <v>7442.91459413231</v>
      </c>
      <c r="H113" s="21" t="n">
        <v>13163.5833975376</v>
      </c>
      <c r="I113" s="21" t="n">
        <v>14006.9862521053</v>
      </c>
      <c r="J113" s="21" t="n">
        <v>14632.5587101677</v>
      </c>
      <c r="K113" s="21" t="n">
        <v>15180.673843088</v>
      </c>
      <c r="L113" s="21" t="n">
        <v>15781.9455857785</v>
      </c>
      <c r="M113" s="21" t="n">
        <v>16443.7269740168</v>
      </c>
      <c r="N113" s="22" t="n">
        <v>17101.2704356958</v>
      </c>
      <c r="O113" s="23" t="n">
        <v>17870.4724213065</v>
      </c>
      <c r="P113" s="23" t="n">
        <v>18714.222397729</v>
      </c>
      <c r="Q113" s="23" t="n">
        <v>19637.7466582197</v>
      </c>
      <c r="R113" s="23" t="n">
        <v>20577.8070359747</v>
      </c>
      <c r="S113" s="23" t="n">
        <v>21535.1636778105</v>
      </c>
      <c r="T113" s="23" t="n">
        <v>22323.2952478943</v>
      </c>
      <c r="U113" s="23" t="n">
        <v>23182.008381965</v>
      </c>
      <c r="V113" s="23" t="n">
        <v>24047.359917168</v>
      </c>
      <c r="W113" s="23" t="n">
        <v>24717.8991743991</v>
      </c>
      <c r="X113" s="23" t="n">
        <v>0</v>
      </c>
      <c r="Y113" s="23" t="n">
        <v>0</v>
      </c>
    </row>
    <row r="114" customFormat="false" ht="11.25" hidden="false" customHeight="false" outlineLevel="0" collapsed="false">
      <c r="A114" s="24" t="s">
        <v>10</v>
      </c>
      <c r="B114" s="19" t="n">
        <f aca="false">NPV(0.1,D114:Y114)</f>
        <v>136062.003217633</v>
      </c>
      <c r="C114" s="19" t="n">
        <f aca="false">B114-B103</f>
        <v>-1728.03666572756</v>
      </c>
      <c r="D114" s="25" t="n">
        <v>4433.10978833174</v>
      </c>
      <c r="E114" s="26" t="n">
        <v>7996.55002789553</v>
      </c>
      <c r="F114" s="26" t="n">
        <v>7510.82046677018</v>
      </c>
      <c r="G114" s="26" t="n">
        <v>20465.0956974044</v>
      </c>
      <c r="H114" s="26" t="n">
        <v>26147.1959313733</v>
      </c>
      <c r="I114" s="26" t="n">
        <v>26639.1757581606</v>
      </c>
      <c r="J114" s="26" t="n">
        <v>19922.788193199</v>
      </c>
      <c r="K114" s="26" t="n">
        <v>19397.9772832038</v>
      </c>
      <c r="L114" s="26" t="n">
        <v>19311.6729590381</v>
      </c>
      <c r="M114" s="26" t="n">
        <v>19175.1071207784</v>
      </c>
      <c r="N114" s="27" t="n">
        <v>19095.4709794838</v>
      </c>
      <c r="O114" s="23" t="n">
        <v>18956.7874681657</v>
      </c>
      <c r="P114" s="23" t="n">
        <v>18802.5617522069</v>
      </c>
      <c r="Q114" s="23" t="n">
        <v>18589.6872047145</v>
      </c>
      <c r="R114" s="23" t="n">
        <v>18424.5370149175</v>
      </c>
      <c r="S114" s="23" t="n">
        <v>13548.909577823</v>
      </c>
      <c r="T114" s="23" t="n">
        <v>12512.5293658699</v>
      </c>
      <c r="U114" s="23" t="n">
        <v>12046.4516034225</v>
      </c>
      <c r="V114" s="23" t="n">
        <v>11633.9617340887</v>
      </c>
      <c r="W114" s="23" t="n">
        <v>18134.4388263325</v>
      </c>
      <c r="X114" s="23" t="n">
        <v>0</v>
      </c>
      <c r="Y114" s="23" t="n">
        <v>0</v>
      </c>
    </row>
    <row r="115" customFormat="false" ht="11.25" hidden="false" customHeight="false" outlineLevel="0" collapsed="false">
      <c r="D115" s="1"/>
      <c r="E115" s="3"/>
    </row>
    <row r="116" customFormat="false" ht="11.25" hidden="false" customHeight="false" outlineLevel="0" collapsed="false">
      <c r="A116" s="28" t="s">
        <v>23</v>
      </c>
      <c r="D116" s="1"/>
      <c r="E116" s="3"/>
    </row>
    <row r="117" customFormat="false" ht="11.25" hidden="false" customHeight="false" outlineLevel="0" collapsed="false">
      <c r="A117" s="31" t="n">
        <v>36234</v>
      </c>
      <c r="D117" s="1"/>
      <c r="E117" s="3"/>
    </row>
    <row r="118" customFormat="false" ht="11.25" hidden="false" customHeight="false" outlineLevel="0" collapsed="false">
      <c r="A118" s="9" t="s">
        <v>2</v>
      </c>
      <c r="B118" s="10" t="n">
        <v>54443.9297165695</v>
      </c>
      <c r="D118" s="11"/>
      <c r="E118" s="11"/>
      <c r="F118" s="11"/>
      <c r="G118" s="11"/>
      <c r="H118" s="11"/>
      <c r="I118" s="11"/>
      <c r="J118" s="11"/>
      <c r="K118" s="11"/>
      <c r="L118" s="11"/>
      <c r="M118" s="11"/>
      <c r="N118" s="11"/>
      <c r="O118" s="11"/>
      <c r="P118" s="11"/>
      <c r="Q118" s="11"/>
      <c r="R118" s="11"/>
      <c r="S118" s="11"/>
      <c r="T118" s="11"/>
      <c r="U118" s="11"/>
      <c r="V118" s="11"/>
      <c r="W118" s="11"/>
    </row>
    <row r="119" customFormat="false" ht="11.25" hidden="false" customHeight="false" outlineLevel="0" collapsed="false">
      <c r="A119" s="12" t="s">
        <v>3</v>
      </c>
      <c r="B119" s="13" t="n">
        <v>92619.410596319</v>
      </c>
      <c r="D119" s="11"/>
      <c r="E119" s="11"/>
      <c r="F119" s="11"/>
      <c r="G119" s="11"/>
      <c r="H119" s="11"/>
      <c r="I119" s="11"/>
      <c r="J119" s="11"/>
      <c r="K119" s="11"/>
      <c r="L119" s="11"/>
      <c r="M119" s="11"/>
      <c r="N119" s="11"/>
      <c r="O119" s="11"/>
      <c r="P119" s="11"/>
      <c r="Q119" s="11"/>
      <c r="R119" s="11"/>
      <c r="S119" s="11"/>
      <c r="T119" s="11"/>
      <c r="U119" s="11"/>
      <c r="V119" s="11"/>
      <c r="W119" s="11"/>
    </row>
    <row r="120" customFormat="false" ht="11.25" hidden="false" customHeight="false" outlineLevel="0" collapsed="false">
      <c r="A120" s="14" t="s">
        <v>4</v>
      </c>
      <c r="B120" s="15" t="s">
        <v>5</v>
      </c>
      <c r="C120" s="15" t="s">
        <v>6</v>
      </c>
      <c r="D120" s="16" t="n">
        <v>2000</v>
      </c>
      <c r="E120" s="17" t="n">
        <v>2001</v>
      </c>
      <c r="F120" s="17" t="n">
        <v>2002</v>
      </c>
      <c r="G120" s="17" t="n">
        <v>2003</v>
      </c>
      <c r="H120" s="17" t="n">
        <v>2004</v>
      </c>
      <c r="I120" s="17" t="n">
        <v>2005</v>
      </c>
      <c r="J120" s="17" t="n">
        <v>2006</v>
      </c>
      <c r="K120" s="17" t="n">
        <v>2007</v>
      </c>
      <c r="L120" s="17" t="n">
        <v>2008</v>
      </c>
      <c r="M120" s="17" t="n">
        <v>2009</v>
      </c>
      <c r="N120" s="18" t="n">
        <v>2010</v>
      </c>
      <c r="O120" s="11" t="n">
        <v>2011</v>
      </c>
      <c r="P120" s="11" t="n">
        <v>2012</v>
      </c>
      <c r="Q120" s="11" t="n">
        <v>2013</v>
      </c>
      <c r="R120" s="11" t="n">
        <v>2014</v>
      </c>
      <c r="S120" s="11" t="n">
        <v>2015</v>
      </c>
      <c r="T120" s="11" t="n">
        <v>2016</v>
      </c>
      <c r="U120" s="11" t="n">
        <v>2017</v>
      </c>
      <c r="V120" s="11" t="n">
        <v>2018</v>
      </c>
      <c r="W120" s="11" t="n">
        <v>2019</v>
      </c>
      <c r="X120" s="11" t="n">
        <v>2020</v>
      </c>
      <c r="Y120" s="11" t="n">
        <v>2021</v>
      </c>
    </row>
    <row r="121" customFormat="false" ht="11.25" hidden="false" customHeight="false" outlineLevel="0" collapsed="false">
      <c r="A121" s="14" t="s">
        <v>7</v>
      </c>
      <c r="B121" s="19" t="n">
        <f aca="false">NPV(0.1,D121:Y121)</f>
        <v>562277.205443547</v>
      </c>
      <c r="C121" s="19" t="n">
        <f aca="false">B121-B111</f>
        <v>0</v>
      </c>
      <c r="D121" s="20" t="n">
        <v>32983.8973339833</v>
      </c>
      <c r="E121" s="21" t="n">
        <v>46095.4127057635</v>
      </c>
      <c r="F121" s="21" t="n">
        <v>46455.9113887784</v>
      </c>
      <c r="G121" s="21" t="n">
        <v>58803.2119848852</v>
      </c>
      <c r="H121" s="21" t="n">
        <v>68704.2237285016</v>
      </c>
      <c r="I121" s="21" t="n">
        <v>70087.6675920782</v>
      </c>
      <c r="J121" s="21" t="n">
        <v>71249.634178026</v>
      </c>
      <c r="K121" s="21" t="n">
        <v>72540.1374316722</v>
      </c>
      <c r="L121" s="21" t="n">
        <v>73956.0896836166</v>
      </c>
      <c r="M121" s="21" t="n">
        <v>75502.5275995342</v>
      </c>
      <c r="N121" s="22" t="n">
        <v>77214.1541370091</v>
      </c>
      <c r="O121" s="23" t="n">
        <v>79288.0609347871</v>
      </c>
      <c r="P121" s="23" t="n">
        <v>81542.2470376352</v>
      </c>
      <c r="Q121" s="23" t="n">
        <v>83894.3801606219</v>
      </c>
      <c r="R121" s="23" t="n">
        <v>86336.3792017494</v>
      </c>
      <c r="S121" s="23" t="n">
        <v>88826.6922973048</v>
      </c>
      <c r="T121" s="23" t="n">
        <v>90948.204720208</v>
      </c>
      <c r="U121" s="23" t="n">
        <v>93294.8066265034</v>
      </c>
      <c r="V121" s="23" t="n">
        <v>95331.8450604527</v>
      </c>
      <c r="W121" s="23" t="n">
        <v>97363.3037147211</v>
      </c>
      <c r="X121" s="23" t="n">
        <v>23377.1322242946</v>
      </c>
      <c r="Y121" s="23" t="n">
        <v>0</v>
      </c>
    </row>
    <row r="122" customFormat="false" ht="11.25" hidden="false" customHeight="false" outlineLevel="0" collapsed="false">
      <c r="A122" s="24" t="s">
        <v>8</v>
      </c>
      <c r="B122" s="19" t="n">
        <f aca="false">NPV(0.1,D122:Y122)</f>
        <v>242242.341075827</v>
      </c>
      <c r="C122" s="19" t="n">
        <f aca="false">B122-B112</f>
        <v>0</v>
      </c>
      <c r="D122" s="20" t="n">
        <v>19963.8225273167</v>
      </c>
      <c r="E122" s="21" t="n">
        <v>24328.5532170405</v>
      </c>
      <c r="F122" s="21" t="n">
        <v>24778.0399374394</v>
      </c>
      <c r="G122" s="21" t="n">
        <v>25142.6441617523</v>
      </c>
      <c r="H122" s="21" t="n">
        <v>25592.5951564425</v>
      </c>
      <c r="I122" s="21" t="n">
        <v>26082.3776192643</v>
      </c>
      <c r="J122" s="21" t="n">
        <v>26718.2098970344</v>
      </c>
      <c r="K122" s="21" t="n">
        <v>27490.9853080856</v>
      </c>
      <c r="L122" s="21" t="n">
        <v>28398.5940918304</v>
      </c>
      <c r="M122" s="21" t="n">
        <v>29391.0772196483</v>
      </c>
      <c r="N122" s="22" t="n">
        <v>30616.2693853945</v>
      </c>
      <c r="O122" s="23" t="n">
        <v>32029.419305347</v>
      </c>
      <c r="P122" s="23" t="n">
        <v>33625.4605548342</v>
      </c>
      <c r="Q122" s="23" t="n">
        <v>35266.7875397647</v>
      </c>
      <c r="R122" s="23" t="n">
        <v>37058.1627177709</v>
      </c>
      <c r="S122" s="23" t="n">
        <v>38902.8482703932</v>
      </c>
      <c r="T122" s="23" t="n">
        <v>40818.0815075603</v>
      </c>
      <c r="U122" s="23" t="n">
        <v>42935.2031433991</v>
      </c>
      <c r="V122" s="23" t="n">
        <v>44833.7647146988</v>
      </c>
      <c r="W122" s="23" t="n">
        <v>46763.9800340695</v>
      </c>
      <c r="X122" s="23" t="n">
        <v>2167.23697505966</v>
      </c>
      <c r="Y122" s="23" t="n">
        <v>0</v>
      </c>
    </row>
    <row r="123" customFormat="false" ht="11.25" hidden="false" customHeight="false" outlineLevel="0" collapsed="false">
      <c r="A123" s="24" t="s">
        <v>9</v>
      </c>
      <c r="B123" s="19" t="n">
        <f aca="false">NPV(0.1,D123:Y123)</f>
        <v>96966.7368066892</v>
      </c>
      <c r="C123" s="19" t="n">
        <f aca="false">B123-B113</f>
        <v>0</v>
      </c>
      <c r="D123" s="20" t="n">
        <v>-186.360173867299</v>
      </c>
      <c r="E123" s="21" t="n">
        <v>164.885424834813</v>
      </c>
      <c r="F123" s="21" t="n">
        <v>169.783687515538</v>
      </c>
      <c r="G123" s="21" t="n">
        <v>7442.91459413231</v>
      </c>
      <c r="H123" s="21" t="n">
        <v>13163.5833975376</v>
      </c>
      <c r="I123" s="21" t="n">
        <v>14006.9862521053</v>
      </c>
      <c r="J123" s="21" t="n">
        <v>14632.5587101677</v>
      </c>
      <c r="K123" s="21" t="n">
        <v>15180.673843088</v>
      </c>
      <c r="L123" s="21" t="n">
        <v>15781.9455857785</v>
      </c>
      <c r="M123" s="21" t="n">
        <v>16443.7269740168</v>
      </c>
      <c r="N123" s="22" t="n">
        <v>17101.2704356958</v>
      </c>
      <c r="O123" s="23" t="n">
        <v>17870.4724213065</v>
      </c>
      <c r="P123" s="23" t="n">
        <v>18714.222397729</v>
      </c>
      <c r="Q123" s="23" t="n">
        <v>19637.7466582197</v>
      </c>
      <c r="R123" s="23" t="n">
        <v>20577.8070359747</v>
      </c>
      <c r="S123" s="23" t="n">
        <v>21535.1636778105</v>
      </c>
      <c r="T123" s="23" t="n">
        <v>22323.2952478943</v>
      </c>
      <c r="U123" s="23" t="n">
        <v>23182.008381965</v>
      </c>
      <c r="V123" s="23" t="n">
        <v>24047.359917168</v>
      </c>
      <c r="W123" s="23" t="n">
        <v>24717.8991743991</v>
      </c>
      <c r="X123" s="23" t="n">
        <v>0</v>
      </c>
      <c r="Y123" s="23" t="n">
        <v>0</v>
      </c>
    </row>
    <row r="124" customFormat="false" ht="11.25" hidden="false" customHeight="false" outlineLevel="0" collapsed="false">
      <c r="A124" s="24" t="s">
        <v>10</v>
      </c>
      <c r="B124" s="19" t="n">
        <f aca="false">NPV(0.1,D124:Y124)</f>
        <v>136086.092330362</v>
      </c>
      <c r="C124" s="19" t="n">
        <f aca="false">B124-B114</f>
        <v>24.0891127286886</v>
      </c>
      <c r="D124" s="25" t="n">
        <v>4433.10978833174</v>
      </c>
      <c r="E124" s="26" t="n">
        <v>7996.55002789553</v>
      </c>
      <c r="F124" s="26" t="n">
        <v>7510.82046677018</v>
      </c>
      <c r="G124" s="26" t="n">
        <v>20465.0956974044</v>
      </c>
      <c r="H124" s="26" t="n">
        <v>26147.1959313733</v>
      </c>
      <c r="I124" s="26" t="n">
        <v>26639.1757581606</v>
      </c>
      <c r="J124" s="26" t="n">
        <v>19946.8971370165</v>
      </c>
      <c r="K124" s="26" t="n">
        <v>19401.1918090462</v>
      </c>
      <c r="L124" s="26" t="n">
        <v>19314.8874848805</v>
      </c>
      <c r="M124" s="26" t="n">
        <v>19178.3216466207</v>
      </c>
      <c r="N124" s="27" t="n">
        <v>19098.6855053261</v>
      </c>
      <c r="O124" s="23" t="n">
        <v>18960.0019940081</v>
      </c>
      <c r="P124" s="23" t="n">
        <v>18805.7762780493</v>
      </c>
      <c r="Q124" s="23" t="n">
        <v>18592.9017305568</v>
      </c>
      <c r="R124" s="23" t="n">
        <v>18427.7515407599</v>
      </c>
      <c r="S124" s="23" t="n">
        <v>13552.1241036653</v>
      </c>
      <c r="T124" s="23" t="n">
        <v>12515.7438917122</v>
      </c>
      <c r="U124" s="23" t="n">
        <v>12049.6661292649</v>
      </c>
      <c r="V124" s="23" t="n">
        <v>11637.1762599311</v>
      </c>
      <c r="W124" s="23" t="n">
        <v>18137.6533521749</v>
      </c>
      <c r="X124" s="23" t="n">
        <v>0</v>
      </c>
      <c r="Y124" s="23" t="n">
        <v>0</v>
      </c>
    </row>
    <row r="125" customFormat="false" ht="11.25" hidden="false" customHeight="false" outlineLevel="0" collapsed="false">
      <c r="D125" s="1"/>
      <c r="E125" s="3"/>
    </row>
    <row r="126" customFormat="false" ht="11.25" hidden="false" customHeight="false" outlineLevel="0" collapsed="false">
      <c r="A126" s="28" t="s">
        <v>24</v>
      </c>
      <c r="D126" s="1"/>
      <c r="E126" s="3"/>
    </row>
    <row r="127" customFormat="false" ht="11.25" hidden="false" customHeight="false" outlineLevel="0" collapsed="false">
      <c r="A127" s="31" t="n">
        <v>36234</v>
      </c>
      <c r="D127" s="1"/>
      <c r="E127" s="3"/>
    </row>
    <row r="128" customFormat="false" ht="11.25" hidden="false" customHeight="false" outlineLevel="0" collapsed="false">
      <c r="A128" s="9" t="s">
        <v>2</v>
      </c>
      <c r="B128" s="10" t="n">
        <v>53762.7251379864</v>
      </c>
      <c r="D128" s="11"/>
      <c r="E128" s="11"/>
      <c r="F128" s="11"/>
      <c r="G128" s="11"/>
      <c r="H128" s="11"/>
      <c r="I128" s="11"/>
      <c r="J128" s="11"/>
      <c r="K128" s="11"/>
      <c r="L128" s="11"/>
      <c r="M128" s="11"/>
      <c r="N128" s="11"/>
      <c r="O128" s="11"/>
      <c r="P128" s="11"/>
      <c r="Q128" s="11"/>
      <c r="R128" s="11"/>
      <c r="S128" s="11"/>
      <c r="T128" s="11"/>
      <c r="U128" s="11"/>
      <c r="V128" s="11"/>
      <c r="W128" s="11"/>
    </row>
    <row r="129" customFormat="false" ht="11.25" hidden="false" customHeight="false" outlineLevel="0" collapsed="false">
      <c r="A129" s="12" t="s">
        <v>3</v>
      </c>
      <c r="B129" s="13" t="n">
        <v>92619.410596319</v>
      </c>
      <c r="D129" s="11"/>
      <c r="E129" s="11"/>
      <c r="F129" s="11"/>
      <c r="G129" s="11"/>
      <c r="H129" s="11"/>
      <c r="I129" s="11"/>
      <c r="J129" s="11"/>
      <c r="K129" s="11"/>
      <c r="L129" s="11"/>
      <c r="M129" s="11"/>
      <c r="N129" s="11"/>
      <c r="O129" s="11"/>
      <c r="P129" s="11"/>
      <c r="Q129" s="11"/>
      <c r="R129" s="11"/>
      <c r="S129" s="11"/>
      <c r="T129" s="11"/>
      <c r="U129" s="11"/>
      <c r="V129" s="11"/>
      <c r="W129" s="11"/>
    </row>
    <row r="130" customFormat="false" ht="11.25" hidden="false" customHeight="false" outlineLevel="0" collapsed="false">
      <c r="A130" s="14" t="s">
        <v>4</v>
      </c>
      <c r="B130" s="15" t="s">
        <v>5</v>
      </c>
      <c r="C130" s="15" t="s">
        <v>6</v>
      </c>
      <c r="D130" s="16" t="n">
        <v>2000</v>
      </c>
      <c r="E130" s="17" t="n">
        <v>2001</v>
      </c>
      <c r="F130" s="17" t="n">
        <v>2002</v>
      </c>
      <c r="G130" s="17" t="n">
        <v>2003</v>
      </c>
      <c r="H130" s="17" t="n">
        <v>2004</v>
      </c>
      <c r="I130" s="17" t="n">
        <v>2005</v>
      </c>
      <c r="J130" s="17" t="n">
        <v>2006</v>
      </c>
      <c r="K130" s="17" t="n">
        <v>2007</v>
      </c>
      <c r="L130" s="17" t="n">
        <v>2008</v>
      </c>
      <c r="M130" s="17" t="n">
        <v>2009</v>
      </c>
      <c r="N130" s="18" t="n">
        <v>2010</v>
      </c>
      <c r="O130" s="11" t="n">
        <v>2011</v>
      </c>
      <c r="P130" s="11" t="n">
        <v>2012</v>
      </c>
      <c r="Q130" s="11" t="n">
        <v>2013</v>
      </c>
      <c r="R130" s="11" t="n">
        <v>2014</v>
      </c>
      <c r="S130" s="11" t="n">
        <v>2015</v>
      </c>
      <c r="T130" s="11" t="n">
        <v>2016</v>
      </c>
      <c r="U130" s="11" t="n">
        <v>2017</v>
      </c>
      <c r="V130" s="11" t="n">
        <v>2018</v>
      </c>
      <c r="W130" s="11" t="n">
        <v>2019</v>
      </c>
      <c r="X130" s="11" t="n">
        <v>2020</v>
      </c>
      <c r="Y130" s="11" t="n">
        <v>2021</v>
      </c>
    </row>
    <row r="131" customFormat="false" ht="11.25" hidden="false" customHeight="false" outlineLevel="0" collapsed="false">
      <c r="A131" s="14" t="s">
        <v>7</v>
      </c>
      <c r="B131" s="19" t="n">
        <f aca="false">NPV(0.1,D131:Y131)</f>
        <v>562277.205443547</v>
      </c>
      <c r="C131" s="19" t="n">
        <f aca="false">B131-B121</f>
        <v>0</v>
      </c>
      <c r="D131" s="20" t="n">
        <v>32983.8973339833</v>
      </c>
      <c r="E131" s="21" t="n">
        <v>46095.4127057635</v>
      </c>
      <c r="F131" s="21" t="n">
        <v>46455.9113887784</v>
      </c>
      <c r="G131" s="21" t="n">
        <v>58803.2119848852</v>
      </c>
      <c r="H131" s="21" t="n">
        <v>68704.2237285016</v>
      </c>
      <c r="I131" s="21" t="n">
        <v>70087.6675920782</v>
      </c>
      <c r="J131" s="21" t="n">
        <v>71249.634178026</v>
      </c>
      <c r="K131" s="21" t="n">
        <v>72540.1374316722</v>
      </c>
      <c r="L131" s="21" t="n">
        <v>73956.0896836166</v>
      </c>
      <c r="M131" s="21" t="n">
        <v>75502.5275995342</v>
      </c>
      <c r="N131" s="22" t="n">
        <v>77214.1541370091</v>
      </c>
      <c r="O131" s="23" t="n">
        <v>79288.0609347871</v>
      </c>
      <c r="P131" s="23" t="n">
        <v>81542.2470376352</v>
      </c>
      <c r="Q131" s="23" t="n">
        <v>83894.3801606219</v>
      </c>
      <c r="R131" s="23" t="n">
        <v>86336.3792017494</v>
      </c>
      <c r="S131" s="23" t="n">
        <v>88826.6922973048</v>
      </c>
      <c r="T131" s="23" t="n">
        <v>90948.204720208</v>
      </c>
      <c r="U131" s="23" t="n">
        <v>93294.8066265034</v>
      </c>
      <c r="V131" s="23" t="n">
        <v>95331.8450604527</v>
      </c>
      <c r="W131" s="23" t="n">
        <v>97363.3037147211</v>
      </c>
      <c r="X131" s="23" t="n">
        <v>23377.1322242946</v>
      </c>
      <c r="Y131" s="23" t="n">
        <v>0</v>
      </c>
    </row>
    <row r="132" customFormat="false" ht="11.25" hidden="false" customHeight="false" outlineLevel="0" collapsed="false">
      <c r="A132" s="24" t="s">
        <v>8</v>
      </c>
      <c r="B132" s="19" t="n">
        <f aca="false">NPV(0.1,D132:Y132)</f>
        <v>242242.341075827</v>
      </c>
      <c r="C132" s="19" t="n">
        <f aca="false">B132-B122</f>
        <v>0</v>
      </c>
      <c r="D132" s="20" t="n">
        <v>19963.8225273167</v>
      </c>
      <c r="E132" s="21" t="n">
        <v>24328.5532170405</v>
      </c>
      <c r="F132" s="21" t="n">
        <v>24778.0399374394</v>
      </c>
      <c r="G132" s="21" t="n">
        <v>25142.6441617523</v>
      </c>
      <c r="H132" s="21" t="n">
        <v>25592.5951564425</v>
      </c>
      <c r="I132" s="21" t="n">
        <v>26082.3776192643</v>
      </c>
      <c r="J132" s="21" t="n">
        <v>26718.2098970344</v>
      </c>
      <c r="K132" s="21" t="n">
        <v>27490.9853080856</v>
      </c>
      <c r="L132" s="21" t="n">
        <v>28398.5940918304</v>
      </c>
      <c r="M132" s="21" t="n">
        <v>29391.0772196483</v>
      </c>
      <c r="N132" s="22" t="n">
        <v>30616.2693853945</v>
      </c>
      <c r="O132" s="23" t="n">
        <v>32029.419305347</v>
      </c>
      <c r="P132" s="23" t="n">
        <v>33625.4605548342</v>
      </c>
      <c r="Q132" s="23" t="n">
        <v>35266.7875397647</v>
      </c>
      <c r="R132" s="23" t="n">
        <v>37058.1627177709</v>
      </c>
      <c r="S132" s="23" t="n">
        <v>38902.8482703932</v>
      </c>
      <c r="T132" s="23" t="n">
        <v>40818.0815075603</v>
      </c>
      <c r="U132" s="23" t="n">
        <v>42935.2031433991</v>
      </c>
      <c r="V132" s="23" t="n">
        <v>44833.7647146988</v>
      </c>
      <c r="W132" s="23" t="n">
        <v>46763.9800340695</v>
      </c>
      <c r="X132" s="23" t="n">
        <v>2167.23697505966</v>
      </c>
      <c r="Y132" s="23" t="n">
        <v>0</v>
      </c>
    </row>
    <row r="133" customFormat="false" ht="11.25" hidden="false" customHeight="false" outlineLevel="0" collapsed="false">
      <c r="A133" s="24" t="s">
        <v>9</v>
      </c>
      <c r="B133" s="19" t="n">
        <f aca="false">NPV(0.1,D133:Y133)</f>
        <v>96966.7368066892</v>
      </c>
      <c r="C133" s="19" t="n">
        <f aca="false">B133-B123</f>
        <v>0</v>
      </c>
      <c r="D133" s="20" t="n">
        <v>-186.360173867299</v>
      </c>
      <c r="E133" s="21" t="n">
        <v>164.885424834813</v>
      </c>
      <c r="F133" s="21" t="n">
        <v>169.783687515538</v>
      </c>
      <c r="G133" s="21" t="n">
        <v>7442.91459413231</v>
      </c>
      <c r="H133" s="21" t="n">
        <v>13163.5833975376</v>
      </c>
      <c r="I133" s="21" t="n">
        <v>14006.9862521053</v>
      </c>
      <c r="J133" s="21" t="n">
        <v>14632.5587101677</v>
      </c>
      <c r="K133" s="21" t="n">
        <v>15180.673843088</v>
      </c>
      <c r="L133" s="21" t="n">
        <v>15781.9455857785</v>
      </c>
      <c r="M133" s="21" t="n">
        <v>16443.7269740168</v>
      </c>
      <c r="N133" s="22" t="n">
        <v>17101.2704356958</v>
      </c>
      <c r="O133" s="23" t="n">
        <v>17870.4724213065</v>
      </c>
      <c r="P133" s="23" t="n">
        <v>18714.222397729</v>
      </c>
      <c r="Q133" s="23" t="n">
        <v>19637.7466582197</v>
      </c>
      <c r="R133" s="23" t="n">
        <v>20577.8070359747</v>
      </c>
      <c r="S133" s="23" t="n">
        <v>21535.1636778105</v>
      </c>
      <c r="T133" s="23" t="n">
        <v>22323.2952478943</v>
      </c>
      <c r="U133" s="23" t="n">
        <v>23182.008381965</v>
      </c>
      <c r="V133" s="23" t="n">
        <v>24047.359917168</v>
      </c>
      <c r="W133" s="23" t="n">
        <v>24717.8991743991</v>
      </c>
      <c r="X133" s="23" t="n">
        <v>0</v>
      </c>
      <c r="Y133" s="23" t="n">
        <v>0</v>
      </c>
    </row>
    <row r="134" customFormat="false" ht="11.25" hidden="false" customHeight="false" outlineLevel="0" collapsed="false">
      <c r="A134" s="24" t="s">
        <v>10</v>
      </c>
      <c r="B134" s="19" t="n">
        <f aca="false">NPV(0.1,D134:Y134)</f>
        <v>135428.333240097</v>
      </c>
      <c r="C134" s="19" t="n">
        <f aca="false">B134-B124</f>
        <v>-657.759090264677</v>
      </c>
      <c r="D134" s="25" t="n">
        <v>4433.10978833174</v>
      </c>
      <c r="E134" s="26" t="n">
        <v>7996.55002789553</v>
      </c>
      <c r="F134" s="26" t="n">
        <v>7510.82046677018</v>
      </c>
      <c r="G134" s="26" t="n">
        <v>20465.0956974044</v>
      </c>
      <c r="H134" s="26" t="n">
        <v>26147.1959313733</v>
      </c>
      <c r="I134" s="26" t="n">
        <v>25143.9419223717</v>
      </c>
      <c r="J134" s="26" t="n">
        <v>19476.0633901354</v>
      </c>
      <c r="K134" s="26" t="n">
        <v>19401.1918090462</v>
      </c>
      <c r="L134" s="26" t="n">
        <v>19314.8874848805</v>
      </c>
      <c r="M134" s="26" t="n">
        <v>19178.3216466207</v>
      </c>
      <c r="N134" s="27" t="n">
        <v>19098.6855053261</v>
      </c>
      <c r="O134" s="23" t="n">
        <v>18960.0019940081</v>
      </c>
      <c r="P134" s="23" t="n">
        <v>18805.7762780493</v>
      </c>
      <c r="Q134" s="23" t="n">
        <v>18592.9017305568</v>
      </c>
      <c r="R134" s="23" t="n">
        <v>18427.7515407599</v>
      </c>
      <c r="S134" s="23" t="n">
        <v>15518.1916863352</v>
      </c>
      <c r="T134" s="23" t="n">
        <v>12515.7438917122</v>
      </c>
      <c r="U134" s="23" t="n">
        <v>12049.6661292649</v>
      </c>
      <c r="V134" s="23" t="n">
        <v>11637.1762599311</v>
      </c>
      <c r="W134" s="23" t="n">
        <v>18137.6533521749</v>
      </c>
      <c r="X134" s="23" t="n">
        <v>0</v>
      </c>
      <c r="Y134" s="23" t="n">
        <v>0</v>
      </c>
    </row>
    <row r="135" customFormat="false" ht="11.25" hidden="false" customHeight="false" outlineLevel="0" collapsed="false">
      <c r="D135" s="1"/>
      <c r="E135" s="3"/>
    </row>
    <row r="136" customFormat="false" ht="11.25" hidden="false" customHeight="false" outlineLevel="0" collapsed="false">
      <c r="A136" s="28" t="s">
        <v>25</v>
      </c>
      <c r="D136" s="1"/>
      <c r="E136" s="3"/>
    </row>
    <row r="137" customFormat="false" ht="11.25" hidden="false" customHeight="false" outlineLevel="0" collapsed="false">
      <c r="A137" s="31" t="n">
        <v>36234</v>
      </c>
      <c r="D137" s="1"/>
      <c r="E137" s="3"/>
    </row>
    <row r="138" customFormat="false" ht="11.25" hidden="false" customHeight="false" outlineLevel="0" collapsed="false">
      <c r="A138" s="9" t="s">
        <v>2</v>
      </c>
      <c r="B138" s="10" t="n">
        <v>53520.013009168</v>
      </c>
      <c r="D138" s="11"/>
      <c r="E138" s="11"/>
      <c r="F138" s="11"/>
      <c r="G138" s="11"/>
      <c r="H138" s="11"/>
      <c r="I138" s="11"/>
      <c r="J138" s="11"/>
      <c r="K138" s="11"/>
      <c r="L138" s="11"/>
      <c r="M138" s="11"/>
      <c r="N138" s="11"/>
      <c r="O138" s="11"/>
      <c r="P138" s="11"/>
      <c r="Q138" s="11"/>
      <c r="R138" s="11"/>
      <c r="S138" s="11"/>
      <c r="T138" s="11"/>
      <c r="U138" s="11"/>
      <c r="V138" s="11"/>
      <c r="W138" s="11"/>
    </row>
    <row r="139" customFormat="false" ht="11.25" hidden="false" customHeight="false" outlineLevel="0" collapsed="false">
      <c r="A139" s="12" t="s">
        <v>3</v>
      </c>
      <c r="B139" s="13" t="n">
        <v>92304.6084206131</v>
      </c>
      <c r="D139" s="11"/>
      <c r="E139" s="11"/>
      <c r="F139" s="11"/>
      <c r="G139" s="11"/>
      <c r="H139" s="11"/>
      <c r="I139" s="11"/>
      <c r="J139" s="11"/>
      <c r="K139" s="11"/>
      <c r="L139" s="11"/>
      <c r="M139" s="11"/>
      <c r="N139" s="11"/>
      <c r="O139" s="11"/>
      <c r="P139" s="11"/>
      <c r="Q139" s="11"/>
      <c r="R139" s="11"/>
      <c r="S139" s="11"/>
      <c r="T139" s="11"/>
      <c r="U139" s="11"/>
      <c r="V139" s="11"/>
      <c r="W139" s="11"/>
    </row>
    <row r="140" customFormat="false" ht="11.25" hidden="false" customHeight="false" outlineLevel="0" collapsed="false">
      <c r="A140" s="14" t="s">
        <v>4</v>
      </c>
      <c r="B140" s="15" t="s">
        <v>5</v>
      </c>
      <c r="C140" s="15" t="s">
        <v>6</v>
      </c>
      <c r="D140" s="16" t="n">
        <v>2000</v>
      </c>
      <c r="E140" s="17" t="n">
        <v>2001</v>
      </c>
      <c r="F140" s="17" t="n">
        <v>2002</v>
      </c>
      <c r="G140" s="17" t="n">
        <v>2003</v>
      </c>
      <c r="H140" s="17" t="n">
        <v>2004</v>
      </c>
      <c r="I140" s="17" t="n">
        <v>2005</v>
      </c>
      <c r="J140" s="17" t="n">
        <v>2006</v>
      </c>
      <c r="K140" s="17" t="n">
        <v>2007</v>
      </c>
      <c r="L140" s="17" t="n">
        <v>2008</v>
      </c>
      <c r="M140" s="17" t="n">
        <v>2009</v>
      </c>
      <c r="N140" s="18" t="n">
        <v>2010</v>
      </c>
      <c r="O140" s="11" t="n">
        <v>2011</v>
      </c>
      <c r="P140" s="11" t="n">
        <v>2012</v>
      </c>
      <c r="Q140" s="11" t="n">
        <v>2013</v>
      </c>
      <c r="R140" s="11" t="n">
        <v>2014</v>
      </c>
      <c r="S140" s="11" t="n">
        <v>2015</v>
      </c>
      <c r="T140" s="11" t="n">
        <v>2016</v>
      </c>
      <c r="U140" s="11" t="n">
        <v>2017</v>
      </c>
      <c r="V140" s="11" t="n">
        <v>2018</v>
      </c>
      <c r="W140" s="11" t="n">
        <v>2019</v>
      </c>
      <c r="X140" s="11" t="n">
        <v>2020</v>
      </c>
      <c r="Y140" s="11" t="n">
        <v>2021</v>
      </c>
    </row>
    <row r="141" customFormat="false" ht="11.25" hidden="false" customHeight="false" outlineLevel="0" collapsed="false">
      <c r="A141" s="14" t="s">
        <v>7</v>
      </c>
      <c r="B141" s="19" t="n">
        <f aca="false">NPV(0.1,D141:Y141)</f>
        <v>562277.205443547</v>
      </c>
      <c r="C141" s="19" t="n">
        <f aca="false">B141-B131</f>
        <v>0</v>
      </c>
      <c r="D141" s="20" t="n">
        <v>32983.8973339833</v>
      </c>
      <c r="E141" s="21" t="n">
        <v>46095.4127057635</v>
      </c>
      <c r="F141" s="21" t="n">
        <v>46455.9113887784</v>
      </c>
      <c r="G141" s="21" t="n">
        <v>58803.2119848852</v>
      </c>
      <c r="H141" s="21" t="n">
        <v>68704.2237285016</v>
      </c>
      <c r="I141" s="21" t="n">
        <v>70087.6675920782</v>
      </c>
      <c r="J141" s="21" t="n">
        <v>71249.634178026</v>
      </c>
      <c r="K141" s="21" t="n">
        <v>72540.1374316722</v>
      </c>
      <c r="L141" s="21" t="n">
        <v>73956.0896836166</v>
      </c>
      <c r="M141" s="21" t="n">
        <v>75502.5275995342</v>
      </c>
      <c r="N141" s="22" t="n">
        <v>77214.1541370091</v>
      </c>
      <c r="O141" s="23" t="n">
        <v>79288.0609347871</v>
      </c>
      <c r="P141" s="23" t="n">
        <v>81542.2470376352</v>
      </c>
      <c r="Q141" s="23" t="n">
        <v>83894.3801606219</v>
      </c>
      <c r="R141" s="23" t="n">
        <v>86336.3792017494</v>
      </c>
      <c r="S141" s="23" t="n">
        <v>88826.6922973048</v>
      </c>
      <c r="T141" s="23" t="n">
        <v>90948.204720208</v>
      </c>
      <c r="U141" s="23" t="n">
        <v>93294.8066265034</v>
      </c>
      <c r="V141" s="23" t="n">
        <v>95331.8450604527</v>
      </c>
      <c r="W141" s="23" t="n">
        <v>97363.3037147211</v>
      </c>
      <c r="X141" s="23" t="n">
        <v>23377.1322242946</v>
      </c>
      <c r="Y141" s="23" t="n">
        <v>0</v>
      </c>
    </row>
    <row r="142" customFormat="false" ht="11.25" hidden="false" customHeight="false" outlineLevel="0" collapsed="false">
      <c r="A142" s="24" t="s">
        <v>8</v>
      </c>
      <c r="B142" s="19" t="n">
        <f aca="false">NPV(0.1,D142:Y142)</f>
        <v>242556.698413289</v>
      </c>
      <c r="C142" s="19" t="n">
        <f aca="false">B142-B132</f>
        <v>314.357337461901</v>
      </c>
      <c r="D142" s="20" t="n">
        <v>19981.8475273167</v>
      </c>
      <c r="E142" s="21" t="n">
        <v>24360.3802170405</v>
      </c>
      <c r="F142" s="21" t="n">
        <v>24810.8217474394</v>
      </c>
      <c r="G142" s="21" t="n">
        <v>25176.4094260523</v>
      </c>
      <c r="H142" s="21" t="n">
        <v>25627.3733786715</v>
      </c>
      <c r="I142" s="21" t="n">
        <v>26118.1991881601</v>
      </c>
      <c r="J142" s="21" t="n">
        <v>26755.1061129971</v>
      </c>
      <c r="K142" s="21" t="n">
        <v>27528.9884105273</v>
      </c>
      <c r="L142" s="21" t="n">
        <v>28437.7372873453</v>
      </c>
      <c r="M142" s="21" t="n">
        <v>29431.3947110286</v>
      </c>
      <c r="N142" s="22" t="n">
        <v>30657.7964015162</v>
      </c>
      <c r="O142" s="23" t="n">
        <v>32072.1921319524</v>
      </c>
      <c r="P142" s="23" t="n">
        <v>33669.5165662377</v>
      </c>
      <c r="Q142" s="23" t="n">
        <v>35312.1652315103</v>
      </c>
      <c r="R142" s="23" t="n">
        <v>37104.9017402689</v>
      </c>
      <c r="S142" s="23" t="n">
        <v>38950.9894635662</v>
      </c>
      <c r="T142" s="23" t="n">
        <v>40867.6669365284</v>
      </c>
      <c r="U142" s="23" t="n">
        <v>42986.2761352363</v>
      </c>
      <c r="V142" s="23" t="n">
        <v>44886.3698962911</v>
      </c>
      <c r="W142" s="23" t="n">
        <v>46818.1633711096</v>
      </c>
      <c r="X142" s="23" t="n">
        <v>2190.49065720603</v>
      </c>
      <c r="Y142" s="23" t="n">
        <v>0</v>
      </c>
    </row>
    <row r="143" customFormat="false" ht="11.25" hidden="false" customHeight="false" outlineLevel="0" collapsed="false">
      <c r="A143" s="24" t="s">
        <v>9</v>
      </c>
      <c r="B143" s="19" t="n">
        <f aca="false">NPV(0.1,D143:Y143)</f>
        <v>96828.9347226554</v>
      </c>
      <c r="C143" s="19" t="n">
        <f aca="false">B143-B133</f>
        <v>-137.802084033858</v>
      </c>
      <c r="D143" s="20" t="n">
        <v>-192.616890064869</v>
      </c>
      <c r="E143" s="21" t="n">
        <v>153.409402805258</v>
      </c>
      <c r="F143" s="21" t="n">
        <v>157.360587217863</v>
      </c>
      <c r="G143" s="21" t="n">
        <v>7429.46861672775</v>
      </c>
      <c r="H143" s="21" t="n">
        <v>13149.4514733057</v>
      </c>
      <c r="I143" s="21" t="n">
        <v>13992.1245059623</v>
      </c>
      <c r="J143" s="21" t="n">
        <v>14616.9200870428</v>
      </c>
      <c r="K143" s="21" t="n">
        <v>15164.2078634255</v>
      </c>
      <c r="L143" s="21" t="n">
        <v>15764.598081776</v>
      </c>
      <c r="M143" s="21" t="n">
        <v>16425.4398050694</v>
      </c>
      <c r="N143" s="22" t="n">
        <v>17081.9811813907</v>
      </c>
      <c r="O143" s="23" t="n">
        <v>17850.1140501812</v>
      </c>
      <c r="P143" s="23" t="n">
        <v>18692.7229098649</v>
      </c>
      <c r="Q143" s="23" t="n">
        <v>19615.0286995876</v>
      </c>
      <c r="R143" s="23" t="n">
        <v>20553.7874822825</v>
      </c>
      <c r="S143" s="23" t="n">
        <v>21509.7531854236</v>
      </c>
      <c r="T143" s="23" t="n">
        <v>22296.3977692065</v>
      </c>
      <c r="U143" s="23" t="n">
        <v>23153.5206423863</v>
      </c>
      <c r="V143" s="23" t="n">
        <v>24017.1708506707</v>
      </c>
      <c r="W143" s="23" t="n">
        <v>24686.1773470771</v>
      </c>
      <c r="X143" s="23" t="n">
        <v>0</v>
      </c>
      <c r="Y143" s="23" t="n">
        <v>0</v>
      </c>
    </row>
    <row r="144" customFormat="false" ht="11.25" hidden="false" customHeight="false" outlineLevel="0" collapsed="false">
      <c r="A144" s="24" t="s">
        <v>10</v>
      </c>
      <c r="B144" s="19" t="n">
        <f aca="false">NPV(0.1,D144:Y144)</f>
        <v>135337.335713274</v>
      </c>
      <c r="C144" s="19" t="n">
        <f aca="false">B144-B134</f>
        <v>-90.9975268228736</v>
      </c>
      <c r="D144" s="25" t="n">
        <v>4426.58289318353</v>
      </c>
      <c r="E144" s="26" t="n">
        <v>7985.30357251895</v>
      </c>
      <c r="F144" s="26" t="n">
        <v>7499.2557413936</v>
      </c>
      <c r="G144" s="26" t="n">
        <v>20444.1990834478</v>
      </c>
      <c r="H144" s="26" t="n">
        <v>26125.6915426593</v>
      </c>
      <c r="I144" s="26" t="n">
        <v>25169.9533812682</v>
      </c>
      <c r="J144" s="26" t="n">
        <v>19463.6335822667</v>
      </c>
      <c r="K144" s="26" t="n">
        <v>19388.6418295072</v>
      </c>
      <c r="L144" s="26" t="n">
        <v>19302.2330232962</v>
      </c>
      <c r="M144" s="26" t="n">
        <v>19165.5804068868</v>
      </c>
      <c r="N144" s="27" t="n">
        <v>19085.8773895236</v>
      </c>
      <c r="O144" s="23" t="n">
        <v>18947.1493017145</v>
      </c>
      <c r="P144" s="23" t="n">
        <v>18792.9039222982</v>
      </c>
      <c r="Q144" s="23" t="n">
        <v>18580.0374717991</v>
      </c>
      <c r="R144" s="23" t="n">
        <v>18414.9262402884</v>
      </c>
      <c r="S144" s="23" t="n">
        <v>15505.4395807522</v>
      </c>
      <c r="T144" s="23" t="n">
        <v>12503.1028901462</v>
      </c>
      <c r="U144" s="23" t="n">
        <v>12037.1781351808</v>
      </c>
      <c r="V144" s="23" t="n">
        <v>11624.8875195256</v>
      </c>
      <c r="W144" s="23" t="n">
        <v>18115.2938642666</v>
      </c>
      <c r="X144" s="23" t="n">
        <v>0</v>
      </c>
      <c r="Y144" s="23" t="n">
        <v>0</v>
      </c>
    </row>
    <row r="145" customFormat="false" ht="11.25" hidden="false" customHeight="false" outlineLevel="0" collapsed="false">
      <c r="D145" s="1"/>
      <c r="E145" s="3"/>
    </row>
    <row r="146" customFormat="false" ht="11.25" hidden="false" customHeight="false" outlineLevel="0" collapsed="false">
      <c r="A146" s="28" t="s">
        <v>26</v>
      </c>
      <c r="D146" s="1"/>
      <c r="E146" s="3"/>
    </row>
    <row r="147" customFormat="false" ht="11.25" hidden="false" customHeight="false" outlineLevel="0" collapsed="false">
      <c r="A147" s="31" t="n">
        <v>36238</v>
      </c>
      <c r="D147" s="1"/>
      <c r="E147" s="3"/>
    </row>
    <row r="148" customFormat="false" ht="11.25" hidden="false" customHeight="false" outlineLevel="0" collapsed="false">
      <c r="A148" s="9" t="s">
        <v>2</v>
      </c>
      <c r="B148" s="10" t="n">
        <v>45069.4349294426</v>
      </c>
      <c r="D148" s="11"/>
      <c r="E148" s="11"/>
      <c r="F148" s="11"/>
      <c r="G148" s="11"/>
      <c r="H148" s="11"/>
      <c r="I148" s="11"/>
      <c r="J148" s="11"/>
      <c r="K148" s="11"/>
      <c r="L148" s="11"/>
      <c r="M148" s="11"/>
      <c r="N148" s="11"/>
      <c r="O148" s="11"/>
      <c r="P148" s="11"/>
      <c r="Q148" s="11"/>
      <c r="R148" s="11"/>
      <c r="S148" s="11"/>
      <c r="T148" s="11"/>
      <c r="U148" s="11"/>
      <c r="V148" s="11"/>
      <c r="W148" s="11"/>
    </row>
    <row r="149" customFormat="false" ht="11.25" hidden="false" customHeight="false" outlineLevel="0" collapsed="false">
      <c r="A149" s="12" t="s">
        <v>3</v>
      </c>
      <c r="B149" s="13" t="n">
        <v>81409.652634962</v>
      </c>
      <c r="D149" s="11"/>
      <c r="E149" s="11"/>
      <c r="F149" s="11"/>
      <c r="G149" s="11"/>
      <c r="H149" s="11"/>
      <c r="I149" s="11"/>
      <c r="J149" s="11"/>
      <c r="K149" s="11"/>
      <c r="L149" s="11"/>
      <c r="M149" s="11"/>
      <c r="N149" s="11"/>
      <c r="O149" s="11"/>
      <c r="P149" s="11"/>
      <c r="Q149" s="11"/>
      <c r="R149" s="11"/>
      <c r="S149" s="11"/>
      <c r="T149" s="11"/>
      <c r="U149" s="11"/>
      <c r="V149" s="11"/>
      <c r="W149" s="11"/>
    </row>
    <row r="150" customFormat="false" ht="11.25" hidden="false" customHeight="false" outlineLevel="0" collapsed="false">
      <c r="A150" s="14" t="s">
        <v>4</v>
      </c>
      <c r="B150" s="15" t="s">
        <v>5</v>
      </c>
      <c r="C150" s="15" t="s">
        <v>6</v>
      </c>
      <c r="D150" s="16" t="n">
        <v>2000</v>
      </c>
      <c r="E150" s="17" t="n">
        <v>2001</v>
      </c>
      <c r="F150" s="17" t="n">
        <v>2002</v>
      </c>
      <c r="G150" s="17" t="n">
        <v>2003</v>
      </c>
      <c r="H150" s="17" t="n">
        <v>2004</v>
      </c>
      <c r="I150" s="17" t="n">
        <v>2005</v>
      </c>
      <c r="J150" s="17" t="n">
        <v>2006</v>
      </c>
      <c r="K150" s="17" t="n">
        <v>2007</v>
      </c>
      <c r="L150" s="17" t="n">
        <v>2008</v>
      </c>
      <c r="M150" s="17" t="n">
        <v>2009</v>
      </c>
      <c r="N150" s="18" t="n">
        <v>2010</v>
      </c>
      <c r="O150" s="11" t="n">
        <v>2011</v>
      </c>
      <c r="P150" s="11" t="n">
        <v>2012</v>
      </c>
      <c r="Q150" s="11" t="n">
        <v>2013</v>
      </c>
      <c r="R150" s="11" t="n">
        <v>2014</v>
      </c>
      <c r="S150" s="11" t="n">
        <v>2015</v>
      </c>
      <c r="T150" s="11" t="n">
        <v>2016</v>
      </c>
      <c r="U150" s="11" t="n">
        <v>2017</v>
      </c>
      <c r="V150" s="11" t="n">
        <v>2018</v>
      </c>
      <c r="W150" s="11" t="n">
        <v>2019</v>
      </c>
      <c r="X150" s="11" t="n">
        <v>2020</v>
      </c>
      <c r="Y150" s="11" t="n">
        <v>2021</v>
      </c>
    </row>
    <row r="151" customFormat="false" ht="11.25" hidden="false" customHeight="false" outlineLevel="0" collapsed="false">
      <c r="A151" s="14" t="s">
        <v>7</v>
      </c>
      <c r="B151" s="19" t="n">
        <f aca="false">NPV(0.1,D151:Y151)</f>
        <v>562486.907487902</v>
      </c>
      <c r="C151" s="19" t="n">
        <f aca="false">B151-B141</f>
        <v>209.702044354868</v>
      </c>
      <c r="D151" s="20" t="n">
        <v>32983.8973339833</v>
      </c>
      <c r="E151" s="21" t="n">
        <v>46118.4873745667</v>
      </c>
      <c r="F151" s="21" t="n">
        <v>46475.6295024667</v>
      </c>
      <c r="G151" s="21" t="n">
        <v>58817.9776421894</v>
      </c>
      <c r="H151" s="21" t="n">
        <v>68715.019385821</v>
      </c>
      <c r="I151" s="21" t="n">
        <v>70095.6260064004</v>
      </c>
      <c r="J151" s="21" t="n">
        <v>71255.789744074</v>
      </c>
      <c r="K151" s="21" t="n">
        <v>72546.2276897382</v>
      </c>
      <c r="L151" s="21" t="n">
        <v>73963.8097842089</v>
      </c>
      <c r="M151" s="21" t="n">
        <v>75513.654262551</v>
      </c>
      <c r="N151" s="22" t="n">
        <v>77230.9970780174</v>
      </c>
      <c r="O151" s="23" t="n">
        <v>79313.0899503769</v>
      </c>
      <c r="P151" s="23" t="n">
        <v>81577.8432972121</v>
      </c>
      <c r="Q151" s="23" t="n">
        <v>83941.6728189267</v>
      </c>
      <c r="R151" s="23" t="n">
        <v>86396.374326122</v>
      </c>
      <c r="S151" s="23" t="n">
        <v>88899.764412232</v>
      </c>
      <c r="T151" s="23" t="n">
        <v>91034.9772874227</v>
      </c>
      <c r="U151" s="23" t="n">
        <v>93398.7376428945</v>
      </c>
      <c r="V151" s="23" t="n">
        <v>95448.2845507359</v>
      </c>
      <c r="W151" s="23" t="n">
        <v>97492.2423196458</v>
      </c>
      <c r="X151" s="23" t="n">
        <v>23377.1322242946</v>
      </c>
      <c r="Y151" s="23" t="n">
        <v>0</v>
      </c>
    </row>
    <row r="152" customFormat="false" ht="11.25" hidden="false" customHeight="false" outlineLevel="0" collapsed="false">
      <c r="A152" s="24" t="s">
        <v>8</v>
      </c>
      <c r="B152" s="19" t="n">
        <f aca="false">NPV(0.1,D152:Y152)</f>
        <v>253936.648344081</v>
      </c>
      <c r="C152" s="19" t="n">
        <f aca="false">B152-B142</f>
        <v>11379.9499307917</v>
      </c>
      <c r="D152" s="20" t="n">
        <v>20622.3406673167</v>
      </c>
      <c r="E152" s="21" t="n">
        <v>25514.3827730436</v>
      </c>
      <c r="F152" s="21" t="n">
        <v>25995.3955849436</v>
      </c>
      <c r="G152" s="21" t="n">
        <v>26390.976478887</v>
      </c>
      <c r="H152" s="21" t="n">
        <v>26873.9644733873</v>
      </c>
      <c r="I152" s="21" t="n">
        <v>27399.0269030007</v>
      </c>
      <c r="J152" s="21" t="n">
        <v>28072.3170585789</v>
      </c>
      <c r="K152" s="21" t="n">
        <v>28885.4657095131</v>
      </c>
      <c r="L152" s="21" t="n">
        <v>29836.3560400851</v>
      </c>
      <c r="M152" s="21" t="n">
        <v>30875.1469857573</v>
      </c>
      <c r="N152" s="22" t="n">
        <v>32150.2437225877</v>
      </c>
      <c r="O152" s="23" t="n">
        <v>33617.0936590074</v>
      </c>
      <c r="P152" s="23" t="n">
        <v>35270.5815126237</v>
      </c>
      <c r="Q152" s="23" t="n">
        <v>36971.8906372286</v>
      </c>
      <c r="R152" s="23" t="n">
        <v>38825.7025944773</v>
      </c>
      <c r="S152" s="23" t="n">
        <v>40734.6914802242</v>
      </c>
      <c r="T152" s="23" t="n">
        <v>42716.3883025258</v>
      </c>
      <c r="U152" s="23" t="n">
        <v>44905.0144143736</v>
      </c>
      <c r="V152" s="23" t="n">
        <v>46872.0608672029</v>
      </c>
      <c r="W152" s="23" t="n">
        <v>48872.4310010818</v>
      </c>
      <c r="X152" s="23" t="n">
        <v>3016.77769712223</v>
      </c>
      <c r="Y152" s="23" t="n">
        <v>0</v>
      </c>
    </row>
    <row r="153" customFormat="false" ht="11.25" hidden="false" customHeight="false" outlineLevel="0" collapsed="false">
      <c r="A153" s="24" t="s">
        <v>9</v>
      </c>
      <c r="B153" s="19" t="n">
        <f aca="false">NPV(0.1,D153:Y153)</f>
        <v>92129.6242270264</v>
      </c>
      <c r="C153" s="19" t="n">
        <f aca="false">B153-B143</f>
        <v>-4699.31049562903</v>
      </c>
      <c r="D153" s="20" t="n">
        <v>-409.727248597546</v>
      </c>
      <c r="E153" s="21" t="n">
        <v>-239.95649702238</v>
      </c>
      <c r="F153" s="21" t="n">
        <v>-260.177073008838</v>
      </c>
      <c r="G153" s="21" t="n">
        <v>6961.4504141724</v>
      </c>
      <c r="H153" s="21" t="n">
        <v>12667.1178641201</v>
      </c>
      <c r="I153" s="21" t="n">
        <v>13494.2182130733</v>
      </c>
      <c r="J153" s="21" t="n">
        <v>14102.0798898754</v>
      </c>
      <c r="K153" s="21" t="n">
        <v>14590.103800081</v>
      </c>
      <c r="L153" s="21" t="n">
        <v>15170.4915008847</v>
      </c>
      <c r="M153" s="21" t="n">
        <v>15809.6043981077</v>
      </c>
      <c r="N153" s="22" t="n">
        <v>16442.5487519396</v>
      </c>
      <c r="O153" s="23" t="n">
        <v>17139.0788320739</v>
      </c>
      <c r="P153" s="23" t="n">
        <v>17953.8818340645</v>
      </c>
      <c r="Q153" s="23" t="n">
        <v>18846.0153628042</v>
      </c>
      <c r="R153" s="23" t="n">
        <v>19752.041910923</v>
      </c>
      <c r="S153" s="23" t="n">
        <v>20620.7505805066</v>
      </c>
      <c r="T153" s="23" t="n">
        <v>21368.8985652534</v>
      </c>
      <c r="U153" s="23" t="n">
        <v>22184.2853627478</v>
      </c>
      <c r="V153" s="23" t="n">
        <v>23002.6960681038</v>
      </c>
      <c r="W153" s="23" t="n">
        <v>23574.6578340342</v>
      </c>
      <c r="X153" s="23" t="n">
        <v>0</v>
      </c>
      <c r="Y153" s="23" t="n">
        <v>0</v>
      </c>
    </row>
    <row r="154" customFormat="false" ht="11.25" hidden="false" customHeight="false" outlineLevel="0" collapsed="false">
      <c r="A154" s="24" t="s">
        <v>10</v>
      </c>
      <c r="B154" s="19" t="n">
        <f aca="false">NPV(0.1,D154:Y154)</f>
        <v>132299.217533253</v>
      </c>
      <c r="C154" s="19" t="n">
        <f aca="false">B154-B144</f>
        <v>-3038.11818002144</v>
      </c>
      <c r="D154" s="25" t="n">
        <v>4203.29967519534</v>
      </c>
      <c r="E154" s="26" t="n">
        <v>7609.57468523424</v>
      </c>
      <c r="F154" s="26" t="n">
        <v>7127.93259015246</v>
      </c>
      <c r="G154" s="26" t="n">
        <v>19717.8536271233</v>
      </c>
      <c r="H154" s="26" t="n">
        <v>25394.4217205392</v>
      </c>
      <c r="I154" s="26" t="n">
        <v>25880.7034425568</v>
      </c>
      <c r="J154" s="26" t="n">
        <v>19258.4546189791</v>
      </c>
      <c r="K154" s="26" t="n">
        <v>18953.6873481548</v>
      </c>
      <c r="L154" s="26" t="n">
        <v>18874.8871344793</v>
      </c>
      <c r="M154" s="26" t="n">
        <v>18746.8118302232</v>
      </c>
      <c r="N154" s="27" t="n">
        <v>18676.7431431669</v>
      </c>
      <c r="O154" s="23" t="n">
        <v>18502.8178729419</v>
      </c>
      <c r="P154" s="23" t="n">
        <v>18360.6159081488</v>
      </c>
      <c r="Q154" s="23" t="n">
        <v>18161.1615648726</v>
      </c>
      <c r="R154" s="23" t="n">
        <v>18010.9527851753</v>
      </c>
      <c r="S154" s="23" t="n">
        <v>15066.2350291713</v>
      </c>
      <c r="T154" s="23" t="n">
        <v>12082.1876416488</v>
      </c>
      <c r="U154" s="23" t="n">
        <v>11636.4714120519</v>
      </c>
      <c r="V154" s="23" t="n">
        <v>11246.4757641739</v>
      </c>
      <c r="W154" s="23" t="n">
        <v>17336.4519750157</v>
      </c>
      <c r="X154" s="23" t="n">
        <v>0</v>
      </c>
      <c r="Y154" s="23" t="n">
        <v>0</v>
      </c>
    </row>
    <row r="155" customFormat="false" ht="11.25" hidden="false" customHeight="false" outlineLevel="0" collapsed="false">
      <c r="D155" s="1"/>
      <c r="E155" s="3"/>
    </row>
    <row r="156" customFormat="false" ht="11.25" hidden="false" customHeight="false" outlineLevel="0" collapsed="false">
      <c r="A156" s="28" t="s">
        <v>27</v>
      </c>
      <c r="D156" s="1"/>
      <c r="E156" s="3"/>
    </row>
    <row r="157" customFormat="false" ht="11.25" hidden="false" customHeight="false" outlineLevel="0" collapsed="false">
      <c r="A157" s="31" t="n">
        <v>36240</v>
      </c>
      <c r="D157" s="1"/>
      <c r="E157" s="3"/>
    </row>
    <row r="158" customFormat="false" ht="11.25" hidden="false" customHeight="false" outlineLevel="0" collapsed="false">
      <c r="A158" s="9" t="s">
        <v>2</v>
      </c>
      <c r="B158" s="10" t="n">
        <v>48119.8579213907</v>
      </c>
      <c r="D158" s="11"/>
      <c r="E158" s="11"/>
      <c r="F158" s="11"/>
      <c r="G158" s="11"/>
      <c r="H158" s="11"/>
      <c r="I158" s="11"/>
      <c r="J158" s="11"/>
      <c r="K158" s="11"/>
      <c r="L158" s="11"/>
      <c r="M158" s="11"/>
      <c r="N158" s="11"/>
      <c r="O158" s="11"/>
      <c r="P158" s="11"/>
      <c r="Q158" s="11"/>
      <c r="R158" s="11"/>
      <c r="S158" s="11"/>
      <c r="T158" s="11"/>
      <c r="U158" s="11"/>
      <c r="V158" s="11"/>
      <c r="W158" s="11"/>
    </row>
    <row r="159" customFormat="false" ht="11.25" hidden="false" customHeight="false" outlineLevel="0" collapsed="false">
      <c r="A159" s="12" t="s">
        <v>3</v>
      </c>
      <c r="B159" s="13" t="n">
        <v>85015.903521504</v>
      </c>
      <c r="D159" s="11"/>
      <c r="E159" s="11"/>
      <c r="F159" s="11"/>
      <c r="G159" s="11"/>
      <c r="H159" s="11"/>
      <c r="I159" s="11"/>
      <c r="J159" s="11"/>
      <c r="K159" s="11"/>
      <c r="L159" s="11"/>
      <c r="M159" s="11"/>
      <c r="N159" s="11"/>
      <c r="O159" s="11"/>
      <c r="P159" s="11"/>
      <c r="Q159" s="11"/>
      <c r="R159" s="11"/>
      <c r="S159" s="11"/>
      <c r="T159" s="11"/>
      <c r="U159" s="11"/>
      <c r="V159" s="11"/>
      <c r="W159" s="11"/>
    </row>
    <row r="160" customFormat="false" ht="11.25" hidden="false" customHeight="false" outlineLevel="0" collapsed="false">
      <c r="A160" s="14" t="s">
        <v>4</v>
      </c>
      <c r="B160" s="15" t="s">
        <v>5</v>
      </c>
      <c r="C160" s="15" t="s">
        <v>6</v>
      </c>
      <c r="D160" s="16" t="n">
        <v>2000</v>
      </c>
      <c r="E160" s="17" t="n">
        <v>2001</v>
      </c>
      <c r="F160" s="17" t="n">
        <v>2002</v>
      </c>
      <c r="G160" s="17" t="n">
        <v>2003</v>
      </c>
      <c r="H160" s="17" t="n">
        <v>2004</v>
      </c>
      <c r="I160" s="17" t="n">
        <v>2005</v>
      </c>
      <c r="J160" s="17" t="n">
        <v>2006</v>
      </c>
      <c r="K160" s="17" t="n">
        <v>2007</v>
      </c>
      <c r="L160" s="17" t="n">
        <v>2008</v>
      </c>
      <c r="M160" s="17" t="n">
        <v>2009</v>
      </c>
      <c r="N160" s="18" t="n">
        <v>2010</v>
      </c>
      <c r="O160" s="11" t="n">
        <v>2011</v>
      </c>
      <c r="P160" s="11" t="n">
        <v>2012</v>
      </c>
      <c r="Q160" s="11" t="n">
        <v>2013</v>
      </c>
      <c r="R160" s="11" t="n">
        <v>2014</v>
      </c>
      <c r="S160" s="11" t="n">
        <v>2015</v>
      </c>
      <c r="T160" s="11" t="n">
        <v>2016</v>
      </c>
      <c r="U160" s="11" t="n">
        <v>2017</v>
      </c>
      <c r="V160" s="11" t="n">
        <v>2018</v>
      </c>
      <c r="W160" s="11" t="n">
        <v>2019</v>
      </c>
      <c r="X160" s="11" t="n">
        <v>2020</v>
      </c>
      <c r="Y160" s="11" t="n">
        <v>2021</v>
      </c>
    </row>
    <row r="161" customFormat="false" ht="11.25" hidden="false" customHeight="false" outlineLevel="0" collapsed="false">
      <c r="A161" s="14" t="s">
        <v>7</v>
      </c>
      <c r="B161" s="19" t="n">
        <f aca="false">NPV(0.1,D161:Y161)</f>
        <v>562486.907487902</v>
      </c>
      <c r="C161" s="19" t="n">
        <f aca="false">B161-B151</f>
        <v>0</v>
      </c>
      <c r="D161" s="20" t="n">
        <v>32983.8973339833</v>
      </c>
      <c r="E161" s="21" t="n">
        <v>46118.4873745667</v>
      </c>
      <c r="F161" s="21" t="n">
        <v>46475.6295024667</v>
      </c>
      <c r="G161" s="21" t="n">
        <v>58817.9776421894</v>
      </c>
      <c r="H161" s="21" t="n">
        <v>68715.019385821</v>
      </c>
      <c r="I161" s="21" t="n">
        <v>70095.6260064004</v>
      </c>
      <c r="J161" s="21" t="n">
        <v>71255.789744074</v>
      </c>
      <c r="K161" s="21" t="n">
        <v>72546.2276897382</v>
      </c>
      <c r="L161" s="21" t="n">
        <v>73963.8097842089</v>
      </c>
      <c r="M161" s="21" t="n">
        <v>75513.654262551</v>
      </c>
      <c r="N161" s="22" t="n">
        <v>77230.9970780174</v>
      </c>
      <c r="O161" s="23" t="n">
        <v>79313.0899503769</v>
      </c>
      <c r="P161" s="23" t="n">
        <v>81577.8432972121</v>
      </c>
      <c r="Q161" s="23" t="n">
        <v>83941.6728189267</v>
      </c>
      <c r="R161" s="23" t="n">
        <v>86396.374326122</v>
      </c>
      <c r="S161" s="23" t="n">
        <v>88899.764412232</v>
      </c>
      <c r="T161" s="23" t="n">
        <v>91034.9772874227</v>
      </c>
      <c r="U161" s="23" t="n">
        <v>93398.7376428945</v>
      </c>
      <c r="V161" s="23" t="n">
        <v>95448.2845507359</v>
      </c>
      <c r="W161" s="23" t="n">
        <v>97492.2423196458</v>
      </c>
      <c r="X161" s="23" t="n">
        <v>23377.1322242946</v>
      </c>
      <c r="Y161" s="23" t="n">
        <v>0</v>
      </c>
    </row>
    <row r="162" customFormat="false" ht="11.25" hidden="false" customHeight="false" outlineLevel="0" collapsed="false">
      <c r="A162" s="24" t="s">
        <v>8</v>
      </c>
      <c r="B162" s="19" t="n">
        <f aca="false">NPV(0.1,D162:Y162)</f>
        <v>253871.22476726</v>
      </c>
      <c r="C162" s="19" t="n">
        <f aca="false">B162-B152</f>
        <v>-65.423576820991</v>
      </c>
      <c r="D162" s="20" t="n">
        <v>20622.3406673167</v>
      </c>
      <c r="E162" s="21" t="n">
        <v>25504.2848725287</v>
      </c>
      <c r="F162" s="21" t="n">
        <v>25985.2976844287</v>
      </c>
      <c r="G162" s="21" t="n">
        <v>26380.878578372</v>
      </c>
      <c r="H162" s="21" t="n">
        <v>26863.8665728723</v>
      </c>
      <c r="I162" s="21" t="n">
        <v>27390.1407505475</v>
      </c>
      <c r="J162" s="21" t="n">
        <v>28063.4309061257</v>
      </c>
      <c r="K162" s="21" t="n">
        <v>28876.57955706</v>
      </c>
      <c r="L162" s="21" t="n">
        <v>29827.4698876319</v>
      </c>
      <c r="M162" s="21" t="n">
        <v>30867.4725813659</v>
      </c>
      <c r="N162" s="22" t="n">
        <v>32142.5693181963</v>
      </c>
      <c r="O162" s="23" t="n">
        <v>33609.419254616</v>
      </c>
      <c r="P162" s="23" t="n">
        <v>35262.9071082323</v>
      </c>
      <c r="Q162" s="23" t="n">
        <v>36965.427980899</v>
      </c>
      <c r="R162" s="23" t="n">
        <v>38819.2399381477</v>
      </c>
      <c r="S162" s="23" t="n">
        <v>40728.2288238946</v>
      </c>
      <c r="T162" s="23" t="n">
        <v>42709.9256461963</v>
      </c>
      <c r="U162" s="23" t="n">
        <v>44899.7635061058</v>
      </c>
      <c r="V162" s="23" t="n">
        <v>46866.8099589352</v>
      </c>
      <c r="W162" s="23" t="n">
        <v>48867.180092814</v>
      </c>
      <c r="X162" s="23" t="n">
        <v>3016.77769712223</v>
      </c>
      <c r="Y162" s="23" t="n">
        <v>0</v>
      </c>
    </row>
    <row r="163" customFormat="false" ht="11.25" hidden="false" customHeight="false" outlineLevel="0" collapsed="false">
      <c r="A163" s="24" t="s">
        <v>9</v>
      </c>
      <c r="B163" s="19" t="n">
        <f aca="false">NPV(0.1,D163:Y163)</f>
        <v>92787.2976946766</v>
      </c>
      <c r="C163" s="19" t="n">
        <f aca="false">B163-B153</f>
        <v>657.673467650209</v>
      </c>
      <c r="D163" s="20" t="n">
        <v>-365.725590398321</v>
      </c>
      <c r="E163" s="21" t="n">
        <v>-158.510146251416</v>
      </c>
      <c r="F163" s="21" t="n">
        <v>-178.554687233817</v>
      </c>
      <c r="G163" s="21" t="n">
        <v>7043.26247766429</v>
      </c>
      <c r="H163" s="21" t="n">
        <v>12749.0109277007</v>
      </c>
      <c r="I163" s="21" t="n">
        <v>13575.4676727918</v>
      </c>
      <c r="J163" s="21" t="n">
        <v>14183.4004334108</v>
      </c>
      <c r="K163" s="21" t="n">
        <v>14671.5011141387</v>
      </c>
      <c r="L163" s="21" t="n">
        <v>15251.9717271064</v>
      </c>
      <c r="M163" s="21" t="n">
        <v>15890.4430855085</v>
      </c>
      <c r="N163" s="22" t="n">
        <v>16523.4607534019</v>
      </c>
      <c r="O163" s="23" t="n">
        <v>17220.0700127226</v>
      </c>
      <c r="P163" s="23" t="n">
        <v>18034.9585282345</v>
      </c>
      <c r="Q163" s="23" t="n">
        <v>18926.4533276191</v>
      </c>
      <c r="R163" s="23" t="n">
        <v>19832.5562240225</v>
      </c>
      <c r="S163" s="23" t="n">
        <v>20701.3473497535</v>
      </c>
      <c r="T163" s="23" t="n">
        <v>21449.5843871395</v>
      </c>
      <c r="U163" s="23" t="n">
        <v>22264.3362775261</v>
      </c>
      <c r="V163" s="23" t="n">
        <v>23082.8274591937</v>
      </c>
      <c r="W163" s="23" t="n">
        <v>23654.784754046</v>
      </c>
      <c r="X163" s="23" t="n">
        <v>0</v>
      </c>
      <c r="Y163" s="23" t="n">
        <v>0</v>
      </c>
    </row>
    <row r="164" customFormat="false" ht="11.25" hidden="false" customHeight="false" outlineLevel="0" collapsed="false">
      <c r="A164" s="24" t="s">
        <v>10</v>
      </c>
      <c r="B164" s="19" t="n">
        <f aca="false">NPV(0.1,D164:Y164)</f>
        <v>131713.735421232</v>
      </c>
      <c r="C164" s="19" t="n">
        <f aca="false">B164-B154</f>
        <v>-585.482112021215</v>
      </c>
      <c r="D164" s="25" t="n">
        <v>4208.75785163715</v>
      </c>
      <c r="E164" s="26" t="n">
        <v>7606.57409994019</v>
      </c>
      <c r="F164" s="26" t="n">
        <v>7135.02990537337</v>
      </c>
      <c r="G164" s="26" t="n">
        <v>19727.6437158149</v>
      </c>
      <c r="H164" s="26" t="n">
        <v>25404.2118092308</v>
      </c>
      <c r="I164" s="26" t="n">
        <v>25445.1390401805</v>
      </c>
      <c r="J164" s="26" t="n">
        <v>18984.6255995511</v>
      </c>
      <c r="K164" s="26" t="n">
        <v>18875.3076092928</v>
      </c>
      <c r="L164" s="26" t="n">
        <v>18796.5936049363</v>
      </c>
      <c r="M164" s="26" t="n">
        <v>18669.2840695808</v>
      </c>
      <c r="N164" s="27" t="n">
        <v>18598.0961542244</v>
      </c>
      <c r="O164" s="23" t="n">
        <v>18423.9781048497</v>
      </c>
      <c r="P164" s="23" t="n">
        <v>18281.8606390671</v>
      </c>
      <c r="Q164" s="23" t="n">
        <v>18083.1702175584</v>
      </c>
      <c r="R164" s="23" t="n">
        <v>17931.8402146571</v>
      </c>
      <c r="S164" s="23" t="n">
        <v>15028.5810566042</v>
      </c>
      <c r="T164" s="23" t="n">
        <v>12085.9879300524</v>
      </c>
      <c r="U164" s="23" t="n">
        <v>11641.1738306093</v>
      </c>
      <c r="V164" s="23" t="n">
        <v>11249.9135240923</v>
      </c>
      <c r="W164" s="23" t="n">
        <v>17343.1071728543</v>
      </c>
      <c r="X164" s="23" t="n">
        <v>0</v>
      </c>
      <c r="Y164" s="23" t="n">
        <v>0</v>
      </c>
    </row>
    <row r="166" customFormat="false" ht="11.25" hidden="false" customHeight="false" outlineLevel="0" collapsed="false">
      <c r="A166" s="28" t="s">
        <v>28</v>
      </c>
    </row>
    <row r="167" customFormat="false" ht="11.25" hidden="false" customHeight="false" outlineLevel="0" collapsed="false">
      <c r="A167" s="31" t="n">
        <v>36248</v>
      </c>
    </row>
    <row r="168" customFormat="false" ht="11.25" hidden="false" customHeight="false" outlineLevel="0" collapsed="false">
      <c r="A168" s="9" t="s">
        <v>2</v>
      </c>
      <c r="B168" s="10" t="n">
        <v>47955.8051648818</v>
      </c>
      <c r="C168" s="11"/>
      <c r="D168" s="11"/>
      <c r="E168" s="11"/>
      <c r="F168" s="11"/>
      <c r="G168" s="11"/>
      <c r="H168" s="11"/>
      <c r="I168" s="11"/>
      <c r="J168" s="11"/>
      <c r="K168" s="11"/>
      <c r="L168" s="11"/>
      <c r="M168" s="11"/>
      <c r="N168" s="11"/>
      <c r="O168" s="11"/>
      <c r="P168" s="11"/>
      <c r="Q168" s="11"/>
      <c r="R168" s="11"/>
      <c r="S168" s="11"/>
      <c r="T168" s="11"/>
      <c r="U168" s="11"/>
      <c r="V168" s="11"/>
    </row>
    <row r="169" customFormat="false" ht="11.25" hidden="false" customHeight="false" outlineLevel="0" collapsed="false">
      <c r="A169" s="12" t="s">
        <v>3</v>
      </c>
      <c r="B169" s="13" t="n">
        <v>84809.903521504</v>
      </c>
      <c r="C169" s="11"/>
      <c r="D169" s="11"/>
      <c r="E169" s="11"/>
      <c r="F169" s="11"/>
      <c r="G169" s="11"/>
      <c r="H169" s="11"/>
      <c r="I169" s="11"/>
      <c r="J169" s="11"/>
      <c r="K169" s="11"/>
      <c r="L169" s="11"/>
      <c r="M169" s="11"/>
      <c r="N169" s="11"/>
      <c r="O169" s="11"/>
      <c r="P169" s="11"/>
      <c r="Q169" s="11"/>
      <c r="R169" s="11"/>
      <c r="S169" s="11"/>
      <c r="T169" s="11"/>
      <c r="U169" s="11"/>
      <c r="V169" s="11"/>
    </row>
    <row r="170" customFormat="false" ht="11.25" hidden="false" customHeight="false" outlineLevel="0" collapsed="false">
      <c r="A170" s="14" t="s">
        <v>4</v>
      </c>
      <c r="B170" s="15" t="s">
        <v>5</v>
      </c>
      <c r="C170" s="15" t="s">
        <v>6</v>
      </c>
      <c r="D170" s="16" t="n">
        <v>2000</v>
      </c>
      <c r="E170" s="17" t="n">
        <v>2001</v>
      </c>
      <c r="F170" s="17" t="n">
        <v>2002</v>
      </c>
      <c r="G170" s="17" t="n">
        <v>2003</v>
      </c>
      <c r="H170" s="17" t="n">
        <v>2004</v>
      </c>
      <c r="I170" s="17" t="n">
        <v>2005</v>
      </c>
      <c r="J170" s="17" t="n">
        <v>2006</v>
      </c>
      <c r="K170" s="17" t="n">
        <v>2007</v>
      </c>
      <c r="L170" s="17" t="n">
        <v>2008</v>
      </c>
      <c r="M170" s="17" t="n">
        <v>2009</v>
      </c>
      <c r="N170" s="18" t="n">
        <v>2010</v>
      </c>
      <c r="O170" s="11" t="n">
        <v>2011</v>
      </c>
      <c r="P170" s="11" t="n">
        <v>2012</v>
      </c>
      <c r="Q170" s="11" t="n">
        <v>2013</v>
      </c>
      <c r="R170" s="11" t="n">
        <v>2014</v>
      </c>
      <c r="S170" s="11" t="n">
        <v>2015</v>
      </c>
      <c r="T170" s="11" t="n">
        <v>2016</v>
      </c>
      <c r="U170" s="11" t="n">
        <v>2017</v>
      </c>
      <c r="V170" s="11" t="n">
        <v>2018</v>
      </c>
      <c r="W170" s="11" t="n">
        <v>2019</v>
      </c>
      <c r="X170" s="11" t="n">
        <v>2020</v>
      </c>
    </row>
    <row r="171" customFormat="false" ht="11.25" hidden="false" customHeight="false" outlineLevel="0" collapsed="false">
      <c r="A171" s="14" t="s">
        <v>7</v>
      </c>
      <c r="B171" s="19" t="n">
        <f aca="false">NPV(0.1,D171:Y171)</f>
        <v>562486.907487902</v>
      </c>
      <c r="C171" s="19" t="n">
        <f aca="false">B171-B161</f>
        <v>0</v>
      </c>
      <c r="D171" s="20" t="n">
        <v>32983.8973339833</v>
      </c>
      <c r="E171" s="21" t="n">
        <v>46118.4873745667</v>
      </c>
      <c r="F171" s="21" t="n">
        <v>46475.6295024667</v>
      </c>
      <c r="G171" s="21" t="n">
        <v>58817.9776421894</v>
      </c>
      <c r="H171" s="21" t="n">
        <v>68715.019385821</v>
      </c>
      <c r="I171" s="21" t="n">
        <v>70095.6260064004</v>
      </c>
      <c r="J171" s="21" t="n">
        <v>71255.789744074</v>
      </c>
      <c r="K171" s="21" t="n">
        <v>72546.2276897382</v>
      </c>
      <c r="L171" s="21" t="n">
        <v>73963.8097842089</v>
      </c>
      <c r="M171" s="21" t="n">
        <v>75513.654262551</v>
      </c>
      <c r="N171" s="22" t="n">
        <v>77230.9970780174</v>
      </c>
      <c r="O171" s="23" t="n">
        <v>79313.0899503769</v>
      </c>
      <c r="P171" s="23" t="n">
        <v>81577.8432972121</v>
      </c>
      <c r="Q171" s="23" t="n">
        <v>83941.6728189267</v>
      </c>
      <c r="R171" s="23" t="n">
        <v>86396.374326122</v>
      </c>
      <c r="S171" s="23" t="n">
        <v>88899.764412232</v>
      </c>
      <c r="T171" s="23" t="n">
        <v>91034.9772874227</v>
      </c>
      <c r="U171" s="23" t="n">
        <v>93398.7376428945</v>
      </c>
      <c r="V171" s="23" t="n">
        <v>95448.2845507359</v>
      </c>
      <c r="W171" s="23" t="n">
        <v>97492.2423196458</v>
      </c>
      <c r="X171" s="23" t="n">
        <v>23377.1322242946</v>
      </c>
    </row>
    <row r="172" customFormat="false" ht="11.25" hidden="false" customHeight="false" outlineLevel="0" collapsed="false">
      <c r="A172" s="24" t="s">
        <v>8</v>
      </c>
      <c r="B172" s="19" t="n">
        <f aca="false">NPV(0.1,D172:Y172)</f>
        <v>253871.22476726</v>
      </c>
      <c r="C172" s="19" t="n">
        <f aca="false">B172-B162</f>
        <v>0</v>
      </c>
      <c r="D172" s="20" t="n">
        <v>20622.3406673167</v>
      </c>
      <c r="E172" s="21" t="n">
        <v>25504.2848725287</v>
      </c>
      <c r="F172" s="21" t="n">
        <v>25985.2976844287</v>
      </c>
      <c r="G172" s="21" t="n">
        <v>26380.878578372</v>
      </c>
      <c r="H172" s="21" t="n">
        <v>26863.8665728723</v>
      </c>
      <c r="I172" s="21" t="n">
        <v>27390.1407505475</v>
      </c>
      <c r="J172" s="21" t="n">
        <v>28063.4309061257</v>
      </c>
      <c r="K172" s="21" t="n">
        <v>28876.57955706</v>
      </c>
      <c r="L172" s="21" t="n">
        <v>29827.4698876319</v>
      </c>
      <c r="M172" s="21" t="n">
        <v>30867.4725813659</v>
      </c>
      <c r="N172" s="22" t="n">
        <v>32142.5693181963</v>
      </c>
      <c r="O172" s="23" t="n">
        <v>33609.419254616</v>
      </c>
      <c r="P172" s="23" t="n">
        <v>35262.9071082323</v>
      </c>
      <c r="Q172" s="23" t="n">
        <v>36965.427980899</v>
      </c>
      <c r="R172" s="23" t="n">
        <v>38819.2399381477</v>
      </c>
      <c r="S172" s="23" t="n">
        <v>40728.2288238946</v>
      </c>
      <c r="T172" s="23" t="n">
        <v>42709.9256461963</v>
      </c>
      <c r="U172" s="23" t="n">
        <v>44899.7635061058</v>
      </c>
      <c r="V172" s="23" t="n">
        <v>46866.8099589352</v>
      </c>
      <c r="W172" s="23" t="n">
        <v>48867.180092814</v>
      </c>
      <c r="X172" s="23" t="n">
        <v>3016.77769712223</v>
      </c>
    </row>
    <row r="173" customFormat="false" ht="11.25" hidden="false" customHeight="false" outlineLevel="0" collapsed="false">
      <c r="A173" s="24" t="s">
        <v>9</v>
      </c>
      <c r="B173" s="19" t="n">
        <f aca="false">NPV(0.1,D173:Y173)</f>
        <v>92698.2190573152</v>
      </c>
      <c r="C173" s="19" t="n">
        <f aca="false">B173-B163</f>
        <v>-89.0786373613373</v>
      </c>
      <c r="D173" s="20" t="n">
        <v>-379.879309978321</v>
      </c>
      <c r="E173" s="21" t="n">
        <v>-182.773665531416</v>
      </c>
      <c r="F173" s="21" t="n">
        <v>-202.818206513817</v>
      </c>
      <c r="G173" s="21" t="n">
        <v>7018.99895838429</v>
      </c>
      <c r="H173" s="21" t="n">
        <v>12724.7474084207</v>
      </c>
      <c r="I173" s="21" t="n">
        <v>13565.2818535118</v>
      </c>
      <c r="J173" s="21" t="n">
        <v>14183.2701141308</v>
      </c>
      <c r="K173" s="21" t="n">
        <v>14671.3707948587</v>
      </c>
      <c r="L173" s="21" t="n">
        <v>15251.8414078264</v>
      </c>
      <c r="M173" s="21" t="n">
        <v>15890.3127662285</v>
      </c>
      <c r="N173" s="22" t="n">
        <v>16523.3304341218</v>
      </c>
      <c r="O173" s="23" t="n">
        <v>17219.9396934426</v>
      </c>
      <c r="P173" s="23" t="n">
        <v>18034.8282089545</v>
      </c>
      <c r="Q173" s="23" t="n">
        <v>18926.3230083391</v>
      </c>
      <c r="R173" s="23" t="n">
        <v>19832.4259047425</v>
      </c>
      <c r="S173" s="23" t="n">
        <v>20701.2170304735</v>
      </c>
      <c r="T173" s="23" t="n">
        <v>21449.4540678595</v>
      </c>
      <c r="U173" s="23" t="n">
        <v>22264.2059582461</v>
      </c>
      <c r="V173" s="23" t="n">
        <v>23082.6971399137</v>
      </c>
      <c r="W173" s="23" t="n">
        <v>23654.654434766</v>
      </c>
      <c r="X173" s="23" t="n">
        <v>0</v>
      </c>
    </row>
    <row r="174" customFormat="false" ht="11.25" hidden="false" customHeight="false" outlineLevel="0" collapsed="false">
      <c r="A174" s="24" t="s">
        <v>10</v>
      </c>
      <c r="B174" s="19" t="n">
        <f aca="false">NPV(0.1,D174:Y174)</f>
        <v>131758.37159042</v>
      </c>
      <c r="C174" s="19" t="n">
        <f aca="false">B174-B164</f>
        <v>44.6361691885395</v>
      </c>
      <c r="D174" s="25" t="n">
        <v>4208.44885163715</v>
      </c>
      <c r="E174" s="26" t="n">
        <v>7606.36809994019</v>
      </c>
      <c r="F174" s="26" t="n">
        <v>7134.82390537337</v>
      </c>
      <c r="G174" s="26" t="n">
        <v>19727.4377158149</v>
      </c>
      <c r="H174" s="26" t="n">
        <v>25404.0058092308</v>
      </c>
      <c r="I174" s="26" t="n">
        <v>25525.8432480925</v>
      </c>
      <c r="J174" s="26" t="n">
        <v>18984.6417347511</v>
      </c>
      <c r="K174" s="26" t="n">
        <v>18875.3239824948</v>
      </c>
      <c r="L174" s="26" t="n">
        <v>18796.6097401363</v>
      </c>
      <c r="M174" s="26" t="n">
        <v>18669.3004427828</v>
      </c>
      <c r="N174" s="27" t="n">
        <v>18598.1122894244</v>
      </c>
      <c r="O174" s="23" t="n">
        <v>18423.9944780517</v>
      </c>
      <c r="P174" s="23" t="n">
        <v>18281.8767742671</v>
      </c>
      <c r="Q174" s="23" t="n">
        <v>18083.1865907604</v>
      </c>
      <c r="R174" s="23" t="n">
        <v>17931.8563498571</v>
      </c>
      <c r="S174" s="23" t="n">
        <v>15028.5269812142</v>
      </c>
      <c r="T174" s="23" t="n">
        <v>12085.8636440724</v>
      </c>
      <c r="U174" s="23" t="n">
        <v>11641.0495446293</v>
      </c>
      <c r="V174" s="23" t="n">
        <v>11249.7892381123</v>
      </c>
      <c r="W174" s="23" t="n">
        <v>17342.9828868743</v>
      </c>
      <c r="X174" s="23" t="n">
        <v>0</v>
      </c>
    </row>
    <row r="176" customFormat="false" ht="11.25" hidden="false" customHeight="false" outlineLevel="0" collapsed="false">
      <c r="A176" s="28" t="s">
        <v>29</v>
      </c>
    </row>
    <row r="177" customFormat="false" ht="11.25" hidden="false" customHeight="false" outlineLevel="0" collapsed="false">
      <c r="A177" s="31" t="n">
        <v>36249</v>
      </c>
    </row>
    <row r="178" customFormat="false" ht="11.25" hidden="false" customHeight="false" outlineLevel="0" collapsed="false">
      <c r="A178" s="9" t="s">
        <v>2</v>
      </c>
      <c r="B178" s="10" t="n">
        <v>47613.8854420507</v>
      </c>
      <c r="C178" s="11"/>
      <c r="D178" s="11"/>
      <c r="E178" s="11"/>
      <c r="F178" s="11"/>
      <c r="G178" s="11"/>
      <c r="H178" s="11"/>
      <c r="I178" s="11"/>
      <c r="J178" s="11"/>
      <c r="K178" s="11"/>
      <c r="L178" s="11"/>
      <c r="M178" s="11"/>
      <c r="N178" s="11"/>
      <c r="O178" s="11"/>
      <c r="P178" s="11"/>
      <c r="Q178" s="11"/>
      <c r="R178" s="11"/>
      <c r="S178" s="11"/>
      <c r="T178" s="11"/>
      <c r="U178" s="11"/>
      <c r="V178" s="11"/>
    </row>
    <row r="179" customFormat="false" ht="11.25" hidden="false" customHeight="false" outlineLevel="0" collapsed="false">
      <c r="A179" s="12" t="s">
        <v>3</v>
      </c>
      <c r="B179" s="13" t="n">
        <v>84405.1749483761</v>
      </c>
      <c r="C179" s="11"/>
      <c r="D179" s="11"/>
      <c r="E179" s="11"/>
      <c r="F179" s="11"/>
      <c r="G179" s="11"/>
      <c r="H179" s="11"/>
      <c r="I179" s="11"/>
      <c r="J179" s="11"/>
      <c r="K179" s="11"/>
      <c r="L179" s="11"/>
      <c r="M179" s="11"/>
      <c r="N179" s="11"/>
      <c r="O179" s="11"/>
      <c r="P179" s="11"/>
      <c r="Q179" s="11"/>
      <c r="R179" s="11"/>
      <c r="S179" s="11"/>
      <c r="T179" s="11"/>
      <c r="U179" s="11"/>
      <c r="V179" s="11"/>
    </row>
    <row r="180" customFormat="false" ht="11.25" hidden="false" customHeight="false" outlineLevel="0" collapsed="false">
      <c r="A180" s="14" t="s">
        <v>4</v>
      </c>
      <c r="B180" s="15" t="s">
        <v>5</v>
      </c>
      <c r="C180" s="15" t="s">
        <v>6</v>
      </c>
      <c r="D180" s="16" t="n">
        <v>2000</v>
      </c>
      <c r="E180" s="17" t="n">
        <v>2001</v>
      </c>
      <c r="F180" s="17" t="n">
        <v>2002</v>
      </c>
      <c r="G180" s="17" t="n">
        <v>2003</v>
      </c>
      <c r="H180" s="17" t="n">
        <v>2004</v>
      </c>
      <c r="I180" s="17" t="n">
        <v>2005</v>
      </c>
      <c r="J180" s="17" t="n">
        <v>2006</v>
      </c>
      <c r="K180" s="17" t="n">
        <v>2007</v>
      </c>
      <c r="L180" s="17" t="n">
        <v>2008</v>
      </c>
      <c r="M180" s="17" t="n">
        <v>2009</v>
      </c>
      <c r="N180" s="18" t="n">
        <v>2010</v>
      </c>
      <c r="O180" s="11" t="n">
        <v>2011</v>
      </c>
      <c r="P180" s="11" t="n">
        <v>2012</v>
      </c>
      <c r="Q180" s="11" t="n">
        <v>2013</v>
      </c>
      <c r="R180" s="11" t="n">
        <v>2014</v>
      </c>
      <c r="S180" s="11" t="n">
        <v>2015</v>
      </c>
      <c r="T180" s="11" t="n">
        <v>2016</v>
      </c>
      <c r="U180" s="11" t="n">
        <v>2017</v>
      </c>
      <c r="V180" s="11" t="n">
        <v>2018</v>
      </c>
      <c r="W180" s="11" t="n">
        <v>2019</v>
      </c>
      <c r="X180" s="11" t="n">
        <v>2020</v>
      </c>
    </row>
    <row r="181" customFormat="false" ht="11.25" hidden="false" customHeight="false" outlineLevel="0" collapsed="false">
      <c r="A181" s="14" t="s">
        <v>7</v>
      </c>
      <c r="B181" s="19" t="n">
        <f aca="false">NPV(0.1,D181:Y181)</f>
        <v>562486.907487902</v>
      </c>
      <c r="C181" s="19" t="n">
        <f aca="false">B181-B171</f>
        <v>0</v>
      </c>
      <c r="D181" s="20" t="n">
        <v>32983.8973339833</v>
      </c>
      <c r="E181" s="21" t="n">
        <v>46118.4873745667</v>
      </c>
      <c r="F181" s="21" t="n">
        <v>46475.6295024667</v>
      </c>
      <c r="G181" s="21" t="n">
        <v>58817.9776421894</v>
      </c>
      <c r="H181" s="21" t="n">
        <v>68715.019385821</v>
      </c>
      <c r="I181" s="21" t="n">
        <v>70095.6260064004</v>
      </c>
      <c r="J181" s="21" t="n">
        <v>71255.789744074</v>
      </c>
      <c r="K181" s="21" t="n">
        <v>72546.2276897382</v>
      </c>
      <c r="L181" s="21" t="n">
        <v>73963.8097842089</v>
      </c>
      <c r="M181" s="21" t="n">
        <v>75513.654262551</v>
      </c>
      <c r="N181" s="22" t="n">
        <v>77230.9970780174</v>
      </c>
      <c r="O181" s="23" t="n">
        <v>79313.0899503769</v>
      </c>
      <c r="P181" s="23" t="n">
        <v>81577.8432972121</v>
      </c>
      <c r="Q181" s="23" t="n">
        <v>83941.6728189267</v>
      </c>
      <c r="R181" s="23" t="n">
        <v>86396.374326122</v>
      </c>
      <c r="S181" s="23" t="n">
        <v>88899.764412232</v>
      </c>
      <c r="T181" s="23" t="n">
        <v>91034.9772874227</v>
      </c>
      <c r="U181" s="23" t="n">
        <v>93398.7376428945</v>
      </c>
      <c r="V181" s="23" t="n">
        <v>95448.2845507359</v>
      </c>
      <c r="W181" s="23" t="n">
        <v>97492.2423196458</v>
      </c>
      <c r="X181" s="23" t="n">
        <v>23377.1322242946</v>
      </c>
    </row>
    <row r="182" customFormat="false" ht="11.25" hidden="false" customHeight="false" outlineLevel="0" collapsed="false">
      <c r="A182" s="24" t="s">
        <v>8</v>
      </c>
      <c r="B182" s="19" t="n">
        <f aca="false">NPV(0.1,D182:Y182)</f>
        <v>253871.22476726</v>
      </c>
      <c r="C182" s="19" t="n">
        <f aca="false">B182-B172</f>
        <v>0</v>
      </c>
      <c r="D182" s="20" t="n">
        <v>20622.3406673167</v>
      </c>
      <c r="E182" s="21" t="n">
        <v>25504.2848725287</v>
      </c>
      <c r="F182" s="21" t="n">
        <v>25985.2976844287</v>
      </c>
      <c r="G182" s="21" t="n">
        <v>26380.878578372</v>
      </c>
      <c r="H182" s="21" t="n">
        <v>26863.8665728723</v>
      </c>
      <c r="I182" s="21" t="n">
        <v>27390.1407505475</v>
      </c>
      <c r="J182" s="21" t="n">
        <v>28063.4309061257</v>
      </c>
      <c r="K182" s="21" t="n">
        <v>28876.57955706</v>
      </c>
      <c r="L182" s="21" t="n">
        <v>29827.4698876319</v>
      </c>
      <c r="M182" s="21" t="n">
        <v>30867.4725813659</v>
      </c>
      <c r="N182" s="22" t="n">
        <v>32142.5693181963</v>
      </c>
      <c r="O182" s="23" t="n">
        <v>33609.419254616</v>
      </c>
      <c r="P182" s="23" t="n">
        <v>35262.9071082323</v>
      </c>
      <c r="Q182" s="23" t="n">
        <v>36965.427980899</v>
      </c>
      <c r="R182" s="23" t="n">
        <v>38819.2399381477</v>
      </c>
      <c r="S182" s="23" t="n">
        <v>40728.2288238946</v>
      </c>
      <c r="T182" s="23" t="n">
        <v>42709.9256461963</v>
      </c>
      <c r="U182" s="23" t="n">
        <v>44899.7635061058</v>
      </c>
      <c r="V182" s="23" t="n">
        <v>46866.8099589352</v>
      </c>
      <c r="W182" s="23" t="n">
        <v>48867.180092814</v>
      </c>
      <c r="X182" s="23" t="n">
        <v>3016.77769712223</v>
      </c>
    </row>
    <row r="183" customFormat="false" ht="11.25" hidden="false" customHeight="false" outlineLevel="0" collapsed="false">
      <c r="A183" s="24" t="s">
        <v>9</v>
      </c>
      <c r="B183" s="19" t="n">
        <f aca="false">NPV(0.1,D183:Y183)</f>
        <v>92626.7090409274</v>
      </c>
      <c r="C183" s="19" t="n">
        <f aca="false">B183-B173</f>
        <v>-71.5100163878524</v>
      </c>
      <c r="D183" s="20" t="n">
        <v>-385.007192668851</v>
      </c>
      <c r="E183" s="21" t="n">
        <v>-191.564321572324</v>
      </c>
      <c r="F183" s="21" t="n">
        <v>-211.608862554726</v>
      </c>
      <c r="G183" s="21" t="n">
        <v>7010.20830234338</v>
      </c>
      <c r="H183" s="21" t="n">
        <v>12715.9567523798</v>
      </c>
      <c r="I183" s="21" t="n">
        <v>13556.4911974709</v>
      </c>
      <c r="J183" s="21" t="n">
        <v>14174.4794580899</v>
      </c>
      <c r="K183" s="21" t="n">
        <v>14662.5801388178</v>
      </c>
      <c r="L183" s="21" t="n">
        <v>15243.0507517855</v>
      </c>
      <c r="M183" s="21" t="n">
        <v>15881.5221101876</v>
      </c>
      <c r="N183" s="22" t="n">
        <v>16514.5397780809</v>
      </c>
      <c r="O183" s="23" t="n">
        <v>17211.1490374017</v>
      </c>
      <c r="P183" s="23" t="n">
        <v>18026.0375529136</v>
      </c>
      <c r="Q183" s="23" t="n">
        <v>18917.5323522982</v>
      </c>
      <c r="R183" s="23" t="n">
        <v>19823.6352487016</v>
      </c>
      <c r="S183" s="23" t="n">
        <v>20692.4263744326</v>
      </c>
      <c r="T183" s="23" t="n">
        <v>21440.6634118186</v>
      </c>
      <c r="U183" s="23" t="n">
        <v>22255.4153022052</v>
      </c>
      <c r="V183" s="23" t="n">
        <v>23073.9064838728</v>
      </c>
      <c r="W183" s="23" t="n">
        <v>23645.8637787251</v>
      </c>
      <c r="X183" s="23" t="n">
        <v>0</v>
      </c>
    </row>
    <row r="184" customFormat="false" ht="11.25" hidden="false" customHeight="false" outlineLevel="0" collapsed="false">
      <c r="A184" s="24" t="s">
        <v>10</v>
      </c>
      <c r="B184" s="19" t="n">
        <f aca="false">NPV(0.1,D184:Y184)</f>
        <v>131827.636744578</v>
      </c>
      <c r="C184" s="19" t="n">
        <f aca="false">B184-B174</f>
        <v>69.2651541581145</v>
      </c>
      <c r="D184" s="25" t="n">
        <v>4207.84175877746</v>
      </c>
      <c r="E184" s="26" t="n">
        <v>7605.96337136706</v>
      </c>
      <c r="F184" s="26" t="n">
        <v>7134.41917680024</v>
      </c>
      <c r="G184" s="26" t="n">
        <v>19727.0329872418</v>
      </c>
      <c r="H184" s="26" t="n">
        <v>25403.6010806577</v>
      </c>
      <c r="I184" s="26" t="n">
        <v>25596.9767847099</v>
      </c>
      <c r="J184" s="26" t="n">
        <v>18993.8696271641</v>
      </c>
      <c r="K184" s="26" t="n">
        <v>18884.5679292762</v>
      </c>
      <c r="L184" s="26" t="n">
        <v>18805.8376325494</v>
      </c>
      <c r="M184" s="26" t="n">
        <v>18678.5443895641</v>
      </c>
      <c r="N184" s="27" t="n">
        <v>18607.3401818374</v>
      </c>
      <c r="O184" s="23" t="n">
        <v>18433.238424833</v>
      </c>
      <c r="P184" s="23" t="n">
        <v>18291.1046666801</v>
      </c>
      <c r="Q184" s="23" t="n">
        <v>18092.4305375417</v>
      </c>
      <c r="R184" s="23" t="n">
        <v>17941.0842422701</v>
      </c>
      <c r="S184" s="23" t="n">
        <v>15033.0188349757</v>
      </c>
      <c r="T184" s="23" t="n">
        <v>12085.6194591824</v>
      </c>
      <c r="U184" s="23" t="n">
        <v>11640.8053597393</v>
      </c>
      <c r="V184" s="23" t="n">
        <v>11249.5450532223</v>
      </c>
      <c r="W184" s="23" t="n">
        <v>17342.7387019842</v>
      </c>
      <c r="X184" s="23" t="n">
        <v>0</v>
      </c>
    </row>
    <row r="186" customFormat="false" ht="11.25" hidden="false" customHeight="false" outlineLevel="0" collapsed="false">
      <c r="A186" s="28" t="s">
        <v>30</v>
      </c>
    </row>
    <row r="187" customFormat="false" ht="11.25" hidden="false" customHeight="false" outlineLevel="0" collapsed="false">
      <c r="A187" s="31" t="n">
        <v>36250</v>
      </c>
    </row>
    <row r="188" customFormat="false" ht="11.25" hidden="false" customHeight="false" outlineLevel="0" collapsed="false">
      <c r="A188" s="9" t="s">
        <v>2</v>
      </c>
      <c r="B188" s="10" t="n">
        <v>39980.8757114697</v>
      </c>
      <c r="C188" s="11"/>
      <c r="D188" s="11"/>
      <c r="E188" s="11"/>
      <c r="F188" s="11"/>
      <c r="G188" s="11"/>
      <c r="H188" s="11"/>
      <c r="I188" s="11"/>
      <c r="J188" s="11"/>
      <c r="K188" s="11"/>
      <c r="L188" s="11"/>
      <c r="M188" s="11"/>
      <c r="N188" s="11"/>
      <c r="O188" s="11"/>
      <c r="P188" s="11"/>
      <c r="Q188" s="11"/>
      <c r="R188" s="11"/>
      <c r="S188" s="11"/>
      <c r="T188" s="11"/>
      <c r="U188" s="11"/>
      <c r="V188" s="11"/>
    </row>
    <row r="189" customFormat="false" ht="11.25" hidden="false" customHeight="false" outlineLevel="0" collapsed="false">
      <c r="A189" s="12" t="s">
        <v>3</v>
      </c>
      <c r="B189" s="13" t="n">
        <v>75506.8357610767</v>
      </c>
      <c r="C189" s="11"/>
      <c r="D189" s="11"/>
      <c r="E189" s="11"/>
      <c r="F189" s="11"/>
      <c r="G189" s="11"/>
      <c r="H189" s="11"/>
      <c r="I189" s="11"/>
      <c r="J189" s="11"/>
      <c r="K189" s="11"/>
      <c r="L189" s="11"/>
      <c r="M189" s="11"/>
      <c r="N189" s="11"/>
      <c r="O189" s="11"/>
      <c r="P189" s="11"/>
      <c r="Q189" s="11"/>
      <c r="R189" s="11"/>
      <c r="S189" s="11"/>
      <c r="T189" s="11"/>
      <c r="U189" s="11"/>
      <c r="V189" s="11"/>
    </row>
    <row r="190" customFormat="false" ht="11.25" hidden="false" customHeight="false" outlineLevel="0" collapsed="false">
      <c r="A190" s="14" t="s">
        <v>4</v>
      </c>
      <c r="B190" s="15" t="s">
        <v>5</v>
      </c>
      <c r="C190" s="15" t="s">
        <v>6</v>
      </c>
      <c r="D190" s="16" t="n">
        <v>2000</v>
      </c>
      <c r="E190" s="17" t="n">
        <v>2001</v>
      </c>
      <c r="F190" s="17" t="n">
        <v>2002</v>
      </c>
      <c r="G190" s="17" t="n">
        <v>2003</v>
      </c>
      <c r="H190" s="17" t="n">
        <v>2004</v>
      </c>
      <c r="I190" s="17" t="n">
        <v>2005</v>
      </c>
      <c r="J190" s="17" t="n">
        <v>2006</v>
      </c>
      <c r="K190" s="17" t="n">
        <v>2007</v>
      </c>
      <c r="L190" s="17" t="n">
        <v>2008</v>
      </c>
      <c r="M190" s="17" t="n">
        <v>2009</v>
      </c>
      <c r="N190" s="18" t="n">
        <v>2010</v>
      </c>
      <c r="O190" s="11" t="n">
        <v>2011</v>
      </c>
      <c r="P190" s="11" t="n">
        <v>2012</v>
      </c>
      <c r="Q190" s="11" t="n">
        <v>2013</v>
      </c>
      <c r="R190" s="11" t="n">
        <v>2014</v>
      </c>
      <c r="S190" s="11" t="n">
        <v>2015</v>
      </c>
      <c r="T190" s="11" t="n">
        <v>2016</v>
      </c>
      <c r="U190" s="11" t="n">
        <v>2017</v>
      </c>
      <c r="V190" s="11" t="n">
        <v>2018</v>
      </c>
      <c r="W190" s="11" t="n">
        <v>2019</v>
      </c>
      <c r="X190" s="11" t="n">
        <v>2020</v>
      </c>
    </row>
    <row r="191" customFormat="false" ht="11.25" hidden="false" customHeight="false" outlineLevel="0" collapsed="false">
      <c r="A191" s="14" t="s">
        <v>7</v>
      </c>
      <c r="B191" s="19" t="n">
        <f aca="false">NPV(0.1,D191:Y191)</f>
        <v>562486.907487902</v>
      </c>
      <c r="C191" s="19" t="n">
        <f aca="false">B191-B181</f>
        <v>0</v>
      </c>
      <c r="D191" s="20" t="n">
        <v>32983.8973339833</v>
      </c>
      <c r="E191" s="21" t="n">
        <v>46118.4873745667</v>
      </c>
      <c r="F191" s="21" t="n">
        <v>46475.6295024667</v>
      </c>
      <c r="G191" s="21" t="n">
        <v>58817.9776421894</v>
      </c>
      <c r="H191" s="21" t="n">
        <v>68715.019385821</v>
      </c>
      <c r="I191" s="21" t="n">
        <v>70095.6260064004</v>
      </c>
      <c r="J191" s="21" t="n">
        <v>71255.789744074</v>
      </c>
      <c r="K191" s="21" t="n">
        <v>72546.2276897382</v>
      </c>
      <c r="L191" s="21" t="n">
        <v>73963.8097842089</v>
      </c>
      <c r="M191" s="21" t="n">
        <v>75513.654262551</v>
      </c>
      <c r="N191" s="22" t="n">
        <v>77230.9970780174</v>
      </c>
      <c r="O191" s="23" t="n">
        <v>79313.0899503769</v>
      </c>
      <c r="P191" s="23" t="n">
        <v>81577.8432972121</v>
      </c>
      <c r="Q191" s="23" t="n">
        <v>83941.6728189267</v>
      </c>
      <c r="R191" s="23" t="n">
        <v>86396.374326122</v>
      </c>
      <c r="S191" s="23" t="n">
        <v>88899.764412232</v>
      </c>
      <c r="T191" s="23" t="n">
        <v>91034.9772874227</v>
      </c>
      <c r="U191" s="23" t="n">
        <v>93398.7376428945</v>
      </c>
      <c r="V191" s="23" t="n">
        <v>95448.2845507359</v>
      </c>
      <c r="W191" s="23" t="n">
        <v>97492.2423196458</v>
      </c>
      <c r="X191" s="23" t="n">
        <v>23377.1322242946</v>
      </c>
    </row>
    <row r="192" customFormat="false" ht="11.25" hidden="false" customHeight="false" outlineLevel="0" collapsed="false">
      <c r="A192" s="24" t="s">
        <v>8</v>
      </c>
      <c r="B192" s="19" t="n">
        <f aca="false">NPV(0.1,D192:Y192)</f>
        <v>253909.672147102</v>
      </c>
      <c r="C192" s="19" t="n">
        <f aca="false">B192-B182</f>
        <v>38.4473798421095</v>
      </c>
      <c r="D192" s="20" t="n">
        <v>20622.3406673167</v>
      </c>
      <c r="E192" s="21" t="n">
        <v>25510.2190912854</v>
      </c>
      <c r="F192" s="21" t="n">
        <v>25991.2319031854</v>
      </c>
      <c r="G192" s="21" t="n">
        <v>26386.8127971288</v>
      </c>
      <c r="H192" s="21" t="n">
        <v>26869.8007916291</v>
      </c>
      <c r="I192" s="21" t="n">
        <v>27395.3628630535</v>
      </c>
      <c r="J192" s="21" t="n">
        <v>28068.6530186317</v>
      </c>
      <c r="K192" s="21" t="n">
        <v>28881.8016695659</v>
      </c>
      <c r="L192" s="21" t="n">
        <v>29832.6920001379</v>
      </c>
      <c r="M192" s="21" t="n">
        <v>30871.982587621</v>
      </c>
      <c r="N192" s="22" t="n">
        <v>32147.0793244515</v>
      </c>
      <c r="O192" s="23" t="n">
        <v>33613.9292608712</v>
      </c>
      <c r="P192" s="23" t="n">
        <v>35267.4171144875</v>
      </c>
      <c r="Q192" s="23" t="n">
        <v>36969.2258809033</v>
      </c>
      <c r="R192" s="23" t="n">
        <v>38823.0378381521</v>
      </c>
      <c r="S192" s="23" t="n">
        <v>40732.026723899</v>
      </c>
      <c r="T192" s="23" t="n">
        <v>42713.7235462006</v>
      </c>
      <c r="U192" s="23" t="n">
        <v>44902.8492998594</v>
      </c>
      <c r="V192" s="23" t="n">
        <v>46869.8957526887</v>
      </c>
      <c r="W192" s="23" t="n">
        <v>48870.2658865675</v>
      </c>
      <c r="X192" s="23" t="n">
        <v>3016.77769712223</v>
      </c>
    </row>
    <row r="193" customFormat="false" ht="11.25" hidden="false" customHeight="false" outlineLevel="0" collapsed="false">
      <c r="A193" s="24" t="s">
        <v>9</v>
      </c>
      <c r="B193" s="19" t="n">
        <f aca="false">NPV(0.1,D193:Y193)</f>
        <v>91141.4208824292</v>
      </c>
      <c r="C193" s="19" t="n">
        <f aca="false">B193-B183</f>
        <v>-1485.28815849821</v>
      </c>
      <c r="D193" s="20" t="n">
        <v>-481.892550108483</v>
      </c>
      <c r="E193" s="21" t="n">
        <v>-361.188295013266</v>
      </c>
      <c r="F193" s="21" t="n">
        <v>-381.336286234791</v>
      </c>
      <c r="G193" s="21" t="n">
        <v>6840.36941103066</v>
      </c>
      <c r="H193" s="21" t="n">
        <v>12546.0702598608</v>
      </c>
      <c r="I193" s="21" t="n">
        <v>13372.9052307133</v>
      </c>
      <c r="J193" s="21" t="n">
        <v>13980.7962176072</v>
      </c>
      <c r="K193" s="21" t="n">
        <v>14468.851782712</v>
      </c>
      <c r="L193" s="21" t="n">
        <v>15049.2736708069</v>
      </c>
      <c r="M193" s="21" t="n">
        <v>15688.1220414105</v>
      </c>
      <c r="N193" s="22" t="n">
        <v>16321.0966249342</v>
      </c>
      <c r="O193" s="23" t="n">
        <v>17017.6593531357</v>
      </c>
      <c r="P193" s="23" t="n">
        <v>17832.4976150388</v>
      </c>
      <c r="Q193" s="23" t="n">
        <v>18724.3677755902</v>
      </c>
      <c r="R193" s="23" t="n">
        <v>19630.4258045063</v>
      </c>
      <c r="S193" s="23" t="n">
        <v>20499.1684733511</v>
      </c>
      <c r="T193" s="23" t="n">
        <v>21247.3531772999</v>
      </c>
      <c r="U193" s="23" t="n">
        <v>22062.4781826387</v>
      </c>
      <c r="V193" s="23" t="n">
        <v>22880.9220709074</v>
      </c>
      <c r="W193" s="23" t="n">
        <v>23452.8819932717</v>
      </c>
      <c r="X193" s="23" t="n">
        <v>0</v>
      </c>
    </row>
    <row r="194" customFormat="false" ht="11.25" hidden="false" customHeight="false" outlineLevel="0" collapsed="false">
      <c r="A194" s="24" t="s">
        <v>10</v>
      </c>
      <c r="B194" s="19" t="n">
        <f aca="false">NPV(0.1,D194:Y194)</f>
        <v>133220.863706805</v>
      </c>
      <c r="C194" s="19" t="n">
        <f aca="false">B194-B184</f>
        <v>1393.22696222708</v>
      </c>
      <c r="D194" s="25" t="n">
        <v>4194.46557170447</v>
      </c>
      <c r="E194" s="26" t="n">
        <v>7600.94766215099</v>
      </c>
      <c r="F194" s="26" t="n">
        <v>7123.46924882739</v>
      </c>
      <c r="G194" s="26" t="n">
        <v>19714.5006009338</v>
      </c>
      <c r="H194" s="26" t="n">
        <v>25391.0686943497</v>
      </c>
      <c r="I194" s="26" t="n">
        <v>25877.5502730917</v>
      </c>
      <c r="J194" s="26" t="n">
        <v>20384.6255166133</v>
      </c>
      <c r="K194" s="26" t="n">
        <v>19084.0085634513</v>
      </c>
      <c r="L194" s="26" t="n">
        <v>19004.9611586424</v>
      </c>
      <c r="M194" s="26" t="n">
        <v>18877.4843429171</v>
      </c>
      <c r="N194" s="27" t="n">
        <v>18806.6714249104</v>
      </c>
      <c r="O194" s="23" t="n">
        <v>18632.9494037281</v>
      </c>
      <c r="P194" s="23" t="n">
        <v>18490.4995425877</v>
      </c>
      <c r="Q194" s="23" t="n">
        <v>18291.6429262113</v>
      </c>
      <c r="R194" s="23" t="n">
        <v>18140.689093002</v>
      </c>
      <c r="S194" s="23" t="n">
        <v>15129.6583261634</v>
      </c>
      <c r="T194" s="23" t="n">
        <v>12079.2961395329</v>
      </c>
      <c r="U194" s="23" t="n">
        <v>11633.9518865523</v>
      </c>
      <c r="V194" s="23" t="n">
        <v>11243.4347801693</v>
      </c>
      <c r="W194" s="23" t="n">
        <v>17334.7376417893</v>
      </c>
      <c r="X194" s="23" t="n">
        <v>0</v>
      </c>
    </row>
    <row r="196" customFormat="false" ht="11.25" hidden="false" customHeight="false" outlineLevel="0" collapsed="false">
      <c r="A196" s="28" t="s">
        <v>31</v>
      </c>
    </row>
    <row r="197" customFormat="false" ht="11.25" hidden="false" customHeight="false" outlineLevel="0" collapsed="false">
      <c r="A197" s="31" t="n">
        <v>36250</v>
      </c>
    </row>
    <row r="198" customFormat="false" ht="11.25" hidden="false" customHeight="false" outlineLevel="0" collapsed="false">
      <c r="A198" s="9" t="s">
        <v>2</v>
      </c>
      <c r="B198" s="10" t="n">
        <v>46408.3429189028</v>
      </c>
      <c r="C198" s="11"/>
      <c r="D198" s="11"/>
      <c r="E198" s="11"/>
      <c r="F198" s="11"/>
      <c r="G198" s="11"/>
      <c r="H198" s="11"/>
      <c r="I198" s="11"/>
      <c r="J198" s="11"/>
      <c r="K198" s="11"/>
      <c r="L198" s="11"/>
      <c r="M198" s="11"/>
      <c r="N198" s="11"/>
      <c r="O198" s="11"/>
      <c r="P198" s="11"/>
      <c r="Q198" s="11"/>
      <c r="R198" s="11"/>
      <c r="S198" s="11"/>
      <c r="T198" s="11"/>
      <c r="U198" s="11"/>
      <c r="V198" s="11"/>
    </row>
    <row r="199" customFormat="false" ht="11.25" hidden="false" customHeight="false" outlineLevel="0" collapsed="false">
      <c r="A199" s="12" t="s">
        <v>3</v>
      </c>
      <c r="B199" s="13" t="n">
        <v>83777.6345255922</v>
      </c>
      <c r="C199" s="11"/>
      <c r="D199" s="11"/>
      <c r="E199" s="11"/>
      <c r="F199" s="11"/>
      <c r="G199" s="11"/>
      <c r="H199" s="11"/>
      <c r="I199" s="11"/>
      <c r="J199" s="11"/>
      <c r="K199" s="11"/>
      <c r="L199" s="11"/>
      <c r="M199" s="11"/>
      <c r="N199" s="11"/>
      <c r="O199" s="11"/>
      <c r="P199" s="11"/>
      <c r="Q199" s="11"/>
      <c r="R199" s="11"/>
      <c r="S199" s="11"/>
      <c r="T199" s="11"/>
      <c r="U199" s="11"/>
      <c r="V199" s="11"/>
    </row>
    <row r="200" customFormat="false" ht="11.25" hidden="false" customHeight="false" outlineLevel="0" collapsed="false">
      <c r="A200" s="14" t="s">
        <v>4</v>
      </c>
      <c r="B200" s="15" t="s">
        <v>5</v>
      </c>
      <c r="C200" s="15" t="s">
        <v>6</v>
      </c>
      <c r="D200" s="16" t="n">
        <v>2000</v>
      </c>
      <c r="E200" s="17" t="n">
        <v>2001</v>
      </c>
      <c r="F200" s="17" t="n">
        <v>2002</v>
      </c>
      <c r="G200" s="17" t="n">
        <v>2003</v>
      </c>
      <c r="H200" s="17" t="n">
        <v>2004</v>
      </c>
      <c r="I200" s="17" t="n">
        <v>2005</v>
      </c>
      <c r="J200" s="17" t="n">
        <v>2006</v>
      </c>
      <c r="K200" s="17" t="n">
        <v>2007</v>
      </c>
      <c r="L200" s="17" t="n">
        <v>2008</v>
      </c>
      <c r="M200" s="17" t="n">
        <v>2009</v>
      </c>
      <c r="N200" s="18" t="n">
        <v>2010</v>
      </c>
      <c r="O200" s="11" t="n">
        <v>2011</v>
      </c>
      <c r="P200" s="11" t="n">
        <v>2012</v>
      </c>
      <c r="Q200" s="11" t="n">
        <v>2013</v>
      </c>
      <c r="R200" s="11" t="n">
        <v>2014</v>
      </c>
      <c r="S200" s="11" t="n">
        <v>2015</v>
      </c>
      <c r="T200" s="11" t="n">
        <v>2016</v>
      </c>
      <c r="U200" s="11" t="n">
        <v>2017</v>
      </c>
      <c r="V200" s="11" t="n">
        <v>2018</v>
      </c>
      <c r="W200" s="11" t="n">
        <v>2019</v>
      </c>
      <c r="X200" s="11" t="n">
        <v>2020</v>
      </c>
    </row>
    <row r="201" customFormat="false" ht="11.25" hidden="false" customHeight="false" outlineLevel="0" collapsed="false">
      <c r="A201" s="14" t="s">
        <v>7</v>
      </c>
      <c r="B201" s="19" t="n">
        <f aca="false">NPV(0.1,D201:Y201)</f>
        <v>575391.61849043</v>
      </c>
      <c r="C201" s="19" t="n">
        <f aca="false">B201-B191</f>
        <v>12904.711002528</v>
      </c>
      <c r="D201" s="20" t="n">
        <v>33733.1084781823</v>
      </c>
      <c r="E201" s="21" t="n">
        <v>47172.8310976007</v>
      </c>
      <c r="F201" s="21" t="n">
        <v>47537.7483842347</v>
      </c>
      <c r="G201" s="21" t="n">
        <v>60167.5446330141</v>
      </c>
      <c r="H201" s="21" t="n">
        <v>70294.9347453321</v>
      </c>
      <c r="I201" s="21" t="n">
        <v>71707.1262269037</v>
      </c>
      <c r="J201" s="21" t="n">
        <v>72893.68615755</v>
      </c>
      <c r="K201" s="21" t="n">
        <v>74213.4979942789</v>
      </c>
      <c r="L201" s="21" t="n">
        <v>75663.3589875625</v>
      </c>
      <c r="M201" s="21" t="n">
        <v>77248.5042305979</v>
      </c>
      <c r="N201" s="22" t="n">
        <v>79004.9787283272</v>
      </c>
      <c r="O201" s="23" t="n">
        <v>81134.6323009149</v>
      </c>
      <c r="P201" s="23" t="n">
        <v>83451.1279513451</v>
      </c>
      <c r="Q201" s="23" t="n">
        <v>85868.9595459603</v>
      </c>
      <c r="R201" s="23" t="n">
        <v>88379.7335664805</v>
      </c>
      <c r="S201" s="23" t="n">
        <v>90940.296269923</v>
      </c>
      <c r="T201" s="23" t="n">
        <v>93124.0483727706</v>
      </c>
      <c r="U201" s="23" t="n">
        <v>95541.571161979</v>
      </c>
      <c r="V201" s="23" t="n">
        <v>97637.6276075465</v>
      </c>
      <c r="W201" s="23" t="n">
        <v>99727.9340785514</v>
      </c>
      <c r="X201" s="23" t="n">
        <v>23922.5986428615</v>
      </c>
    </row>
    <row r="202" customFormat="false" ht="11.25" hidden="false" customHeight="false" outlineLevel="0" collapsed="false">
      <c r="A202" s="24" t="s">
        <v>8</v>
      </c>
      <c r="B202" s="19" t="n">
        <f aca="false">NPV(0.1,D202:Y202)</f>
        <v>258592.70304806</v>
      </c>
      <c r="C202" s="19" t="n">
        <f aca="false">B202-B192</f>
        <v>4683.0309009584</v>
      </c>
      <c r="D202" s="20" t="n">
        <v>21028.5518115157</v>
      </c>
      <c r="E202" s="21" t="n">
        <v>25976.5628143194</v>
      </c>
      <c r="F202" s="21" t="n">
        <v>26465.3507849534</v>
      </c>
      <c r="G202" s="21" t="n">
        <v>26866.6448601132</v>
      </c>
      <c r="H202" s="21" t="n">
        <v>27357.2536329515</v>
      </c>
      <c r="I202" s="21" t="n">
        <v>27892.5867845666</v>
      </c>
      <c r="J202" s="21" t="n">
        <v>28577.6596734587</v>
      </c>
      <c r="K202" s="21" t="n">
        <v>29405.6947968883</v>
      </c>
      <c r="L202" s="21" t="n">
        <v>30374.5233633723</v>
      </c>
      <c r="M202" s="21" t="n">
        <v>31434.9426523337</v>
      </c>
      <c r="N202" s="22" t="n">
        <v>32735.1906304749</v>
      </c>
      <c r="O202" s="23" t="n">
        <v>34231.4743918601</v>
      </c>
      <c r="P202" s="23" t="n">
        <v>35918.5573446028</v>
      </c>
      <c r="Q202" s="23" t="n">
        <v>37656.2157446802</v>
      </c>
      <c r="R202" s="23" t="n">
        <v>39547.958559642</v>
      </c>
      <c r="S202" s="23" t="n">
        <v>41496.0061749498</v>
      </c>
      <c r="T202" s="23" t="n">
        <v>43518.2883214517</v>
      </c>
      <c r="U202" s="23" t="n">
        <v>45753.8942683488</v>
      </c>
      <c r="V202" s="23" t="n">
        <v>47760.8871396553</v>
      </c>
      <c r="W202" s="23" t="n">
        <v>49801.8116789206</v>
      </c>
      <c r="X202" s="23" t="n">
        <v>3016.77769712223</v>
      </c>
    </row>
    <row r="203" customFormat="false" ht="11.25" hidden="false" customHeight="false" outlineLevel="0" collapsed="false">
      <c r="A203" s="24" t="s">
        <v>9</v>
      </c>
      <c r="B203" s="19" t="n">
        <f aca="false">NPV(0.1,D203:Y203)</f>
        <v>94691.4674455312</v>
      </c>
      <c r="C203" s="19" t="n">
        <f aca="false">B203-B193</f>
        <v>3550.04656310203</v>
      </c>
      <c r="D203" s="20" t="n">
        <v>-393.880849374155</v>
      </c>
      <c r="E203" s="21" t="n">
        <v>-209.076763818388</v>
      </c>
      <c r="F203" s="21" t="n">
        <v>-227.01310029381</v>
      </c>
      <c r="G203" s="21" t="n">
        <v>7167.05478897447</v>
      </c>
      <c r="H203" s="21" t="n">
        <v>13007.6556111243</v>
      </c>
      <c r="I203" s="21" t="n">
        <v>13852.5150690681</v>
      </c>
      <c r="J203" s="21" t="n">
        <v>14474.8966086639</v>
      </c>
      <c r="K203" s="21" t="n">
        <v>14978.1027228626</v>
      </c>
      <c r="L203" s="21" t="n">
        <v>15574.3791085574</v>
      </c>
      <c r="M203" s="21" t="n">
        <v>16229.8333120178</v>
      </c>
      <c r="N203" s="22" t="n">
        <v>16880.2161628834</v>
      </c>
      <c r="O203" s="23" t="n">
        <v>17597.6766166938</v>
      </c>
      <c r="P203" s="23" t="n">
        <v>18434.571736067</v>
      </c>
      <c r="Q203" s="23" t="n">
        <v>19349.7409208424</v>
      </c>
      <c r="R203" s="23" t="n">
        <v>20280.4296980985</v>
      </c>
      <c r="S203" s="23" t="n">
        <v>21175.2314425356</v>
      </c>
      <c r="T203" s="23" t="n">
        <v>21944.9055494959</v>
      </c>
      <c r="U203" s="23" t="n">
        <v>22782.6035319027</v>
      </c>
      <c r="V203" s="23" t="n">
        <v>23624.781475462</v>
      </c>
      <c r="W203" s="23" t="n">
        <v>24216.3988863533</v>
      </c>
      <c r="X203" s="23" t="n">
        <v>0</v>
      </c>
    </row>
    <row r="204" customFormat="false" ht="11.25" hidden="false" customHeight="false" outlineLevel="0" collapsed="false">
      <c r="A204" s="24" t="s">
        <v>10</v>
      </c>
      <c r="B204" s="19" t="n">
        <f aca="false">NPV(0.1,D204:Y204)</f>
        <v>135733.240856846</v>
      </c>
      <c r="C204" s="19" t="n">
        <f aca="false">B204-B194</f>
        <v>2512.37715004064</v>
      </c>
      <c r="D204" s="25" t="n">
        <v>4320.15723445254</v>
      </c>
      <c r="E204" s="26" t="n">
        <v>7809.90988176081</v>
      </c>
      <c r="F204" s="26" t="n">
        <v>7332.43146843721</v>
      </c>
      <c r="G204" s="26" t="n">
        <v>20249.3037772478</v>
      </c>
      <c r="H204" s="26" t="n">
        <v>26059.5084248727</v>
      </c>
      <c r="I204" s="26" t="n">
        <v>26559.0782720956</v>
      </c>
      <c r="J204" s="26" t="n">
        <v>19644.816992192</v>
      </c>
      <c r="K204" s="26" t="n">
        <v>19446.5379401953</v>
      </c>
      <c r="L204" s="26" t="n">
        <v>19365.6711127251</v>
      </c>
      <c r="M204" s="26" t="n">
        <v>19235.7797358484</v>
      </c>
      <c r="N204" s="27" t="n">
        <v>19161.9097085602</v>
      </c>
      <c r="O204" s="23" t="n">
        <v>18985.3242325091</v>
      </c>
      <c r="P204" s="23" t="n">
        <v>18839.2610222407</v>
      </c>
      <c r="Q204" s="23" t="n">
        <v>18635.977513054</v>
      </c>
      <c r="R204" s="23" t="n">
        <v>18479.7147512386</v>
      </c>
      <c r="S204" s="23" t="n">
        <v>15462.4193160267</v>
      </c>
      <c r="T204" s="23" t="n">
        <v>12402.7008826507</v>
      </c>
      <c r="U204" s="23" t="n">
        <v>11946.884970184</v>
      </c>
      <c r="V204" s="23" t="n">
        <v>11544.7013601129</v>
      </c>
      <c r="W204" s="23" t="n">
        <v>17813.736635579</v>
      </c>
      <c r="X204" s="23" t="n">
        <v>0</v>
      </c>
    </row>
    <row r="206" customFormat="false" ht="11.25" hidden="false" customHeight="false" outlineLevel="0" collapsed="false">
      <c r="A206" s="28" t="s">
        <v>32</v>
      </c>
    </row>
    <row r="207" customFormat="false" ht="11.25" hidden="false" customHeight="false" outlineLevel="0" collapsed="false">
      <c r="A207" s="31" t="n">
        <v>36251</v>
      </c>
    </row>
    <row r="208" customFormat="false" ht="11.25" hidden="false" customHeight="false" outlineLevel="0" collapsed="false">
      <c r="A208" s="9" t="s">
        <v>2</v>
      </c>
      <c r="B208" s="10" t="n">
        <v>46302.7297096073</v>
      </c>
      <c r="C208" s="11"/>
      <c r="D208" s="11"/>
      <c r="E208" s="11"/>
      <c r="F208" s="11"/>
      <c r="G208" s="11"/>
      <c r="H208" s="11"/>
      <c r="I208" s="11"/>
      <c r="J208" s="11"/>
      <c r="K208" s="11"/>
      <c r="L208" s="11"/>
      <c r="M208" s="11"/>
      <c r="N208" s="11"/>
      <c r="O208" s="11"/>
      <c r="P208" s="11"/>
      <c r="Q208" s="11"/>
      <c r="R208" s="11"/>
      <c r="S208" s="11"/>
      <c r="T208" s="11"/>
      <c r="U208" s="11"/>
      <c r="V208" s="11"/>
    </row>
    <row r="209" customFormat="false" ht="11.25" hidden="false" customHeight="false" outlineLevel="0" collapsed="false">
      <c r="A209" s="12" t="s">
        <v>3</v>
      </c>
      <c r="B209" s="13" t="n">
        <v>83079.8847835143</v>
      </c>
      <c r="C209" s="11"/>
      <c r="D209" s="11"/>
      <c r="E209" s="11"/>
      <c r="F209" s="11"/>
      <c r="G209" s="11"/>
      <c r="H209" s="11"/>
      <c r="I209" s="11"/>
      <c r="J209" s="11"/>
      <c r="K209" s="11"/>
      <c r="L209" s="11"/>
      <c r="M209" s="11"/>
      <c r="N209" s="11"/>
      <c r="O209" s="11"/>
      <c r="P209" s="11"/>
      <c r="Q209" s="11"/>
      <c r="R209" s="11"/>
      <c r="S209" s="11"/>
      <c r="T209" s="11"/>
      <c r="U209" s="11"/>
      <c r="V209" s="11"/>
    </row>
    <row r="210" customFormat="false" ht="11.25" hidden="false" customHeight="false" outlineLevel="0" collapsed="false">
      <c r="A210" s="14" t="s">
        <v>4</v>
      </c>
      <c r="B210" s="15" t="s">
        <v>5</v>
      </c>
      <c r="C210" s="15" t="s">
        <v>6</v>
      </c>
      <c r="D210" s="16" t="n">
        <v>2000</v>
      </c>
      <c r="E210" s="17" t="n">
        <v>2001</v>
      </c>
      <c r="F210" s="17" t="n">
        <v>2002</v>
      </c>
      <c r="G210" s="17" t="n">
        <v>2003</v>
      </c>
      <c r="H210" s="17" t="n">
        <v>2004</v>
      </c>
      <c r="I210" s="17" t="n">
        <v>2005</v>
      </c>
      <c r="J210" s="17" t="n">
        <v>2006</v>
      </c>
      <c r="K210" s="17" t="n">
        <v>2007</v>
      </c>
      <c r="L210" s="17" t="n">
        <v>2008</v>
      </c>
      <c r="M210" s="17" t="n">
        <v>2009</v>
      </c>
      <c r="N210" s="18" t="n">
        <v>2010</v>
      </c>
      <c r="O210" s="11" t="n">
        <v>2011</v>
      </c>
      <c r="P210" s="11" t="n">
        <v>2012</v>
      </c>
      <c r="Q210" s="11" t="n">
        <v>2013</v>
      </c>
      <c r="R210" s="11" t="n">
        <v>2014</v>
      </c>
      <c r="S210" s="11" t="n">
        <v>2015</v>
      </c>
      <c r="T210" s="11" t="n">
        <v>2016</v>
      </c>
      <c r="U210" s="11" t="n">
        <v>2017</v>
      </c>
      <c r="V210" s="11" t="n">
        <v>2018</v>
      </c>
      <c r="W210" s="11" t="n">
        <v>2019</v>
      </c>
      <c r="X210" s="11" t="n">
        <v>2020</v>
      </c>
    </row>
    <row r="211" customFormat="false" ht="11.25" hidden="false" customHeight="false" outlineLevel="0" collapsed="false">
      <c r="A211" s="14" t="s">
        <v>7</v>
      </c>
      <c r="B211" s="19" t="n">
        <f aca="false">NPV(0.1,D211:Y211)</f>
        <v>575391.61849043</v>
      </c>
      <c r="C211" s="19" t="n">
        <f aca="false">B211-B201</f>
        <v>0</v>
      </c>
      <c r="D211" s="20" t="n">
        <v>33733.1084781823</v>
      </c>
      <c r="E211" s="21" t="n">
        <v>47172.8310976007</v>
      </c>
      <c r="F211" s="21" t="n">
        <v>47537.7483842347</v>
      </c>
      <c r="G211" s="21" t="n">
        <v>60167.5446330141</v>
      </c>
      <c r="H211" s="21" t="n">
        <v>70294.9347453321</v>
      </c>
      <c r="I211" s="21" t="n">
        <v>71707.1262269037</v>
      </c>
      <c r="J211" s="21" t="n">
        <v>72893.68615755</v>
      </c>
      <c r="K211" s="21" t="n">
        <v>74213.4979942789</v>
      </c>
      <c r="L211" s="21" t="n">
        <v>75663.3589875625</v>
      </c>
      <c r="M211" s="21" t="n">
        <v>77248.5042305979</v>
      </c>
      <c r="N211" s="22" t="n">
        <v>79004.9787283272</v>
      </c>
      <c r="O211" s="23" t="n">
        <v>81134.6323009149</v>
      </c>
      <c r="P211" s="23" t="n">
        <v>83451.1279513451</v>
      </c>
      <c r="Q211" s="23" t="n">
        <v>85868.9595459603</v>
      </c>
      <c r="R211" s="23" t="n">
        <v>88379.7335664805</v>
      </c>
      <c r="S211" s="23" t="n">
        <v>90940.296269923</v>
      </c>
      <c r="T211" s="23" t="n">
        <v>93124.0483727706</v>
      </c>
      <c r="U211" s="23" t="n">
        <v>95541.571161979</v>
      </c>
      <c r="V211" s="23" t="n">
        <v>97637.6276075465</v>
      </c>
      <c r="W211" s="23" t="n">
        <v>99727.9340785514</v>
      </c>
      <c r="X211" s="23" t="n">
        <v>23922.5986428615</v>
      </c>
    </row>
    <row r="212" customFormat="false" ht="11.25" hidden="false" customHeight="false" outlineLevel="0" collapsed="false">
      <c r="A212" s="24" t="s">
        <v>8</v>
      </c>
      <c r="B212" s="19" t="n">
        <f aca="false">NPV(0.1,D212:Y212)</f>
        <v>259282.00641553</v>
      </c>
      <c r="C212" s="19" t="n">
        <f aca="false">B212-B202</f>
        <v>689.303367469751</v>
      </c>
      <c r="D212" s="20" t="n">
        <v>21143.8442361627</v>
      </c>
      <c r="E212" s="21" t="n">
        <v>26053.4244307508</v>
      </c>
      <c r="F212" s="21" t="n">
        <v>26542.2124013848</v>
      </c>
      <c r="G212" s="21" t="n">
        <v>26943.5064765445</v>
      </c>
      <c r="H212" s="21" t="n">
        <v>27434.1152493828</v>
      </c>
      <c r="I212" s="21" t="n">
        <v>27969.4484009979</v>
      </c>
      <c r="J212" s="21" t="n">
        <v>28654.52128989</v>
      </c>
      <c r="K212" s="21" t="n">
        <v>29482.5564133196</v>
      </c>
      <c r="L212" s="21" t="n">
        <v>30451.3849798036</v>
      </c>
      <c r="M212" s="21" t="n">
        <v>31511.804268765</v>
      </c>
      <c r="N212" s="22" t="n">
        <v>32812.0522469062</v>
      </c>
      <c r="O212" s="23" t="n">
        <v>34308.3360082915</v>
      </c>
      <c r="P212" s="23" t="n">
        <v>35995.4189610341</v>
      </c>
      <c r="Q212" s="23" t="n">
        <v>37733.0773611115</v>
      </c>
      <c r="R212" s="23" t="n">
        <v>39624.8201760734</v>
      </c>
      <c r="S212" s="23" t="n">
        <v>41572.8677913812</v>
      </c>
      <c r="T212" s="23" t="n">
        <v>43595.1499378831</v>
      </c>
      <c r="U212" s="23" t="n">
        <v>45830.7558847801</v>
      </c>
      <c r="V212" s="23" t="n">
        <v>47837.7487560866</v>
      </c>
      <c r="W212" s="23" t="n">
        <v>49878.673295352</v>
      </c>
      <c r="X212" s="23" t="n">
        <v>3016.77769712223</v>
      </c>
    </row>
    <row r="213" customFormat="false" ht="11.25" hidden="false" customHeight="false" outlineLevel="0" collapsed="false">
      <c r="A213" s="24" t="s">
        <v>9</v>
      </c>
      <c r="B213" s="19" t="n">
        <f aca="false">NPV(0.1,D213:Y213)</f>
        <v>94365.5605669148</v>
      </c>
      <c r="C213" s="19" t="n">
        <f aca="false">B213-B203</f>
        <v>-325.906878616428</v>
      </c>
      <c r="D213" s="20" t="n">
        <v>-452.940699649146</v>
      </c>
      <c r="E213" s="21" t="n">
        <v>-240.199232657995</v>
      </c>
      <c r="F213" s="21" t="n">
        <v>-259.295684874862</v>
      </c>
      <c r="G213" s="21" t="n">
        <v>7133.52217968201</v>
      </c>
      <c r="H213" s="21" t="n">
        <v>12973.7219407053</v>
      </c>
      <c r="I213" s="21" t="n">
        <v>13818.1482526324</v>
      </c>
      <c r="J213" s="21" t="n">
        <v>14440.0619945301</v>
      </c>
      <c r="K213" s="21" t="n">
        <v>14942.762887215</v>
      </c>
      <c r="L213" s="21" t="n">
        <v>15538.4936336749</v>
      </c>
      <c r="M213" s="21" t="n">
        <v>16193.3585467615</v>
      </c>
      <c r="N213" s="22" t="n">
        <v>16843.1049640235</v>
      </c>
      <c r="O213" s="23" t="n">
        <v>17559.8780695419</v>
      </c>
      <c r="P213" s="23" t="n">
        <v>18396.0308527598</v>
      </c>
      <c r="Q213" s="23" t="n">
        <v>19310.3983144874</v>
      </c>
      <c r="R213" s="23" t="n">
        <v>20240.221230852</v>
      </c>
      <c r="S213" s="23" t="n">
        <v>21134.0878455262</v>
      </c>
      <c r="T213" s="23" t="n">
        <v>21902.7520123426</v>
      </c>
      <c r="U213" s="23" t="n">
        <v>22739.3592593941</v>
      </c>
      <c r="V213" s="23" t="n">
        <v>23580.3592087694</v>
      </c>
      <c r="W213" s="23" t="n">
        <v>24171.3999797278</v>
      </c>
      <c r="X213" s="23" t="n">
        <v>0</v>
      </c>
    </row>
    <row r="214" customFormat="false" ht="11.25" hidden="false" customHeight="false" outlineLevel="0" collapsed="false">
      <c r="A214" s="24" t="s">
        <v>10</v>
      </c>
      <c r="B214" s="19" t="n">
        <f aca="false">NPV(0.1,D214:Y214)</f>
        <v>136005.693627767</v>
      </c>
      <c r="C214" s="19" t="n">
        <f aca="false">B214-B204</f>
        <v>272.45277092114</v>
      </c>
      <c r="D214" s="25" t="n">
        <v>4395.79858321168</v>
      </c>
      <c r="E214" s="26" t="n">
        <v>7859.63288278295</v>
      </c>
      <c r="F214" s="26" t="n">
        <v>7382.15446945935</v>
      </c>
      <c r="G214" s="26" t="n">
        <v>20278.5303472216</v>
      </c>
      <c r="H214" s="26" t="n">
        <v>26088.7349948465</v>
      </c>
      <c r="I214" s="26" t="n">
        <v>26588.3048420694</v>
      </c>
      <c r="J214" s="26" t="n">
        <v>19616.8359982193</v>
      </c>
      <c r="K214" s="26" t="n">
        <v>19468.65545896</v>
      </c>
      <c r="L214" s="26" t="n">
        <v>19388.147371674</v>
      </c>
      <c r="M214" s="26" t="n">
        <v>19258.6434341963</v>
      </c>
      <c r="N214" s="27" t="n">
        <v>19185.1918414589</v>
      </c>
      <c r="O214" s="23" t="n">
        <v>19009.0582747228</v>
      </c>
      <c r="P214" s="23" t="n">
        <v>18863.4831265144</v>
      </c>
      <c r="Q214" s="23" t="n">
        <v>18660.7267243527</v>
      </c>
      <c r="R214" s="23" t="n">
        <v>18505.0332381242</v>
      </c>
      <c r="S214" s="23" t="n">
        <v>15488.3526205462</v>
      </c>
      <c r="T214" s="23" t="n">
        <v>12429.2981902147</v>
      </c>
      <c r="U214" s="23" t="n">
        <v>11974.1994010362</v>
      </c>
      <c r="V214" s="23" t="n">
        <v>11572.7902841162</v>
      </c>
      <c r="W214" s="23" t="n">
        <v>17817.7370671609</v>
      </c>
      <c r="X214" s="23" t="n">
        <v>0</v>
      </c>
    </row>
    <row r="216" customFormat="false" ht="11.25" hidden="false" customHeight="false" outlineLevel="0" collapsed="false">
      <c r="A216" s="28" t="s">
        <v>33</v>
      </c>
    </row>
    <row r="217" customFormat="false" ht="11.25" hidden="false" customHeight="false" outlineLevel="0" collapsed="false">
      <c r="A217" s="31" t="n">
        <v>36287</v>
      </c>
    </row>
    <row r="218" customFormat="false" ht="11.25" hidden="false" customHeight="false" outlineLevel="0" collapsed="false">
      <c r="A218" s="9" t="s">
        <v>2</v>
      </c>
      <c r="B218" s="10" t="n">
        <v>49223.3382129127</v>
      </c>
      <c r="C218" s="11"/>
      <c r="D218" s="11"/>
      <c r="E218" s="11"/>
      <c r="F218" s="11"/>
      <c r="G218" s="11"/>
      <c r="H218" s="11"/>
      <c r="I218" s="11"/>
      <c r="J218" s="11"/>
      <c r="K218" s="11"/>
      <c r="L218" s="11"/>
      <c r="M218" s="11"/>
      <c r="N218" s="11"/>
      <c r="O218" s="11"/>
      <c r="P218" s="11"/>
      <c r="Q218" s="11"/>
      <c r="R218" s="11"/>
      <c r="S218" s="11"/>
      <c r="T218" s="11"/>
      <c r="U218" s="11"/>
      <c r="V218" s="11"/>
    </row>
    <row r="219" customFormat="false" ht="11.25" hidden="false" customHeight="false" outlineLevel="0" collapsed="false">
      <c r="A219" s="12" t="s">
        <v>3</v>
      </c>
      <c r="B219" s="13" t="n">
        <v>87918.7085760619</v>
      </c>
      <c r="C219" s="11"/>
      <c r="D219" s="11"/>
      <c r="E219" s="11"/>
      <c r="F219" s="11"/>
      <c r="G219" s="11"/>
      <c r="H219" s="11"/>
      <c r="I219" s="11"/>
      <c r="J219" s="11"/>
      <c r="K219" s="11"/>
      <c r="L219" s="11"/>
      <c r="M219" s="11"/>
      <c r="N219" s="11"/>
      <c r="O219" s="11"/>
      <c r="P219" s="11"/>
      <c r="Q219" s="11"/>
      <c r="R219" s="11"/>
      <c r="S219" s="11"/>
      <c r="T219" s="11"/>
      <c r="U219" s="11"/>
      <c r="V219" s="11"/>
    </row>
    <row r="220" customFormat="false" ht="11.25" hidden="false" customHeight="false" outlineLevel="0" collapsed="false">
      <c r="A220" s="14" t="s">
        <v>4</v>
      </c>
      <c r="B220" s="15" t="s">
        <v>5</v>
      </c>
      <c r="C220" s="15" t="s">
        <v>6</v>
      </c>
      <c r="D220" s="16" t="n">
        <v>2000</v>
      </c>
      <c r="E220" s="17" t="n">
        <v>2001</v>
      </c>
      <c r="F220" s="17" t="n">
        <v>2002</v>
      </c>
      <c r="G220" s="17" t="n">
        <v>2003</v>
      </c>
      <c r="H220" s="17" t="n">
        <v>2004</v>
      </c>
      <c r="I220" s="17" t="n">
        <v>2005</v>
      </c>
      <c r="J220" s="17" t="n">
        <v>2006</v>
      </c>
      <c r="K220" s="17" t="n">
        <v>2007</v>
      </c>
      <c r="L220" s="17" t="n">
        <v>2008</v>
      </c>
      <c r="M220" s="17" t="n">
        <v>2009</v>
      </c>
      <c r="N220" s="18" t="n">
        <v>2010</v>
      </c>
      <c r="O220" s="11" t="n">
        <v>2011</v>
      </c>
      <c r="P220" s="11" t="n">
        <v>2012</v>
      </c>
      <c r="Q220" s="11" t="n">
        <v>2013</v>
      </c>
      <c r="R220" s="11" t="n">
        <v>2014</v>
      </c>
      <c r="S220" s="11" t="n">
        <v>2015</v>
      </c>
      <c r="T220" s="11" t="n">
        <v>2016</v>
      </c>
      <c r="U220" s="11" t="n">
        <v>2017</v>
      </c>
      <c r="V220" s="11" t="n">
        <v>2018</v>
      </c>
      <c r="W220" s="11" t="n">
        <v>2019</v>
      </c>
      <c r="X220" s="11" t="n">
        <v>2020</v>
      </c>
    </row>
    <row r="221" customFormat="false" ht="11.25" hidden="false" customHeight="false" outlineLevel="0" collapsed="false">
      <c r="A221" s="14" t="s">
        <v>7</v>
      </c>
      <c r="B221" s="19" t="n">
        <f aca="false">NPV(0.1,D221:Y221)</f>
        <v>585799.638742612</v>
      </c>
      <c r="C221" s="19" t="n">
        <f aca="false">B221-B211</f>
        <v>10408.0202521826</v>
      </c>
      <c r="D221" s="20" t="n">
        <v>33733.1084781823</v>
      </c>
      <c r="E221" s="21" t="n">
        <v>47172.8310976007</v>
      </c>
      <c r="F221" s="21" t="n">
        <v>47537.7483842347</v>
      </c>
      <c r="G221" s="21" t="n">
        <v>60167.5446330141</v>
      </c>
      <c r="H221" s="21" t="n">
        <v>70294.9347453321</v>
      </c>
      <c r="I221" s="21" t="n">
        <v>71707.1262269037</v>
      </c>
      <c r="J221" s="21" t="n">
        <v>72893.68615755</v>
      </c>
      <c r="K221" s="21" t="n">
        <v>74213.4979942789</v>
      </c>
      <c r="L221" s="21" t="n">
        <v>75663.3589875625</v>
      </c>
      <c r="M221" s="21" t="n">
        <v>77248.5042305979</v>
      </c>
      <c r="N221" s="22" t="n">
        <v>79004.9787283272</v>
      </c>
      <c r="O221" s="23" t="n">
        <v>81134.6323009149</v>
      </c>
      <c r="P221" s="23" t="n">
        <v>83451.1279513451</v>
      </c>
      <c r="Q221" s="23" t="n">
        <v>85868.9595459603</v>
      </c>
      <c r="R221" s="23" t="n">
        <v>88379.7335664805</v>
      </c>
      <c r="S221" s="23" t="n">
        <v>90940.296269923</v>
      </c>
      <c r="T221" s="23" t="n">
        <v>93124.0483727706</v>
      </c>
      <c r="U221" s="23" t="n">
        <v>95541.571161979</v>
      </c>
      <c r="V221" s="23" t="n">
        <v>97637.6276075465</v>
      </c>
      <c r="W221" s="23" t="n">
        <v>99727.9340785514</v>
      </c>
      <c r="X221" s="23" t="n">
        <v>100944.549933914</v>
      </c>
    </row>
    <row r="222" customFormat="false" ht="11.25" hidden="false" customHeight="false" outlineLevel="0" collapsed="false">
      <c r="A222" s="24" t="s">
        <v>8</v>
      </c>
      <c r="B222" s="19" t="n">
        <f aca="false">NPV(0.1,D222:Y222)</f>
        <v>265777.904876019</v>
      </c>
      <c r="C222" s="19" t="n">
        <f aca="false">B222-B212</f>
        <v>6495.89846048923</v>
      </c>
      <c r="D222" s="20" t="n">
        <v>21143.8442361627</v>
      </c>
      <c r="E222" s="21" t="n">
        <v>26053.4244307508</v>
      </c>
      <c r="F222" s="21" t="n">
        <v>26542.2124013848</v>
      </c>
      <c r="G222" s="21" t="n">
        <v>26943.5064765445</v>
      </c>
      <c r="H222" s="21" t="n">
        <v>27434.1152493828</v>
      </c>
      <c r="I222" s="21" t="n">
        <v>27969.4484009979</v>
      </c>
      <c r="J222" s="21" t="n">
        <v>28654.52128989</v>
      </c>
      <c r="K222" s="21" t="n">
        <v>29482.5564133196</v>
      </c>
      <c r="L222" s="21" t="n">
        <v>30451.3849798036</v>
      </c>
      <c r="M222" s="21" t="n">
        <v>31511.804268765</v>
      </c>
      <c r="N222" s="22" t="n">
        <v>32812.0522469062</v>
      </c>
      <c r="O222" s="23" t="n">
        <v>34308.3360082915</v>
      </c>
      <c r="P222" s="23" t="n">
        <v>35995.4189610341</v>
      </c>
      <c r="Q222" s="23" t="n">
        <v>37733.0773611115</v>
      </c>
      <c r="R222" s="23" t="n">
        <v>39624.8201760734</v>
      </c>
      <c r="S222" s="23" t="n">
        <v>41572.8677913812</v>
      </c>
      <c r="T222" s="23" t="n">
        <v>43595.1499378831</v>
      </c>
      <c r="U222" s="23" t="n">
        <v>45830.7558847801</v>
      </c>
      <c r="V222" s="23" t="n">
        <v>47837.7487560866</v>
      </c>
      <c r="W222" s="23" t="n">
        <v>49878.673295352</v>
      </c>
      <c r="X222" s="23" t="n">
        <v>51088.0499172644</v>
      </c>
    </row>
    <row r="223" customFormat="false" ht="11.25" hidden="false" customHeight="false" outlineLevel="0" collapsed="false">
      <c r="A223" s="24" t="s">
        <v>9</v>
      </c>
      <c r="B223" s="19" t="n">
        <f aca="false">NPV(0.1,D223:Y223)</f>
        <v>97760.1122719039</v>
      </c>
      <c r="C223" s="19" t="n">
        <f aca="false">B223-B213</f>
        <v>3394.55170498918</v>
      </c>
      <c r="D223" s="20" t="n">
        <v>-452.940699649146</v>
      </c>
      <c r="E223" s="21" t="n">
        <v>-240.199232657995</v>
      </c>
      <c r="F223" s="21" t="n">
        <v>-259.295684874862</v>
      </c>
      <c r="G223" s="21" t="n">
        <v>7133.52217968201</v>
      </c>
      <c r="H223" s="21" t="n">
        <v>12973.7219407053</v>
      </c>
      <c r="I223" s="21" t="n">
        <v>13818.1482526324</v>
      </c>
      <c r="J223" s="21" t="n">
        <v>14440.0619945301</v>
      </c>
      <c r="K223" s="21" t="n">
        <v>14942.762887215</v>
      </c>
      <c r="L223" s="21" t="n">
        <v>15538.4936336749</v>
      </c>
      <c r="M223" s="21" t="n">
        <v>16193.3585467615</v>
      </c>
      <c r="N223" s="22" t="n">
        <v>16843.1049640235</v>
      </c>
      <c r="O223" s="23" t="n">
        <v>17559.8780695419</v>
      </c>
      <c r="P223" s="23" t="n">
        <v>18396.0308527598</v>
      </c>
      <c r="Q223" s="23" t="n">
        <v>19310.3983144874</v>
      </c>
      <c r="R223" s="23" t="n">
        <v>20240.221230852</v>
      </c>
      <c r="S223" s="23" t="n">
        <v>21134.0878455262</v>
      </c>
      <c r="T223" s="23" t="n">
        <v>21902.7520123426</v>
      </c>
      <c r="U223" s="23" t="n">
        <v>22739.3592593941</v>
      </c>
      <c r="V223" s="23" t="n">
        <v>23580.3592087694</v>
      </c>
      <c r="W223" s="23" t="n">
        <v>24171.3999797278</v>
      </c>
      <c r="X223" s="23" t="n">
        <v>25120.5310656277</v>
      </c>
    </row>
    <row r="224" customFormat="false" ht="11.25" hidden="false" customHeight="false" outlineLevel="0" collapsed="false">
      <c r="A224" s="24" t="s">
        <v>10</v>
      </c>
      <c r="B224" s="19" t="n">
        <f aca="false">NPV(0.1,D224:Y224)</f>
        <v>140079.340509536</v>
      </c>
      <c r="C224" s="19" t="n">
        <f aca="false">B224-B214</f>
        <v>4073.64688176921</v>
      </c>
      <c r="D224" s="25" t="n">
        <v>4395.79858321168</v>
      </c>
      <c r="E224" s="26" t="n">
        <v>7859.63288278295</v>
      </c>
      <c r="F224" s="26" t="n">
        <v>7382.15446945935</v>
      </c>
      <c r="G224" s="26" t="n">
        <v>20278.5303472216</v>
      </c>
      <c r="H224" s="26" t="n">
        <v>26088.7349948465</v>
      </c>
      <c r="I224" s="26" t="n">
        <v>26588.3048420694</v>
      </c>
      <c r="J224" s="26" t="n">
        <v>19616.8359982193</v>
      </c>
      <c r="K224" s="26" t="n">
        <v>19468.65545896</v>
      </c>
      <c r="L224" s="26" t="n">
        <v>19388.147371674</v>
      </c>
      <c r="M224" s="26" t="n">
        <v>19258.6434341963</v>
      </c>
      <c r="N224" s="27" t="n">
        <v>19185.1918414589</v>
      </c>
      <c r="O224" s="23" t="n">
        <v>19009.0582747228</v>
      </c>
      <c r="P224" s="23" t="n">
        <v>18863.4831265144</v>
      </c>
      <c r="Q224" s="23" t="n">
        <v>18660.7267243527</v>
      </c>
      <c r="R224" s="23" t="n">
        <v>18505.0332381242</v>
      </c>
      <c r="S224" s="23" t="n">
        <v>15488.3526205462</v>
      </c>
      <c r="T224" s="23" t="n">
        <v>12429.2981902147</v>
      </c>
      <c r="U224" s="23" t="n">
        <v>11974.1994010362</v>
      </c>
      <c r="V224" s="23" t="n">
        <v>11572.7902841162</v>
      </c>
      <c r="W224" s="23" t="n">
        <v>17817.7370671609</v>
      </c>
      <c r="X224" s="23" t="n">
        <v>30146.0051097402</v>
      </c>
    </row>
    <row r="226" customFormat="false" ht="11.25" hidden="false" customHeight="false" outlineLevel="0" collapsed="false">
      <c r="A226" s="28" t="s">
        <v>34</v>
      </c>
    </row>
    <row r="227" customFormat="false" ht="11.25" hidden="false" customHeight="false" outlineLevel="0" collapsed="false">
      <c r="A227" s="31" t="n">
        <v>36257</v>
      </c>
    </row>
    <row r="228" customFormat="false" ht="11.25" hidden="false" customHeight="false" outlineLevel="0" collapsed="false">
      <c r="A228" s="9" t="s">
        <v>2</v>
      </c>
      <c r="B228" s="10" t="n">
        <v>49188.0984595355</v>
      </c>
      <c r="C228" s="11"/>
      <c r="D228" s="11"/>
      <c r="E228" s="11"/>
      <c r="F228" s="11"/>
      <c r="G228" s="11"/>
      <c r="H228" s="11"/>
      <c r="I228" s="11"/>
      <c r="J228" s="11"/>
      <c r="K228" s="11"/>
      <c r="L228" s="11"/>
      <c r="M228" s="11"/>
      <c r="N228" s="11"/>
      <c r="O228" s="11"/>
      <c r="P228" s="11"/>
      <c r="Q228" s="11"/>
      <c r="R228" s="11"/>
      <c r="S228" s="11"/>
      <c r="T228" s="11"/>
      <c r="U228" s="11"/>
      <c r="V228" s="11"/>
    </row>
    <row r="229" customFormat="false" ht="11.25" hidden="false" customHeight="false" outlineLevel="0" collapsed="false">
      <c r="A229" s="12" t="s">
        <v>3</v>
      </c>
      <c r="B229" s="13" t="n">
        <v>87918.7085760619</v>
      </c>
      <c r="C229" s="11"/>
      <c r="D229" s="11"/>
      <c r="E229" s="11"/>
      <c r="F229" s="11"/>
      <c r="G229" s="11"/>
      <c r="H229" s="11"/>
      <c r="I229" s="11"/>
      <c r="J229" s="11"/>
      <c r="K229" s="11"/>
      <c r="L229" s="11"/>
      <c r="M229" s="11"/>
      <c r="N229" s="11"/>
      <c r="O229" s="11"/>
      <c r="P229" s="11"/>
      <c r="Q229" s="11"/>
      <c r="R229" s="11"/>
      <c r="S229" s="11"/>
      <c r="T229" s="11"/>
      <c r="U229" s="11"/>
      <c r="V229" s="11"/>
    </row>
    <row r="230" customFormat="false" ht="11.25" hidden="false" customHeight="false" outlineLevel="0" collapsed="false">
      <c r="A230" s="14" t="s">
        <v>4</v>
      </c>
      <c r="B230" s="15" t="s">
        <v>5</v>
      </c>
      <c r="C230" s="15" t="s">
        <v>6</v>
      </c>
      <c r="D230" s="16" t="n">
        <v>2000</v>
      </c>
      <c r="E230" s="17" t="n">
        <v>2001</v>
      </c>
      <c r="F230" s="17" t="n">
        <v>2002</v>
      </c>
      <c r="G230" s="17" t="n">
        <v>2003</v>
      </c>
      <c r="H230" s="17" t="n">
        <v>2004</v>
      </c>
      <c r="I230" s="17" t="n">
        <v>2005</v>
      </c>
      <c r="J230" s="17" t="n">
        <v>2006</v>
      </c>
      <c r="K230" s="17" t="n">
        <v>2007</v>
      </c>
      <c r="L230" s="17" t="n">
        <v>2008</v>
      </c>
      <c r="M230" s="17" t="n">
        <v>2009</v>
      </c>
      <c r="N230" s="18" t="n">
        <v>2010</v>
      </c>
      <c r="O230" s="11" t="n">
        <v>2011</v>
      </c>
      <c r="P230" s="11" t="n">
        <v>2012</v>
      </c>
      <c r="Q230" s="11" t="n">
        <v>2013</v>
      </c>
      <c r="R230" s="11" t="n">
        <v>2014</v>
      </c>
      <c r="S230" s="11" t="n">
        <v>2015</v>
      </c>
      <c r="T230" s="11" t="n">
        <v>2016</v>
      </c>
      <c r="U230" s="11" t="n">
        <v>2017</v>
      </c>
      <c r="V230" s="11" t="n">
        <v>2018</v>
      </c>
      <c r="W230" s="11" t="n">
        <v>2019</v>
      </c>
      <c r="X230" s="11" t="n">
        <v>2020</v>
      </c>
    </row>
    <row r="231" customFormat="false" ht="11.25" hidden="false" customHeight="false" outlineLevel="0" collapsed="false">
      <c r="A231" s="14" t="s">
        <v>7</v>
      </c>
      <c r="B231" s="19" t="n">
        <f aca="false">NPV(0.1,D231:Y231)</f>
        <v>585799.638742612</v>
      </c>
      <c r="C231" s="19" t="n">
        <f aca="false">B231-B221</f>
        <v>0</v>
      </c>
      <c r="D231" s="20" t="n">
        <v>33733.1084781823</v>
      </c>
      <c r="E231" s="21" t="n">
        <v>47172.8310976007</v>
      </c>
      <c r="F231" s="21" t="n">
        <v>47537.7483842347</v>
      </c>
      <c r="G231" s="21" t="n">
        <v>60167.5446330141</v>
      </c>
      <c r="H231" s="21" t="n">
        <v>70294.9347453321</v>
      </c>
      <c r="I231" s="21" t="n">
        <v>71707.1262269037</v>
      </c>
      <c r="J231" s="21" t="n">
        <v>72893.68615755</v>
      </c>
      <c r="K231" s="21" t="n">
        <v>74213.4979942789</v>
      </c>
      <c r="L231" s="21" t="n">
        <v>75663.3589875625</v>
      </c>
      <c r="M231" s="21" t="n">
        <v>77248.5042305979</v>
      </c>
      <c r="N231" s="22" t="n">
        <v>79004.9787283272</v>
      </c>
      <c r="O231" s="23" t="n">
        <v>81134.6323009149</v>
      </c>
      <c r="P231" s="23" t="n">
        <v>83451.1279513451</v>
      </c>
      <c r="Q231" s="23" t="n">
        <v>85868.9595459603</v>
      </c>
      <c r="R231" s="23" t="n">
        <v>88379.7335664805</v>
      </c>
      <c r="S231" s="23" t="n">
        <v>90940.296269923</v>
      </c>
      <c r="T231" s="23" t="n">
        <v>93124.0483727706</v>
      </c>
      <c r="U231" s="23" t="n">
        <v>95541.571161979</v>
      </c>
      <c r="V231" s="23" t="n">
        <v>97637.6276075465</v>
      </c>
      <c r="W231" s="23" t="n">
        <v>99727.9340785514</v>
      </c>
      <c r="X231" s="23" t="n">
        <v>100944.549933914</v>
      </c>
    </row>
    <row r="232" customFormat="false" ht="11.25" hidden="false" customHeight="false" outlineLevel="0" collapsed="false">
      <c r="A232" s="24" t="s">
        <v>8</v>
      </c>
      <c r="B232" s="19" t="n">
        <f aca="false">NPV(0.1,D232:Y232)</f>
        <v>265777.904876019</v>
      </c>
      <c r="C232" s="19" t="n">
        <f aca="false">B232-B222</f>
        <v>0</v>
      </c>
      <c r="D232" s="20" t="n">
        <v>21143.8442361627</v>
      </c>
      <c r="E232" s="21" t="n">
        <v>26053.4244307508</v>
      </c>
      <c r="F232" s="21" t="n">
        <v>26542.2124013848</v>
      </c>
      <c r="G232" s="21" t="n">
        <v>26943.5064765445</v>
      </c>
      <c r="H232" s="21" t="n">
        <v>27434.1152493828</v>
      </c>
      <c r="I232" s="21" t="n">
        <v>27969.4484009979</v>
      </c>
      <c r="J232" s="21" t="n">
        <v>28654.52128989</v>
      </c>
      <c r="K232" s="21" t="n">
        <v>29482.5564133196</v>
      </c>
      <c r="L232" s="21" t="n">
        <v>30451.3849798036</v>
      </c>
      <c r="M232" s="21" t="n">
        <v>31511.804268765</v>
      </c>
      <c r="N232" s="22" t="n">
        <v>32812.0522469062</v>
      </c>
      <c r="O232" s="23" t="n">
        <v>34308.3360082915</v>
      </c>
      <c r="P232" s="23" t="n">
        <v>35995.4189610341</v>
      </c>
      <c r="Q232" s="23" t="n">
        <v>37733.0773611115</v>
      </c>
      <c r="R232" s="23" t="n">
        <v>39624.8201760734</v>
      </c>
      <c r="S232" s="23" t="n">
        <v>41572.8677913812</v>
      </c>
      <c r="T232" s="23" t="n">
        <v>43595.1499378831</v>
      </c>
      <c r="U232" s="23" t="n">
        <v>45830.7558847801</v>
      </c>
      <c r="V232" s="23" t="n">
        <v>47837.7487560866</v>
      </c>
      <c r="W232" s="23" t="n">
        <v>49878.673295352</v>
      </c>
      <c r="X232" s="23" t="n">
        <v>51088.0499172644</v>
      </c>
    </row>
    <row r="233" customFormat="false" ht="11.25" hidden="false" customHeight="false" outlineLevel="0" collapsed="false">
      <c r="A233" s="24" t="s">
        <v>9</v>
      </c>
      <c r="B233" s="19" t="n">
        <f aca="false">NPV(0.1,D233:Y233)</f>
        <v>104942.837850388</v>
      </c>
      <c r="C233" s="19" t="n">
        <f aca="false">B233-B223</f>
        <v>7182.72557848443</v>
      </c>
      <c r="D233" s="20" t="n">
        <v>477.187653945126</v>
      </c>
      <c r="E233" s="21" t="n">
        <v>578.596516360758</v>
      </c>
      <c r="F233" s="21" t="n">
        <v>559.500064143892</v>
      </c>
      <c r="G233" s="21" t="n">
        <v>7952.31792870077</v>
      </c>
      <c r="H233" s="21" t="n">
        <v>13792.517689724</v>
      </c>
      <c r="I233" s="21" t="n">
        <v>14636.9440016512</v>
      </c>
      <c r="J233" s="21" t="n">
        <v>15258.8577435489</v>
      </c>
      <c r="K233" s="21" t="n">
        <v>15761.5586362338</v>
      </c>
      <c r="L233" s="21" t="n">
        <v>16357.2893826936</v>
      </c>
      <c r="M233" s="21" t="n">
        <v>17012.1542957803</v>
      </c>
      <c r="N233" s="22" t="n">
        <v>17661.9007130423</v>
      </c>
      <c r="O233" s="23" t="n">
        <v>18378.6738185607</v>
      </c>
      <c r="P233" s="23" t="n">
        <v>19214.8266017786</v>
      </c>
      <c r="Q233" s="23" t="n">
        <v>20129.1940635062</v>
      </c>
      <c r="R233" s="23" t="n">
        <v>21059.0169798708</v>
      </c>
      <c r="S233" s="23" t="n">
        <v>21952.883594545</v>
      </c>
      <c r="T233" s="23" t="n">
        <v>22721.5477613614</v>
      </c>
      <c r="U233" s="23" t="n">
        <v>23558.1550084128</v>
      </c>
      <c r="V233" s="23" t="n">
        <v>24399.1549577882</v>
      </c>
      <c r="W233" s="23" t="n">
        <v>24990.1957287466</v>
      </c>
      <c r="X233" s="23" t="n">
        <v>25939.3268146464</v>
      </c>
    </row>
    <row r="234" customFormat="false" ht="11.25" hidden="false" customHeight="false" outlineLevel="0" collapsed="false">
      <c r="A234" s="24" t="s">
        <v>10</v>
      </c>
      <c r="B234" s="19" t="n">
        <f aca="false">NPV(0.1,D234:Y234)</f>
        <v>140046.126832909</v>
      </c>
      <c r="C234" s="19" t="n">
        <f aca="false">B234-B224</f>
        <v>-33.2136766273761</v>
      </c>
      <c r="D234" s="25" t="n">
        <v>4395.79858321168</v>
      </c>
      <c r="E234" s="26" t="n">
        <v>7859.63288278295</v>
      </c>
      <c r="F234" s="26" t="n">
        <v>7382.15446945935</v>
      </c>
      <c r="G234" s="26" t="n">
        <v>20278.5303472216</v>
      </c>
      <c r="H234" s="26" t="n">
        <v>26088.7349948465</v>
      </c>
      <c r="I234" s="26" t="n">
        <v>26459.7569573667</v>
      </c>
      <c r="J234" s="26" t="n">
        <v>19596.067378172</v>
      </c>
      <c r="K234" s="26" t="n">
        <v>19486.23785671</v>
      </c>
      <c r="L234" s="26" t="n">
        <v>19405.700019174</v>
      </c>
      <c r="M234" s="26" t="n">
        <v>19276.2258319463</v>
      </c>
      <c r="N234" s="27" t="n">
        <v>19202.7444889589</v>
      </c>
      <c r="O234" s="23" t="n">
        <v>19026.6406724728</v>
      </c>
      <c r="P234" s="23" t="n">
        <v>18881.0357740144</v>
      </c>
      <c r="Q234" s="23" t="n">
        <v>18678.3091221027</v>
      </c>
      <c r="R234" s="23" t="n">
        <v>18522.5858856242</v>
      </c>
      <c r="S234" s="23" t="n">
        <v>15497.1289442962</v>
      </c>
      <c r="T234" s="23" t="n">
        <v>12429.2981902147</v>
      </c>
      <c r="U234" s="23" t="n">
        <v>11974.1994010362</v>
      </c>
      <c r="V234" s="23" t="n">
        <v>11572.7902841162</v>
      </c>
      <c r="W234" s="23" t="n">
        <v>17817.7370671609</v>
      </c>
      <c r="X234" s="23" t="n">
        <v>30146.0051097402</v>
      </c>
    </row>
    <row r="236" customFormat="false" ht="11.25" hidden="false" customHeight="false" outlineLevel="0" collapsed="false">
      <c r="A236" s="28" t="s">
        <v>35</v>
      </c>
    </row>
    <row r="237" customFormat="false" ht="11.25" hidden="false" customHeight="false" outlineLevel="0" collapsed="false">
      <c r="A237" s="31" t="n">
        <v>36257</v>
      </c>
    </row>
    <row r="238" customFormat="false" ht="11.25" hidden="false" customHeight="false" outlineLevel="0" collapsed="false">
      <c r="A238" s="9" t="s">
        <v>2</v>
      </c>
      <c r="B238" s="10" t="n">
        <v>47432.4217748122</v>
      </c>
      <c r="C238" s="11"/>
      <c r="D238" s="11"/>
      <c r="E238" s="11"/>
      <c r="F238" s="11"/>
      <c r="G238" s="11"/>
      <c r="H238" s="11"/>
      <c r="I238" s="11"/>
      <c r="J238" s="11"/>
      <c r="K238" s="11"/>
      <c r="L238" s="11"/>
      <c r="M238" s="11"/>
      <c r="N238" s="11"/>
      <c r="O238" s="11"/>
      <c r="P238" s="11"/>
      <c r="Q238" s="11"/>
      <c r="R238" s="11"/>
      <c r="S238" s="11"/>
      <c r="T238" s="11"/>
      <c r="U238" s="11"/>
      <c r="V238" s="11"/>
    </row>
    <row r="239" customFormat="false" ht="11.25" hidden="false" customHeight="false" outlineLevel="0" collapsed="false">
      <c r="A239" s="12" t="s">
        <v>3</v>
      </c>
      <c r="B239" s="13" t="n">
        <v>85640.5737793128</v>
      </c>
      <c r="C239" s="11"/>
      <c r="D239" s="11"/>
      <c r="E239" s="11"/>
      <c r="F239" s="11"/>
      <c r="G239" s="11"/>
      <c r="H239" s="11"/>
      <c r="I239" s="11"/>
      <c r="J239" s="11"/>
      <c r="K239" s="11"/>
      <c r="L239" s="11"/>
      <c r="M239" s="11"/>
      <c r="N239" s="11"/>
      <c r="O239" s="11"/>
      <c r="P239" s="11"/>
      <c r="Q239" s="11"/>
      <c r="R239" s="11"/>
      <c r="S239" s="11"/>
      <c r="T239" s="11"/>
      <c r="U239" s="11"/>
      <c r="V239" s="11"/>
    </row>
    <row r="240" customFormat="false" ht="11.25" hidden="false" customHeight="false" outlineLevel="0" collapsed="false">
      <c r="A240" s="14" t="s">
        <v>4</v>
      </c>
      <c r="B240" s="15" t="s">
        <v>5</v>
      </c>
      <c r="C240" s="15" t="s">
        <v>6</v>
      </c>
      <c r="D240" s="16" t="n">
        <v>2000</v>
      </c>
      <c r="E240" s="17" t="n">
        <v>2001</v>
      </c>
      <c r="F240" s="17" t="n">
        <v>2002</v>
      </c>
      <c r="G240" s="17" t="n">
        <v>2003</v>
      </c>
      <c r="H240" s="17" t="n">
        <v>2004</v>
      </c>
      <c r="I240" s="17" t="n">
        <v>2005</v>
      </c>
      <c r="J240" s="17" t="n">
        <v>2006</v>
      </c>
      <c r="K240" s="17" t="n">
        <v>2007</v>
      </c>
      <c r="L240" s="17" t="n">
        <v>2008</v>
      </c>
      <c r="M240" s="17" t="n">
        <v>2009</v>
      </c>
      <c r="N240" s="18" t="n">
        <v>2010</v>
      </c>
      <c r="O240" s="11" t="n">
        <v>2011</v>
      </c>
      <c r="P240" s="11" t="n">
        <v>2012</v>
      </c>
      <c r="Q240" s="11" t="n">
        <v>2013</v>
      </c>
      <c r="R240" s="11" t="n">
        <v>2014</v>
      </c>
      <c r="S240" s="11" t="n">
        <v>2015</v>
      </c>
      <c r="T240" s="11" t="n">
        <v>2016</v>
      </c>
      <c r="U240" s="11" t="n">
        <v>2017</v>
      </c>
      <c r="V240" s="11" t="n">
        <v>2018</v>
      </c>
      <c r="W240" s="11" t="n">
        <v>2019</v>
      </c>
      <c r="X240" s="11" t="n">
        <v>2020</v>
      </c>
    </row>
    <row r="241" customFormat="false" ht="11.25" hidden="false" customHeight="false" outlineLevel="0" collapsed="false">
      <c r="A241" s="14" t="s">
        <v>7</v>
      </c>
      <c r="B241" s="19" t="n">
        <f aca="false">NPV(0.1,D241:Y241)</f>
        <v>585799.638742612</v>
      </c>
      <c r="C241" s="19" t="n">
        <f aca="false">B241-B231</f>
        <v>0</v>
      </c>
      <c r="D241" s="20" t="n">
        <v>33733.1084781823</v>
      </c>
      <c r="E241" s="21" t="n">
        <v>47172.8310976007</v>
      </c>
      <c r="F241" s="21" t="n">
        <v>47537.7483842347</v>
      </c>
      <c r="G241" s="21" t="n">
        <v>60167.5446330141</v>
      </c>
      <c r="H241" s="21" t="n">
        <v>70294.9347453321</v>
      </c>
      <c r="I241" s="21" t="n">
        <v>71707.1262269037</v>
      </c>
      <c r="J241" s="21" t="n">
        <v>72893.68615755</v>
      </c>
      <c r="K241" s="21" t="n">
        <v>74213.4979942789</v>
      </c>
      <c r="L241" s="21" t="n">
        <v>75663.3589875625</v>
      </c>
      <c r="M241" s="21" t="n">
        <v>77248.5042305979</v>
      </c>
      <c r="N241" s="22" t="n">
        <v>79004.9787283272</v>
      </c>
      <c r="O241" s="23" t="n">
        <v>81134.6323009149</v>
      </c>
      <c r="P241" s="23" t="n">
        <v>83451.1279513451</v>
      </c>
      <c r="Q241" s="23" t="n">
        <v>85868.9595459603</v>
      </c>
      <c r="R241" s="23" t="n">
        <v>88379.7335664805</v>
      </c>
      <c r="S241" s="23" t="n">
        <v>90940.296269923</v>
      </c>
      <c r="T241" s="23" t="n">
        <v>93124.0483727706</v>
      </c>
      <c r="U241" s="23" t="n">
        <v>95541.571161979</v>
      </c>
      <c r="V241" s="23" t="n">
        <v>97637.6276075465</v>
      </c>
      <c r="W241" s="23" t="n">
        <v>99727.9340785514</v>
      </c>
      <c r="X241" s="23" t="n">
        <v>100944.549933914</v>
      </c>
    </row>
    <row r="242" customFormat="false" ht="11.25" hidden="false" customHeight="false" outlineLevel="0" collapsed="false">
      <c r="A242" s="24" t="s">
        <v>8</v>
      </c>
      <c r="B242" s="19" t="n">
        <f aca="false">NPV(0.1,D242:Y242)</f>
        <v>268045.671497316</v>
      </c>
      <c r="C242" s="19" t="n">
        <f aca="false">B242-B232</f>
        <v>2267.76662129682</v>
      </c>
      <c r="D242" s="20" t="n">
        <v>21273.2036367911</v>
      </c>
      <c r="E242" s="21" t="n">
        <v>26279.9586640033</v>
      </c>
      <c r="F242" s="21" t="n">
        <v>26775.5084955369</v>
      </c>
      <c r="G242" s="21" t="n">
        <v>27183.7672874233</v>
      </c>
      <c r="H242" s="21" t="n">
        <v>27681.54971849</v>
      </c>
      <c r="I242" s="21" t="n">
        <v>28224.2717380804</v>
      </c>
      <c r="J242" s="21" t="n">
        <v>28916.9551609871</v>
      </c>
      <c r="K242" s="21" t="n">
        <v>29752.8291344517</v>
      </c>
      <c r="L242" s="21" t="n">
        <v>30729.7317164717</v>
      </c>
      <c r="M242" s="21" t="n">
        <v>31798.4672414353</v>
      </c>
      <c r="N242" s="22" t="n">
        <v>33107.2809426587</v>
      </c>
      <c r="O242" s="23" t="n">
        <v>34612.3873988185</v>
      </c>
      <c r="P242" s="23" t="n">
        <v>36308.5577271791</v>
      </c>
      <c r="Q242" s="23" t="n">
        <v>38055.5761241429</v>
      </c>
      <c r="R242" s="23" t="n">
        <v>39956.9597358978</v>
      </c>
      <c r="S242" s="23" t="n">
        <v>41914.9373719024</v>
      </c>
      <c r="T242" s="23" t="n">
        <v>43947.447439722</v>
      </c>
      <c r="U242" s="23" t="n">
        <v>46193.5881455763</v>
      </c>
      <c r="V242" s="23" t="n">
        <v>48211.4318186087</v>
      </c>
      <c r="W242" s="23" t="n">
        <v>50263.5326836519</v>
      </c>
      <c r="X242" s="23" t="n">
        <v>51484.4209211154</v>
      </c>
    </row>
    <row r="243" customFormat="false" ht="11.25" hidden="false" customHeight="false" outlineLevel="0" collapsed="false">
      <c r="A243" s="24" t="s">
        <v>9</v>
      </c>
      <c r="B243" s="19" t="n">
        <f aca="false">NPV(0.1,D243:Y243)</f>
        <v>103929.793956393</v>
      </c>
      <c r="C243" s="19" t="n">
        <f aca="false">B243-B233</f>
        <v>-1013.04389399488</v>
      </c>
      <c r="D243" s="20" t="n">
        <v>432.003169655635</v>
      </c>
      <c r="E243" s="21" t="n">
        <v>496.863426355255</v>
      </c>
      <c r="F243" s="21" t="n">
        <v>471.042678919229</v>
      </c>
      <c r="G243" s="21" t="n">
        <v>7856.59811690439</v>
      </c>
      <c r="H243" s="21" t="n">
        <v>13691.934134285</v>
      </c>
      <c r="I243" s="21" t="n">
        <v>14531.1855085761</v>
      </c>
      <c r="J243" s="21" t="n">
        <v>15147.5905604897</v>
      </c>
      <c r="K243" s="21" t="n">
        <v>15644.4247179345</v>
      </c>
      <c r="L243" s="21" t="n">
        <v>16233.9045197762</v>
      </c>
      <c r="M243" s="21" t="n">
        <v>16882.1060959994</v>
      </c>
      <c r="N243" s="22" t="n">
        <v>17524.746423273</v>
      </c>
      <c r="O243" s="23" t="n">
        <v>18233.9379748426</v>
      </c>
      <c r="P243" s="23" t="n">
        <v>19061.9984937317</v>
      </c>
      <c r="Q243" s="23" t="n">
        <v>19967.7249983382</v>
      </c>
      <c r="R243" s="23" t="n">
        <v>20888.3173300165</v>
      </c>
      <c r="S243" s="23" t="n">
        <v>21772.3196117043</v>
      </c>
      <c r="T243" s="23" t="n">
        <v>22530.4381383243</v>
      </c>
      <c r="U243" s="23" t="n">
        <v>23355.7671685755</v>
      </c>
      <c r="V243" s="23" t="n">
        <v>24184.7010506568</v>
      </c>
      <c r="W243" s="23" t="n">
        <v>24764.8784314775</v>
      </c>
      <c r="X243" s="23" t="n">
        <v>25700.184296893</v>
      </c>
    </row>
    <row r="244" customFormat="false" ht="11.25" hidden="false" customHeight="false" outlineLevel="0" collapsed="false">
      <c r="A244" s="24" t="s">
        <v>10</v>
      </c>
      <c r="B244" s="19" t="n">
        <f aca="false">NPV(0.1,D244:Y244)</f>
        <v>139362.514884037</v>
      </c>
      <c r="C244" s="19" t="n">
        <f aca="false">B244-B234</f>
        <v>-683.611948871607</v>
      </c>
      <c r="D244" s="25" t="n">
        <v>4350.69660846125</v>
      </c>
      <c r="E244" s="26" t="n">
        <v>7780.7234582</v>
      </c>
      <c r="F244" s="26" t="n">
        <v>7300.99109124319</v>
      </c>
      <c r="G244" s="26" t="n">
        <v>20130.9758471955</v>
      </c>
      <c r="H244" s="26" t="n">
        <v>25936.8762998833</v>
      </c>
      <c r="I244" s="26" t="n">
        <v>26432.0128263211</v>
      </c>
      <c r="J244" s="26" t="n">
        <v>19720.0137451599</v>
      </c>
      <c r="K244" s="26" t="n">
        <v>19397.6879808265</v>
      </c>
      <c r="L244" s="26" t="n">
        <v>19316.4155282799</v>
      </c>
      <c r="M244" s="26" t="n">
        <v>19186.3325283515</v>
      </c>
      <c r="N244" s="27" t="n">
        <v>19112.3837763034</v>
      </c>
      <c r="O244" s="23" t="n">
        <v>18935.9709699475</v>
      </c>
      <c r="P244" s="23" t="n">
        <v>18790.2340487029</v>
      </c>
      <c r="Q244" s="23" t="n">
        <v>18587.5725490434</v>
      </c>
      <c r="R244" s="23" t="n">
        <v>18432.1336459646</v>
      </c>
      <c r="S244" s="23" t="n">
        <v>15407.2041727444</v>
      </c>
      <c r="T244" s="23" t="n">
        <v>12340.1700838968</v>
      </c>
      <c r="U244" s="23" t="n">
        <v>11886.1655028384</v>
      </c>
      <c r="V244" s="23" t="n">
        <v>11486.178954646</v>
      </c>
      <c r="W244" s="23" t="n">
        <v>17659.4488729928</v>
      </c>
      <c r="X244" s="23" t="n">
        <v>29906.8625919868</v>
      </c>
    </row>
    <row r="246" customFormat="false" ht="11.25" hidden="false" customHeight="false" outlineLevel="0" collapsed="false">
      <c r="A246" s="28" t="s">
        <v>36</v>
      </c>
    </row>
    <row r="247" customFormat="false" ht="11.25" hidden="false" customHeight="false" outlineLevel="0" collapsed="false">
      <c r="A247" s="31" t="n">
        <v>36257</v>
      </c>
    </row>
    <row r="248" customFormat="false" ht="11.25" hidden="false" customHeight="false" outlineLevel="0" collapsed="false">
      <c r="A248" s="9" t="s">
        <v>2</v>
      </c>
      <c r="B248" s="10" t="n">
        <v>47861.3533534608</v>
      </c>
      <c r="C248" s="11"/>
      <c r="D248" s="11"/>
      <c r="E248" s="11"/>
      <c r="F248" s="11"/>
      <c r="G248" s="11"/>
      <c r="H248" s="11"/>
      <c r="I248" s="11"/>
      <c r="J248" s="11"/>
      <c r="K248" s="11"/>
      <c r="L248" s="11"/>
      <c r="M248" s="11"/>
      <c r="N248" s="11"/>
      <c r="O248" s="11"/>
      <c r="P248" s="11"/>
      <c r="Q248" s="11"/>
      <c r="R248" s="11"/>
      <c r="S248" s="11"/>
      <c r="T248" s="11"/>
      <c r="U248" s="11"/>
      <c r="V248" s="11"/>
    </row>
    <row r="249" customFormat="false" ht="11.25" hidden="false" customHeight="false" outlineLevel="0" collapsed="false">
      <c r="A249" s="12" t="s">
        <v>3</v>
      </c>
      <c r="B249" s="13" t="n">
        <v>86380.2846925364</v>
      </c>
      <c r="C249" s="11"/>
      <c r="D249" s="11"/>
      <c r="E249" s="11"/>
      <c r="F249" s="11"/>
      <c r="G249" s="11"/>
      <c r="H249" s="11"/>
      <c r="I249" s="11"/>
      <c r="J249" s="11"/>
      <c r="K249" s="11"/>
      <c r="L249" s="11"/>
      <c r="M249" s="11"/>
      <c r="N249" s="11"/>
      <c r="O249" s="11"/>
      <c r="P249" s="11"/>
      <c r="Q249" s="11"/>
      <c r="R249" s="11"/>
      <c r="S249" s="11"/>
      <c r="T249" s="11"/>
      <c r="U249" s="11"/>
      <c r="V249" s="11"/>
    </row>
    <row r="250" customFormat="false" ht="11.25" hidden="false" customHeight="false" outlineLevel="0" collapsed="false">
      <c r="A250" s="14" t="s">
        <v>4</v>
      </c>
      <c r="B250" s="15" t="s">
        <v>5</v>
      </c>
      <c r="C250" s="15" t="s">
        <v>6</v>
      </c>
      <c r="D250" s="16" t="n">
        <v>2000</v>
      </c>
      <c r="E250" s="17" t="n">
        <v>2001</v>
      </c>
      <c r="F250" s="17" t="n">
        <v>2002</v>
      </c>
      <c r="G250" s="17" t="n">
        <v>2003</v>
      </c>
      <c r="H250" s="17" t="n">
        <v>2004</v>
      </c>
      <c r="I250" s="17" t="n">
        <v>2005</v>
      </c>
      <c r="J250" s="17" t="n">
        <v>2006</v>
      </c>
      <c r="K250" s="17" t="n">
        <v>2007</v>
      </c>
      <c r="L250" s="17" t="n">
        <v>2008</v>
      </c>
      <c r="M250" s="17" t="n">
        <v>2009</v>
      </c>
      <c r="N250" s="18" t="n">
        <v>2010</v>
      </c>
      <c r="O250" s="11" t="n">
        <v>2011</v>
      </c>
      <c r="P250" s="11" t="n">
        <v>2012</v>
      </c>
      <c r="Q250" s="11" t="n">
        <v>2013</v>
      </c>
      <c r="R250" s="11" t="n">
        <v>2014</v>
      </c>
      <c r="S250" s="11" t="n">
        <v>2015</v>
      </c>
      <c r="T250" s="11" t="n">
        <v>2016</v>
      </c>
      <c r="U250" s="11" t="n">
        <v>2017</v>
      </c>
      <c r="V250" s="11" t="n">
        <v>2018</v>
      </c>
      <c r="W250" s="11" t="n">
        <v>2019</v>
      </c>
      <c r="X250" s="11" t="n">
        <v>2020</v>
      </c>
    </row>
    <row r="251" customFormat="false" ht="11.25" hidden="false" customHeight="false" outlineLevel="0" collapsed="false">
      <c r="A251" s="14" t="s">
        <v>7</v>
      </c>
      <c r="B251" s="19" t="n">
        <f aca="false">NPV(0.1,D251:Y251)</f>
        <v>585799.638742612</v>
      </c>
      <c r="C251" s="19" t="n">
        <f aca="false">B251-B241</f>
        <v>0</v>
      </c>
      <c r="D251" s="20" t="n">
        <v>33733.1084781823</v>
      </c>
      <c r="E251" s="21" t="n">
        <v>47172.8310976007</v>
      </c>
      <c r="F251" s="21" t="n">
        <v>47537.7483842347</v>
      </c>
      <c r="G251" s="21" t="n">
        <v>60167.5446330141</v>
      </c>
      <c r="H251" s="21" t="n">
        <v>70294.9347453321</v>
      </c>
      <c r="I251" s="21" t="n">
        <v>71707.1262269037</v>
      </c>
      <c r="J251" s="21" t="n">
        <v>72893.68615755</v>
      </c>
      <c r="K251" s="21" t="n">
        <v>74213.4979942789</v>
      </c>
      <c r="L251" s="21" t="n">
        <v>75663.3589875625</v>
      </c>
      <c r="M251" s="21" t="n">
        <v>77248.5042305979</v>
      </c>
      <c r="N251" s="22" t="n">
        <v>79004.9787283272</v>
      </c>
      <c r="O251" s="23" t="n">
        <v>81134.6323009149</v>
      </c>
      <c r="P251" s="23" t="n">
        <v>83451.1279513451</v>
      </c>
      <c r="Q251" s="23" t="n">
        <v>85868.9595459603</v>
      </c>
      <c r="R251" s="23" t="n">
        <v>88379.7335664805</v>
      </c>
      <c r="S251" s="23" t="n">
        <v>90940.296269923</v>
      </c>
      <c r="T251" s="23" t="n">
        <v>93124.0483727706</v>
      </c>
      <c r="U251" s="23" t="n">
        <v>95541.571161979</v>
      </c>
      <c r="V251" s="23" t="n">
        <v>97637.6276075465</v>
      </c>
      <c r="W251" s="23" t="n">
        <v>99727.9340785514</v>
      </c>
      <c r="X251" s="23" t="n">
        <v>100944.549933914</v>
      </c>
    </row>
    <row r="252" customFormat="false" ht="11.25" hidden="false" customHeight="false" outlineLevel="0" collapsed="false">
      <c r="A252" s="24" t="s">
        <v>8</v>
      </c>
      <c r="B252" s="19" t="n">
        <f aca="false">NPV(0.1,D252:Y252)</f>
        <v>268045.671497316</v>
      </c>
      <c r="C252" s="19" t="n">
        <f aca="false">B252-B242</f>
        <v>0</v>
      </c>
      <c r="D252" s="20" t="n">
        <v>21273.2036367911</v>
      </c>
      <c r="E252" s="21" t="n">
        <v>26279.9586640033</v>
      </c>
      <c r="F252" s="21" t="n">
        <v>26775.5084955369</v>
      </c>
      <c r="G252" s="21" t="n">
        <v>27183.7672874233</v>
      </c>
      <c r="H252" s="21" t="n">
        <v>27681.54971849</v>
      </c>
      <c r="I252" s="21" t="n">
        <v>28224.2717380804</v>
      </c>
      <c r="J252" s="21" t="n">
        <v>28916.9551609871</v>
      </c>
      <c r="K252" s="21" t="n">
        <v>29752.8291344517</v>
      </c>
      <c r="L252" s="21" t="n">
        <v>30729.7317164717</v>
      </c>
      <c r="M252" s="21" t="n">
        <v>31798.4672414353</v>
      </c>
      <c r="N252" s="22" t="n">
        <v>33107.2809426587</v>
      </c>
      <c r="O252" s="23" t="n">
        <v>34612.3873988185</v>
      </c>
      <c r="P252" s="23" t="n">
        <v>36308.5577271791</v>
      </c>
      <c r="Q252" s="23" t="n">
        <v>38055.5761241429</v>
      </c>
      <c r="R252" s="23" t="n">
        <v>39956.9597358978</v>
      </c>
      <c r="S252" s="23" t="n">
        <v>41914.9373719024</v>
      </c>
      <c r="T252" s="23" t="n">
        <v>43947.447439722</v>
      </c>
      <c r="U252" s="23" t="n">
        <v>46193.5881455763</v>
      </c>
      <c r="V252" s="23" t="n">
        <v>48211.4318186087</v>
      </c>
      <c r="W252" s="23" t="n">
        <v>50263.5326836519</v>
      </c>
      <c r="X252" s="23" t="n">
        <v>51484.4209211154</v>
      </c>
    </row>
    <row r="253" customFormat="false" ht="11.25" hidden="false" customHeight="false" outlineLevel="0" collapsed="false">
      <c r="A253" s="24" t="s">
        <v>9</v>
      </c>
      <c r="B253" s="19" t="n">
        <f aca="false">NPV(0.1,D253:Y253)</f>
        <v>104475.953319315</v>
      </c>
      <c r="C253" s="19" t="n">
        <f aca="false">B253-B243</f>
        <v>546.159362921535</v>
      </c>
      <c r="D253" s="20" t="n">
        <v>406.876777374359</v>
      </c>
      <c r="E253" s="21" t="n">
        <v>441.01749723119</v>
      </c>
      <c r="F253" s="21" t="n">
        <v>398.210815256084</v>
      </c>
      <c r="G253" s="21" t="n">
        <v>7899.78917038907</v>
      </c>
      <c r="H253" s="21" t="n">
        <v>13790.7728790762</v>
      </c>
      <c r="I253" s="21" t="n">
        <v>14619.0970113142</v>
      </c>
      <c r="J253" s="21" t="n">
        <v>15221.2177063207</v>
      </c>
      <c r="K253" s="21" t="n">
        <v>15772.1017008695</v>
      </c>
      <c r="L253" s="21" t="n">
        <v>16346.0426419758</v>
      </c>
      <c r="M253" s="21" t="n">
        <v>16978.4598788539</v>
      </c>
      <c r="N253" s="22" t="n">
        <v>17604.2070209631</v>
      </c>
      <c r="O253" s="23" t="n">
        <v>18374.8344959026</v>
      </c>
      <c r="P253" s="23" t="n">
        <v>19186.0696018813</v>
      </c>
      <c r="Q253" s="23" t="n">
        <v>20074.7063439862</v>
      </c>
      <c r="R253" s="23" t="n">
        <v>20977.0812220001</v>
      </c>
      <c r="S253" s="23" t="n">
        <v>21929.473388089</v>
      </c>
      <c r="T253" s="23" t="n">
        <v>22664.5299510363</v>
      </c>
      <c r="U253" s="23" t="n">
        <v>23466.2228290752</v>
      </c>
      <c r="V253" s="23" t="n">
        <v>24270.070051392</v>
      </c>
      <c r="W253" s="23" t="n">
        <v>25111.4735911472</v>
      </c>
      <c r="X253" s="23" t="n">
        <v>26019.5070251639</v>
      </c>
    </row>
    <row r="254" customFormat="false" ht="11.25" hidden="false" customHeight="false" outlineLevel="0" collapsed="false">
      <c r="A254" s="24" t="s">
        <v>10</v>
      </c>
      <c r="B254" s="19" t="n">
        <f aca="false">NPV(0.1,D254:Y254)</f>
        <v>139894.018656865</v>
      </c>
      <c r="C254" s="19" t="n">
        <f aca="false">B254-B244</f>
        <v>531.503772827797</v>
      </c>
      <c r="D254" s="25" t="n">
        <v>4309.05042431447</v>
      </c>
      <c r="E254" s="26" t="n">
        <v>7688.16063333788</v>
      </c>
      <c r="F254" s="26" t="n">
        <v>7180.27462817464</v>
      </c>
      <c r="G254" s="26" t="n">
        <v>20202.5636241744</v>
      </c>
      <c r="H254" s="26" t="n">
        <v>26100.6983289407</v>
      </c>
      <c r="I254" s="26" t="n">
        <v>26577.723304398</v>
      </c>
      <c r="J254" s="26" t="n">
        <v>19743.5831949007</v>
      </c>
      <c r="K254" s="26" t="n">
        <v>19525.3649637615</v>
      </c>
      <c r="L254" s="26" t="n">
        <v>19428.5536504795</v>
      </c>
      <c r="M254" s="26" t="n">
        <v>19282.6863112059</v>
      </c>
      <c r="N254" s="27" t="n">
        <v>19191.8443739936</v>
      </c>
      <c r="O254" s="23" t="n">
        <v>19076.8674910075</v>
      </c>
      <c r="P254" s="23" t="n">
        <v>18914.3051568526</v>
      </c>
      <c r="Q254" s="23" t="n">
        <v>18694.5538946914</v>
      </c>
      <c r="R254" s="23" t="n">
        <v>18520.8975379482</v>
      </c>
      <c r="S254" s="23" t="n">
        <v>15564.3579491292</v>
      </c>
      <c r="T254" s="23" t="n">
        <v>12474.2618966089</v>
      </c>
      <c r="U254" s="23" t="n">
        <v>11996.6211633382</v>
      </c>
      <c r="V254" s="23" t="n">
        <v>11571.5479553812</v>
      </c>
      <c r="W254" s="23" t="n">
        <v>18006.0440326625</v>
      </c>
      <c r="X254" s="23" t="n">
        <v>30226.1853202577</v>
      </c>
    </row>
    <row r="256" customFormat="false" ht="11.25" hidden="false" customHeight="false" outlineLevel="0" collapsed="false">
      <c r="A256" s="28" t="s">
        <v>37</v>
      </c>
    </row>
    <row r="257" customFormat="false" ht="11.25" hidden="false" customHeight="false" outlineLevel="0" collapsed="false">
      <c r="A257" s="31" t="n">
        <v>36257</v>
      </c>
    </row>
    <row r="258" customFormat="false" ht="11.25" hidden="false" customHeight="false" outlineLevel="0" collapsed="false">
      <c r="A258" s="9" t="s">
        <v>2</v>
      </c>
      <c r="B258" s="10" t="n">
        <v>42069.6740825538</v>
      </c>
      <c r="C258" s="11"/>
      <c r="D258" s="11"/>
      <c r="E258" s="11"/>
      <c r="F258" s="11"/>
      <c r="G258" s="11"/>
      <c r="H258" s="11"/>
      <c r="I258" s="11"/>
      <c r="J258" s="11"/>
      <c r="K258" s="11"/>
      <c r="L258" s="11"/>
      <c r="M258" s="11"/>
      <c r="N258" s="11"/>
      <c r="O258" s="11"/>
      <c r="P258" s="11"/>
      <c r="Q258" s="11"/>
      <c r="R258" s="11"/>
      <c r="S258" s="11"/>
      <c r="T258" s="11"/>
      <c r="U258" s="11"/>
      <c r="V258" s="11"/>
    </row>
    <row r="259" customFormat="false" ht="11.25" hidden="false" customHeight="false" outlineLevel="0" collapsed="false">
      <c r="A259" s="12" t="s">
        <v>3</v>
      </c>
      <c r="B259" s="13" t="n">
        <v>78869.6111970498</v>
      </c>
      <c r="C259" s="11"/>
      <c r="D259" s="11"/>
      <c r="E259" s="11"/>
      <c r="F259" s="11"/>
      <c r="G259" s="11"/>
      <c r="H259" s="11"/>
      <c r="I259" s="11"/>
      <c r="J259" s="11"/>
      <c r="K259" s="11"/>
      <c r="L259" s="11"/>
      <c r="M259" s="11"/>
      <c r="N259" s="11"/>
      <c r="O259" s="11"/>
      <c r="P259" s="11"/>
      <c r="Q259" s="11"/>
      <c r="R259" s="11"/>
      <c r="S259" s="11"/>
      <c r="T259" s="11"/>
      <c r="U259" s="11"/>
      <c r="V259" s="11"/>
    </row>
    <row r="260" customFormat="false" ht="11.25" hidden="false" customHeight="false" outlineLevel="0" collapsed="false">
      <c r="A260" s="14" t="s">
        <v>4</v>
      </c>
      <c r="B260" s="15" t="s">
        <v>5</v>
      </c>
      <c r="C260" s="15" t="s">
        <v>6</v>
      </c>
      <c r="D260" s="16" t="n">
        <v>2000</v>
      </c>
      <c r="E260" s="17" t="n">
        <v>2001</v>
      </c>
      <c r="F260" s="17" t="n">
        <v>2002</v>
      </c>
      <c r="G260" s="17" t="n">
        <v>2003</v>
      </c>
      <c r="H260" s="17" t="n">
        <v>2004</v>
      </c>
      <c r="I260" s="17" t="n">
        <v>2005</v>
      </c>
      <c r="J260" s="17" t="n">
        <v>2006</v>
      </c>
      <c r="K260" s="17" t="n">
        <v>2007</v>
      </c>
      <c r="L260" s="17" t="n">
        <v>2008</v>
      </c>
      <c r="M260" s="17" t="n">
        <v>2009</v>
      </c>
      <c r="N260" s="18" t="n">
        <v>2010</v>
      </c>
      <c r="O260" s="11" t="n">
        <v>2011</v>
      </c>
      <c r="P260" s="11" t="n">
        <v>2012</v>
      </c>
      <c r="Q260" s="11" t="n">
        <v>2013</v>
      </c>
      <c r="R260" s="11" t="n">
        <v>2014</v>
      </c>
      <c r="S260" s="11" t="n">
        <v>2015</v>
      </c>
      <c r="T260" s="11" t="n">
        <v>2016</v>
      </c>
      <c r="U260" s="11" t="n">
        <v>2017</v>
      </c>
      <c r="V260" s="11" t="n">
        <v>2018</v>
      </c>
      <c r="W260" s="11" t="n">
        <v>2019</v>
      </c>
      <c r="X260" s="11" t="n">
        <v>2020</v>
      </c>
    </row>
    <row r="261" customFormat="false" ht="11.25" hidden="false" customHeight="false" outlineLevel="0" collapsed="false">
      <c r="A261" s="14" t="s">
        <v>7</v>
      </c>
      <c r="B261" s="19" t="n">
        <f aca="false">NPV(0.1,D261:Y261)</f>
        <v>574070.426056808</v>
      </c>
      <c r="C261" s="19" t="n">
        <f aca="false">B261-B251</f>
        <v>-11729.2126858048</v>
      </c>
      <c r="D261" s="20" t="n">
        <v>33064.1699565761</v>
      </c>
      <c r="E261" s="21" t="n">
        <v>46231.4527734632</v>
      </c>
      <c r="F261" s="21" t="n">
        <v>46589.4279540847</v>
      </c>
      <c r="G261" s="21" t="n">
        <v>58962.5741054921</v>
      </c>
      <c r="H261" s="21" t="n">
        <v>68884.2960314829</v>
      </c>
      <c r="I261" s="21" t="n">
        <v>70268.2867443115</v>
      </c>
      <c r="J261" s="21" t="n">
        <v>71431.2786455178</v>
      </c>
      <c r="K261" s="21" t="n">
        <v>72724.8637937961</v>
      </c>
      <c r="L261" s="21" t="n">
        <v>74145.9043417111</v>
      </c>
      <c r="M261" s="21" t="n">
        <v>75699.5310448417</v>
      </c>
      <c r="N261" s="22" t="n">
        <v>77421.0665405506</v>
      </c>
      <c r="O261" s="23" t="n">
        <v>79508.2552022203</v>
      </c>
      <c r="P261" s="23" t="n">
        <v>81778.5523672978</v>
      </c>
      <c r="Q261" s="23" t="n">
        <v>84148.1678253946</v>
      </c>
      <c r="R261" s="23" t="n">
        <v>86608.8771018747</v>
      </c>
      <c r="S261" s="23" t="n">
        <v>89118.392825556</v>
      </c>
      <c r="T261" s="23" t="n">
        <v>91258.8063322814</v>
      </c>
      <c r="U261" s="23" t="n">
        <v>93628.3269485107</v>
      </c>
      <c r="V261" s="23" t="n">
        <v>95682.8570211085</v>
      </c>
      <c r="W261" s="23" t="n">
        <v>97731.7807223857</v>
      </c>
      <c r="X261" s="23" t="n">
        <v>98924.569819022</v>
      </c>
    </row>
    <row r="262" customFormat="false" ht="11.25" hidden="false" customHeight="false" outlineLevel="0" collapsed="false">
      <c r="A262" s="24" t="s">
        <v>8</v>
      </c>
      <c r="B262" s="19" t="n">
        <f aca="false">NPV(0.1,D262:Y262)</f>
        <v>263737.041441526</v>
      </c>
      <c r="C262" s="19" t="n">
        <f aca="false">B262-B252</f>
        <v>-4308.63005579036</v>
      </c>
      <c r="D262" s="20" t="n">
        <v>20913.4556737349</v>
      </c>
      <c r="E262" s="21" t="n">
        <v>25862.6845511406</v>
      </c>
      <c r="F262" s="21" t="n">
        <v>26351.1546166271</v>
      </c>
      <c r="G262" s="21" t="n">
        <v>26754.1705640204</v>
      </c>
      <c r="H262" s="21" t="n">
        <v>27245.0026851832</v>
      </c>
      <c r="I262" s="21" t="n">
        <v>27778.8501011953</v>
      </c>
      <c r="J262" s="21" t="n">
        <v>28460.8582889185</v>
      </c>
      <c r="K262" s="21" t="n">
        <v>29283.2811833745</v>
      </c>
      <c r="L262" s="21" t="n">
        <v>30244.0031100497</v>
      </c>
      <c r="M262" s="21" t="n">
        <v>31293.7044185003</v>
      </c>
      <c r="N262" s="22" t="n">
        <v>32579.8872706544</v>
      </c>
      <c r="O262" s="23" t="n">
        <v>34058.5339108305</v>
      </c>
      <c r="P262" s="23" t="n">
        <v>35724.5236113958</v>
      </c>
      <c r="Q262" s="23" t="n">
        <v>37439.3428531936</v>
      </c>
      <c r="R262" s="23" t="n">
        <v>39306.6633574116</v>
      </c>
      <c r="S262" s="23" t="n">
        <v>41229.564969335</v>
      </c>
      <c r="T262" s="23" t="n">
        <v>43225.6299173934</v>
      </c>
      <c r="U262" s="23" t="n">
        <v>45430.055980865</v>
      </c>
      <c r="V262" s="23" t="n">
        <v>47412.0123048846</v>
      </c>
      <c r="W262" s="23" t="n">
        <v>49427.6763483418</v>
      </c>
      <c r="X262" s="23" t="n">
        <v>50628.9440397354</v>
      </c>
    </row>
    <row r="263" customFormat="false" ht="11.25" hidden="false" customHeight="false" outlineLevel="0" collapsed="false">
      <c r="A263" s="24" t="s">
        <v>9</v>
      </c>
      <c r="B263" s="19" t="n">
        <f aca="false">NPV(0.1,D263:Y263)</f>
        <v>101197.453991573</v>
      </c>
      <c r="C263" s="19" t="n">
        <f aca="false">B263-B253</f>
        <v>-3278.49932774177</v>
      </c>
      <c r="D263" s="20" t="n">
        <v>326.794406000208</v>
      </c>
      <c r="E263" s="21" t="n">
        <v>306.15340427636</v>
      </c>
      <c r="F263" s="21" t="n">
        <v>261.453875346056</v>
      </c>
      <c r="G263" s="21" t="n">
        <v>7607.32881214112</v>
      </c>
      <c r="H263" s="21" t="n">
        <v>13376.447087666</v>
      </c>
      <c r="I263" s="21" t="n">
        <v>14188.6165886194</v>
      </c>
      <c r="J263" s="21" t="n">
        <v>14777.7915882858</v>
      </c>
      <c r="K263" s="21" t="n">
        <v>15315.1469686136</v>
      </c>
      <c r="L263" s="21" t="n">
        <v>15874.9376621037</v>
      </c>
      <c r="M263" s="21" t="n">
        <v>16492.5412739717</v>
      </c>
      <c r="N263" s="22" t="n">
        <v>17102.7663947682</v>
      </c>
      <c r="O263" s="23" t="n">
        <v>17854.7355977513</v>
      </c>
      <c r="P263" s="23" t="n">
        <v>18646.2851350352</v>
      </c>
      <c r="Q263" s="23" t="n">
        <v>19514.1355368443</v>
      </c>
      <c r="R263" s="23" t="n">
        <v>20394.5440538144</v>
      </c>
      <c r="S263" s="23" t="n">
        <v>21323.7043511207</v>
      </c>
      <c r="T263" s="23" t="n">
        <v>22039.6878224029</v>
      </c>
      <c r="U263" s="23" t="n">
        <v>22821.3557095311</v>
      </c>
      <c r="V263" s="23" t="n">
        <v>23604.1579753048</v>
      </c>
      <c r="W263" s="23" t="n">
        <v>24423.4230497668</v>
      </c>
      <c r="X263" s="23" t="n">
        <v>25308.1450425909</v>
      </c>
    </row>
    <row r="264" customFormat="false" ht="11.25" hidden="false" customHeight="false" outlineLevel="0" collapsed="false">
      <c r="A264" s="24" t="s">
        <v>10</v>
      </c>
      <c r="B264" s="19" t="n">
        <f aca="false">NPV(0.1,D264:Y264)</f>
        <v>137564.366165021</v>
      </c>
      <c r="C264" s="19" t="n">
        <f aca="false">B264-B254</f>
        <v>-2329.6524918447</v>
      </c>
      <c r="D264" s="25" t="n">
        <v>4202.1220228159</v>
      </c>
      <c r="E264" s="26" t="n">
        <v>7506.90792693867</v>
      </c>
      <c r="F264" s="26" t="n">
        <v>6999.06952920406</v>
      </c>
      <c r="G264" s="26" t="n">
        <v>19727.6471691514</v>
      </c>
      <c r="H264" s="26" t="n">
        <v>25504.0671746086</v>
      </c>
      <c r="I264" s="26" t="n">
        <v>25969.2548739024</v>
      </c>
      <c r="J264" s="26" t="n">
        <v>20397.7059839714</v>
      </c>
      <c r="K264" s="26" t="n">
        <v>19201.607622333</v>
      </c>
      <c r="L264" s="26" t="n">
        <v>19106.3577687106</v>
      </c>
      <c r="M264" s="26" t="n">
        <v>18962.5832616319</v>
      </c>
      <c r="N264" s="27" t="n">
        <v>18874.407808712</v>
      </c>
      <c r="O264" s="23" t="n">
        <v>18761.8950166162</v>
      </c>
      <c r="P264" s="23" t="n">
        <v>18602.4643706902</v>
      </c>
      <c r="Q264" s="23" t="n">
        <v>18386.569055229</v>
      </c>
      <c r="R264" s="23" t="n">
        <v>18217.5538694576</v>
      </c>
      <c r="S264" s="23" t="n">
        <v>15266.5062741035</v>
      </c>
      <c r="T264" s="23" t="n">
        <v>12184.727909418</v>
      </c>
      <c r="U264" s="23" t="n">
        <v>11716.4018487905</v>
      </c>
      <c r="V264" s="23" t="n">
        <v>11301.7111182729</v>
      </c>
      <c r="W264" s="23" t="n">
        <v>17573.0317248777</v>
      </c>
      <c r="X264" s="23" t="n">
        <v>29514.8233376847</v>
      </c>
    </row>
    <row r="266" customFormat="false" ht="11.25" hidden="false" customHeight="false" outlineLevel="0" collapsed="false">
      <c r="A266" s="28" t="s">
        <v>38</v>
      </c>
    </row>
    <row r="267" customFormat="false" ht="11.25" hidden="false" customHeight="false" outlineLevel="0" collapsed="false">
      <c r="A267" s="31" t="n">
        <v>36260</v>
      </c>
    </row>
    <row r="268" customFormat="false" ht="11.25" hidden="false" customHeight="false" outlineLevel="0" collapsed="false">
      <c r="A268" s="9" t="s">
        <v>2</v>
      </c>
      <c r="B268" s="10" t="n">
        <v>42069.6740825538</v>
      </c>
      <c r="C268" s="11"/>
      <c r="D268" s="11"/>
      <c r="E268" s="11"/>
      <c r="F268" s="11"/>
      <c r="G268" s="11"/>
      <c r="H268" s="11"/>
      <c r="I268" s="11"/>
      <c r="J268" s="11"/>
      <c r="K268" s="11"/>
      <c r="L268" s="11"/>
      <c r="M268" s="11"/>
      <c r="N268" s="11"/>
      <c r="O268" s="11"/>
      <c r="P268" s="11"/>
      <c r="Q268" s="11"/>
      <c r="R268" s="11"/>
      <c r="S268" s="11"/>
      <c r="T268" s="11"/>
      <c r="U268" s="11"/>
      <c r="V268" s="11"/>
    </row>
    <row r="269" customFormat="false" ht="11.25" hidden="false" customHeight="false" outlineLevel="0" collapsed="false">
      <c r="A269" s="12" t="s">
        <v>3</v>
      </c>
      <c r="B269" s="13" t="n">
        <v>78869.6111970498</v>
      </c>
      <c r="C269" s="11"/>
      <c r="D269" s="11"/>
      <c r="E269" s="11"/>
      <c r="F269" s="11"/>
      <c r="G269" s="11"/>
      <c r="H269" s="11"/>
      <c r="I269" s="11"/>
      <c r="J269" s="11"/>
      <c r="K269" s="11"/>
      <c r="L269" s="11"/>
      <c r="M269" s="11"/>
      <c r="N269" s="11"/>
      <c r="O269" s="11"/>
      <c r="P269" s="11"/>
      <c r="Q269" s="11"/>
      <c r="R269" s="11"/>
      <c r="S269" s="11"/>
      <c r="T269" s="11"/>
      <c r="U269" s="11"/>
      <c r="V269" s="11"/>
    </row>
    <row r="270" customFormat="false" ht="11.25" hidden="false" customHeight="false" outlineLevel="0" collapsed="false">
      <c r="A270" s="14" t="s">
        <v>4</v>
      </c>
      <c r="B270" s="15" t="s">
        <v>5</v>
      </c>
      <c r="C270" s="15" t="s">
        <v>6</v>
      </c>
      <c r="D270" s="16" t="n">
        <v>2000</v>
      </c>
      <c r="E270" s="17" t="n">
        <v>2001</v>
      </c>
      <c r="F270" s="17" t="n">
        <v>2002</v>
      </c>
      <c r="G270" s="17" t="n">
        <v>2003</v>
      </c>
      <c r="H270" s="17" t="n">
        <v>2004</v>
      </c>
      <c r="I270" s="17" t="n">
        <v>2005</v>
      </c>
      <c r="J270" s="17" t="n">
        <v>2006</v>
      </c>
      <c r="K270" s="17" t="n">
        <v>2007</v>
      </c>
      <c r="L270" s="17" t="n">
        <v>2008</v>
      </c>
      <c r="M270" s="17" t="n">
        <v>2009</v>
      </c>
      <c r="N270" s="18" t="n">
        <v>2010</v>
      </c>
      <c r="O270" s="11" t="n">
        <v>2011</v>
      </c>
      <c r="P270" s="11" t="n">
        <v>2012</v>
      </c>
      <c r="Q270" s="11" t="n">
        <v>2013</v>
      </c>
      <c r="R270" s="11" t="n">
        <v>2014</v>
      </c>
      <c r="S270" s="11" t="n">
        <v>2015</v>
      </c>
      <c r="T270" s="11" t="n">
        <v>2016</v>
      </c>
      <c r="U270" s="11" t="n">
        <v>2017</v>
      </c>
      <c r="V270" s="11" t="n">
        <v>2018</v>
      </c>
      <c r="W270" s="11" t="n">
        <v>2019</v>
      </c>
      <c r="X270" s="11" t="n">
        <v>2020</v>
      </c>
    </row>
    <row r="271" customFormat="false" ht="11.25" hidden="false" customHeight="false" outlineLevel="0" collapsed="false">
      <c r="A271" s="14" t="s">
        <v>7</v>
      </c>
      <c r="B271" s="19" t="n">
        <f aca="false">NPV(0.1,D271:Y271)</f>
        <v>574206.452039814</v>
      </c>
      <c r="C271" s="19" t="n">
        <f aca="false">B271-B261</f>
        <v>136.025983006111</v>
      </c>
      <c r="D271" s="20" t="n">
        <v>33075.6507520928</v>
      </c>
      <c r="E271" s="21" t="n">
        <v>46244.6359958965</v>
      </c>
      <c r="F271" s="21" t="n">
        <v>46602.830638618</v>
      </c>
      <c r="G271" s="21" t="n">
        <v>58976.1378270921</v>
      </c>
      <c r="H271" s="21" t="n">
        <v>68898.0747964829</v>
      </c>
      <c r="I271" s="21" t="n">
        <v>70282.3414325782</v>
      </c>
      <c r="J271" s="21" t="n">
        <v>71445.6662091845</v>
      </c>
      <c r="K271" s="21" t="n">
        <v>72739.6721158961</v>
      </c>
      <c r="L271" s="21" t="n">
        <v>74161.2198323778</v>
      </c>
      <c r="M271" s="21" t="n">
        <v>75715.4440419417</v>
      </c>
      <c r="N271" s="22" t="n">
        <v>77437.6909483506</v>
      </c>
      <c r="O271" s="23" t="n">
        <v>79525.7122894869</v>
      </c>
      <c r="P271" s="23" t="n">
        <v>81796.9599660311</v>
      </c>
      <c r="Q271" s="23" t="n">
        <v>84167.5897612613</v>
      </c>
      <c r="R271" s="23" t="n">
        <v>86629.3722908747</v>
      </c>
      <c r="S271" s="23" t="n">
        <v>89139.9931805227</v>
      </c>
      <c r="T271" s="23" t="n">
        <v>91281.5550582813</v>
      </c>
      <c r="U271" s="23" t="n">
        <v>93652.3909742107</v>
      </c>
      <c r="V271" s="23" t="n">
        <v>95708.0512520751</v>
      </c>
      <c r="W271" s="23" t="n">
        <v>97758.1223424524</v>
      </c>
      <c r="X271" s="23" t="n">
        <v>98951.5251237793</v>
      </c>
    </row>
    <row r="272" customFormat="false" ht="11.25" hidden="false" customHeight="false" outlineLevel="0" collapsed="false">
      <c r="A272" s="24" t="s">
        <v>8</v>
      </c>
      <c r="B272" s="19" t="n">
        <f aca="false">NPV(0.1,D272:Y272)</f>
        <v>263873.067424532</v>
      </c>
      <c r="C272" s="19" t="n">
        <f aca="false">B272-B262</f>
        <v>136.025983006053</v>
      </c>
      <c r="D272" s="20" t="n">
        <v>20924.9364692516</v>
      </c>
      <c r="E272" s="21" t="n">
        <v>25875.8677735739</v>
      </c>
      <c r="F272" s="21" t="n">
        <v>26364.5573011605</v>
      </c>
      <c r="G272" s="21" t="n">
        <v>26767.7342856204</v>
      </c>
      <c r="H272" s="21" t="n">
        <v>27258.7814501832</v>
      </c>
      <c r="I272" s="21" t="n">
        <v>27792.9047894619</v>
      </c>
      <c r="J272" s="21" t="n">
        <v>28475.2458525852</v>
      </c>
      <c r="K272" s="21" t="n">
        <v>29298.0895054745</v>
      </c>
      <c r="L272" s="21" t="n">
        <v>30259.3186007164</v>
      </c>
      <c r="M272" s="21" t="n">
        <v>31309.6174156003</v>
      </c>
      <c r="N272" s="22" t="n">
        <v>32596.5116784544</v>
      </c>
      <c r="O272" s="23" t="n">
        <v>34075.9909980972</v>
      </c>
      <c r="P272" s="23" t="n">
        <v>35742.9312101292</v>
      </c>
      <c r="Q272" s="23" t="n">
        <v>37458.7647890602</v>
      </c>
      <c r="R272" s="23" t="n">
        <v>39327.1585464116</v>
      </c>
      <c r="S272" s="23" t="n">
        <v>41251.1653243017</v>
      </c>
      <c r="T272" s="23" t="n">
        <v>43248.3786433934</v>
      </c>
      <c r="U272" s="23" t="n">
        <v>45454.120006565</v>
      </c>
      <c r="V272" s="23" t="n">
        <v>47437.2065358513</v>
      </c>
      <c r="W272" s="23" t="n">
        <v>49454.0179684085</v>
      </c>
      <c r="X272" s="23" t="n">
        <v>50655.8993444928</v>
      </c>
    </row>
    <row r="273" customFormat="false" ht="11.25" hidden="false" customHeight="false" outlineLevel="0" collapsed="false">
      <c r="A273" s="24" t="s">
        <v>9</v>
      </c>
      <c r="B273" s="19" t="n">
        <f aca="false">NPV(0.1,D273:Y273)</f>
        <v>101197.453991573</v>
      </c>
      <c r="C273" s="19" t="n">
        <f aca="false">B273-B263</f>
        <v>0</v>
      </c>
      <c r="D273" s="20" t="n">
        <v>326.794406000211</v>
      </c>
      <c r="E273" s="21" t="n">
        <v>306.15340427636</v>
      </c>
      <c r="F273" s="21" t="n">
        <v>261.453875346056</v>
      </c>
      <c r="G273" s="21" t="n">
        <v>7607.32881214112</v>
      </c>
      <c r="H273" s="21" t="n">
        <v>13376.447087666</v>
      </c>
      <c r="I273" s="21" t="n">
        <v>14188.6165886194</v>
      </c>
      <c r="J273" s="21" t="n">
        <v>14777.7915882857</v>
      </c>
      <c r="K273" s="21" t="n">
        <v>15315.1469686136</v>
      </c>
      <c r="L273" s="21" t="n">
        <v>15874.9376621037</v>
      </c>
      <c r="M273" s="21" t="n">
        <v>16492.5412739717</v>
      </c>
      <c r="N273" s="22" t="n">
        <v>17102.7663947682</v>
      </c>
      <c r="O273" s="23" t="n">
        <v>17854.7355977513</v>
      </c>
      <c r="P273" s="23" t="n">
        <v>18646.2851350352</v>
      </c>
      <c r="Q273" s="23" t="n">
        <v>19514.1355368443</v>
      </c>
      <c r="R273" s="23" t="n">
        <v>20394.5440538144</v>
      </c>
      <c r="S273" s="23" t="n">
        <v>21323.7043511207</v>
      </c>
      <c r="T273" s="23" t="n">
        <v>22039.6878224029</v>
      </c>
      <c r="U273" s="23" t="n">
        <v>22821.355709531</v>
      </c>
      <c r="V273" s="23" t="n">
        <v>23604.1579753048</v>
      </c>
      <c r="W273" s="23" t="n">
        <v>24423.4230497668</v>
      </c>
      <c r="X273" s="23" t="n">
        <v>25308.1450425909</v>
      </c>
    </row>
    <row r="274" customFormat="false" ht="11.25" hidden="false" customHeight="false" outlineLevel="0" collapsed="false">
      <c r="A274" s="24" t="s">
        <v>10</v>
      </c>
      <c r="B274" s="19" t="n">
        <f aca="false">NPV(0.1,D274:Y274)</f>
        <v>137564.366165021</v>
      </c>
      <c r="C274" s="19" t="n">
        <f aca="false">B274-B264</f>
        <v>0</v>
      </c>
      <c r="D274" s="25" t="n">
        <v>4202.1220228159</v>
      </c>
      <c r="E274" s="26" t="n">
        <v>7506.90792693867</v>
      </c>
      <c r="F274" s="26" t="n">
        <v>6999.06952920406</v>
      </c>
      <c r="G274" s="26" t="n">
        <v>19727.6471691514</v>
      </c>
      <c r="H274" s="26" t="n">
        <v>25504.0671746086</v>
      </c>
      <c r="I274" s="26" t="n">
        <v>25969.2548739024</v>
      </c>
      <c r="J274" s="26" t="n">
        <v>20397.7059839713</v>
      </c>
      <c r="K274" s="26" t="n">
        <v>19201.607622333</v>
      </c>
      <c r="L274" s="26" t="n">
        <v>19106.3577687106</v>
      </c>
      <c r="M274" s="26" t="n">
        <v>18962.5832616319</v>
      </c>
      <c r="N274" s="27" t="n">
        <v>18874.407808712</v>
      </c>
      <c r="O274" s="23" t="n">
        <v>18761.8950166162</v>
      </c>
      <c r="P274" s="23" t="n">
        <v>18602.4643706902</v>
      </c>
      <c r="Q274" s="23" t="n">
        <v>18386.569055229</v>
      </c>
      <c r="R274" s="23" t="n">
        <v>18217.5538694576</v>
      </c>
      <c r="S274" s="23" t="n">
        <v>15266.5062741035</v>
      </c>
      <c r="T274" s="23" t="n">
        <v>12184.727909418</v>
      </c>
      <c r="U274" s="23" t="n">
        <v>11716.4018487905</v>
      </c>
      <c r="V274" s="23" t="n">
        <v>11301.7111182729</v>
      </c>
      <c r="W274" s="23" t="n">
        <v>17573.0317248777</v>
      </c>
      <c r="X274" s="23" t="n">
        <v>29514.8233376847</v>
      </c>
    </row>
    <row r="276" customFormat="false" ht="11.25" hidden="false" customHeight="false" outlineLevel="0" collapsed="false">
      <c r="A276" s="28" t="s">
        <v>39</v>
      </c>
    </row>
    <row r="277" customFormat="false" ht="11.25" hidden="false" customHeight="false" outlineLevel="0" collapsed="false">
      <c r="A277" s="31" t="n">
        <v>36260</v>
      </c>
    </row>
    <row r="278" customFormat="false" ht="11.25" hidden="false" customHeight="false" outlineLevel="0" collapsed="false">
      <c r="A278" s="9" t="s">
        <v>2</v>
      </c>
      <c r="B278" s="10" t="n">
        <v>42069.6740825538</v>
      </c>
      <c r="C278" s="11"/>
      <c r="D278" s="11"/>
      <c r="E278" s="11"/>
      <c r="F278" s="11"/>
      <c r="G278" s="11"/>
      <c r="H278" s="11"/>
      <c r="I278" s="11"/>
      <c r="J278" s="11"/>
      <c r="K278" s="11"/>
      <c r="L278" s="11"/>
      <c r="M278" s="11"/>
      <c r="N278" s="11"/>
      <c r="O278" s="11"/>
      <c r="P278" s="11"/>
      <c r="Q278" s="11"/>
      <c r="R278" s="11"/>
      <c r="S278" s="11"/>
      <c r="T278" s="11"/>
      <c r="U278" s="11"/>
      <c r="V278" s="11"/>
    </row>
    <row r="279" customFormat="false" ht="11.25" hidden="false" customHeight="false" outlineLevel="0" collapsed="false">
      <c r="A279" s="12" t="s">
        <v>3</v>
      </c>
      <c r="B279" s="13" t="n">
        <v>78869.6111970498</v>
      </c>
      <c r="C279" s="11"/>
      <c r="D279" s="11"/>
      <c r="E279" s="11"/>
      <c r="F279" s="11"/>
      <c r="G279" s="11"/>
      <c r="H279" s="11"/>
      <c r="I279" s="11"/>
      <c r="J279" s="11"/>
      <c r="K279" s="11"/>
      <c r="L279" s="11"/>
      <c r="M279" s="11"/>
      <c r="N279" s="11"/>
      <c r="O279" s="11"/>
      <c r="P279" s="11"/>
      <c r="Q279" s="11"/>
      <c r="R279" s="11"/>
      <c r="S279" s="11"/>
      <c r="T279" s="11"/>
      <c r="U279" s="11"/>
      <c r="V279" s="11"/>
    </row>
    <row r="280" customFormat="false" ht="11.25" hidden="false" customHeight="false" outlineLevel="0" collapsed="false">
      <c r="A280" s="14" t="s">
        <v>4</v>
      </c>
      <c r="B280" s="15" t="s">
        <v>5</v>
      </c>
      <c r="C280" s="15" t="s">
        <v>6</v>
      </c>
      <c r="D280" s="16" t="n">
        <v>2000</v>
      </c>
      <c r="E280" s="17" t="n">
        <v>2001</v>
      </c>
      <c r="F280" s="17" t="n">
        <v>2002</v>
      </c>
      <c r="G280" s="17" t="n">
        <v>2003</v>
      </c>
      <c r="H280" s="17" t="n">
        <v>2004</v>
      </c>
      <c r="I280" s="17" t="n">
        <v>2005</v>
      </c>
      <c r="J280" s="17" t="n">
        <v>2006</v>
      </c>
      <c r="K280" s="17" t="n">
        <v>2007</v>
      </c>
      <c r="L280" s="17" t="n">
        <v>2008</v>
      </c>
      <c r="M280" s="17" t="n">
        <v>2009</v>
      </c>
      <c r="N280" s="18" t="n">
        <v>2010</v>
      </c>
      <c r="O280" s="11" t="n">
        <v>2011</v>
      </c>
      <c r="P280" s="11" t="n">
        <v>2012</v>
      </c>
      <c r="Q280" s="11" t="n">
        <v>2013</v>
      </c>
      <c r="R280" s="11" t="n">
        <v>2014</v>
      </c>
      <c r="S280" s="11" t="n">
        <v>2015</v>
      </c>
      <c r="T280" s="11" t="n">
        <v>2016</v>
      </c>
      <c r="U280" s="11" t="n">
        <v>2017</v>
      </c>
      <c r="V280" s="11" t="n">
        <v>2018</v>
      </c>
      <c r="W280" s="11" t="n">
        <v>2019</v>
      </c>
      <c r="X280" s="11" t="n">
        <v>2020</v>
      </c>
    </row>
    <row r="281" customFormat="false" ht="11.25" hidden="false" customHeight="false" outlineLevel="0" collapsed="false">
      <c r="A281" s="14" t="s">
        <v>7</v>
      </c>
      <c r="B281" s="19" t="n">
        <f aca="false">NPV(0.1,D281:Y281)</f>
        <v>555176.675309912</v>
      </c>
      <c r="C281" s="19" t="n">
        <f aca="false">B281-B271</f>
        <v>-19029.7767299013</v>
      </c>
      <c r="D281" s="20" t="n">
        <v>37419.8072</v>
      </c>
      <c r="E281" s="21" t="n">
        <v>47965.496081</v>
      </c>
      <c r="F281" s="21" t="n">
        <v>47985.51812843</v>
      </c>
      <c r="G281" s="21" t="n">
        <v>60110.6807727081</v>
      </c>
      <c r="H281" s="21" t="n">
        <v>69701.2539910079</v>
      </c>
      <c r="I281" s="21" t="n">
        <v>70660.3461336941</v>
      </c>
      <c r="J281" s="21" t="n">
        <v>71310.7379805295</v>
      </c>
      <c r="K281" s="21" t="n">
        <v>71956.3906117046</v>
      </c>
      <c r="L281" s="21" t="n">
        <v>72596.4343216178</v>
      </c>
      <c r="M281" s="21" t="n">
        <v>73229.9514876252</v>
      </c>
      <c r="N281" s="22" t="n">
        <v>73855.9744777536</v>
      </c>
      <c r="O281" s="23" t="n">
        <v>74660.9069562179</v>
      </c>
      <c r="P281" s="23" t="n">
        <v>75467.4965914101</v>
      </c>
      <c r="Q281" s="23" t="n">
        <v>76275.1183735033</v>
      </c>
      <c r="R281" s="23" t="n">
        <v>77083.1083006397</v>
      </c>
      <c r="S281" s="23" t="n">
        <v>77890.7616019182</v>
      </c>
      <c r="T281" s="23" t="n">
        <v>78262.7805257914</v>
      </c>
      <c r="U281" s="23" t="n">
        <v>78606.8504847052</v>
      </c>
      <c r="V281" s="23" t="n">
        <v>78920.9597237306</v>
      </c>
      <c r="W281" s="23" t="n">
        <v>79203.0009367114</v>
      </c>
      <c r="X281" s="23" t="n">
        <v>79450.7673437696</v>
      </c>
    </row>
    <row r="282" customFormat="false" ht="11.25" hidden="false" customHeight="false" outlineLevel="0" collapsed="false">
      <c r="A282" s="24" t="s">
        <v>8</v>
      </c>
      <c r="B282" s="19" t="n">
        <f aca="false">NPV(0.1,D282:Y282)</f>
        <v>244843.29069463</v>
      </c>
      <c r="C282" s="19" t="n">
        <f aca="false">B282-B272</f>
        <v>-19029.7767299012</v>
      </c>
      <c r="D282" s="20" t="n">
        <v>25269.0929171588</v>
      </c>
      <c r="E282" s="21" t="n">
        <v>27596.7278586774</v>
      </c>
      <c r="F282" s="21" t="n">
        <v>27747.2447909725</v>
      </c>
      <c r="G282" s="21" t="n">
        <v>27902.2772312364</v>
      </c>
      <c r="H282" s="21" t="n">
        <v>28061.9606447082</v>
      </c>
      <c r="I282" s="21" t="n">
        <v>28170.9094905779</v>
      </c>
      <c r="J282" s="21" t="n">
        <v>28340.3176239302</v>
      </c>
      <c r="K282" s="21" t="n">
        <v>28514.808001283</v>
      </c>
      <c r="L282" s="21" t="n">
        <v>28694.5330899564</v>
      </c>
      <c r="M282" s="21" t="n">
        <v>28824.1248612838</v>
      </c>
      <c r="N282" s="22" t="n">
        <v>29014.7952078574</v>
      </c>
      <c r="O282" s="23" t="n">
        <v>29211.1856648282</v>
      </c>
      <c r="P282" s="23" t="n">
        <v>29413.4678355082</v>
      </c>
      <c r="Q282" s="23" t="n">
        <v>29566.2934013023</v>
      </c>
      <c r="R282" s="23" t="n">
        <v>29780.8945561766</v>
      </c>
      <c r="S282" s="23" t="n">
        <v>30001.9337456972</v>
      </c>
      <c r="T282" s="23" t="n">
        <v>30229.6041109034</v>
      </c>
      <c r="U282" s="23" t="n">
        <v>30408.5795170596</v>
      </c>
      <c r="V282" s="23" t="n">
        <v>30650.1150075068</v>
      </c>
      <c r="W282" s="23" t="n">
        <v>30898.8965626675</v>
      </c>
      <c r="X282" s="23" t="n">
        <v>31155.141564483</v>
      </c>
    </row>
    <row r="283" customFormat="false" ht="11.25" hidden="false" customHeight="false" outlineLevel="0" collapsed="false">
      <c r="A283" s="24" t="s">
        <v>9</v>
      </c>
      <c r="B283" s="19" t="n">
        <f aca="false">NPV(0.1,D283:Y283)</f>
        <v>101197.453991573</v>
      </c>
      <c r="C283" s="19" t="n">
        <f aca="false">B283-B273</f>
        <v>0</v>
      </c>
      <c r="D283" s="20" t="n">
        <v>326.794406000208</v>
      </c>
      <c r="E283" s="21" t="n">
        <v>306.153404276365</v>
      </c>
      <c r="F283" s="21" t="n">
        <v>261.453875346055</v>
      </c>
      <c r="G283" s="21" t="n">
        <v>7607.32881214112</v>
      </c>
      <c r="H283" s="21" t="n">
        <v>13376.447087666</v>
      </c>
      <c r="I283" s="21" t="n">
        <v>14188.6165886194</v>
      </c>
      <c r="J283" s="21" t="n">
        <v>14777.7915882857</v>
      </c>
      <c r="K283" s="21" t="n">
        <v>15315.1469686136</v>
      </c>
      <c r="L283" s="21" t="n">
        <v>15874.9376621037</v>
      </c>
      <c r="M283" s="21" t="n">
        <v>16492.5412739717</v>
      </c>
      <c r="N283" s="22" t="n">
        <v>17102.7663947682</v>
      </c>
      <c r="O283" s="23" t="n">
        <v>17854.7355977513</v>
      </c>
      <c r="P283" s="23" t="n">
        <v>18646.2851350352</v>
      </c>
      <c r="Q283" s="23" t="n">
        <v>19514.1355368443</v>
      </c>
      <c r="R283" s="23" t="n">
        <v>20394.5440538144</v>
      </c>
      <c r="S283" s="23" t="n">
        <v>21323.7043511207</v>
      </c>
      <c r="T283" s="23" t="n">
        <v>22039.6878224029</v>
      </c>
      <c r="U283" s="23" t="n">
        <v>22821.3557095311</v>
      </c>
      <c r="V283" s="23" t="n">
        <v>23604.1579753048</v>
      </c>
      <c r="W283" s="23" t="n">
        <v>24423.4230497668</v>
      </c>
      <c r="X283" s="23" t="n">
        <v>25308.1450425909</v>
      </c>
    </row>
    <row r="284" customFormat="false" ht="11.25" hidden="false" customHeight="false" outlineLevel="0" collapsed="false">
      <c r="A284" s="24" t="s">
        <v>10</v>
      </c>
      <c r="B284" s="19" t="n">
        <f aca="false">NPV(0.1,D284:Y284)</f>
        <v>137564.366165021</v>
      </c>
      <c r="C284" s="19" t="n">
        <f aca="false">B284-B274</f>
        <v>0</v>
      </c>
      <c r="D284" s="25" t="n">
        <v>4202.1220228159</v>
      </c>
      <c r="E284" s="26" t="n">
        <v>7506.90792693867</v>
      </c>
      <c r="F284" s="26" t="n">
        <v>6999.06952920406</v>
      </c>
      <c r="G284" s="26" t="n">
        <v>19727.6471691514</v>
      </c>
      <c r="H284" s="26" t="n">
        <v>25504.0671746086</v>
      </c>
      <c r="I284" s="26" t="n">
        <v>25969.2548739024</v>
      </c>
      <c r="J284" s="26" t="n">
        <v>20397.7059839713</v>
      </c>
      <c r="K284" s="26" t="n">
        <v>19201.607622333</v>
      </c>
      <c r="L284" s="26" t="n">
        <v>19106.3577687106</v>
      </c>
      <c r="M284" s="26" t="n">
        <v>18962.5832616319</v>
      </c>
      <c r="N284" s="27" t="n">
        <v>18874.407808712</v>
      </c>
      <c r="O284" s="23" t="n">
        <v>18761.8950166162</v>
      </c>
      <c r="P284" s="23" t="n">
        <v>18602.4643706902</v>
      </c>
      <c r="Q284" s="23" t="n">
        <v>18386.569055229</v>
      </c>
      <c r="R284" s="23" t="n">
        <v>18217.5538694576</v>
      </c>
      <c r="S284" s="23" t="n">
        <v>15266.5062741035</v>
      </c>
      <c r="T284" s="23" t="n">
        <v>12184.727909418</v>
      </c>
      <c r="U284" s="23" t="n">
        <v>11716.4018487905</v>
      </c>
      <c r="V284" s="23" t="n">
        <v>11301.7111182729</v>
      </c>
      <c r="W284" s="23" t="n">
        <v>17573.0317248777</v>
      </c>
      <c r="X284" s="23" t="n">
        <v>29514.8233376847</v>
      </c>
    </row>
    <row r="286" customFormat="false" ht="11.25" hidden="false" customHeight="false" outlineLevel="0" collapsed="false">
      <c r="A286" s="28" t="s">
        <v>40</v>
      </c>
    </row>
    <row r="287" customFormat="false" ht="11.25" hidden="false" customHeight="false" outlineLevel="0" collapsed="false">
      <c r="A287" s="31" t="n">
        <v>36263</v>
      </c>
    </row>
    <row r="288" customFormat="false" ht="11.25" hidden="false" customHeight="false" outlineLevel="0" collapsed="false">
      <c r="A288" s="9" t="s">
        <v>2</v>
      </c>
      <c r="B288" s="10" t="n">
        <v>53870.4970570833</v>
      </c>
      <c r="C288" s="11"/>
      <c r="D288" s="11"/>
      <c r="E288" s="11"/>
      <c r="F288" s="11"/>
      <c r="G288" s="11"/>
      <c r="H288" s="11"/>
      <c r="I288" s="11"/>
      <c r="J288" s="11"/>
      <c r="K288" s="11"/>
      <c r="L288" s="11"/>
      <c r="M288" s="11"/>
      <c r="N288" s="11"/>
      <c r="O288" s="11"/>
      <c r="P288" s="11"/>
      <c r="Q288" s="11"/>
      <c r="R288" s="11"/>
      <c r="S288" s="11"/>
      <c r="T288" s="11"/>
      <c r="U288" s="11"/>
      <c r="V288" s="11"/>
    </row>
    <row r="289" customFormat="false" ht="11.25" hidden="false" customHeight="false" outlineLevel="0" collapsed="false">
      <c r="A289" s="12" t="s">
        <v>3</v>
      </c>
      <c r="B289" s="13" t="n">
        <v>94085.2154348414</v>
      </c>
      <c r="C289" s="11"/>
      <c r="D289" s="11"/>
      <c r="E289" s="11"/>
      <c r="F289" s="11"/>
      <c r="G289" s="11"/>
      <c r="H289" s="11"/>
      <c r="I289" s="11"/>
      <c r="J289" s="11"/>
      <c r="K289" s="11"/>
      <c r="L289" s="11"/>
      <c r="M289" s="11"/>
      <c r="N289" s="11"/>
      <c r="O289" s="11"/>
      <c r="P289" s="11"/>
      <c r="Q289" s="11"/>
      <c r="R289" s="11"/>
      <c r="S289" s="11"/>
      <c r="T289" s="11"/>
      <c r="U289" s="11"/>
      <c r="V289" s="11"/>
    </row>
    <row r="290" customFormat="false" ht="11.25" hidden="false" customHeight="false" outlineLevel="0" collapsed="false">
      <c r="A290" s="14" t="s">
        <v>4</v>
      </c>
      <c r="B290" s="15" t="s">
        <v>5</v>
      </c>
      <c r="C290" s="15" t="s">
        <v>6</v>
      </c>
      <c r="D290" s="16" t="n">
        <v>2000</v>
      </c>
      <c r="E290" s="17" t="n">
        <v>2001</v>
      </c>
      <c r="F290" s="17" t="n">
        <v>2002</v>
      </c>
      <c r="G290" s="17" t="n">
        <v>2003</v>
      </c>
      <c r="H290" s="17" t="n">
        <v>2004</v>
      </c>
      <c r="I290" s="17" t="n">
        <v>2005</v>
      </c>
      <c r="J290" s="17" t="n">
        <v>2006</v>
      </c>
      <c r="K290" s="17" t="n">
        <v>2007</v>
      </c>
      <c r="L290" s="17" t="n">
        <v>2008</v>
      </c>
      <c r="M290" s="17" t="n">
        <v>2009</v>
      </c>
      <c r="N290" s="18" t="n">
        <v>2010</v>
      </c>
      <c r="O290" s="11" t="n">
        <v>2011</v>
      </c>
      <c r="P290" s="11" t="n">
        <v>2012</v>
      </c>
      <c r="Q290" s="11" t="n">
        <v>2013</v>
      </c>
      <c r="R290" s="11" t="n">
        <v>2014</v>
      </c>
      <c r="S290" s="11" t="n">
        <v>2015</v>
      </c>
      <c r="T290" s="11" t="n">
        <v>2016</v>
      </c>
      <c r="U290" s="11" t="n">
        <v>2017</v>
      </c>
      <c r="V290" s="11" t="n">
        <v>2018</v>
      </c>
      <c r="W290" s="11" t="n">
        <v>2019</v>
      </c>
      <c r="X290" s="11" t="n">
        <v>2020</v>
      </c>
    </row>
    <row r="291" customFormat="false" ht="11.25" hidden="false" customHeight="false" outlineLevel="0" collapsed="false">
      <c r="A291" s="14" t="s">
        <v>7</v>
      </c>
      <c r="B291" s="19" t="n">
        <f aca="false">NPV(0.1,D291:Y291)</f>
        <v>570686.601332245</v>
      </c>
      <c r="C291" s="19" t="n">
        <f aca="false">B291-B281</f>
        <v>15509.9260223324</v>
      </c>
      <c r="D291" s="20" t="n">
        <v>38221.3934</v>
      </c>
      <c r="E291" s="21" t="n">
        <v>48070.797617</v>
      </c>
      <c r="F291" s="21" t="n">
        <v>48148.07771051</v>
      </c>
      <c r="G291" s="21" t="n">
        <v>61384.8411422505</v>
      </c>
      <c r="H291" s="21" t="n">
        <v>71788.0344216366</v>
      </c>
      <c r="I291" s="21" t="n">
        <v>72809.6939772417</v>
      </c>
      <c r="J291" s="21" t="n">
        <v>73524.5302593834</v>
      </c>
      <c r="K291" s="21" t="n">
        <v>74236.5606589242</v>
      </c>
      <c r="L291" s="21" t="n">
        <v>74944.9734702539</v>
      </c>
      <c r="M291" s="21" t="n">
        <v>75648.9108107204</v>
      </c>
      <c r="N291" s="22" t="n">
        <v>76347.4665805417</v>
      </c>
      <c r="O291" s="23" t="n">
        <v>77227.1078220897</v>
      </c>
      <c r="P291" s="23" t="n">
        <v>78110.647483258</v>
      </c>
      <c r="Q291" s="23" t="n">
        <v>78997.5277921066</v>
      </c>
      <c r="R291" s="23" t="n">
        <v>79887.1540018012</v>
      </c>
      <c r="S291" s="23" t="n">
        <v>80778.8926741145</v>
      </c>
      <c r="T291" s="23" t="n">
        <v>81237.5195301535</v>
      </c>
      <c r="U291" s="23" t="n">
        <v>81670.7956591982</v>
      </c>
      <c r="V291" s="23" t="n">
        <v>82076.7872534585</v>
      </c>
      <c r="W291" s="23" t="n">
        <v>82453.467292331</v>
      </c>
      <c r="X291" s="23" t="n">
        <v>82798.7116900578</v>
      </c>
    </row>
    <row r="292" customFormat="false" ht="11.25" hidden="false" customHeight="false" outlineLevel="0" collapsed="false">
      <c r="A292" s="24" t="s">
        <v>8</v>
      </c>
      <c r="B292" s="19" t="n">
        <f aca="false">NPV(0.1,D292:Y292)</f>
        <v>245489.767003388</v>
      </c>
      <c r="C292" s="19" t="n">
        <f aca="false">B292-B282</f>
        <v>646.476308757498</v>
      </c>
      <c r="D292" s="20" t="n">
        <v>26031.4925747707</v>
      </c>
      <c r="E292" s="21" t="n">
        <v>27590.6953775298</v>
      </c>
      <c r="F292" s="21" t="n">
        <v>27741.2135829048</v>
      </c>
      <c r="G292" s="21" t="n">
        <v>27896.2473344411</v>
      </c>
      <c r="H292" s="21" t="n">
        <v>28055.9320985235</v>
      </c>
      <c r="I292" s="21" t="n">
        <v>28164.8823355221</v>
      </c>
      <c r="J292" s="21" t="n">
        <v>28334.2919017372</v>
      </c>
      <c r="K292" s="21" t="n">
        <v>28508.7837549386</v>
      </c>
      <c r="L292" s="21" t="n">
        <v>28688.5103637361</v>
      </c>
      <c r="M292" s="21" t="n">
        <v>28818.1037007913</v>
      </c>
      <c r="N292" s="22" t="n">
        <v>29008.7756600646</v>
      </c>
      <c r="O292" s="23" t="n">
        <v>29205.167778116</v>
      </c>
      <c r="P292" s="23" t="n">
        <v>29407.451659709</v>
      </c>
      <c r="Q292" s="23" t="n">
        <v>29560.2789877436</v>
      </c>
      <c r="R292" s="23" t="n">
        <v>29774.8819577256</v>
      </c>
      <c r="S292" s="23" t="n">
        <v>29995.9230168071</v>
      </c>
      <c r="T292" s="23" t="n">
        <v>30223.5953076611</v>
      </c>
      <c r="U292" s="23" t="n">
        <v>30402.5726972344</v>
      </c>
      <c r="V292" s="23" t="n">
        <v>30644.1102306013</v>
      </c>
      <c r="W292" s="23" t="n">
        <v>30892.8938899692</v>
      </c>
      <c r="X292" s="23" t="n">
        <v>31149.1410591182</v>
      </c>
    </row>
    <row r="293" customFormat="false" ht="11.25" hidden="false" customHeight="false" outlineLevel="0" collapsed="false">
      <c r="A293" s="24" t="s">
        <v>9</v>
      </c>
      <c r="B293" s="19" t="n">
        <f aca="false">NPV(0.1,D293:Y293)</f>
        <v>107358.116759921</v>
      </c>
      <c r="C293" s="19" t="n">
        <f aca="false">B293-B283</f>
        <v>6160.66276834747</v>
      </c>
      <c r="D293" s="20" t="n">
        <v>143.62891198463</v>
      </c>
      <c r="E293" s="21" t="n">
        <v>4.30073442703438</v>
      </c>
      <c r="F293" s="21" t="n">
        <v>-30.6161652804998</v>
      </c>
      <c r="G293" s="21" t="n">
        <v>7968.94172420521</v>
      </c>
      <c r="H293" s="21" t="n">
        <v>14225.5482623928</v>
      </c>
      <c r="I293" s="21" t="n">
        <v>15081.995597166</v>
      </c>
      <c r="J293" s="21" t="n">
        <v>15718.2876016412</v>
      </c>
      <c r="K293" s="21" t="n">
        <v>16305.8051997748</v>
      </c>
      <c r="L293" s="21" t="n">
        <v>16919.0252166856</v>
      </c>
      <c r="M293" s="21" t="n">
        <v>17593.5642498841</v>
      </c>
      <c r="N293" s="22" t="n">
        <v>18264.488330315</v>
      </c>
      <c r="O293" s="23" t="n">
        <v>19081.1973754383</v>
      </c>
      <c r="P293" s="23" t="n">
        <v>19941.8264569409</v>
      </c>
      <c r="Q293" s="23" t="n">
        <v>20883.4180966548</v>
      </c>
      <c r="R293" s="23" t="n">
        <v>21842.5765406149</v>
      </c>
      <c r="S293" s="23" t="n">
        <v>22855.8694308249</v>
      </c>
      <c r="T293" s="23" t="n">
        <v>23661.7712543504</v>
      </c>
      <c r="U293" s="23" t="n">
        <v>24539.5777683656</v>
      </c>
      <c r="V293" s="23" t="n">
        <v>25425.2073618356</v>
      </c>
      <c r="W293" s="23" t="n">
        <v>26354.4934891878</v>
      </c>
      <c r="X293" s="23" t="n">
        <v>27356.9747842806</v>
      </c>
    </row>
    <row r="294" customFormat="false" ht="11.25" hidden="false" customHeight="false" outlineLevel="0" collapsed="false">
      <c r="A294" s="24" t="s">
        <v>10</v>
      </c>
      <c r="B294" s="19" t="n">
        <f aca="false">NPV(0.1,D294:Y294)</f>
        <v>142711.879538225</v>
      </c>
      <c r="C294" s="19" t="n">
        <f aca="false">B294-B284</f>
        <v>5147.51337320419</v>
      </c>
      <c r="D294" s="25" t="n">
        <v>4215.67403539179</v>
      </c>
      <c r="E294" s="26" t="n">
        <v>7545.41094120223</v>
      </c>
      <c r="F294" s="26" t="n">
        <v>7057.37384413012</v>
      </c>
      <c r="G294" s="26" t="n">
        <v>20511.7637072832</v>
      </c>
      <c r="H294" s="26" t="n">
        <v>26785.9126729067</v>
      </c>
      <c r="I294" s="26" t="n">
        <v>27289.422060547</v>
      </c>
      <c r="J294" s="26" t="n">
        <v>20266.5358581788</v>
      </c>
      <c r="K294" s="26" t="n">
        <v>19950.5758177916</v>
      </c>
      <c r="L294" s="26" t="n">
        <v>19862.0730522167</v>
      </c>
      <c r="M294" s="26" t="n">
        <v>19723.9967412901</v>
      </c>
      <c r="N294" s="27" t="n">
        <v>19640.3390215068</v>
      </c>
      <c r="O294" s="23" t="n">
        <v>19531.0199729299</v>
      </c>
      <c r="P294" s="23" t="n">
        <v>19373.3025994875</v>
      </c>
      <c r="Q294" s="23" t="n">
        <v>19157.4695686763</v>
      </c>
      <c r="R294" s="23" t="n">
        <v>18986.6799592058</v>
      </c>
      <c r="S294" s="23" t="n">
        <v>16031.8190444017</v>
      </c>
      <c r="T294" s="23" t="n">
        <v>12943.9684445996</v>
      </c>
      <c r="U294" s="23" t="n">
        <v>12467.0719044324</v>
      </c>
      <c r="V294" s="23" t="n">
        <v>12041.0522164298</v>
      </c>
      <c r="W294" s="23" t="n">
        <v>18335.1138632302</v>
      </c>
      <c r="X294" s="23" t="n">
        <v>31563.6530793743</v>
      </c>
    </row>
    <row r="296" customFormat="false" ht="11.25" hidden="false" customHeight="false" outlineLevel="0" collapsed="false">
      <c r="A296" s="28" t="s">
        <v>41</v>
      </c>
    </row>
    <row r="297" customFormat="false" ht="11.25" hidden="false" customHeight="false" outlineLevel="0" collapsed="false">
      <c r="A297" s="31" t="n">
        <v>36264</v>
      </c>
    </row>
    <row r="298" customFormat="false" ht="11.25" hidden="false" customHeight="false" outlineLevel="0" collapsed="false">
      <c r="A298" s="9" t="s">
        <v>2</v>
      </c>
      <c r="B298" s="10" t="n">
        <v>59516.8681046591</v>
      </c>
      <c r="C298" s="11"/>
      <c r="D298" s="11"/>
      <c r="E298" s="11"/>
      <c r="F298" s="11"/>
      <c r="G298" s="11"/>
      <c r="H298" s="11"/>
      <c r="I298" s="11"/>
      <c r="J298" s="11"/>
      <c r="K298" s="11"/>
      <c r="L298" s="11"/>
      <c r="M298" s="11"/>
      <c r="N298" s="11"/>
      <c r="O298" s="11"/>
      <c r="P298" s="11"/>
      <c r="Q298" s="11"/>
      <c r="R298" s="11"/>
      <c r="S298" s="11"/>
      <c r="T298" s="11"/>
      <c r="U298" s="11"/>
      <c r="V298" s="11"/>
    </row>
    <row r="299" customFormat="false" ht="11.25" hidden="false" customHeight="false" outlineLevel="0" collapsed="false">
      <c r="A299" s="12" t="s">
        <v>3</v>
      </c>
      <c r="B299" s="13" t="n">
        <v>99658.4541349632</v>
      </c>
      <c r="C299" s="11"/>
      <c r="D299" s="11"/>
      <c r="E299" s="11"/>
      <c r="F299" s="11"/>
      <c r="G299" s="11"/>
      <c r="H299" s="11"/>
      <c r="I299" s="11"/>
      <c r="J299" s="11"/>
      <c r="K299" s="11"/>
      <c r="L299" s="11"/>
      <c r="M299" s="11"/>
      <c r="N299" s="11"/>
      <c r="O299" s="11"/>
      <c r="P299" s="11"/>
      <c r="Q299" s="11"/>
      <c r="R299" s="11"/>
      <c r="S299" s="11"/>
      <c r="T299" s="11"/>
      <c r="U299" s="11"/>
      <c r="V299" s="11"/>
    </row>
    <row r="300" customFormat="false" ht="11.25" hidden="false" customHeight="false" outlineLevel="0" collapsed="false">
      <c r="A300" s="14" t="s">
        <v>4</v>
      </c>
      <c r="B300" s="15" t="s">
        <v>5</v>
      </c>
      <c r="C300" s="15" t="s">
        <v>6</v>
      </c>
      <c r="D300" s="16" t="n">
        <v>2000</v>
      </c>
      <c r="E300" s="17" t="n">
        <v>2001</v>
      </c>
      <c r="F300" s="17" t="n">
        <v>2002</v>
      </c>
      <c r="G300" s="17" t="n">
        <v>2003</v>
      </c>
      <c r="H300" s="17" t="n">
        <v>2004</v>
      </c>
      <c r="I300" s="17" t="n">
        <v>2005</v>
      </c>
      <c r="J300" s="17" t="n">
        <v>2006</v>
      </c>
      <c r="K300" s="17" t="n">
        <v>2007</v>
      </c>
      <c r="L300" s="17" t="n">
        <v>2008</v>
      </c>
      <c r="M300" s="17" t="n">
        <v>2009</v>
      </c>
      <c r="N300" s="18" t="n">
        <v>2010</v>
      </c>
      <c r="O300" s="11" t="n">
        <v>2011</v>
      </c>
      <c r="P300" s="11" t="n">
        <v>2012</v>
      </c>
      <c r="Q300" s="11" t="n">
        <v>2013</v>
      </c>
      <c r="R300" s="11" t="n">
        <v>2014</v>
      </c>
      <c r="S300" s="11" t="n">
        <v>2015</v>
      </c>
      <c r="T300" s="11" t="n">
        <v>2016</v>
      </c>
      <c r="U300" s="11" t="n">
        <v>2017</v>
      </c>
      <c r="V300" s="11" t="n">
        <v>2018</v>
      </c>
      <c r="W300" s="11" t="n">
        <v>2019</v>
      </c>
      <c r="X300" s="11" t="n">
        <v>2020</v>
      </c>
    </row>
    <row r="301" customFormat="false" ht="11.25" hidden="false" customHeight="false" outlineLevel="0" collapsed="false">
      <c r="A301" s="14" t="s">
        <v>7</v>
      </c>
      <c r="B301" s="19" t="n">
        <f aca="false">NPV(0.1,D301:Y301)</f>
        <v>570686.601332245</v>
      </c>
      <c r="C301" s="19" t="n">
        <f aca="false">B301-B291</f>
        <v>0</v>
      </c>
      <c r="D301" s="20" t="n">
        <v>38221.3934</v>
      </c>
      <c r="E301" s="21" t="n">
        <v>48070.797617</v>
      </c>
      <c r="F301" s="21" t="n">
        <v>48148.07771051</v>
      </c>
      <c r="G301" s="21" t="n">
        <v>61384.8411422505</v>
      </c>
      <c r="H301" s="21" t="n">
        <v>71788.0344216366</v>
      </c>
      <c r="I301" s="21" t="n">
        <v>72809.6939772417</v>
      </c>
      <c r="J301" s="21" t="n">
        <v>73524.5302593834</v>
      </c>
      <c r="K301" s="21" t="n">
        <v>74236.5606589242</v>
      </c>
      <c r="L301" s="21" t="n">
        <v>74944.9734702539</v>
      </c>
      <c r="M301" s="21" t="n">
        <v>75648.9108107204</v>
      </c>
      <c r="N301" s="22" t="n">
        <v>76347.4665805417</v>
      </c>
      <c r="O301" s="23" t="n">
        <v>77227.1078220897</v>
      </c>
      <c r="P301" s="23" t="n">
        <v>78110.647483258</v>
      </c>
      <c r="Q301" s="23" t="n">
        <v>78997.5277921066</v>
      </c>
      <c r="R301" s="23" t="n">
        <v>79887.1540018012</v>
      </c>
      <c r="S301" s="23" t="n">
        <v>80778.8926741145</v>
      </c>
      <c r="T301" s="23" t="n">
        <v>81237.5195301535</v>
      </c>
      <c r="U301" s="23" t="n">
        <v>81670.7956591982</v>
      </c>
      <c r="V301" s="23" t="n">
        <v>82076.7872534585</v>
      </c>
      <c r="W301" s="23" t="n">
        <v>82453.467292331</v>
      </c>
      <c r="X301" s="23" t="n">
        <v>82798.7116900578</v>
      </c>
    </row>
    <row r="302" customFormat="false" ht="11.25" hidden="false" customHeight="false" outlineLevel="0" collapsed="false">
      <c r="A302" s="24" t="s">
        <v>8</v>
      </c>
      <c r="B302" s="19" t="n">
        <f aca="false">NPV(0.1,D302:Y302)</f>
        <v>245432.537972821</v>
      </c>
      <c r="C302" s="19" t="n">
        <f aca="false">B302-B292</f>
        <v>-57.2290305674542</v>
      </c>
      <c r="D302" s="20" t="n">
        <v>26022.0625753141</v>
      </c>
      <c r="E302" s="21" t="n">
        <v>27584.4087112254</v>
      </c>
      <c r="F302" s="21" t="n">
        <v>27734.9269166004</v>
      </c>
      <c r="G302" s="21" t="n">
        <v>27889.9606681367</v>
      </c>
      <c r="H302" s="21" t="n">
        <v>28049.6454322191</v>
      </c>
      <c r="I302" s="21" t="n">
        <v>28158.5956692177</v>
      </c>
      <c r="J302" s="21" t="n">
        <v>28328.0052354327</v>
      </c>
      <c r="K302" s="21" t="n">
        <v>28502.4970886342</v>
      </c>
      <c r="L302" s="21" t="n">
        <v>28682.2236974317</v>
      </c>
      <c r="M302" s="21" t="n">
        <v>28811.8170344869</v>
      </c>
      <c r="N302" s="22" t="n">
        <v>29002.4889937601</v>
      </c>
      <c r="O302" s="23" t="n">
        <v>29198.8811118116</v>
      </c>
      <c r="P302" s="23" t="n">
        <v>29401.1649934046</v>
      </c>
      <c r="Q302" s="23" t="n">
        <v>29553.9923214392</v>
      </c>
      <c r="R302" s="23" t="n">
        <v>29768.5952914212</v>
      </c>
      <c r="S302" s="23" t="n">
        <v>29989.6363505027</v>
      </c>
      <c r="T302" s="23" t="n">
        <v>30217.3086413566</v>
      </c>
      <c r="U302" s="23" t="n">
        <v>30396.2860309299</v>
      </c>
      <c r="V302" s="23" t="n">
        <v>30637.8235642969</v>
      </c>
      <c r="W302" s="23" t="n">
        <v>30886.6072236648</v>
      </c>
      <c r="X302" s="23" t="n">
        <v>31142.8543928138</v>
      </c>
    </row>
    <row r="303" customFormat="false" ht="11.25" hidden="false" customHeight="false" outlineLevel="0" collapsed="false">
      <c r="A303" s="24" t="s">
        <v>9</v>
      </c>
      <c r="B303" s="19" t="n">
        <f aca="false">NPV(0.1,D303:Y303)</f>
        <v>107299.644112993</v>
      </c>
      <c r="C303" s="19" t="n">
        <f aca="false">B303-B293</f>
        <v>-58.4726469272719</v>
      </c>
      <c r="D303" s="20" t="n">
        <v>142.458168546523</v>
      </c>
      <c r="E303" s="21" t="n">
        <v>-3.51625877801259</v>
      </c>
      <c r="F303" s="21" t="n">
        <v>-38.3382702841328</v>
      </c>
      <c r="G303" s="21" t="n">
        <v>7961.3218612386</v>
      </c>
      <c r="H303" s="21" t="n">
        <v>14217.961203023</v>
      </c>
      <c r="I303" s="21" t="n">
        <v>15074.4439656806</v>
      </c>
      <c r="J303" s="21" t="n">
        <v>15710.774232271</v>
      </c>
      <c r="K303" s="21" t="n">
        <v>16298.3331534891</v>
      </c>
      <c r="L303" s="21" t="n">
        <v>16911.5977993312</v>
      </c>
      <c r="M303" s="21" t="n">
        <v>17586.1850317754</v>
      </c>
      <c r="N303" s="22" t="n">
        <v>18257.1611673916</v>
      </c>
      <c r="O303" s="23" t="n">
        <v>19073.9264321151</v>
      </c>
      <c r="P303" s="23" t="n">
        <v>19934.6162307859</v>
      </c>
      <c r="Q303" s="23" t="n">
        <v>20876.2734450415</v>
      </c>
      <c r="R303" s="23" t="n">
        <v>21835.5027095066</v>
      </c>
      <c r="S303" s="23" t="n">
        <v>22848.872085862</v>
      </c>
      <c r="T303" s="23" t="n">
        <v>23654.8565144245</v>
      </c>
      <c r="U303" s="23" t="n">
        <v>24532.7522418797</v>
      </c>
      <c r="V303" s="23" t="n">
        <v>25418.478185865</v>
      </c>
      <c r="W303" s="23" t="n">
        <v>26347.8683717735</v>
      </c>
      <c r="X303" s="23" t="n">
        <v>27350.4620501073</v>
      </c>
    </row>
    <row r="304" customFormat="false" ht="11.25" hidden="false" customHeight="false" outlineLevel="0" collapsed="false">
      <c r="A304" s="24" t="s">
        <v>10</v>
      </c>
      <c r="B304" s="19" t="n">
        <f aca="false">NPV(0.1,D304:Y304)</f>
        <v>141808.677572203</v>
      </c>
      <c r="C304" s="19" t="n">
        <f aca="false">B304-B294</f>
        <v>-903.201966021705</v>
      </c>
      <c r="D304" s="25" t="n">
        <v>4218.93524353721</v>
      </c>
      <c r="E304" s="26" t="n">
        <v>7547.58507996584</v>
      </c>
      <c r="F304" s="26" t="n">
        <v>7059.54798289373</v>
      </c>
      <c r="G304" s="26" t="n">
        <v>20515.6142903947</v>
      </c>
      <c r="H304" s="26" t="n">
        <v>26789.7632560182</v>
      </c>
      <c r="I304" s="26" t="n">
        <v>27293.2726436584</v>
      </c>
      <c r="J304" s="26" t="n">
        <v>20369.4797321121</v>
      </c>
      <c r="K304" s="26" t="n">
        <v>19965.9416417276</v>
      </c>
      <c r="L304" s="26" t="n">
        <v>19877.3868446842</v>
      </c>
      <c r="M304" s="26" t="n">
        <v>19739.3015336961</v>
      </c>
      <c r="N304" s="27" t="n">
        <v>19655.5868999219</v>
      </c>
      <c r="O304" s="23" t="n">
        <v>19546.2535781595</v>
      </c>
      <c r="P304" s="23" t="n">
        <v>19388.473595752</v>
      </c>
      <c r="Q304" s="23" t="n">
        <v>19172.6201411833</v>
      </c>
      <c r="R304" s="23" t="n">
        <v>19001.7612801298</v>
      </c>
      <c r="S304" s="23" t="n">
        <v>16040.1567090232</v>
      </c>
      <c r="T304" s="23" t="n">
        <v>12945.558429945</v>
      </c>
      <c r="U304" s="23" t="n">
        <v>12468.6032348207</v>
      </c>
      <c r="V304" s="23" t="n">
        <v>12042.5201994644</v>
      </c>
      <c r="W304" s="23" t="n">
        <v>11509.8126846328</v>
      </c>
      <c r="X304" s="23" t="n">
        <v>31567.4934254356</v>
      </c>
    </row>
    <row r="306" customFormat="false" ht="11.25" hidden="false" customHeight="false" outlineLevel="0" collapsed="false">
      <c r="A306" s="28" t="s">
        <v>42</v>
      </c>
    </row>
    <row r="307" customFormat="false" ht="11.25" hidden="false" customHeight="false" outlineLevel="0" collapsed="false">
      <c r="A307" s="31" t="n">
        <v>36266</v>
      </c>
    </row>
    <row r="308" customFormat="false" ht="11.25" hidden="false" customHeight="false" outlineLevel="0" collapsed="false">
      <c r="A308" s="9" t="s">
        <v>2</v>
      </c>
      <c r="B308" s="10" t="n">
        <v>60849.8554859617</v>
      </c>
      <c r="C308" s="11"/>
      <c r="D308" s="11"/>
      <c r="E308" s="11"/>
      <c r="F308" s="11"/>
      <c r="G308" s="11"/>
      <c r="H308" s="11"/>
      <c r="I308" s="11"/>
      <c r="J308" s="11"/>
      <c r="K308" s="11"/>
      <c r="L308" s="11"/>
      <c r="M308" s="11"/>
      <c r="N308" s="11"/>
      <c r="O308" s="11"/>
      <c r="P308" s="11"/>
      <c r="Q308" s="11"/>
      <c r="R308" s="11"/>
      <c r="S308" s="11"/>
      <c r="T308" s="11"/>
      <c r="U308" s="11"/>
      <c r="V308" s="11"/>
    </row>
    <row r="309" customFormat="false" ht="11.25" hidden="false" customHeight="false" outlineLevel="0" collapsed="false">
      <c r="A309" s="12" t="s">
        <v>3</v>
      </c>
      <c r="B309" s="13" t="n">
        <v>101507.309230488</v>
      </c>
      <c r="C309" s="11"/>
      <c r="D309" s="11"/>
      <c r="E309" s="11"/>
      <c r="F309" s="11"/>
      <c r="G309" s="11"/>
      <c r="H309" s="11"/>
      <c r="I309" s="11"/>
      <c r="J309" s="11"/>
      <c r="K309" s="11"/>
      <c r="L309" s="11"/>
      <c r="M309" s="11"/>
      <c r="N309" s="11"/>
      <c r="O309" s="11"/>
      <c r="P309" s="11"/>
      <c r="Q309" s="11"/>
      <c r="R309" s="11"/>
      <c r="S309" s="11"/>
      <c r="T309" s="11"/>
      <c r="U309" s="11"/>
      <c r="V309" s="11"/>
    </row>
    <row r="310" customFormat="false" ht="11.25" hidden="false" customHeight="false" outlineLevel="0" collapsed="false">
      <c r="A310" s="14" t="s">
        <v>4</v>
      </c>
      <c r="B310" s="15" t="s">
        <v>5</v>
      </c>
      <c r="C310" s="15" t="s">
        <v>6</v>
      </c>
      <c r="D310" s="16" t="n">
        <v>2000</v>
      </c>
      <c r="E310" s="17" t="n">
        <v>2001</v>
      </c>
      <c r="F310" s="17" t="n">
        <v>2002</v>
      </c>
      <c r="G310" s="17" t="n">
        <v>2003</v>
      </c>
      <c r="H310" s="17" t="n">
        <v>2004</v>
      </c>
      <c r="I310" s="17" t="n">
        <v>2005</v>
      </c>
      <c r="J310" s="17" t="n">
        <v>2006</v>
      </c>
      <c r="K310" s="17" t="n">
        <v>2007</v>
      </c>
      <c r="L310" s="17" t="n">
        <v>2008</v>
      </c>
      <c r="M310" s="17" t="n">
        <v>2009</v>
      </c>
      <c r="N310" s="18" t="n">
        <v>2010</v>
      </c>
      <c r="O310" s="11" t="n">
        <v>2011</v>
      </c>
      <c r="P310" s="11" t="n">
        <v>2012</v>
      </c>
      <c r="Q310" s="11" t="n">
        <v>2013</v>
      </c>
      <c r="R310" s="11" t="n">
        <v>2014</v>
      </c>
      <c r="S310" s="11" t="n">
        <v>2015</v>
      </c>
      <c r="T310" s="11" t="n">
        <v>2016</v>
      </c>
      <c r="U310" s="11" t="n">
        <v>2017</v>
      </c>
      <c r="V310" s="11" t="n">
        <v>2018</v>
      </c>
      <c r="W310" s="11" t="n">
        <v>2019</v>
      </c>
      <c r="X310" s="11" t="n">
        <v>2020</v>
      </c>
    </row>
    <row r="311" customFormat="false" ht="11.25" hidden="false" customHeight="false" outlineLevel="0" collapsed="false">
      <c r="A311" s="14" t="s">
        <v>7</v>
      </c>
      <c r="B311" s="19" t="n">
        <f aca="false">NPV(0.1,D311:Y311)</f>
        <v>572463.454637569</v>
      </c>
      <c r="C311" s="19" t="n">
        <f aca="false">B311-B301</f>
        <v>1776.85330532456</v>
      </c>
      <c r="D311" s="20" t="n">
        <v>38221.3934</v>
      </c>
      <c r="E311" s="21" t="n">
        <v>48070.797617</v>
      </c>
      <c r="F311" s="21" t="n">
        <v>48148.07771051</v>
      </c>
      <c r="G311" s="21" t="n">
        <v>61643.760337769</v>
      </c>
      <c r="H311" s="21" t="n">
        <v>72397.6041848003</v>
      </c>
      <c r="I311" s="21" t="n">
        <v>73594.515047315</v>
      </c>
      <c r="J311" s="21" t="n">
        <v>74171.2228211238</v>
      </c>
      <c r="K311" s="21" t="n">
        <v>74736.1306628686</v>
      </c>
      <c r="L311" s="21" t="n">
        <v>75288.0115396291</v>
      </c>
      <c r="M311" s="21" t="n">
        <v>75825.5754164486</v>
      </c>
      <c r="N311" s="22" t="n">
        <v>76347.4665805417</v>
      </c>
      <c r="O311" s="23" t="n">
        <v>77227.1078220897</v>
      </c>
      <c r="P311" s="23" t="n">
        <v>78110.647483258</v>
      </c>
      <c r="Q311" s="23" t="n">
        <v>78997.5277921066</v>
      </c>
      <c r="R311" s="23" t="n">
        <v>79887.1540018012</v>
      </c>
      <c r="S311" s="23" t="n">
        <v>80778.8926741145</v>
      </c>
      <c r="T311" s="23" t="n">
        <v>81237.5195301535</v>
      </c>
      <c r="U311" s="23" t="n">
        <v>81670.7956591982</v>
      </c>
      <c r="V311" s="23" t="n">
        <v>82076.7872534585</v>
      </c>
      <c r="W311" s="23" t="n">
        <v>82453.467292331</v>
      </c>
      <c r="X311" s="23" t="n">
        <v>82798.7116900578</v>
      </c>
    </row>
    <row r="312" customFormat="false" ht="11.25" hidden="false" customHeight="false" outlineLevel="0" collapsed="false">
      <c r="A312" s="24" t="s">
        <v>8</v>
      </c>
      <c r="B312" s="19" t="n">
        <f aca="false">NPV(0.1,D312:Y312)</f>
        <v>245424.990113482</v>
      </c>
      <c r="C312" s="19" t="n">
        <f aca="false">B312-B302</f>
        <v>-7.54785933814128</v>
      </c>
      <c r="D312" s="20" t="n">
        <v>26020.8188654565</v>
      </c>
      <c r="E312" s="21" t="n">
        <v>27583.5795713203</v>
      </c>
      <c r="F312" s="21" t="n">
        <v>27734.0977766953</v>
      </c>
      <c r="G312" s="21" t="n">
        <v>27889.1315282316</v>
      </c>
      <c r="H312" s="21" t="n">
        <v>28048.816292314</v>
      </c>
      <c r="I312" s="21" t="n">
        <v>28157.7665293127</v>
      </c>
      <c r="J312" s="21" t="n">
        <v>28327.1760955277</v>
      </c>
      <c r="K312" s="21" t="n">
        <v>28501.6679487291</v>
      </c>
      <c r="L312" s="21" t="n">
        <v>28681.3945575266</v>
      </c>
      <c r="M312" s="21" t="n">
        <v>28810.9878945818</v>
      </c>
      <c r="N312" s="22" t="n">
        <v>29001.6598538551</v>
      </c>
      <c r="O312" s="23" t="n">
        <v>29198.0519719065</v>
      </c>
      <c r="P312" s="23" t="n">
        <v>29400.3358534996</v>
      </c>
      <c r="Q312" s="23" t="n">
        <v>29553.1631815341</v>
      </c>
      <c r="R312" s="23" t="n">
        <v>29767.7661515161</v>
      </c>
      <c r="S312" s="23" t="n">
        <v>29988.8072105976</v>
      </c>
      <c r="T312" s="23" t="n">
        <v>30216.4795014516</v>
      </c>
      <c r="U312" s="23" t="n">
        <v>30395.4568910249</v>
      </c>
      <c r="V312" s="23" t="n">
        <v>30636.9944243918</v>
      </c>
      <c r="W312" s="23" t="n">
        <v>30885.7780837598</v>
      </c>
      <c r="X312" s="23" t="n">
        <v>31142.0252529087</v>
      </c>
    </row>
    <row r="313" customFormat="false" ht="11.25" hidden="false" customHeight="false" outlineLevel="0" collapsed="false">
      <c r="A313" s="24" t="s">
        <v>9</v>
      </c>
      <c r="B313" s="19" t="n">
        <f aca="false">NPV(0.1,D313:Y313)</f>
        <v>108186.447046423</v>
      </c>
      <c r="C313" s="19" t="n">
        <f aca="false">B313-B303</f>
        <v>886.80293342947</v>
      </c>
      <c r="D313" s="20" t="n">
        <v>119.71313258081</v>
      </c>
      <c r="E313" s="21" t="n">
        <v>-45.0865261969718</v>
      </c>
      <c r="F313" s="21" t="n">
        <v>-83.1436410356623</v>
      </c>
      <c r="G313" s="21" t="n">
        <v>8071.19705635634</v>
      </c>
      <c r="H313" s="21" t="n">
        <v>14543.1499116173</v>
      </c>
      <c r="I313" s="21" t="n">
        <v>15514.6584950585</v>
      </c>
      <c r="J313" s="21" t="n">
        <v>16078.6008269369</v>
      </c>
      <c r="K313" s="21" t="n">
        <v>16586.5700856288</v>
      </c>
      <c r="L313" s="21" t="n">
        <v>17112.4793838499</v>
      </c>
      <c r="M313" s="21" t="n">
        <v>17691.3385101953</v>
      </c>
      <c r="N313" s="22" t="n">
        <v>18257.5602515278</v>
      </c>
      <c r="O313" s="23" t="n">
        <v>19074.3329309783</v>
      </c>
      <c r="P313" s="23" t="n">
        <v>19935.0307375542</v>
      </c>
      <c r="Q313" s="23" t="n">
        <v>20876.6966003472</v>
      </c>
      <c r="R313" s="23" t="n">
        <v>21835.9352052329</v>
      </c>
      <c r="S313" s="23" t="n">
        <v>22849.3146692424</v>
      </c>
      <c r="T313" s="23" t="n">
        <v>23655.3099924714</v>
      </c>
      <c r="U313" s="23" t="n">
        <v>24533.2174861664</v>
      </c>
      <c r="V313" s="23" t="n">
        <v>25418.9561376906</v>
      </c>
      <c r="W313" s="23" t="n">
        <v>26348.3600477412</v>
      </c>
      <c r="X313" s="23" t="n">
        <v>27350.9685481485</v>
      </c>
    </row>
    <row r="314" customFormat="false" ht="11.25" hidden="false" customHeight="false" outlineLevel="0" collapsed="false">
      <c r="A314" s="24" t="s">
        <v>10</v>
      </c>
      <c r="B314" s="19" t="n">
        <f aca="false">NPV(0.1,D314:Y314)</f>
        <v>142339.038378933</v>
      </c>
      <c r="C314" s="19" t="n">
        <f aca="false">B314-B304</f>
        <v>530.360806730052</v>
      </c>
      <c r="D314" s="25" t="n">
        <v>4219.36535986297</v>
      </c>
      <c r="E314" s="26" t="n">
        <v>7547.87182418301</v>
      </c>
      <c r="F314" s="26" t="n">
        <v>7059.8347271109</v>
      </c>
      <c r="G314" s="26" t="n">
        <v>20674.7101458417</v>
      </c>
      <c r="H314" s="26" t="n">
        <v>27163.6325841478</v>
      </c>
      <c r="I314" s="26" t="n">
        <v>27626.4122140797</v>
      </c>
      <c r="J314" s="26" t="n">
        <v>20168.599849145</v>
      </c>
      <c r="K314" s="26" t="n">
        <v>20082.9296385065</v>
      </c>
      <c r="L314" s="26" t="n">
        <v>19955.9323528409</v>
      </c>
      <c r="M314" s="26" t="n">
        <v>19778.8814351039</v>
      </c>
      <c r="N314" s="27" t="n">
        <v>19655.8323631762</v>
      </c>
      <c r="O314" s="23" t="n">
        <v>19546.4941664702</v>
      </c>
      <c r="P314" s="23" t="n">
        <v>19388.7089191237</v>
      </c>
      <c r="Q314" s="23" t="n">
        <v>19172.8497784207</v>
      </c>
      <c r="R314" s="23" t="n">
        <v>19001.9847763423</v>
      </c>
      <c r="S314" s="23" t="n">
        <v>16040.3735729287</v>
      </c>
      <c r="T314" s="23" t="n">
        <v>12945.7681309589</v>
      </c>
      <c r="U314" s="23" t="n">
        <v>12468.8051999118</v>
      </c>
      <c r="V314" s="23" t="n">
        <v>12042.7138097588</v>
      </c>
      <c r="W314" s="23" t="n">
        <v>11509.9972717468</v>
      </c>
      <c r="X314" s="23" t="n">
        <v>31567.9999234767</v>
      </c>
    </row>
    <row r="316" customFormat="false" ht="11.25" hidden="false" customHeight="false" outlineLevel="0" collapsed="false">
      <c r="A316" s="28" t="s">
        <v>43</v>
      </c>
    </row>
    <row r="317" customFormat="false" ht="11.25" hidden="false" customHeight="false" outlineLevel="0" collapsed="false">
      <c r="A317" s="31" t="n">
        <v>36266</v>
      </c>
    </row>
    <row r="318" customFormat="false" ht="11.25" hidden="false" customHeight="false" outlineLevel="0" collapsed="false">
      <c r="A318" s="9" t="s">
        <v>2</v>
      </c>
      <c r="B318" s="10" t="n">
        <v>60849.8554859617</v>
      </c>
      <c r="C318" s="11"/>
      <c r="D318" s="11"/>
      <c r="E318" s="11"/>
      <c r="F318" s="11"/>
      <c r="G318" s="11"/>
      <c r="H318" s="11"/>
      <c r="I318" s="11"/>
      <c r="J318" s="11"/>
      <c r="K318" s="11"/>
      <c r="L318" s="11"/>
      <c r="M318" s="11"/>
      <c r="N318" s="11"/>
      <c r="O318" s="11"/>
      <c r="P318" s="11"/>
      <c r="Q318" s="11"/>
      <c r="R318" s="11"/>
      <c r="S318" s="11"/>
      <c r="T318" s="11"/>
      <c r="U318" s="11"/>
      <c r="V318" s="11"/>
    </row>
    <row r="319" customFormat="false" ht="11.25" hidden="false" customHeight="false" outlineLevel="0" collapsed="false">
      <c r="A319" s="12" t="s">
        <v>3</v>
      </c>
      <c r="B319" s="13" t="n">
        <v>101507.309230488</v>
      </c>
      <c r="C319" s="11"/>
      <c r="D319" s="11"/>
      <c r="E319" s="11"/>
      <c r="F319" s="11"/>
      <c r="G319" s="11"/>
      <c r="H319" s="11"/>
      <c r="I319" s="11"/>
      <c r="J319" s="11"/>
      <c r="K319" s="11"/>
      <c r="L319" s="11"/>
      <c r="M319" s="11"/>
      <c r="N319" s="11"/>
      <c r="O319" s="11"/>
      <c r="P319" s="11"/>
      <c r="Q319" s="11"/>
      <c r="R319" s="11"/>
      <c r="S319" s="11"/>
      <c r="T319" s="11"/>
      <c r="U319" s="11"/>
      <c r="V319" s="11"/>
    </row>
    <row r="320" customFormat="false" ht="11.25" hidden="false" customHeight="false" outlineLevel="0" collapsed="false">
      <c r="A320" s="14" t="s">
        <v>4</v>
      </c>
      <c r="B320" s="15" t="s">
        <v>5</v>
      </c>
      <c r="C320" s="15" t="s">
        <v>6</v>
      </c>
      <c r="D320" s="16" t="n">
        <v>2000</v>
      </c>
      <c r="E320" s="17" t="n">
        <v>2001</v>
      </c>
      <c r="F320" s="17" t="n">
        <v>2002</v>
      </c>
      <c r="G320" s="17" t="n">
        <v>2003</v>
      </c>
      <c r="H320" s="17" t="n">
        <v>2004</v>
      </c>
      <c r="I320" s="17" t="n">
        <v>2005</v>
      </c>
      <c r="J320" s="17" t="n">
        <v>2006</v>
      </c>
      <c r="K320" s="17" t="n">
        <v>2007</v>
      </c>
      <c r="L320" s="17" t="n">
        <v>2008</v>
      </c>
      <c r="M320" s="17" t="n">
        <v>2009</v>
      </c>
      <c r="N320" s="18" t="n">
        <v>2010</v>
      </c>
      <c r="O320" s="11" t="n">
        <v>2011</v>
      </c>
      <c r="P320" s="11" t="n">
        <v>2012</v>
      </c>
      <c r="Q320" s="11" t="n">
        <v>2013</v>
      </c>
      <c r="R320" s="11" t="n">
        <v>2014</v>
      </c>
      <c r="S320" s="11" t="n">
        <v>2015</v>
      </c>
      <c r="T320" s="11" t="n">
        <v>2016</v>
      </c>
      <c r="U320" s="11" t="n">
        <v>2017</v>
      </c>
      <c r="V320" s="11" t="n">
        <v>2018</v>
      </c>
      <c r="W320" s="11" t="n">
        <v>2019</v>
      </c>
      <c r="X320" s="11" t="n">
        <v>2020</v>
      </c>
    </row>
    <row r="321" customFormat="false" ht="11.25" hidden="false" customHeight="false" outlineLevel="0" collapsed="false">
      <c r="A321" s="14" t="s">
        <v>7</v>
      </c>
      <c r="B321" s="19" t="n">
        <f aca="false">NPV(0.1,D321:Y321)</f>
        <v>574778.654747544</v>
      </c>
      <c r="C321" s="19" t="n">
        <f aca="false">B321-B311</f>
        <v>2315.20010997413</v>
      </c>
      <c r="D321" s="20" t="n">
        <v>38489.087</v>
      </c>
      <c r="E321" s="21" t="n">
        <v>48338.491217</v>
      </c>
      <c r="F321" s="21" t="n">
        <v>48415.77131051</v>
      </c>
      <c r="G321" s="21" t="n">
        <v>61911.453937769</v>
      </c>
      <c r="H321" s="21" t="n">
        <v>72665.2977848003</v>
      </c>
      <c r="I321" s="21" t="n">
        <v>73862.208647315</v>
      </c>
      <c r="J321" s="21" t="n">
        <v>74438.9164211238</v>
      </c>
      <c r="K321" s="21" t="n">
        <v>75003.8242628686</v>
      </c>
      <c r="L321" s="21" t="n">
        <v>75555.7051396291</v>
      </c>
      <c r="M321" s="21" t="n">
        <v>76093.2690164487</v>
      </c>
      <c r="N321" s="22" t="n">
        <v>76615.1601805417</v>
      </c>
      <c r="O321" s="23" t="n">
        <v>77494.8014220897</v>
      </c>
      <c r="P321" s="23" t="n">
        <v>78378.341083258</v>
      </c>
      <c r="Q321" s="23" t="n">
        <v>79265.2213921066</v>
      </c>
      <c r="R321" s="23" t="n">
        <v>80154.8476018012</v>
      </c>
      <c r="S321" s="23" t="n">
        <v>81046.5862741145</v>
      </c>
      <c r="T321" s="23" t="n">
        <v>81505.2131301535</v>
      </c>
      <c r="U321" s="23" t="n">
        <v>81938.4892591982</v>
      </c>
      <c r="V321" s="23" t="n">
        <v>82344.4808534584</v>
      </c>
      <c r="W321" s="23" t="n">
        <v>82721.160892331</v>
      </c>
      <c r="X321" s="23" t="n">
        <v>83066.4052900578</v>
      </c>
    </row>
    <row r="322" customFormat="false" ht="11.25" hidden="false" customHeight="false" outlineLevel="0" collapsed="false">
      <c r="A322" s="24" t="s">
        <v>8</v>
      </c>
      <c r="B322" s="19" t="n">
        <f aca="false">NPV(0.1,D322:Y322)</f>
        <v>247740.190223457</v>
      </c>
      <c r="C322" s="19" t="n">
        <f aca="false">B322-B312</f>
        <v>2315.20010997413</v>
      </c>
      <c r="D322" s="20" t="n">
        <v>26288.5124654565</v>
      </c>
      <c r="E322" s="21" t="n">
        <v>27851.2731713203</v>
      </c>
      <c r="F322" s="21" t="n">
        <v>28001.7913766953</v>
      </c>
      <c r="G322" s="21" t="n">
        <v>28156.8251282317</v>
      </c>
      <c r="H322" s="21" t="n">
        <v>28316.509892314</v>
      </c>
      <c r="I322" s="21" t="n">
        <v>28425.4601293127</v>
      </c>
      <c r="J322" s="21" t="n">
        <v>28594.8696955277</v>
      </c>
      <c r="K322" s="21" t="n">
        <v>28769.3615487291</v>
      </c>
      <c r="L322" s="21" t="n">
        <v>28949.0881575266</v>
      </c>
      <c r="M322" s="21" t="n">
        <v>29078.6814945818</v>
      </c>
      <c r="N322" s="22" t="n">
        <v>29269.3534538551</v>
      </c>
      <c r="O322" s="23" t="n">
        <v>29465.7455719065</v>
      </c>
      <c r="P322" s="23" t="n">
        <v>29668.0294534996</v>
      </c>
      <c r="Q322" s="23" t="n">
        <v>29820.8567815341</v>
      </c>
      <c r="R322" s="23" t="n">
        <v>30035.4597515161</v>
      </c>
      <c r="S322" s="23" t="n">
        <v>30256.5008105976</v>
      </c>
      <c r="T322" s="23" t="n">
        <v>30484.1731014516</v>
      </c>
      <c r="U322" s="23" t="n">
        <v>30663.1504910249</v>
      </c>
      <c r="V322" s="23" t="n">
        <v>30904.6880243918</v>
      </c>
      <c r="W322" s="23" t="n">
        <v>31153.4716837598</v>
      </c>
      <c r="X322" s="23" t="n">
        <v>31409.7188529087</v>
      </c>
    </row>
    <row r="323" customFormat="false" ht="11.25" hidden="false" customHeight="false" outlineLevel="0" collapsed="false">
      <c r="A323" s="24" t="s">
        <v>9</v>
      </c>
      <c r="B323" s="19" t="n">
        <f aca="false">NPV(0.1,D323:Y323)</f>
        <v>108186.447046423</v>
      </c>
      <c r="C323" s="19" t="n">
        <f aca="false">B323-B313</f>
        <v>0</v>
      </c>
      <c r="D323" s="20" t="n">
        <v>119.713132580808</v>
      </c>
      <c r="E323" s="21" t="n">
        <v>-45.0865261969674</v>
      </c>
      <c r="F323" s="21" t="n">
        <v>-83.1436410356579</v>
      </c>
      <c r="G323" s="21" t="n">
        <v>8071.19705635634</v>
      </c>
      <c r="H323" s="21" t="n">
        <v>14543.1499116173</v>
      </c>
      <c r="I323" s="21" t="n">
        <v>15514.6584950585</v>
      </c>
      <c r="J323" s="21" t="n">
        <v>16078.6008269369</v>
      </c>
      <c r="K323" s="21" t="n">
        <v>16586.5700856288</v>
      </c>
      <c r="L323" s="21" t="n">
        <v>17112.4793838499</v>
      </c>
      <c r="M323" s="21" t="n">
        <v>17691.3385101953</v>
      </c>
      <c r="N323" s="22" t="n">
        <v>18257.5602515278</v>
      </c>
      <c r="O323" s="23" t="n">
        <v>19074.3329309783</v>
      </c>
      <c r="P323" s="23" t="n">
        <v>19935.0307375542</v>
      </c>
      <c r="Q323" s="23" t="n">
        <v>20876.6966003472</v>
      </c>
      <c r="R323" s="23" t="n">
        <v>21835.9352052329</v>
      </c>
      <c r="S323" s="23" t="n">
        <v>22849.3146692424</v>
      </c>
      <c r="T323" s="23" t="n">
        <v>23655.3099924714</v>
      </c>
      <c r="U323" s="23" t="n">
        <v>24533.2174861664</v>
      </c>
      <c r="V323" s="23" t="n">
        <v>25418.9561376906</v>
      </c>
      <c r="W323" s="23" t="n">
        <v>26348.3600477412</v>
      </c>
      <c r="X323" s="23" t="n">
        <v>27350.9685481485</v>
      </c>
    </row>
    <row r="324" customFormat="false" ht="11.25" hidden="false" customHeight="false" outlineLevel="0" collapsed="false">
      <c r="A324" s="24" t="s">
        <v>10</v>
      </c>
      <c r="B324" s="19" t="n">
        <f aca="false">NPV(0.1,D324:Y324)</f>
        <v>142339.038378933</v>
      </c>
      <c r="C324" s="19" t="n">
        <f aca="false">B324-B314</f>
        <v>0</v>
      </c>
      <c r="D324" s="25" t="n">
        <v>4219.36535986297</v>
      </c>
      <c r="E324" s="26" t="n">
        <v>7547.87182418301</v>
      </c>
      <c r="F324" s="26" t="n">
        <v>7059.8347271109</v>
      </c>
      <c r="G324" s="26" t="n">
        <v>20674.7101458417</v>
      </c>
      <c r="H324" s="26" t="n">
        <v>27163.6325841478</v>
      </c>
      <c r="I324" s="26" t="n">
        <v>27626.4122140797</v>
      </c>
      <c r="J324" s="26" t="n">
        <v>20168.599849145</v>
      </c>
      <c r="K324" s="26" t="n">
        <v>20082.9296385065</v>
      </c>
      <c r="L324" s="26" t="n">
        <v>19955.9323528409</v>
      </c>
      <c r="M324" s="26" t="n">
        <v>19778.8814351039</v>
      </c>
      <c r="N324" s="27" t="n">
        <v>19655.8323631762</v>
      </c>
      <c r="O324" s="23" t="n">
        <v>19546.4941664702</v>
      </c>
      <c r="P324" s="23" t="n">
        <v>19388.7089191237</v>
      </c>
      <c r="Q324" s="23" t="n">
        <v>19172.8497784207</v>
      </c>
      <c r="R324" s="23" t="n">
        <v>19001.9847763423</v>
      </c>
      <c r="S324" s="23" t="n">
        <v>16040.3735729287</v>
      </c>
      <c r="T324" s="23" t="n">
        <v>12945.7681309589</v>
      </c>
      <c r="U324" s="23" t="n">
        <v>12468.8051999118</v>
      </c>
      <c r="V324" s="23" t="n">
        <v>12042.7138097588</v>
      </c>
      <c r="W324" s="23" t="n">
        <v>11509.9972717468</v>
      </c>
      <c r="X324" s="23" t="n">
        <v>31567.9999234767</v>
      </c>
    </row>
    <row r="326" customFormat="false" ht="11.25" hidden="false" customHeight="false" outlineLevel="0" collapsed="false">
      <c r="A326" s="28" t="s">
        <v>44</v>
      </c>
    </row>
    <row r="327" customFormat="false" ht="11.25" hidden="false" customHeight="false" outlineLevel="0" collapsed="false">
      <c r="A327" s="31" t="n">
        <v>36268</v>
      </c>
    </row>
    <row r="328" customFormat="false" ht="11.25" hidden="false" customHeight="false" outlineLevel="0" collapsed="false">
      <c r="A328" s="9" t="s">
        <v>2</v>
      </c>
      <c r="B328" s="10" t="n">
        <v>63889.9821515195</v>
      </c>
      <c r="C328" s="11"/>
      <c r="D328" s="11"/>
      <c r="E328" s="11"/>
      <c r="F328" s="11"/>
      <c r="G328" s="11"/>
      <c r="H328" s="11"/>
      <c r="I328" s="11"/>
      <c r="J328" s="11"/>
      <c r="K328" s="11"/>
      <c r="L328" s="11"/>
      <c r="M328" s="11"/>
      <c r="N328" s="11"/>
      <c r="O328" s="11"/>
      <c r="P328" s="11"/>
      <c r="Q328" s="11"/>
      <c r="R328" s="11"/>
      <c r="S328" s="11"/>
      <c r="T328" s="11"/>
      <c r="U328" s="11"/>
      <c r="V328" s="11"/>
    </row>
    <row r="329" customFormat="false" ht="11.25" hidden="false" customHeight="false" outlineLevel="0" collapsed="false">
      <c r="A329" s="12" t="s">
        <v>3</v>
      </c>
      <c r="B329" s="13" t="n">
        <v>105464.743597595</v>
      </c>
      <c r="C329" s="11"/>
      <c r="D329" s="11"/>
      <c r="E329" s="11"/>
      <c r="F329" s="11"/>
      <c r="G329" s="11"/>
      <c r="H329" s="11"/>
      <c r="I329" s="11"/>
      <c r="J329" s="11"/>
      <c r="K329" s="11"/>
      <c r="L329" s="11"/>
      <c r="M329" s="11"/>
      <c r="N329" s="11"/>
      <c r="O329" s="11"/>
      <c r="P329" s="11"/>
      <c r="Q329" s="11"/>
      <c r="R329" s="11"/>
      <c r="S329" s="11"/>
      <c r="T329" s="11"/>
      <c r="U329" s="11"/>
      <c r="V329" s="11"/>
    </row>
    <row r="330" customFormat="false" ht="11.25" hidden="false" customHeight="false" outlineLevel="0" collapsed="false">
      <c r="A330" s="14" t="s">
        <v>4</v>
      </c>
      <c r="B330" s="15" t="s">
        <v>5</v>
      </c>
      <c r="C330" s="15" t="s">
        <v>6</v>
      </c>
      <c r="D330" s="16" t="n">
        <v>2000</v>
      </c>
      <c r="E330" s="17" t="n">
        <v>2001</v>
      </c>
      <c r="F330" s="17" t="n">
        <v>2002</v>
      </c>
      <c r="G330" s="17" t="n">
        <v>2003</v>
      </c>
      <c r="H330" s="17" t="n">
        <v>2004</v>
      </c>
      <c r="I330" s="17" t="n">
        <v>2005</v>
      </c>
      <c r="J330" s="17" t="n">
        <v>2006</v>
      </c>
      <c r="K330" s="17" t="n">
        <v>2007</v>
      </c>
      <c r="L330" s="17" t="n">
        <v>2008</v>
      </c>
      <c r="M330" s="17" t="n">
        <v>2009</v>
      </c>
      <c r="N330" s="18" t="n">
        <v>2010</v>
      </c>
      <c r="O330" s="11" t="n">
        <v>2011</v>
      </c>
      <c r="P330" s="11" t="n">
        <v>2012</v>
      </c>
      <c r="Q330" s="11" t="n">
        <v>2013</v>
      </c>
      <c r="R330" s="11" t="n">
        <v>2014</v>
      </c>
      <c r="S330" s="11" t="n">
        <v>2015</v>
      </c>
      <c r="T330" s="11" t="n">
        <v>2016</v>
      </c>
      <c r="U330" s="11" t="n">
        <v>2017</v>
      </c>
      <c r="V330" s="11" t="n">
        <v>2018</v>
      </c>
      <c r="W330" s="11" t="n">
        <v>2019</v>
      </c>
      <c r="X330" s="11" t="n">
        <v>2020</v>
      </c>
    </row>
    <row r="331" customFormat="false" ht="11.25" hidden="false" customHeight="false" outlineLevel="0" collapsed="false">
      <c r="A331" s="14" t="s">
        <v>7</v>
      </c>
      <c r="B331" s="19" t="n">
        <f aca="false">NPV(0.1,D331:Y331)</f>
        <v>580647.95094359</v>
      </c>
      <c r="C331" s="19" t="n">
        <f aca="false">B331-B321</f>
        <v>5869.29619604687</v>
      </c>
      <c r="D331" s="20" t="n">
        <v>38871.7732</v>
      </c>
      <c r="E331" s="21" t="n">
        <v>48826.814468</v>
      </c>
      <c r="F331" s="21" t="n">
        <v>48904.10697404</v>
      </c>
      <c r="G331" s="21" t="n">
        <v>62544.7808514604</v>
      </c>
      <c r="H331" s="21" t="n">
        <v>73413.9613467001</v>
      </c>
      <c r="I331" s="21" t="n">
        <v>74622.9074207938</v>
      </c>
      <c r="J331" s="21" t="n">
        <v>75204.9213250481</v>
      </c>
      <c r="K331" s="21" t="n">
        <v>75774.980004719</v>
      </c>
      <c r="L331" s="21" t="n">
        <v>76331.8423338176</v>
      </c>
      <c r="M331" s="21" t="n">
        <v>76874.2034784979</v>
      </c>
      <c r="N331" s="22" t="n">
        <v>77400.6921915985</v>
      </c>
      <c r="O331" s="23" t="n">
        <v>78288.7656779119</v>
      </c>
      <c r="P331" s="23" t="n">
        <v>79180.7475082716</v>
      </c>
      <c r="Q331" s="23" t="n">
        <v>80076.0729171828</v>
      </c>
      <c r="R331" s="23" t="n">
        <v>80974.1397357112</v>
      </c>
      <c r="S331" s="23" t="n">
        <v>81874.3066555658</v>
      </c>
      <c r="T331" s="23" t="n">
        <v>82336.645170418</v>
      </c>
      <c r="U331" s="23" t="n">
        <v>82773.3216780112</v>
      </c>
      <c r="V331" s="23" t="n">
        <v>83182.3803532467</v>
      </c>
      <c r="W331" s="23" t="n">
        <v>83561.7711173262</v>
      </c>
      <c r="X331" s="23" t="n">
        <v>83909.3457427725</v>
      </c>
    </row>
    <row r="332" customFormat="false" ht="11.25" hidden="false" customHeight="false" outlineLevel="0" collapsed="false">
      <c r="A332" s="24" t="s">
        <v>8</v>
      </c>
      <c r="B332" s="19" t="n">
        <f aca="false">NPV(0.1,D332:Y332)</f>
        <v>249777.618728575</v>
      </c>
      <c r="C332" s="19" t="n">
        <f aca="false">B332-B322</f>
        <v>2037.42850511838</v>
      </c>
      <c r="D332" s="20" t="n">
        <v>26521.6923778566</v>
      </c>
      <c r="E332" s="21" t="n">
        <v>28086.4941010215</v>
      </c>
      <c r="F332" s="21" t="n">
        <v>28237.0963021445</v>
      </c>
      <c r="G332" s="21" t="n">
        <v>28392.2165693013</v>
      </c>
      <c r="H332" s="21" t="n">
        <v>28551.9904444727</v>
      </c>
      <c r="I332" s="21" t="n">
        <v>28661.032465893</v>
      </c>
      <c r="J332" s="21" t="n">
        <v>28830.5365700624</v>
      </c>
      <c r="K332" s="21" t="n">
        <v>29005.1257973569</v>
      </c>
      <c r="L332" s="21" t="n">
        <v>29184.9527014702</v>
      </c>
      <c r="M332" s="21" t="n">
        <v>29314.6493427006</v>
      </c>
      <c r="N332" s="22" t="n">
        <v>29505.4277052744</v>
      </c>
      <c r="O332" s="23" t="n">
        <v>29701.9294187254</v>
      </c>
      <c r="P332" s="23" t="n">
        <v>29904.3261835799</v>
      </c>
      <c r="Q332" s="23" t="n">
        <v>30057.2697813739</v>
      </c>
      <c r="R332" s="23" t="n">
        <v>30271.992509208</v>
      </c>
      <c r="S332" s="23" t="n">
        <v>30493.1569188772</v>
      </c>
      <c r="T332" s="23" t="n">
        <v>30720.9562608365</v>
      </c>
      <c r="U332" s="23" t="n">
        <v>30900.0645130483</v>
      </c>
      <c r="V332" s="23" t="n">
        <v>31141.7368349329</v>
      </c>
      <c r="W332" s="23" t="n">
        <v>31390.6593264741</v>
      </c>
      <c r="X332" s="23" t="n">
        <v>31647.0494927614</v>
      </c>
    </row>
    <row r="333" customFormat="false" ht="11.25" hidden="false" customHeight="false" outlineLevel="0" collapsed="false">
      <c r="A333" s="24" t="s">
        <v>9</v>
      </c>
      <c r="B333" s="19" t="n">
        <f aca="false">NPV(0.1,D333:Y333)</f>
        <v>109875.025873626</v>
      </c>
      <c r="C333" s="19" t="n">
        <f aca="false">B333-B323</f>
        <v>1688.578827203</v>
      </c>
      <c r="D333" s="20" t="n">
        <v>155.082092840383</v>
      </c>
      <c r="E333" s="21" t="n">
        <v>13.9182510865045</v>
      </c>
      <c r="F333" s="21" t="n">
        <v>-23.7025129932672</v>
      </c>
      <c r="G333" s="21" t="n">
        <v>8219.67142869385</v>
      </c>
      <c r="H333" s="21" t="n">
        <v>14762.1394499931</v>
      </c>
      <c r="I333" s="21" t="n">
        <v>15743.2917807019</v>
      </c>
      <c r="J333" s="21" t="n">
        <v>16313.1839872801</v>
      </c>
      <c r="K333" s="21" t="n">
        <v>16827.3284431428</v>
      </c>
      <c r="L333" s="21" t="n">
        <v>17359.6523005564</v>
      </c>
      <c r="M333" s="21" t="n">
        <v>17945.180497257</v>
      </c>
      <c r="N333" s="22" t="n">
        <v>18518.3421703788</v>
      </c>
      <c r="O333" s="23" t="n">
        <v>19344.8177605237</v>
      </c>
      <c r="P333" s="23" t="n">
        <v>20215.7527208402</v>
      </c>
      <c r="Q333" s="23" t="n">
        <v>21168.2281912479</v>
      </c>
      <c r="R333" s="23" t="n">
        <v>22138.89007139</v>
      </c>
      <c r="S333" s="23" t="n">
        <v>23164.3509360814</v>
      </c>
      <c r="T333" s="23" t="n">
        <v>23980.2651622042</v>
      </c>
      <c r="U333" s="23" t="n">
        <v>24868.5866180191</v>
      </c>
      <c r="V333" s="23" t="n">
        <v>25765.2696911396</v>
      </c>
      <c r="W333" s="23" t="n">
        <v>26706.1867308722</v>
      </c>
      <c r="X333" s="23" t="n">
        <v>27720.9183986474</v>
      </c>
    </row>
    <row r="334" customFormat="false" ht="11.25" hidden="false" customHeight="false" outlineLevel="0" collapsed="false">
      <c r="A334" s="24" t="s">
        <v>10</v>
      </c>
      <c r="B334" s="19" t="n">
        <f aca="false">NPV(0.1,D334:Y334)</f>
        <v>143511.064037908</v>
      </c>
      <c r="C334" s="19" t="n">
        <f aca="false">B334-B324</f>
        <v>1172.02565897495</v>
      </c>
      <c r="D334" s="25" t="n">
        <v>4271.06961765793</v>
      </c>
      <c r="E334" s="26" t="n">
        <v>7635.40304363218</v>
      </c>
      <c r="F334" s="26" t="n">
        <v>7147.34119069718</v>
      </c>
      <c r="G334" s="26" t="n">
        <v>20918.4456228225</v>
      </c>
      <c r="H334" s="26" t="n">
        <v>27477.9571776143</v>
      </c>
      <c r="I334" s="26" t="n">
        <v>27455.0091825024</v>
      </c>
      <c r="J334" s="26" t="n">
        <v>20339.2010363734</v>
      </c>
      <c r="K334" s="26" t="n">
        <v>20252.5660795232</v>
      </c>
      <c r="L334" s="26" t="n">
        <v>20124.3411369214</v>
      </c>
      <c r="M334" s="26" t="n">
        <v>19945.7805734554</v>
      </c>
      <c r="N334" s="27" t="n">
        <v>19820.9195471373</v>
      </c>
      <c r="O334" s="23" t="n">
        <v>19710.2996225883</v>
      </c>
      <c r="P334" s="23" t="n">
        <v>19550.8854647362</v>
      </c>
      <c r="Q334" s="23" t="n">
        <v>19333.0207645127</v>
      </c>
      <c r="R334" s="23" t="n">
        <v>19159.7418489134</v>
      </c>
      <c r="S334" s="23" t="n">
        <v>16195.2742639133</v>
      </c>
      <c r="T334" s="23" t="n">
        <v>13096.3430356859</v>
      </c>
      <c r="U334" s="23" t="n">
        <v>12614.5358391941</v>
      </c>
      <c r="V334" s="23" t="n">
        <v>12183.0448742488</v>
      </c>
      <c r="W334" s="23" t="n">
        <v>11644.3341095885</v>
      </c>
      <c r="X334" s="23" t="n">
        <v>31937.9497739756</v>
      </c>
    </row>
    <row r="336" customFormat="false" ht="11.25" hidden="false" customHeight="false" outlineLevel="0" collapsed="false">
      <c r="A336" s="28" t="s">
        <v>45</v>
      </c>
    </row>
    <row r="337" customFormat="false" ht="11.25" hidden="false" customHeight="false" outlineLevel="0" collapsed="false">
      <c r="A337" s="31" t="n">
        <v>36268</v>
      </c>
    </row>
    <row r="338" customFormat="false" ht="11.25" hidden="false" customHeight="false" outlineLevel="0" collapsed="false">
      <c r="A338" s="9" t="s">
        <v>2</v>
      </c>
      <c r="B338" s="10" t="n">
        <v>74671.7496849603</v>
      </c>
      <c r="C338" s="11"/>
      <c r="D338" s="11"/>
      <c r="E338" s="11"/>
      <c r="F338" s="11"/>
      <c r="G338" s="11"/>
      <c r="H338" s="11"/>
      <c r="I338" s="11"/>
      <c r="J338" s="11"/>
      <c r="K338" s="11"/>
      <c r="L338" s="11"/>
      <c r="M338" s="11"/>
      <c r="N338" s="11"/>
      <c r="O338" s="11"/>
      <c r="P338" s="11"/>
      <c r="Q338" s="11"/>
      <c r="R338" s="11"/>
      <c r="S338" s="11"/>
      <c r="T338" s="11"/>
      <c r="U338" s="11"/>
      <c r="V338" s="11"/>
    </row>
    <row r="339" customFormat="false" ht="11.25" hidden="false" customHeight="false" outlineLevel="0" collapsed="false">
      <c r="A339" s="12" t="s">
        <v>3</v>
      </c>
      <c r="B339" s="13" t="n">
        <v>119479.764873923</v>
      </c>
      <c r="C339" s="11"/>
      <c r="D339" s="11"/>
      <c r="E339" s="11"/>
      <c r="F339" s="11"/>
      <c r="G339" s="11"/>
      <c r="H339" s="11"/>
      <c r="I339" s="11"/>
      <c r="J339" s="11"/>
      <c r="K339" s="11"/>
      <c r="L339" s="11"/>
      <c r="M339" s="11"/>
      <c r="N339" s="11"/>
      <c r="O339" s="11"/>
      <c r="P339" s="11"/>
      <c r="Q339" s="11"/>
      <c r="R339" s="11"/>
      <c r="S339" s="11"/>
      <c r="T339" s="11"/>
      <c r="U339" s="11"/>
      <c r="V339" s="11"/>
    </row>
    <row r="340" customFormat="false" ht="11.25" hidden="false" customHeight="false" outlineLevel="0" collapsed="false">
      <c r="A340" s="14" t="s">
        <v>4</v>
      </c>
      <c r="B340" s="15" t="s">
        <v>5</v>
      </c>
      <c r="C340" s="15" t="s">
        <v>6</v>
      </c>
      <c r="D340" s="16" t="n">
        <v>2000</v>
      </c>
      <c r="E340" s="17" t="n">
        <v>2001</v>
      </c>
      <c r="F340" s="17" t="n">
        <v>2002</v>
      </c>
      <c r="G340" s="17" t="n">
        <v>2003</v>
      </c>
      <c r="H340" s="17" t="n">
        <v>2004</v>
      </c>
      <c r="I340" s="17" t="n">
        <v>2005</v>
      </c>
      <c r="J340" s="17" t="n">
        <v>2006</v>
      </c>
      <c r="K340" s="17" t="n">
        <v>2007</v>
      </c>
      <c r="L340" s="17" t="n">
        <v>2008</v>
      </c>
      <c r="M340" s="17" t="n">
        <v>2009</v>
      </c>
      <c r="N340" s="18" t="n">
        <v>2010</v>
      </c>
      <c r="O340" s="11" t="n">
        <v>2011</v>
      </c>
      <c r="P340" s="11" t="n">
        <v>2012</v>
      </c>
      <c r="Q340" s="11" t="n">
        <v>2013</v>
      </c>
      <c r="R340" s="11" t="n">
        <v>2014</v>
      </c>
      <c r="S340" s="11" t="n">
        <v>2015</v>
      </c>
      <c r="T340" s="11" t="n">
        <v>2016</v>
      </c>
      <c r="U340" s="11" t="n">
        <v>2017</v>
      </c>
      <c r="V340" s="11" t="n">
        <v>2018</v>
      </c>
      <c r="W340" s="11" t="n">
        <v>2019</v>
      </c>
      <c r="X340" s="11" t="n">
        <v>2020</v>
      </c>
    </row>
    <row r="341" customFormat="false" ht="11.25" hidden="false" customHeight="false" outlineLevel="0" collapsed="false">
      <c r="A341" s="14" t="s">
        <v>7</v>
      </c>
      <c r="B341" s="19" t="n">
        <f aca="false">NPV(0.1,D341:Y341)</f>
        <v>593740.548443761</v>
      </c>
      <c r="C341" s="19" t="n">
        <f aca="false">B341-B331</f>
        <v>13092.5975001708</v>
      </c>
      <c r="D341" s="20" t="n">
        <v>42063.7732</v>
      </c>
      <c r="E341" s="21" t="n">
        <v>54298.814468</v>
      </c>
      <c r="F341" s="21" t="n">
        <v>54376.10697404</v>
      </c>
      <c r="G341" s="21" t="n">
        <v>64824.7808514604</v>
      </c>
      <c r="H341" s="21" t="n">
        <v>73413.9613467001</v>
      </c>
      <c r="I341" s="21" t="n">
        <v>74622.9074207938</v>
      </c>
      <c r="J341" s="21" t="n">
        <v>75204.9213250481</v>
      </c>
      <c r="K341" s="21" t="n">
        <v>75774.980004719</v>
      </c>
      <c r="L341" s="21" t="n">
        <v>76331.8423338176</v>
      </c>
      <c r="M341" s="21" t="n">
        <v>76874.2034784979</v>
      </c>
      <c r="N341" s="22" t="n">
        <v>77400.6921915985</v>
      </c>
      <c r="O341" s="23" t="n">
        <v>78288.7656779119</v>
      </c>
      <c r="P341" s="23" t="n">
        <v>79180.7475082716</v>
      </c>
      <c r="Q341" s="23" t="n">
        <v>80076.0729171828</v>
      </c>
      <c r="R341" s="23" t="n">
        <v>80974.1397357112</v>
      </c>
      <c r="S341" s="23" t="n">
        <v>81874.3066555658</v>
      </c>
      <c r="T341" s="23" t="n">
        <v>82336.645170418</v>
      </c>
      <c r="U341" s="23" t="n">
        <v>82773.3216780112</v>
      </c>
      <c r="V341" s="23" t="n">
        <v>83182.3803532467</v>
      </c>
      <c r="W341" s="23" t="n">
        <v>83561.7711173262</v>
      </c>
      <c r="X341" s="23" t="n">
        <v>83909.3457427725</v>
      </c>
    </row>
    <row r="342" customFormat="false" ht="11.25" hidden="false" customHeight="false" outlineLevel="0" collapsed="false">
      <c r="A342" s="24" t="s">
        <v>8</v>
      </c>
      <c r="B342" s="19" t="n">
        <f aca="false">NPV(0.1,D342:Y342)</f>
        <v>249695.523273672</v>
      </c>
      <c r="C342" s="19" t="n">
        <f aca="false">B342-B332</f>
        <v>-82.0954549033195</v>
      </c>
      <c r="D342" s="20" t="n">
        <v>26508.1649759863</v>
      </c>
      <c r="E342" s="21" t="n">
        <v>28077.475833108</v>
      </c>
      <c r="F342" s="21" t="n">
        <v>28228.078034231</v>
      </c>
      <c r="G342" s="21" t="n">
        <v>28383.1983013878</v>
      </c>
      <c r="H342" s="21" t="n">
        <v>28542.9721765592</v>
      </c>
      <c r="I342" s="21" t="n">
        <v>28652.0141979795</v>
      </c>
      <c r="J342" s="21" t="n">
        <v>28821.5183021489</v>
      </c>
      <c r="K342" s="21" t="n">
        <v>28996.1075294434</v>
      </c>
      <c r="L342" s="21" t="n">
        <v>29175.9344335567</v>
      </c>
      <c r="M342" s="21" t="n">
        <v>29305.6310747871</v>
      </c>
      <c r="N342" s="22" t="n">
        <v>29496.4094373609</v>
      </c>
      <c r="O342" s="23" t="n">
        <v>29692.9111508119</v>
      </c>
      <c r="P342" s="23" t="n">
        <v>29895.3079156664</v>
      </c>
      <c r="Q342" s="23" t="n">
        <v>30048.2515134604</v>
      </c>
      <c r="R342" s="23" t="n">
        <v>30262.9742412945</v>
      </c>
      <c r="S342" s="23" t="n">
        <v>30484.1386509637</v>
      </c>
      <c r="T342" s="23" t="n">
        <v>30711.937992923</v>
      </c>
      <c r="U342" s="23" t="n">
        <v>30891.0462451348</v>
      </c>
      <c r="V342" s="23" t="n">
        <v>31132.7185670194</v>
      </c>
      <c r="W342" s="23" t="n">
        <v>31381.6410585606</v>
      </c>
      <c r="X342" s="23" t="n">
        <v>31638.0312248479</v>
      </c>
    </row>
    <row r="343" customFormat="false" ht="11.25" hidden="false" customHeight="false" outlineLevel="0" collapsed="false">
      <c r="A343" s="24" t="s">
        <v>9</v>
      </c>
      <c r="B343" s="19" t="n">
        <f aca="false">NPV(0.1,D343:Y343)</f>
        <v>117232.249729522</v>
      </c>
      <c r="C343" s="19" t="n">
        <f aca="false">B343-B333</f>
        <v>7357.22385589557</v>
      </c>
      <c r="D343" s="20" t="n">
        <v>1866.49772378252</v>
      </c>
      <c r="E343" s="21" t="n">
        <v>3019.91633971035</v>
      </c>
      <c r="F343" s="21" t="n">
        <v>3126.62961645918</v>
      </c>
      <c r="G343" s="21" t="n">
        <v>9575.62126013911</v>
      </c>
      <c r="H343" s="21" t="n">
        <v>14766.1073267665</v>
      </c>
      <c r="I343" s="21" t="n">
        <v>15747.3104790298</v>
      </c>
      <c r="J343" s="21" t="n">
        <v>16317.2575728868</v>
      </c>
      <c r="K343" s="21" t="n">
        <v>16831.4613070106</v>
      </c>
      <c r="L343" s="21" t="n">
        <v>17363.8491849462</v>
      </c>
      <c r="M343" s="21" t="n">
        <v>17949.4465238106</v>
      </c>
      <c r="N343" s="22" t="n">
        <v>18522.6828704691</v>
      </c>
      <c r="O343" s="23" t="n">
        <v>19349.2391080339</v>
      </c>
      <c r="P343" s="23" t="n">
        <v>20220.2611675638</v>
      </c>
      <c r="Q343" s="23" t="n">
        <v>21172.8307051219</v>
      </c>
      <c r="R343" s="23" t="n">
        <v>22143.5941777866</v>
      </c>
      <c r="S343" s="23" t="n">
        <v>23169.1647624022</v>
      </c>
      <c r="T343" s="23" t="n">
        <v>23985.1974860433</v>
      </c>
      <c r="U343" s="23" t="n">
        <v>24873.6469191778</v>
      </c>
      <c r="V343" s="23" t="n">
        <v>25770.4682078036</v>
      </c>
      <c r="W343" s="23" t="n">
        <v>26711.5345202818</v>
      </c>
      <c r="X343" s="23" t="n">
        <v>27726.4274026224</v>
      </c>
    </row>
    <row r="344" customFormat="false" ht="11.25" hidden="false" customHeight="false" outlineLevel="0" collapsed="false">
      <c r="A344" s="24" t="s">
        <v>10</v>
      </c>
      <c r="B344" s="19" t="n">
        <f aca="false">NPV(0.1,D344:Y344)</f>
        <v>145059.08134187</v>
      </c>
      <c r="C344" s="19" t="n">
        <f aca="false">B344-B334</f>
        <v>1548.01730396212</v>
      </c>
      <c r="D344" s="25" t="n">
        <v>5379.64784413806</v>
      </c>
      <c r="E344" s="26" t="n">
        <v>9530.92186128561</v>
      </c>
      <c r="F344" s="26" t="n">
        <v>9042.8600083506</v>
      </c>
      <c r="G344" s="26" t="n">
        <v>22320.4693119195</v>
      </c>
      <c r="H344" s="26" t="n">
        <v>27483.4808667113</v>
      </c>
      <c r="I344" s="26" t="n">
        <v>21390.9997797343</v>
      </c>
      <c r="J344" s="26" t="n">
        <v>20342.046474426</v>
      </c>
      <c r="K344" s="26" t="n">
        <v>20255.3725440327</v>
      </c>
      <c r="L344" s="26" t="n">
        <v>20127.1055100041</v>
      </c>
      <c r="M344" s="26" t="n">
        <v>19948.4994877973</v>
      </c>
      <c r="N344" s="27" t="n">
        <v>19823.5893660391</v>
      </c>
      <c r="O344" s="23" t="n">
        <v>19712.9164184148</v>
      </c>
      <c r="P344" s="23" t="n">
        <v>19553.4449956415</v>
      </c>
      <c r="Q344" s="23" t="n">
        <v>19335.5184493029</v>
      </c>
      <c r="R344" s="23" t="n">
        <v>19162.1727398994</v>
      </c>
      <c r="S344" s="23" t="n">
        <v>16197.6330175908</v>
      </c>
      <c r="T344" s="23" t="n">
        <v>13098.6238810701</v>
      </c>
      <c r="U344" s="23" t="n">
        <v>12616.7325436217</v>
      </c>
      <c r="V344" s="23" t="n">
        <v>12185.1507064432</v>
      </c>
      <c r="W344" s="23" t="n">
        <v>11646.341799771</v>
      </c>
      <c r="X344" s="23" t="n">
        <v>31943.4587779506</v>
      </c>
    </row>
    <row r="346" customFormat="false" ht="11.25" hidden="false" customHeight="false" outlineLevel="0" collapsed="false">
      <c r="A346" s="28" t="s">
        <v>46</v>
      </c>
    </row>
    <row r="347" customFormat="false" ht="11.25" hidden="false" customHeight="false" outlineLevel="0" collapsed="false">
      <c r="A347" s="31" t="n">
        <v>36269</v>
      </c>
    </row>
    <row r="348" customFormat="false" ht="11.25" hidden="false" customHeight="false" outlineLevel="0" collapsed="false">
      <c r="A348" s="9" t="s">
        <v>2</v>
      </c>
      <c r="B348" s="10" t="n">
        <v>74647.3607863736</v>
      </c>
      <c r="C348" s="11"/>
      <c r="D348" s="11"/>
      <c r="E348" s="11"/>
      <c r="F348" s="11"/>
      <c r="G348" s="11"/>
      <c r="H348" s="11"/>
      <c r="I348" s="11"/>
      <c r="J348" s="11"/>
      <c r="K348" s="11"/>
      <c r="L348" s="11"/>
      <c r="M348" s="11"/>
      <c r="N348" s="11"/>
      <c r="O348" s="11"/>
      <c r="P348" s="11"/>
      <c r="Q348" s="11"/>
      <c r="R348" s="11"/>
      <c r="S348" s="11"/>
      <c r="T348" s="11"/>
      <c r="U348" s="11"/>
      <c r="V348" s="11"/>
    </row>
    <row r="349" customFormat="false" ht="11.25" hidden="false" customHeight="false" outlineLevel="0" collapsed="false">
      <c r="A349" s="12" t="s">
        <v>3</v>
      </c>
      <c r="B349" s="13" t="n">
        <v>119448.603775711</v>
      </c>
      <c r="C349" s="11"/>
      <c r="D349" s="11"/>
      <c r="E349" s="11"/>
      <c r="F349" s="11"/>
      <c r="G349" s="11"/>
      <c r="H349" s="11"/>
      <c r="I349" s="11"/>
      <c r="J349" s="11"/>
      <c r="K349" s="11"/>
      <c r="L349" s="11"/>
      <c r="M349" s="11"/>
      <c r="N349" s="11"/>
      <c r="O349" s="11"/>
      <c r="P349" s="11"/>
      <c r="Q349" s="11"/>
      <c r="R349" s="11"/>
      <c r="S349" s="11"/>
      <c r="T349" s="11"/>
      <c r="U349" s="11"/>
      <c r="V349" s="11"/>
    </row>
    <row r="350" customFormat="false" ht="11.25" hidden="false" customHeight="false" outlineLevel="0" collapsed="false">
      <c r="A350" s="14" t="s">
        <v>4</v>
      </c>
      <c r="B350" s="15" t="s">
        <v>5</v>
      </c>
      <c r="C350" s="15" t="s">
        <v>6</v>
      </c>
      <c r="D350" s="16" t="n">
        <v>2000</v>
      </c>
      <c r="E350" s="17" t="n">
        <v>2001</v>
      </c>
      <c r="F350" s="17" t="n">
        <v>2002</v>
      </c>
      <c r="G350" s="17" t="n">
        <v>2003</v>
      </c>
      <c r="H350" s="17" t="n">
        <v>2004</v>
      </c>
      <c r="I350" s="17" t="n">
        <v>2005</v>
      </c>
      <c r="J350" s="17" t="n">
        <v>2006</v>
      </c>
      <c r="K350" s="17" t="n">
        <v>2007</v>
      </c>
      <c r="L350" s="17" t="n">
        <v>2008</v>
      </c>
      <c r="M350" s="17" t="n">
        <v>2009</v>
      </c>
      <c r="N350" s="18" t="n">
        <v>2010</v>
      </c>
      <c r="O350" s="11" t="n">
        <v>2011</v>
      </c>
      <c r="P350" s="11" t="n">
        <v>2012</v>
      </c>
      <c r="Q350" s="11" t="n">
        <v>2013</v>
      </c>
      <c r="R350" s="11" t="n">
        <v>2014</v>
      </c>
      <c r="S350" s="11" t="n">
        <v>2015</v>
      </c>
      <c r="T350" s="11" t="n">
        <v>2016</v>
      </c>
      <c r="U350" s="11" t="n">
        <v>2017</v>
      </c>
      <c r="V350" s="11" t="n">
        <v>2018</v>
      </c>
      <c r="W350" s="11" t="n">
        <v>2019</v>
      </c>
      <c r="X350" s="11" t="n">
        <v>2020</v>
      </c>
    </row>
    <row r="351" customFormat="false" ht="11.25" hidden="false" customHeight="false" outlineLevel="0" collapsed="false">
      <c r="A351" s="14" t="s">
        <v>7</v>
      </c>
      <c r="B351" s="19" t="n">
        <f aca="false">NPV(0.1,D351:Y351)</f>
        <v>593740.548443761</v>
      </c>
      <c r="C351" s="19" t="n">
        <f aca="false">B351-B341</f>
        <v>0</v>
      </c>
      <c r="D351" s="20" t="n">
        <v>42063.7732</v>
      </c>
      <c r="E351" s="21" t="n">
        <v>54298.814468</v>
      </c>
      <c r="F351" s="21" t="n">
        <v>54376.10697404</v>
      </c>
      <c r="G351" s="21" t="n">
        <v>64824.7808514604</v>
      </c>
      <c r="H351" s="21" t="n">
        <v>73413.9613467001</v>
      </c>
      <c r="I351" s="21" t="n">
        <v>74622.9074207938</v>
      </c>
      <c r="J351" s="21" t="n">
        <v>75204.9213250481</v>
      </c>
      <c r="K351" s="21" t="n">
        <v>75774.980004719</v>
      </c>
      <c r="L351" s="21" t="n">
        <v>76331.8423338176</v>
      </c>
      <c r="M351" s="21" t="n">
        <v>76874.2034784979</v>
      </c>
      <c r="N351" s="22" t="n">
        <v>77400.6921915985</v>
      </c>
      <c r="O351" s="23" t="n">
        <v>78288.7656779119</v>
      </c>
      <c r="P351" s="23" t="n">
        <v>79180.7475082716</v>
      </c>
      <c r="Q351" s="23" t="n">
        <v>80076.0729171828</v>
      </c>
      <c r="R351" s="23" t="n">
        <v>80974.1397357112</v>
      </c>
      <c r="S351" s="23" t="n">
        <v>81874.3066555658</v>
      </c>
      <c r="T351" s="23" t="n">
        <v>82336.645170418</v>
      </c>
      <c r="U351" s="23" t="n">
        <v>82773.3216780112</v>
      </c>
      <c r="V351" s="23" t="n">
        <v>83182.3803532467</v>
      </c>
      <c r="W351" s="23" t="n">
        <v>83561.7711173262</v>
      </c>
      <c r="X351" s="23" t="n">
        <v>83909.3457427725</v>
      </c>
    </row>
    <row r="352" customFormat="false" ht="11.25" hidden="false" customHeight="false" outlineLevel="0" collapsed="false">
      <c r="A352" s="24" t="s">
        <v>8</v>
      </c>
      <c r="B352" s="19" t="n">
        <f aca="false">NPV(0.1,D352:Y352)</f>
        <v>249725.081235653</v>
      </c>
      <c r="C352" s="19" t="n">
        <f aca="false">B352-B342</f>
        <v>29.5579619815981</v>
      </c>
      <c r="D352" s="20" t="n">
        <v>26536.073651302</v>
      </c>
      <c r="E352" s="21" t="n">
        <v>28077.9201988739</v>
      </c>
      <c r="F352" s="21" t="n">
        <v>28228.535130797</v>
      </c>
      <c r="G352" s="21" t="n">
        <v>28383.6685106777</v>
      </c>
      <c r="H352" s="21" t="n">
        <v>28543.4558919549</v>
      </c>
      <c r="I352" s="21" t="n">
        <v>28652.5118246641</v>
      </c>
      <c r="J352" s="21" t="n">
        <v>28822.030257461</v>
      </c>
      <c r="K352" s="21" t="n">
        <v>28996.6342432419</v>
      </c>
      <c r="L352" s="21" t="n">
        <v>29176.4763485962</v>
      </c>
      <c r="M352" s="21" t="n">
        <v>29306.1886471048</v>
      </c>
      <c r="N352" s="22" t="n">
        <v>29496.9831366752</v>
      </c>
      <c r="O352" s="23" t="n">
        <v>29693.5014609326</v>
      </c>
      <c r="P352" s="23" t="n">
        <v>29895.9153349178</v>
      </c>
      <c r="Q352" s="23" t="n">
        <v>30048.8765551163</v>
      </c>
      <c r="R352" s="23" t="n">
        <v>30263.6174340272</v>
      </c>
      <c r="S352" s="23" t="n">
        <v>30484.8005393054</v>
      </c>
      <c r="T352" s="23" t="n">
        <v>30712.6191377419</v>
      </c>
      <c r="U352" s="23" t="n">
        <v>30891.7472241253</v>
      </c>
      <c r="V352" s="23" t="n">
        <v>31133.4399752066</v>
      </c>
      <c r="W352" s="23" t="n">
        <v>31382.3835088204</v>
      </c>
      <c r="X352" s="23" t="n">
        <v>31638.7953484426</v>
      </c>
    </row>
    <row r="353" customFormat="false" ht="11.25" hidden="false" customHeight="false" outlineLevel="0" collapsed="false">
      <c r="A353" s="24" t="s">
        <v>9</v>
      </c>
      <c r="B353" s="19" t="n">
        <f aca="false">NPV(0.1,D353:Y353)</f>
        <v>117215.352438207</v>
      </c>
      <c r="C353" s="19" t="n">
        <f aca="false">B353-B343</f>
        <v>-16.8972913141479</v>
      </c>
      <c r="D353" s="20" t="n">
        <v>1849.99659162845</v>
      </c>
      <c r="E353" s="21" t="n">
        <v>3019.75589568421</v>
      </c>
      <c r="F353" s="21" t="n">
        <v>3126.45614675356</v>
      </c>
      <c r="G353" s="21" t="n">
        <v>9575.43372782074</v>
      </c>
      <c r="H353" s="21" t="n">
        <v>14765.9104422431</v>
      </c>
      <c r="I353" s="21" t="n">
        <v>15747.1036458933</v>
      </c>
      <c r="J353" s="21" t="n">
        <v>16317.0401515697</v>
      </c>
      <c r="K353" s="21" t="n">
        <v>16831.2326114695</v>
      </c>
      <c r="L353" s="21" t="n">
        <v>17363.6084790846</v>
      </c>
      <c r="M353" s="21" t="n">
        <v>17949.1930176195</v>
      </c>
      <c r="N353" s="22" t="n">
        <v>18522.4157158634</v>
      </c>
      <c r="O353" s="23" t="n">
        <v>19348.9573943597</v>
      </c>
      <c r="P353" s="23" t="n">
        <v>20219.9639167517</v>
      </c>
      <c r="Q353" s="23" t="n">
        <v>21172.5168664565</v>
      </c>
      <c r="R353" s="23" t="n">
        <v>22143.262622263</v>
      </c>
      <c r="S353" s="23" t="n">
        <v>23168.8142766358</v>
      </c>
      <c r="T353" s="23" t="n">
        <v>23984.8267656975</v>
      </c>
      <c r="U353" s="23" t="n">
        <v>24873.2545618718</v>
      </c>
      <c r="V353" s="23" t="n">
        <v>25770.0527054576</v>
      </c>
      <c r="W353" s="23" t="n">
        <v>26711.0942508559</v>
      </c>
      <c r="X353" s="23" t="n">
        <v>27725.9606212004</v>
      </c>
    </row>
    <row r="354" customFormat="false" ht="11.25" hidden="false" customHeight="false" outlineLevel="0" collapsed="false">
      <c r="A354" s="24" t="s">
        <v>10</v>
      </c>
      <c r="B354" s="19" t="n">
        <f aca="false">NPV(0.1,D354:Y354)</f>
        <v>145055.190859353</v>
      </c>
      <c r="C354" s="19" t="n">
        <f aca="false">B354-B344</f>
        <v>-3.89048251678469</v>
      </c>
      <c r="D354" s="25" t="n">
        <v>5369.99609392473</v>
      </c>
      <c r="E354" s="26" t="n">
        <v>9530.76818479154</v>
      </c>
      <c r="F354" s="26" t="n">
        <v>9042.70192912154</v>
      </c>
      <c r="G354" s="26" t="n">
        <v>22320.1813087294</v>
      </c>
      <c r="H354" s="26" t="n">
        <v>27483.1845910314</v>
      </c>
      <c r="I354" s="26" t="n">
        <v>21402.152210414</v>
      </c>
      <c r="J354" s="26" t="n">
        <v>20341.8758492951</v>
      </c>
      <c r="K354" s="26" t="n">
        <v>20255.2002917672</v>
      </c>
      <c r="L354" s="26" t="n">
        <v>20126.9318433767</v>
      </c>
      <c r="M354" s="26" t="n">
        <v>19948.3246468904</v>
      </c>
      <c r="N354" s="27" t="n">
        <v>19823.4136207389</v>
      </c>
      <c r="O354" s="23" t="n">
        <v>19712.7400711132</v>
      </c>
      <c r="P354" s="23" t="n">
        <v>19553.2683841639</v>
      </c>
      <c r="Q354" s="23" t="n">
        <v>19335.3419500807</v>
      </c>
      <c r="R354" s="23" t="n">
        <v>19161.9967714051</v>
      </c>
      <c r="S354" s="23" t="n">
        <v>16197.4580440596</v>
      </c>
      <c r="T354" s="23" t="n">
        <v>13098.4504165293</v>
      </c>
      <c r="U354" s="23" t="n">
        <v>12616.5611562537</v>
      </c>
      <c r="V354" s="23" t="n">
        <v>12184.9820233089</v>
      </c>
      <c r="W354" s="23" t="n">
        <v>11646.1765119228</v>
      </c>
      <c r="X354" s="23" t="n">
        <v>31942.9919965287</v>
      </c>
    </row>
    <row r="356" customFormat="false" ht="11.25" hidden="false" customHeight="false" outlineLevel="0" collapsed="false">
      <c r="A356" s="28" t="s">
        <v>47</v>
      </c>
    </row>
    <row r="357" customFormat="false" ht="11.25" hidden="false" customHeight="false" outlineLevel="0" collapsed="false">
      <c r="A357" s="31" t="n">
        <v>36271</v>
      </c>
    </row>
    <row r="358" customFormat="false" ht="11.25" hidden="false" customHeight="false" outlineLevel="0" collapsed="false">
      <c r="A358" s="9" t="s">
        <v>2</v>
      </c>
      <c r="B358" s="10" t="n">
        <v>74647.3607863736</v>
      </c>
      <c r="C358" s="11"/>
      <c r="D358" s="11"/>
      <c r="E358" s="11"/>
      <c r="F358" s="11"/>
      <c r="G358" s="11"/>
      <c r="H358" s="11"/>
      <c r="I358" s="11"/>
      <c r="J358" s="11"/>
      <c r="K358" s="11"/>
      <c r="L358" s="11"/>
      <c r="M358" s="11"/>
      <c r="N358" s="11"/>
      <c r="O358" s="11"/>
      <c r="P358" s="11"/>
      <c r="Q358" s="11"/>
      <c r="R358" s="11"/>
      <c r="S358" s="11"/>
      <c r="T358" s="11"/>
      <c r="U358" s="11"/>
      <c r="V358" s="11"/>
    </row>
    <row r="359" customFormat="false" ht="11.25" hidden="false" customHeight="false" outlineLevel="0" collapsed="false">
      <c r="A359" s="12" t="s">
        <v>3</v>
      </c>
      <c r="B359" s="13" t="n">
        <v>119448.603775711</v>
      </c>
      <c r="C359" s="11"/>
      <c r="D359" s="11"/>
      <c r="E359" s="11"/>
      <c r="F359" s="11"/>
      <c r="G359" s="11"/>
      <c r="H359" s="11"/>
      <c r="I359" s="11"/>
      <c r="J359" s="11"/>
      <c r="K359" s="11"/>
      <c r="L359" s="11"/>
      <c r="M359" s="11"/>
      <c r="N359" s="11"/>
      <c r="O359" s="11"/>
      <c r="P359" s="11"/>
      <c r="Q359" s="11"/>
      <c r="R359" s="11"/>
      <c r="S359" s="11"/>
      <c r="T359" s="11"/>
      <c r="U359" s="11"/>
      <c r="V359" s="11"/>
    </row>
    <row r="360" customFormat="false" ht="11.25" hidden="false" customHeight="false" outlineLevel="0" collapsed="false">
      <c r="A360" s="14" t="s">
        <v>4</v>
      </c>
      <c r="B360" s="15" t="s">
        <v>5</v>
      </c>
      <c r="C360" s="15" t="s">
        <v>6</v>
      </c>
      <c r="D360" s="16" t="n">
        <v>2000</v>
      </c>
      <c r="E360" s="17" t="n">
        <v>2001</v>
      </c>
      <c r="F360" s="17" t="n">
        <v>2002</v>
      </c>
      <c r="G360" s="17" t="n">
        <v>2003</v>
      </c>
      <c r="H360" s="17" t="n">
        <v>2004</v>
      </c>
      <c r="I360" s="17" t="n">
        <v>2005</v>
      </c>
      <c r="J360" s="17" t="n">
        <v>2006</v>
      </c>
      <c r="K360" s="17" t="n">
        <v>2007</v>
      </c>
      <c r="L360" s="17" t="n">
        <v>2008</v>
      </c>
      <c r="M360" s="17" t="n">
        <v>2009</v>
      </c>
      <c r="N360" s="18" t="n">
        <v>2010</v>
      </c>
      <c r="O360" s="11" t="n">
        <v>2011</v>
      </c>
      <c r="P360" s="11" t="n">
        <v>2012</v>
      </c>
      <c r="Q360" s="11" t="n">
        <v>2013</v>
      </c>
      <c r="R360" s="11" t="n">
        <v>2014</v>
      </c>
      <c r="S360" s="11" t="n">
        <v>2015</v>
      </c>
      <c r="T360" s="11" t="n">
        <v>2016</v>
      </c>
      <c r="U360" s="11" t="n">
        <v>2017</v>
      </c>
      <c r="V360" s="11" t="n">
        <v>2018</v>
      </c>
      <c r="W360" s="11" t="n">
        <v>2019</v>
      </c>
      <c r="X360" s="11" t="n">
        <v>2020</v>
      </c>
    </row>
    <row r="361" customFormat="false" ht="11.25" hidden="false" customHeight="false" outlineLevel="0" collapsed="false">
      <c r="A361" s="14" t="s">
        <v>7</v>
      </c>
      <c r="B361" s="19" t="n">
        <f aca="false">NPV(0.1,D361:Y361)</f>
        <v>592983.337961223</v>
      </c>
      <c r="C361" s="19" t="n">
        <f aca="false">B361-B351</f>
        <v>-757.210482538445</v>
      </c>
      <c r="D361" s="20" t="n">
        <v>41976.2212</v>
      </c>
      <c r="E361" s="21" t="n">
        <v>54211.262468</v>
      </c>
      <c r="F361" s="21" t="n">
        <v>54288.55497404</v>
      </c>
      <c r="G361" s="21" t="n">
        <v>64737.2288514604</v>
      </c>
      <c r="H361" s="21" t="n">
        <v>73326.4093467001</v>
      </c>
      <c r="I361" s="21" t="n">
        <v>74535.3554207938</v>
      </c>
      <c r="J361" s="21" t="n">
        <v>75117.3693250481</v>
      </c>
      <c r="K361" s="21" t="n">
        <v>75687.428004719</v>
      </c>
      <c r="L361" s="21" t="n">
        <v>76244.2903338176</v>
      </c>
      <c r="M361" s="21" t="n">
        <v>76786.6514784979</v>
      </c>
      <c r="N361" s="22" t="n">
        <v>77313.1401915985</v>
      </c>
      <c r="O361" s="23" t="n">
        <v>78201.2136779119</v>
      </c>
      <c r="P361" s="23" t="n">
        <v>79093.1955082716</v>
      </c>
      <c r="Q361" s="23" t="n">
        <v>79988.5209171828</v>
      </c>
      <c r="R361" s="23" t="n">
        <v>80886.5877357112</v>
      </c>
      <c r="S361" s="23" t="n">
        <v>81786.7546555658</v>
      </c>
      <c r="T361" s="23" t="n">
        <v>82249.093170418</v>
      </c>
      <c r="U361" s="23" t="n">
        <v>82685.7696780112</v>
      </c>
      <c r="V361" s="23" t="n">
        <v>83094.8283532468</v>
      </c>
      <c r="W361" s="23" t="n">
        <v>83474.2191173262</v>
      </c>
      <c r="X361" s="23" t="n">
        <v>83821.7937427725</v>
      </c>
    </row>
    <row r="362" customFormat="false" ht="11.25" hidden="false" customHeight="false" outlineLevel="0" collapsed="false">
      <c r="A362" s="24" t="s">
        <v>8</v>
      </c>
      <c r="B362" s="19" t="n">
        <f aca="false">NPV(0.1,D362:Y362)</f>
        <v>248967.870753115</v>
      </c>
      <c r="C362" s="19" t="n">
        <f aca="false">B362-B352</f>
        <v>-757.210482538445</v>
      </c>
      <c r="D362" s="20" t="n">
        <v>26448.521651302</v>
      </c>
      <c r="E362" s="21" t="n">
        <v>27990.3681988739</v>
      </c>
      <c r="F362" s="21" t="n">
        <v>28140.983130797</v>
      </c>
      <c r="G362" s="21" t="n">
        <v>28296.1165106777</v>
      </c>
      <c r="H362" s="21" t="n">
        <v>28455.9038919549</v>
      </c>
      <c r="I362" s="21" t="n">
        <v>28564.9598246641</v>
      </c>
      <c r="J362" s="21" t="n">
        <v>28734.4782574611</v>
      </c>
      <c r="K362" s="21" t="n">
        <v>28909.0822432419</v>
      </c>
      <c r="L362" s="21" t="n">
        <v>29088.9243485962</v>
      </c>
      <c r="M362" s="21" t="n">
        <v>29218.6366471048</v>
      </c>
      <c r="N362" s="22" t="n">
        <v>29409.4311366752</v>
      </c>
      <c r="O362" s="23" t="n">
        <v>29605.9494609326</v>
      </c>
      <c r="P362" s="23" t="n">
        <v>29808.3633349178</v>
      </c>
      <c r="Q362" s="23" t="n">
        <v>29961.3245551163</v>
      </c>
      <c r="R362" s="23" t="n">
        <v>30176.0654340272</v>
      </c>
      <c r="S362" s="23" t="n">
        <v>30397.2485393054</v>
      </c>
      <c r="T362" s="23" t="n">
        <v>30625.0671377419</v>
      </c>
      <c r="U362" s="23" t="n">
        <v>30804.1952241253</v>
      </c>
      <c r="V362" s="23" t="n">
        <v>31045.8879752066</v>
      </c>
      <c r="W362" s="23" t="n">
        <v>31294.8315088204</v>
      </c>
      <c r="X362" s="23" t="n">
        <v>31551.2433484426</v>
      </c>
    </row>
    <row r="363" customFormat="false" ht="11.25" hidden="false" customHeight="false" outlineLevel="0" collapsed="false">
      <c r="A363" s="24" t="s">
        <v>9</v>
      </c>
      <c r="B363" s="19" t="n">
        <f aca="false">NPV(0.1,D363:Y363)</f>
        <v>117215.352438207</v>
      </c>
      <c r="C363" s="19" t="n">
        <f aca="false">B363-B353</f>
        <v>0</v>
      </c>
      <c r="D363" s="20" t="n">
        <v>1849.99659162845</v>
      </c>
      <c r="E363" s="21" t="n">
        <v>3019.75589568421</v>
      </c>
      <c r="F363" s="21" t="n">
        <v>3126.45614675357</v>
      </c>
      <c r="G363" s="21" t="n">
        <v>9575.43372782074</v>
      </c>
      <c r="H363" s="21" t="n">
        <v>14765.9104422431</v>
      </c>
      <c r="I363" s="21" t="n">
        <v>15747.1036458933</v>
      </c>
      <c r="J363" s="21" t="n">
        <v>16317.0401515697</v>
      </c>
      <c r="K363" s="21" t="n">
        <v>16831.2326114695</v>
      </c>
      <c r="L363" s="21" t="n">
        <v>17363.6084790846</v>
      </c>
      <c r="M363" s="21" t="n">
        <v>17949.1930176195</v>
      </c>
      <c r="N363" s="22" t="n">
        <v>18522.4157158634</v>
      </c>
      <c r="O363" s="23" t="n">
        <v>19348.9573943597</v>
      </c>
      <c r="P363" s="23" t="n">
        <v>20219.9639167517</v>
      </c>
      <c r="Q363" s="23" t="n">
        <v>21172.5168664565</v>
      </c>
      <c r="R363" s="23" t="n">
        <v>22143.2626222629</v>
      </c>
      <c r="S363" s="23" t="n">
        <v>23168.8142766358</v>
      </c>
      <c r="T363" s="23" t="n">
        <v>23984.8267656975</v>
      </c>
      <c r="U363" s="23" t="n">
        <v>24873.2545618718</v>
      </c>
      <c r="V363" s="23" t="n">
        <v>25770.0527054576</v>
      </c>
      <c r="W363" s="23" t="n">
        <v>26711.0942508559</v>
      </c>
      <c r="X363" s="23" t="n">
        <v>27725.9606212004</v>
      </c>
    </row>
    <row r="364" customFormat="false" ht="11.25" hidden="false" customHeight="false" outlineLevel="0" collapsed="false">
      <c r="A364" s="24" t="s">
        <v>10</v>
      </c>
      <c r="B364" s="19" t="n">
        <f aca="false">NPV(0.1,D364:Y364)</f>
        <v>145055.190859353</v>
      </c>
      <c r="C364" s="19" t="n">
        <f aca="false">B364-B354</f>
        <v>0</v>
      </c>
      <c r="D364" s="25" t="n">
        <v>5369.99609392474</v>
      </c>
      <c r="E364" s="26" t="n">
        <v>9530.76818479154</v>
      </c>
      <c r="F364" s="26" t="n">
        <v>9042.70192912154</v>
      </c>
      <c r="G364" s="26" t="n">
        <v>22320.1813087294</v>
      </c>
      <c r="H364" s="26" t="n">
        <v>27483.1845910314</v>
      </c>
      <c r="I364" s="26" t="n">
        <v>21402.152210414</v>
      </c>
      <c r="J364" s="26" t="n">
        <v>20341.8758492951</v>
      </c>
      <c r="K364" s="26" t="n">
        <v>20255.2002917672</v>
      </c>
      <c r="L364" s="26" t="n">
        <v>20126.9318433767</v>
      </c>
      <c r="M364" s="26" t="n">
        <v>19948.3246468904</v>
      </c>
      <c r="N364" s="27" t="n">
        <v>19823.4136207389</v>
      </c>
      <c r="O364" s="23" t="n">
        <v>19712.7400711132</v>
      </c>
      <c r="P364" s="23" t="n">
        <v>19553.2683841639</v>
      </c>
      <c r="Q364" s="23" t="n">
        <v>19335.3419500807</v>
      </c>
      <c r="R364" s="23" t="n">
        <v>19161.9967714051</v>
      </c>
      <c r="S364" s="23" t="n">
        <v>16197.4580440596</v>
      </c>
      <c r="T364" s="23" t="n">
        <v>13098.4504165294</v>
      </c>
      <c r="U364" s="23" t="n">
        <v>12616.5611562537</v>
      </c>
      <c r="V364" s="23" t="n">
        <v>12184.9820233089</v>
      </c>
      <c r="W364" s="23" t="n">
        <v>11646.1765119228</v>
      </c>
      <c r="X364" s="23" t="n">
        <v>31942.9919965287</v>
      </c>
    </row>
    <row r="366" customFormat="false" ht="11.25" hidden="false" customHeight="false" outlineLevel="0" collapsed="false">
      <c r="A366" s="28" t="s">
        <v>48</v>
      </c>
    </row>
    <row r="367" customFormat="false" ht="11.25" hidden="false" customHeight="false" outlineLevel="0" collapsed="false">
      <c r="A367" s="31" t="n">
        <v>36271</v>
      </c>
    </row>
    <row r="368" customFormat="false" ht="11.25" hidden="false" customHeight="false" outlineLevel="0" collapsed="false">
      <c r="A368" s="9" t="s">
        <v>2</v>
      </c>
      <c r="B368" s="10" t="n">
        <v>74303.4972271086</v>
      </c>
      <c r="C368" s="11"/>
      <c r="D368" s="11"/>
      <c r="E368" s="11"/>
      <c r="F368" s="11"/>
      <c r="G368" s="11"/>
      <c r="H368" s="11"/>
      <c r="I368" s="11"/>
      <c r="J368" s="11"/>
      <c r="K368" s="11"/>
      <c r="L368" s="11"/>
      <c r="M368" s="11"/>
      <c r="N368" s="11"/>
      <c r="O368" s="11"/>
      <c r="P368" s="11"/>
      <c r="Q368" s="11"/>
      <c r="R368" s="11"/>
      <c r="S368" s="11"/>
      <c r="T368" s="11"/>
      <c r="U368" s="11"/>
      <c r="V368" s="11"/>
    </row>
    <row r="369" customFormat="false" ht="11.25" hidden="false" customHeight="false" outlineLevel="0" collapsed="false">
      <c r="A369" s="12" t="s">
        <v>3</v>
      </c>
      <c r="B369" s="13" t="n">
        <v>119009.704246373</v>
      </c>
      <c r="C369" s="11"/>
      <c r="D369" s="11"/>
      <c r="E369" s="11"/>
      <c r="F369" s="11"/>
      <c r="G369" s="11"/>
      <c r="H369" s="11"/>
      <c r="I369" s="11"/>
      <c r="J369" s="11"/>
      <c r="K369" s="11"/>
      <c r="L369" s="11"/>
      <c r="M369" s="11"/>
      <c r="N369" s="11"/>
      <c r="O369" s="11"/>
      <c r="P369" s="11"/>
      <c r="Q369" s="11"/>
      <c r="R369" s="11"/>
      <c r="S369" s="11"/>
      <c r="T369" s="11"/>
      <c r="U369" s="11"/>
      <c r="V369" s="11"/>
    </row>
    <row r="370" customFormat="false" ht="11.25" hidden="false" customHeight="false" outlineLevel="0" collapsed="false">
      <c r="A370" s="14" t="s">
        <v>4</v>
      </c>
      <c r="B370" s="15" t="s">
        <v>5</v>
      </c>
      <c r="C370" s="15" t="s">
        <v>6</v>
      </c>
      <c r="D370" s="16" t="n">
        <v>2000</v>
      </c>
      <c r="E370" s="17" t="n">
        <v>2001</v>
      </c>
      <c r="F370" s="17" t="n">
        <v>2002</v>
      </c>
      <c r="G370" s="17" t="n">
        <v>2003</v>
      </c>
      <c r="H370" s="17" t="n">
        <v>2004</v>
      </c>
      <c r="I370" s="17" t="n">
        <v>2005</v>
      </c>
      <c r="J370" s="17" t="n">
        <v>2006</v>
      </c>
      <c r="K370" s="17" t="n">
        <v>2007</v>
      </c>
      <c r="L370" s="17" t="n">
        <v>2008</v>
      </c>
      <c r="M370" s="17" t="n">
        <v>2009</v>
      </c>
      <c r="N370" s="18" t="n">
        <v>2010</v>
      </c>
      <c r="O370" s="11" t="n">
        <v>2011</v>
      </c>
      <c r="P370" s="11" t="n">
        <v>2012</v>
      </c>
      <c r="Q370" s="11" t="n">
        <v>2013</v>
      </c>
      <c r="R370" s="11" t="n">
        <v>2014</v>
      </c>
      <c r="S370" s="11" t="n">
        <v>2015</v>
      </c>
      <c r="T370" s="11" t="n">
        <v>2016</v>
      </c>
      <c r="U370" s="11" t="n">
        <v>2017</v>
      </c>
      <c r="V370" s="11" t="n">
        <v>2018</v>
      </c>
      <c r="W370" s="11" t="n">
        <v>2019</v>
      </c>
      <c r="X370" s="11" t="n">
        <v>2020</v>
      </c>
    </row>
    <row r="371" customFormat="false" ht="11.25" hidden="false" customHeight="false" outlineLevel="0" collapsed="false">
      <c r="A371" s="14" t="s">
        <v>7</v>
      </c>
      <c r="B371" s="19" t="n">
        <f aca="false">NPV(0.1,D371:Y371)</f>
        <v>589760.684688496</v>
      </c>
      <c r="C371" s="19" t="n">
        <f aca="false">B371-B361</f>
        <v>-3222.65327272727</v>
      </c>
      <c r="D371" s="20" t="n">
        <v>39544.2212</v>
      </c>
      <c r="E371" s="21" t="n">
        <v>54211.262468</v>
      </c>
      <c r="F371" s="21" t="n">
        <v>54288.55497404</v>
      </c>
      <c r="G371" s="21" t="n">
        <v>63255.9341948605</v>
      </c>
      <c r="H371" s="21" t="n">
        <v>73326.4093467001</v>
      </c>
      <c r="I371" s="21" t="n">
        <v>74535.3554207938</v>
      </c>
      <c r="J371" s="21" t="n">
        <v>75117.3693250481</v>
      </c>
      <c r="K371" s="21" t="n">
        <v>75687.428004719</v>
      </c>
      <c r="L371" s="21" t="n">
        <v>76244.2903338176</v>
      </c>
      <c r="M371" s="21" t="n">
        <v>76786.6514784979</v>
      </c>
      <c r="N371" s="22" t="n">
        <v>77313.1401915985</v>
      </c>
      <c r="O371" s="23" t="n">
        <v>78201.2136779119</v>
      </c>
      <c r="P371" s="23" t="n">
        <v>79093.1955082716</v>
      </c>
      <c r="Q371" s="23" t="n">
        <v>79988.5209171828</v>
      </c>
      <c r="R371" s="23" t="n">
        <v>80886.5877357112</v>
      </c>
      <c r="S371" s="23" t="n">
        <v>81786.7546555658</v>
      </c>
      <c r="T371" s="23" t="n">
        <v>82249.093170418</v>
      </c>
      <c r="U371" s="23" t="n">
        <v>82685.7696780112</v>
      </c>
      <c r="V371" s="23" t="n">
        <v>83094.8283532468</v>
      </c>
      <c r="W371" s="23" t="n">
        <v>83474.2191173262</v>
      </c>
      <c r="X371" s="23" t="n">
        <v>83821.7937427725</v>
      </c>
    </row>
    <row r="372" customFormat="false" ht="11.25" hidden="false" customHeight="false" outlineLevel="0" collapsed="false">
      <c r="A372" s="24" t="s">
        <v>8</v>
      </c>
      <c r="B372" s="19" t="n">
        <f aca="false">NPV(0.1,D372:Y372)</f>
        <v>248799.854332874</v>
      </c>
      <c r="C372" s="19" t="n">
        <f aca="false">B372-B362</f>
        <v>-168.01642024063</v>
      </c>
      <c r="D372" s="20" t="n">
        <v>26257.4159614138</v>
      </c>
      <c r="E372" s="21" t="n">
        <v>27991.1067412553</v>
      </c>
      <c r="F372" s="21" t="n">
        <v>28141.7216731784</v>
      </c>
      <c r="G372" s="21" t="n">
        <v>28296.8550530591</v>
      </c>
      <c r="H372" s="21" t="n">
        <v>28456.6424343363</v>
      </c>
      <c r="I372" s="21" t="n">
        <v>28565.6983670455</v>
      </c>
      <c r="J372" s="21" t="n">
        <v>28735.2167998424</v>
      </c>
      <c r="K372" s="21" t="n">
        <v>28909.8207856233</v>
      </c>
      <c r="L372" s="21" t="n">
        <v>29089.6628909775</v>
      </c>
      <c r="M372" s="21" t="n">
        <v>29219.3751894862</v>
      </c>
      <c r="N372" s="22" t="n">
        <v>29410.1696790565</v>
      </c>
      <c r="O372" s="23" t="n">
        <v>29606.688003314</v>
      </c>
      <c r="P372" s="23" t="n">
        <v>29809.1018772992</v>
      </c>
      <c r="Q372" s="23" t="n">
        <v>29962.0630974976</v>
      </c>
      <c r="R372" s="23" t="n">
        <v>30176.8039764085</v>
      </c>
      <c r="S372" s="23" t="n">
        <v>30397.9870816867</v>
      </c>
      <c r="T372" s="23" t="n">
        <v>30625.8056801233</v>
      </c>
      <c r="U372" s="23" t="n">
        <v>30804.9337665067</v>
      </c>
      <c r="V372" s="23" t="n">
        <v>31046.626517588</v>
      </c>
      <c r="W372" s="23" t="n">
        <v>31295.5700512018</v>
      </c>
      <c r="X372" s="23" t="n">
        <v>31551.981890824</v>
      </c>
    </row>
    <row r="373" customFormat="false" ht="11.25" hidden="false" customHeight="false" outlineLevel="0" collapsed="false">
      <c r="A373" s="24" t="s">
        <v>9</v>
      </c>
      <c r="B373" s="19" t="n">
        <f aca="false">NPV(0.1,D373:Y373)</f>
        <v>116404.533894251</v>
      </c>
      <c r="C373" s="19" t="n">
        <f aca="false">B373-B363</f>
        <v>-810.81854395628</v>
      </c>
      <c r="D373" s="20" t="n">
        <v>1589.55639164649</v>
      </c>
      <c r="E373" s="21" t="n">
        <v>3042.26600630238</v>
      </c>
      <c r="F373" s="21" t="n">
        <v>3150.72273354491</v>
      </c>
      <c r="G373" s="21" t="n">
        <v>8696.7120437077</v>
      </c>
      <c r="H373" s="21" t="n">
        <v>14765.5854967892</v>
      </c>
      <c r="I373" s="21" t="n">
        <v>15732.194063457</v>
      </c>
      <c r="J373" s="21" t="n">
        <v>16316.7065491925</v>
      </c>
      <c r="K373" s="21" t="n">
        <v>16830.8941545561</v>
      </c>
      <c r="L373" s="21" t="n">
        <v>17363.264779272</v>
      </c>
      <c r="M373" s="21" t="n">
        <v>17948.8436554759</v>
      </c>
      <c r="N373" s="22" t="n">
        <v>18522.0602384023</v>
      </c>
      <c r="O373" s="23" t="n">
        <v>19348.5953123557</v>
      </c>
      <c r="P373" s="23" t="n">
        <v>20219.5947018413</v>
      </c>
      <c r="Q373" s="23" t="n">
        <v>21172.1399480073</v>
      </c>
      <c r="R373" s="23" t="n">
        <v>22142.8773839917</v>
      </c>
      <c r="S373" s="23" t="n">
        <v>23168.4200529568</v>
      </c>
      <c r="T373" s="23" t="n">
        <v>23984.4228377782</v>
      </c>
      <c r="U373" s="23" t="n">
        <v>24872.840153373</v>
      </c>
      <c r="V373" s="23" t="n">
        <v>25769.6269779328</v>
      </c>
      <c r="W373" s="23" t="n">
        <v>26710.6562987832</v>
      </c>
      <c r="X373" s="23" t="n">
        <v>27721.7386541158</v>
      </c>
    </row>
    <row r="374" customFormat="false" ht="11.25" hidden="false" customHeight="false" outlineLevel="0" collapsed="false">
      <c r="A374" s="24" t="s">
        <v>10</v>
      </c>
      <c r="B374" s="19" t="n">
        <f aca="false">NPV(0.1,D374:Y374)</f>
        <v>144269.637075183</v>
      </c>
      <c r="C374" s="19" t="n">
        <f aca="false">B374-B364</f>
        <v>-785.55378417045</v>
      </c>
      <c r="D374" s="25" t="n">
        <v>4595.02014501106</v>
      </c>
      <c r="E374" s="26" t="n">
        <v>9530.51277221799</v>
      </c>
      <c r="F374" s="26" t="n">
        <v>9042.44651654799</v>
      </c>
      <c r="G374" s="26" t="n">
        <v>21412.4359743533</v>
      </c>
      <c r="H374" s="26" t="n">
        <v>27482.7322338228</v>
      </c>
      <c r="I374" s="26" t="n">
        <v>22359.2587408679</v>
      </c>
      <c r="J374" s="26" t="n">
        <v>20341.6428248812</v>
      </c>
      <c r="K374" s="26" t="n">
        <v>20254.9704590541</v>
      </c>
      <c r="L374" s="26" t="n">
        <v>20126.7054577005</v>
      </c>
      <c r="M374" s="26" t="n">
        <v>19948.1019840141</v>
      </c>
      <c r="N374" s="27" t="n">
        <v>19823.1949784864</v>
      </c>
      <c r="O374" s="23" t="n">
        <v>19712.5257711345</v>
      </c>
      <c r="P374" s="23" t="n">
        <v>19553.058773841</v>
      </c>
      <c r="Q374" s="23" t="n">
        <v>19335.1374045859</v>
      </c>
      <c r="R374" s="23" t="n">
        <v>19161.7976959246</v>
      </c>
      <c r="S374" s="23" t="n">
        <v>16197.2648761947</v>
      </c>
      <c r="T374" s="23" t="n">
        <v>13098.2636288892</v>
      </c>
      <c r="U374" s="23" t="n">
        <v>12616.3812592564</v>
      </c>
      <c r="V374" s="23" t="n">
        <v>12184.8095682057</v>
      </c>
      <c r="W374" s="23" t="n">
        <v>11646.0120940653</v>
      </c>
      <c r="X374" s="23" t="n">
        <v>31945.020029444</v>
      </c>
    </row>
    <row r="376" customFormat="false" ht="11.25" hidden="false" customHeight="false" outlineLevel="0" collapsed="false">
      <c r="A376" s="28" t="s">
        <v>49</v>
      </c>
    </row>
    <row r="377" customFormat="false" ht="11.25" hidden="false" customHeight="false" outlineLevel="0" collapsed="false">
      <c r="A377" s="31" t="n">
        <v>36284</v>
      </c>
    </row>
    <row r="378" customFormat="false" ht="11.25" hidden="false" customHeight="false" outlineLevel="0" collapsed="false">
      <c r="A378" s="9" t="s">
        <v>2</v>
      </c>
      <c r="B378" s="10" t="n">
        <v>69489.255089778</v>
      </c>
      <c r="C378" s="11"/>
      <c r="D378" s="11"/>
      <c r="E378" s="11"/>
      <c r="F378" s="11"/>
      <c r="G378" s="11"/>
      <c r="H378" s="11"/>
      <c r="I378" s="11"/>
      <c r="J378" s="11"/>
      <c r="K378" s="11"/>
      <c r="L378" s="11"/>
      <c r="M378" s="11"/>
      <c r="N378" s="11"/>
      <c r="O378" s="11"/>
      <c r="P378" s="11"/>
      <c r="Q378" s="11"/>
      <c r="R378" s="11"/>
      <c r="S378" s="11"/>
      <c r="T378" s="11"/>
      <c r="U378" s="11"/>
      <c r="V378" s="11"/>
    </row>
    <row r="379" customFormat="false" ht="11.25" hidden="false" customHeight="false" outlineLevel="0" collapsed="false">
      <c r="A379" s="12" t="s">
        <v>3</v>
      </c>
      <c r="B379" s="13" t="n">
        <v>112740.297815791</v>
      </c>
      <c r="C379" s="11"/>
      <c r="D379" s="11"/>
      <c r="E379" s="11"/>
      <c r="F379" s="11"/>
      <c r="G379" s="11"/>
      <c r="H379" s="11"/>
      <c r="I379" s="11"/>
      <c r="J379" s="11"/>
      <c r="K379" s="11"/>
      <c r="L379" s="11"/>
      <c r="M379" s="11"/>
      <c r="N379" s="11"/>
      <c r="O379" s="11"/>
      <c r="P379" s="11"/>
      <c r="Q379" s="11"/>
      <c r="R379" s="11"/>
      <c r="S379" s="11"/>
      <c r="T379" s="11"/>
      <c r="U379" s="11"/>
      <c r="V379" s="11"/>
    </row>
    <row r="380" customFormat="false" ht="11.25" hidden="false" customHeight="false" outlineLevel="0" collapsed="false">
      <c r="A380" s="14" t="s">
        <v>4</v>
      </c>
      <c r="B380" s="15" t="s">
        <v>5</v>
      </c>
      <c r="C380" s="15" t="s">
        <v>6</v>
      </c>
      <c r="D380" s="16" t="n">
        <v>2000</v>
      </c>
      <c r="E380" s="17" t="n">
        <v>2001</v>
      </c>
      <c r="F380" s="17" t="n">
        <v>2002</v>
      </c>
      <c r="G380" s="17" t="n">
        <v>2003</v>
      </c>
      <c r="H380" s="17" t="n">
        <v>2004</v>
      </c>
      <c r="I380" s="17" t="n">
        <v>2005</v>
      </c>
      <c r="J380" s="17" t="n">
        <v>2006</v>
      </c>
      <c r="K380" s="17" t="n">
        <v>2007</v>
      </c>
      <c r="L380" s="17" t="n">
        <v>2008</v>
      </c>
      <c r="M380" s="17" t="n">
        <v>2009</v>
      </c>
      <c r="N380" s="18" t="n">
        <v>2010</v>
      </c>
      <c r="O380" s="11" t="n">
        <v>2011</v>
      </c>
      <c r="P380" s="11" t="n">
        <v>2012</v>
      </c>
      <c r="Q380" s="11" t="n">
        <v>2013</v>
      </c>
      <c r="R380" s="11" t="n">
        <v>2014</v>
      </c>
      <c r="S380" s="11" t="n">
        <v>2015</v>
      </c>
      <c r="T380" s="11" t="n">
        <v>2016</v>
      </c>
      <c r="U380" s="11" t="n">
        <v>2017</v>
      </c>
      <c r="V380" s="11" t="n">
        <v>2018</v>
      </c>
      <c r="W380" s="11" t="n">
        <v>2019</v>
      </c>
      <c r="X380" s="11" t="n">
        <v>2020</v>
      </c>
    </row>
    <row r="381" customFormat="false" ht="11.25" hidden="false" customHeight="false" outlineLevel="0" collapsed="false">
      <c r="A381" s="14" t="s">
        <v>7</v>
      </c>
      <c r="B381" s="19" t="n">
        <f aca="false">NPV(0.1,D381:Y381)</f>
        <v>581187.299071026</v>
      </c>
      <c r="C381" s="19" t="n">
        <f aca="false">B381-B371</f>
        <v>-8573.38561746932</v>
      </c>
      <c r="D381" s="20" t="n">
        <v>39544.2212</v>
      </c>
      <c r="E381" s="21" t="n">
        <v>54211.262468</v>
      </c>
      <c r="F381" s="21" t="n">
        <v>54288.55497404</v>
      </c>
      <c r="G381" s="21" t="n">
        <v>62649.7441426073</v>
      </c>
      <c r="H381" s="21" t="n">
        <v>71913.8346403786</v>
      </c>
      <c r="I381" s="21" t="n">
        <v>73099.8531412489</v>
      </c>
      <c r="J381" s="21" t="n">
        <v>73671.5156561243</v>
      </c>
      <c r="K381" s="21" t="n">
        <v>74231.500717569</v>
      </c>
      <c r="L381" s="21" t="n">
        <v>74778.593182114</v>
      </c>
      <c r="M381" s="21" t="n">
        <v>75311.5155073899</v>
      </c>
      <c r="N381" s="22" t="n">
        <v>75828.9251018223</v>
      </c>
      <c r="O381" s="23" t="n">
        <v>76700.7312936711</v>
      </c>
      <c r="P381" s="23" t="n">
        <v>77576.4124879431</v>
      </c>
      <c r="Q381" s="23" t="n">
        <v>78455.4165592112</v>
      </c>
      <c r="R381" s="23" t="n">
        <v>79337.1547670202</v>
      </c>
      <c r="S381" s="23" t="n">
        <v>80221.0000558984</v>
      </c>
      <c r="T381" s="23" t="n">
        <v>80675.8239590968</v>
      </c>
      <c r="U381" s="23" t="n">
        <v>81105.5510599409</v>
      </c>
      <c r="V381" s="23" t="n">
        <v>81508.2662087764</v>
      </c>
      <c r="W381" s="23" t="n">
        <v>81881.9619340921</v>
      </c>
      <c r="X381" s="23" t="n">
        <v>82224.5346268428</v>
      </c>
    </row>
    <row r="382" customFormat="false" ht="11.25" hidden="false" customHeight="false" outlineLevel="0" collapsed="false">
      <c r="A382" s="24" t="s">
        <v>8</v>
      </c>
      <c r="B382" s="19" t="n">
        <f aca="false">NPV(0.1,D382:Y382)</f>
        <v>246284.805672589</v>
      </c>
      <c r="C382" s="19" t="n">
        <f aca="false">B382-B372</f>
        <v>-2515.04866028481</v>
      </c>
      <c r="D382" s="20" t="n">
        <v>26261.8861241402</v>
      </c>
      <c r="E382" s="21" t="n">
        <v>27994.0868497396</v>
      </c>
      <c r="F382" s="21" t="n">
        <v>28144.7017816626</v>
      </c>
      <c r="G382" s="21" t="n">
        <v>28081.4476415433</v>
      </c>
      <c r="H382" s="21" t="n">
        <v>28022.8475028205</v>
      </c>
      <c r="I382" s="21" t="n">
        <v>28131.9034355297</v>
      </c>
      <c r="J382" s="21" t="n">
        <v>28301.4218683267</v>
      </c>
      <c r="K382" s="21" t="n">
        <v>28476.0258541075</v>
      </c>
      <c r="L382" s="21" t="n">
        <v>28655.8679594618</v>
      </c>
      <c r="M382" s="21" t="n">
        <v>28785.5802579704</v>
      </c>
      <c r="N382" s="22" t="n">
        <v>28976.3747475408</v>
      </c>
      <c r="O382" s="23" t="n">
        <v>29172.8930717982</v>
      </c>
      <c r="P382" s="23" t="n">
        <v>29375.3069457834</v>
      </c>
      <c r="Q382" s="23" t="n">
        <v>29528.2681659819</v>
      </c>
      <c r="R382" s="23" t="n">
        <v>29743.0090448928</v>
      </c>
      <c r="S382" s="23" t="n">
        <v>29964.192150171</v>
      </c>
      <c r="T382" s="23" t="n">
        <v>30192.0107486075</v>
      </c>
      <c r="U382" s="23" t="n">
        <v>30371.1388349909</v>
      </c>
      <c r="V382" s="23" t="n">
        <v>30612.8315860722</v>
      </c>
      <c r="W382" s="23" t="n">
        <v>30861.775119686</v>
      </c>
      <c r="X382" s="23" t="n">
        <v>31118.1869593082</v>
      </c>
    </row>
    <row r="383" customFormat="false" ht="11.25" hidden="false" customHeight="false" outlineLevel="0" collapsed="false">
      <c r="A383" s="24" t="s">
        <v>9</v>
      </c>
      <c r="B383" s="19" t="n">
        <f aca="false">NPV(0.1,D383:Y383)</f>
        <v>113873.429281108</v>
      </c>
      <c r="C383" s="19" t="n">
        <f aca="false">B383-B373</f>
        <v>-2531.10461314266</v>
      </c>
      <c r="D383" s="20" t="n">
        <v>1659.22059268989</v>
      </c>
      <c r="E383" s="21" t="n">
        <v>3190.70659616549</v>
      </c>
      <c r="F383" s="21" t="n">
        <v>3310.71565896945</v>
      </c>
      <c r="G383" s="21" t="n">
        <v>8632.25504764306</v>
      </c>
      <c r="H383" s="21" t="n">
        <v>14348.3339498969</v>
      </c>
      <c r="I383" s="21" t="n">
        <v>15296.4924217762</v>
      </c>
      <c r="J383" s="21" t="n">
        <v>15869.4390507463</v>
      </c>
      <c r="K383" s="21" t="n">
        <v>16371.6112332027</v>
      </c>
      <c r="L383" s="21" t="n">
        <v>16891.4885637666</v>
      </c>
      <c r="M383" s="21" t="n">
        <v>17464.0657365412</v>
      </c>
      <c r="N383" s="22" t="n">
        <v>18023.7392521599</v>
      </c>
      <c r="O383" s="23" t="n">
        <v>18831.52516832</v>
      </c>
      <c r="P383" s="23" t="n">
        <v>19682.7360127292</v>
      </c>
      <c r="Q383" s="23" t="n">
        <v>20614.3788826955</v>
      </c>
      <c r="R383" s="23" t="n">
        <v>21563.0198199478</v>
      </c>
      <c r="S383" s="23" t="n">
        <v>22565.1852595036</v>
      </c>
      <c r="T383" s="23" t="n">
        <v>23361.8031139193</v>
      </c>
      <c r="U383" s="23" t="n">
        <v>24229.8521280562</v>
      </c>
      <c r="V383" s="23" t="n">
        <v>25105.2167486481</v>
      </c>
      <c r="W383" s="23" t="n">
        <v>26023.6937666586</v>
      </c>
      <c r="X383" s="23" t="n">
        <v>27011.0113971535</v>
      </c>
    </row>
    <row r="384" customFormat="false" ht="11.25" hidden="false" customHeight="false" outlineLevel="0" collapsed="false">
      <c r="A384" s="24" t="s">
        <v>10</v>
      </c>
      <c r="B384" s="19" t="n">
        <f aca="false">NPV(0.1,D384:Y384)</f>
        <v>142202.971382626</v>
      </c>
      <c r="C384" s="19" t="n">
        <f aca="false">B384-B374</f>
        <v>-2066.66569255674</v>
      </c>
      <c r="D384" s="25" t="n">
        <v>4593.47421373486</v>
      </c>
      <c r="E384" s="26" t="n">
        <v>9529.48215136719</v>
      </c>
      <c r="F384" s="26" t="n">
        <v>9041.41589569718</v>
      </c>
      <c r="G384" s="26" t="n">
        <v>21173.0816069017</v>
      </c>
      <c r="H384" s="26" t="n">
        <v>26883.2296217544</v>
      </c>
      <c r="I384" s="26" t="n">
        <v>22100.2935295453</v>
      </c>
      <c r="J384" s="26" t="n">
        <v>20015.8207910173</v>
      </c>
      <c r="K384" s="26" t="n">
        <v>19930.8780867401</v>
      </c>
      <c r="L384" s="26" t="n">
        <v>19804.842980979</v>
      </c>
      <c r="M384" s="26" t="n">
        <v>19629.0064307278</v>
      </c>
      <c r="N384" s="27" t="n">
        <v>19507.4425946116</v>
      </c>
      <c r="O384" s="23" t="n">
        <v>19399.1366354416</v>
      </c>
      <c r="P384" s="23" t="n">
        <v>19242.6958281741</v>
      </c>
      <c r="Q384" s="23" t="n">
        <v>19028.5202772522</v>
      </c>
      <c r="R384" s="23" t="n">
        <v>18859.7070291848</v>
      </c>
      <c r="S384" s="23" t="n">
        <v>15900.5469842205</v>
      </c>
      <c r="T384" s="23" t="n">
        <v>12809.6880032891</v>
      </c>
      <c r="U384" s="23" t="n">
        <v>12336.9406227588</v>
      </c>
      <c r="V384" s="23" t="n">
        <v>11915.5679294058</v>
      </c>
      <c r="W384" s="23" t="n">
        <v>11388.1096551698</v>
      </c>
      <c r="X384" s="23" t="n">
        <v>31234.2927724818</v>
      </c>
    </row>
    <row r="386" customFormat="false" ht="11.25" hidden="false" customHeight="false" outlineLevel="0" collapsed="false">
      <c r="A386" s="28" t="s">
        <v>50</v>
      </c>
    </row>
    <row r="387" customFormat="false" ht="11.25" hidden="false" customHeight="false" outlineLevel="0" collapsed="false">
      <c r="A387" s="31" t="n">
        <v>36284</v>
      </c>
    </row>
    <row r="388" customFormat="false" ht="11.25" hidden="false" customHeight="false" outlineLevel="0" collapsed="false">
      <c r="A388" s="9" t="s">
        <v>2</v>
      </c>
      <c r="B388" s="10" t="n">
        <v>66280.6799285615</v>
      </c>
      <c r="C388" s="11"/>
      <c r="D388" s="11"/>
      <c r="E388" s="11"/>
      <c r="F388" s="11"/>
      <c r="G388" s="11"/>
      <c r="H388" s="11"/>
      <c r="I388" s="11"/>
      <c r="J388" s="11"/>
      <c r="K388" s="11"/>
      <c r="L388" s="11"/>
      <c r="M388" s="11"/>
      <c r="N388" s="11"/>
      <c r="O388" s="11"/>
      <c r="P388" s="11"/>
      <c r="Q388" s="11"/>
      <c r="R388" s="11"/>
      <c r="S388" s="11"/>
      <c r="T388" s="11"/>
      <c r="U388" s="11"/>
      <c r="V388" s="11"/>
    </row>
    <row r="389" customFormat="false" ht="11.25" hidden="false" customHeight="false" outlineLevel="0" collapsed="false">
      <c r="A389" s="12" t="s">
        <v>3</v>
      </c>
      <c r="B389" s="13" t="n">
        <v>108586.324582276</v>
      </c>
      <c r="C389" s="11"/>
      <c r="D389" s="11"/>
      <c r="E389" s="11"/>
      <c r="F389" s="11"/>
      <c r="G389" s="11"/>
      <c r="H389" s="11"/>
      <c r="I389" s="11"/>
      <c r="J389" s="11"/>
      <c r="K389" s="11"/>
      <c r="L389" s="11"/>
      <c r="M389" s="11"/>
      <c r="N389" s="11"/>
      <c r="O389" s="11"/>
      <c r="P389" s="11"/>
      <c r="Q389" s="11"/>
      <c r="R389" s="11"/>
      <c r="S389" s="11"/>
      <c r="T389" s="11"/>
      <c r="U389" s="11"/>
      <c r="V389" s="11"/>
    </row>
    <row r="390" customFormat="false" ht="11.25" hidden="false" customHeight="false" outlineLevel="0" collapsed="false">
      <c r="A390" s="14" t="s">
        <v>4</v>
      </c>
      <c r="B390" s="15" t="s">
        <v>5</v>
      </c>
      <c r="C390" s="15" t="s">
        <v>6</v>
      </c>
      <c r="D390" s="16" t="n">
        <v>2000</v>
      </c>
      <c r="E390" s="17" t="n">
        <v>2001</v>
      </c>
      <c r="F390" s="17" t="n">
        <v>2002</v>
      </c>
      <c r="G390" s="17" t="n">
        <v>2003</v>
      </c>
      <c r="H390" s="17" t="n">
        <v>2004</v>
      </c>
      <c r="I390" s="17" t="n">
        <v>2005</v>
      </c>
      <c r="J390" s="17" t="n">
        <v>2006</v>
      </c>
      <c r="K390" s="17" t="n">
        <v>2007</v>
      </c>
      <c r="L390" s="17" t="n">
        <v>2008</v>
      </c>
      <c r="M390" s="17" t="n">
        <v>2009</v>
      </c>
      <c r="N390" s="18" t="n">
        <v>2010</v>
      </c>
      <c r="O390" s="11" t="n">
        <v>2011</v>
      </c>
      <c r="P390" s="11" t="n">
        <v>2012</v>
      </c>
      <c r="Q390" s="11" t="n">
        <v>2013</v>
      </c>
      <c r="R390" s="11" t="n">
        <v>2014</v>
      </c>
      <c r="S390" s="11" t="n">
        <v>2015</v>
      </c>
      <c r="T390" s="11" t="n">
        <v>2016</v>
      </c>
      <c r="U390" s="11" t="n">
        <v>2017</v>
      </c>
      <c r="V390" s="11" t="n">
        <v>2018</v>
      </c>
      <c r="W390" s="11" t="n">
        <v>2019</v>
      </c>
      <c r="X390" s="11" t="n">
        <v>2020</v>
      </c>
    </row>
    <row r="391" customFormat="false" ht="11.25" hidden="false" customHeight="false" outlineLevel="0" collapsed="false">
      <c r="A391" s="14" t="s">
        <v>7</v>
      </c>
      <c r="B391" s="19" t="n">
        <f aca="false">NPV(0.1,D391:Y391)</f>
        <v>581187.299071026</v>
      </c>
      <c r="C391" s="19" t="n">
        <f aca="false">B391-B381</f>
        <v>0</v>
      </c>
      <c r="D391" s="20" t="n">
        <v>39544.2212</v>
      </c>
      <c r="E391" s="21" t="n">
        <v>54211.262468</v>
      </c>
      <c r="F391" s="21" t="n">
        <v>54288.55497404</v>
      </c>
      <c r="G391" s="21" t="n">
        <v>62649.7441426073</v>
      </c>
      <c r="H391" s="21" t="n">
        <v>71913.8346403786</v>
      </c>
      <c r="I391" s="21" t="n">
        <v>73099.8531412489</v>
      </c>
      <c r="J391" s="21" t="n">
        <v>73671.5156561243</v>
      </c>
      <c r="K391" s="21" t="n">
        <v>74231.500717569</v>
      </c>
      <c r="L391" s="21" t="n">
        <v>74778.593182114</v>
      </c>
      <c r="M391" s="21" t="n">
        <v>75311.5155073899</v>
      </c>
      <c r="N391" s="22" t="n">
        <v>75828.9251018223</v>
      </c>
      <c r="O391" s="23" t="n">
        <v>76700.7312936711</v>
      </c>
      <c r="P391" s="23" t="n">
        <v>77576.4124879431</v>
      </c>
      <c r="Q391" s="23" t="n">
        <v>78455.4165592112</v>
      </c>
      <c r="R391" s="23" t="n">
        <v>79337.1547670202</v>
      </c>
      <c r="S391" s="23" t="n">
        <v>80221.0000558984</v>
      </c>
      <c r="T391" s="23" t="n">
        <v>80675.8239590968</v>
      </c>
      <c r="U391" s="23" t="n">
        <v>81105.5510599409</v>
      </c>
      <c r="V391" s="23" t="n">
        <v>81508.2662087764</v>
      </c>
      <c r="W391" s="23" t="n">
        <v>81881.9619340921</v>
      </c>
      <c r="X391" s="23" t="n">
        <v>82224.5346268428</v>
      </c>
    </row>
    <row r="392" customFormat="false" ht="11.25" hidden="false" customHeight="false" outlineLevel="0" collapsed="false">
      <c r="A392" s="24" t="s">
        <v>8</v>
      </c>
      <c r="B392" s="19" t="n">
        <f aca="false">NPV(0.1,D392:Y392)</f>
        <v>250305.294010458</v>
      </c>
      <c r="C392" s="19" t="n">
        <f aca="false">B392-B382</f>
        <v>4020.48833786833</v>
      </c>
      <c r="D392" s="20" t="n">
        <v>26264.8531069434</v>
      </c>
      <c r="E392" s="21" t="n">
        <v>27996.064838275</v>
      </c>
      <c r="F392" s="21" t="n">
        <v>28146.6797701981</v>
      </c>
      <c r="G392" s="21" t="n">
        <v>28365.087361206</v>
      </c>
      <c r="H392" s="21" t="n">
        <v>28605.048657478</v>
      </c>
      <c r="I392" s="21" t="n">
        <v>28731.5112851708</v>
      </c>
      <c r="J392" s="21" t="n">
        <v>28918.9586138009</v>
      </c>
      <c r="K392" s="21" t="n">
        <v>29112.0293622899</v>
      </c>
      <c r="L392" s="21" t="n">
        <v>29310.8922332336</v>
      </c>
      <c r="M392" s="21" t="n">
        <v>29460.1959202994</v>
      </c>
      <c r="N392" s="22" t="n">
        <v>29671.1695400835</v>
      </c>
      <c r="O392" s="23" t="n">
        <v>29888.4723684612</v>
      </c>
      <c r="P392" s="23" t="n">
        <v>30112.2942816902</v>
      </c>
      <c r="Q392" s="23" t="n">
        <v>30287.3057823098</v>
      </c>
      <c r="R392" s="23" t="n">
        <v>30524.7584500545</v>
      </c>
      <c r="S392" s="23" t="n">
        <v>30769.3346978315</v>
      </c>
      <c r="T392" s="23" t="n">
        <v>31021.2482330418</v>
      </c>
      <c r="U392" s="23" t="n">
        <v>31225.1941043021</v>
      </c>
      <c r="V392" s="23" t="n">
        <v>31492.4491738067</v>
      </c>
      <c r="W392" s="23" t="n">
        <v>31767.7218953965</v>
      </c>
      <c r="X392" s="23" t="n">
        <v>32051.2527986339</v>
      </c>
    </row>
    <row r="393" customFormat="false" ht="11.25" hidden="false" customHeight="false" outlineLevel="0" collapsed="false">
      <c r="A393" s="24" t="s">
        <v>9</v>
      </c>
      <c r="B393" s="19" t="n">
        <f aca="false">NPV(0.1,D393:Y393)</f>
        <v>112215.40670035</v>
      </c>
      <c r="C393" s="19" t="n">
        <f aca="false">B393-B383</f>
        <v>-1658.0225807589</v>
      </c>
      <c r="D393" s="20" t="n">
        <v>1705.45883929263</v>
      </c>
      <c r="E393" s="21" t="n">
        <v>3289.2311252227</v>
      </c>
      <c r="F393" s="21" t="n">
        <v>3416.90782409406</v>
      </c>
      <c r="G393" s="21" t="n">
        <v>8574.64993123633</v>
      </c>
      <c r="H393" s="21" t="n">
        <v>14112.1230044712</v>
      </c>
      <c r="I393" s="21" t="n">
        <v>15047.9630563752</v>
      </c>
      <c r="J393" s="21" t="n">
        <v>15607.8013911734</v>
      </c>
      <c r="K393" s="21" t="n">
        <v>16096.0180833077</v>
      </c>
      <c r="L393" s="21" t="n">
        <v>16601.0309957286</v>
      </c>
      <c r="M393" s="21" t="n">
        <v>17157.768333656</v>
      </c>
      <c r="N393" s="22" t="n">
        <v>17700.5549764891</v>
      </c>
      <c r="O393" s="23" t="n">
        <v>18490.3298233559</v>
      </c>
      <c r="P393" s="23" t="n">
        <v>19322.3222688427</v>
      </c>
      <c r="Q393" s="23" t="n">
        <v>20233.4498305648</v>
      </c>
      <c r="R393" s="23" t="n">
        <v>21160.182014383</v>
      </c>
      <c r="S393" s="23" t="n">
        <v>22138.9412130838</v>
      </c>
      <c r="T393" s="23" t="n">
        <v>22910.5431966154</v>
      </c>
      <c r="U393" s="23" t="n">
        <v>23751.8458255139</v>
      </c>
      <c r="V393" s="23" t="n">
        <v>24598.6032280245</v>
      </c>
      <c r="W393" s="23" t="n">
        <v>25486.4716948225</v>
      </c>
      <c r="X393" s="23" t="n">
        <v>26441.0279516526</v>
      </c>
    </row>
    <row r="394" customFormat="false" ht="11.25" hidden="false" customHeight="false" outlineLevel="0" collapsed="false">
      <c r="A394" s="24" t="s">
        <v>10</v>
      </c>
      <c r="B394" s="19" t="n">
        <f aca="false">NPV(0.1,D394:Y394)</f>
        <v>140808.870901606</v>
      </c>
      <c r="C394" s="19" t="n">
        <f aca="false">B394-B384</f>
        <v>-1394.10048102014</v>
      </c>
      <c r="D394" s="25" t="n">
        <v>4592.44813218208</v>
      </c>
      <c r="E394" s="26" t="n">
        <v>9528.79809699866</v>
      </c>
      <c r="F394" s="26" t="n">
        <v>9040.73184132866</v>
      </c>
      <c r="G394" s="26" t="n">
        <v>20999.3522786083</v>
      </c>
      <c r="H394" s="26" t="n">
        <v>26526.6314145267</v>
      </c>
      <c r="I394" s="26" t="n">
        <v>21924.6135606332</v>
      </c>
      <c r="J394" s="26" t="n">
        <v>19809.5978501333</v>
      </c>
      <c r="K394" s="26" t="n">
        <v>19722.5195381124</v>
      </c>
      <c r="L394" s="26" t="n">
        <v>19594.6070885455</v>
      </c>
      <c r="M394" s="26" t="n">
        <v>19417.1849929182</v>
      </c>
      <c r="N394" s="27" t="n">
        <v>19294.364013308</v>
      </c>
      <c r="O394" s="23" t="n">
        <v>19185.1692420422</v>
      </c>
      <c r="P394" s="23" t="n">
        <v>19028.251487675</v>
      </c>
      <c r="Q394" s="23" t="n">
        <v>18814.0582929483</v>
      </c>
      <c r="R394" s="23" t="n">
        <v>18645.7383724065</v>
      </c>
      <c r="S394" s="23" t="n">
        <v>15687.6388754895</v>
      </c>
      <c r="T394" s="23" t="n">
        <v>12598.4688733987</v>
      </c>
      <c r="U394" s="23" t="n">
        <v>12128.1054845739</v>
      </c>
      <c r="V394" s="23" t="n">
        <v>11709.8841936574</v>
      </c>
      <c r="W394" s="23" t="n">
        <v>11186.4234261894</v>
      </c>
      <c r="X394" s="23" t="n">
        <v>30664.3093269809</v>
      </c>
    </row>
    <row r="396" customFormat="false" ht="11.25" hidden="false" customHeight="false" outlineLevel="0" collapsed="false">
      <c r="A396" s="28" t="s">
        <v>51</v>
      </c>
    </row>
    <row r="397" customFormat="false" ht="11.25" hidden="false" customHeight="false" outlineLevel="0" collapsed="false">
      <c r="A397" s="31" t="n">
        <v>36284</v>
      </c>
    </row>
    <row r="398" customFormat="false" ht="11.25" hidden="false" customHeight="false" outlineLevel="0" collapsed="false">
      <c r="A398" s="9" t="s">
        <v>2</v>
      </c>
      <c r="B398" s="10" t="n">
        <v>58859.9451636533</v>
      </c>
      <c r="C398" s="11"/>
      <c r="D398" s="11"/>
      <c r="E398" s="11"/>
      <c r="F398" s="11"/>
      <c r="G398" s="11"/>
      <c r="H398" s="11"/>
      <c r="I398" s="11"/>
      <c r="J398" s="11"/>
      <c r="K398" s="11"/>
      <c r="L398" s="11"/>
      <c r="M398" s="11"/>
      <c r="N398" s="11"/>
      <c r="O398" s="11"/>
      <c r="P398" s="11"/>
      <c r="Q398" s="11"/>
      <c r="R398" s="11"/>
      <c r="S398" s="11"/>
      <c r="T398" s="11"/>
      <c r="U398" s="11"/>
      <c r="V398" s="11"/>
    </row>
    <row r="399" customFormat="false" ht="11.25" hidden="false" customHeight="false" outlineLevel="0" collapsed="false">
      <c r="A399" s="12" t="s">
        <v>3</v>
      </c>
      <c r="B399" s="13" t="n">
        <v>98932.5416684659</v>
      </c>
      <c r="C399" s="11"/>
      <c r="D399" s="11"/>
      <c r="E399" s="11"/>
      <c r="F399" s="11"/>
      <c r="G399" s="11"/>
      <c r="H399" s="11"/>
      <c r="I399" s="11"/>
      <c r="J399" s="11"/>
      <c r="K399" s="11"/>
      <c r="L399" s="11"/>
      <c r="M399" s="11"/>
      <c r="N399" s="11"/>
      <c r="O399" s="11"/>
      <c r="P399" s="11"/>
      <c r="Q399" s="11"/>
      <c r="R399" s="11"/>
      <c r="S399" s="11"/>
      <c r="T399" s="11"/>
      <c r="U399" s="11"/>
      <c r="V399" s="11"/>
    </row>
    <row r="400" customFormat="false" ht="11.25" hidden="false" customHeight="false" outlineLevel="0" collapsed="false">
      <c r="A400" s="14" t="s">
        <v>4</v>
      </c>
      <c r="B400" s="15" t="s">
        <v>5</v>
      </c>
      <c r="C400" s="15" t="s">
        <v>6</v>
      </c>
      <c r="D400" s="16" t="n">
        <v>2000</v>
      </c>
      <c r="E400" s="17" t="n">
        <v>2001</v>
      </c>
      <c r="F400" s="17" t="n">
        <v>2002</v>
      </c>
      <c r="G400" s="17" t="n">
        <v>2003</v>
      </c>
      <c r="H400" s="17" t="n">
        <v>2004</v>
      </c>
      <c r="I400" s="17" t="n">
        <v>2005</v>
      </c>
      <c r="J400" s="17" t="n">
        <v>2006</v>
      </c>
      <c r="K400" s="17" t="n">
        <v>2007</v>
      </c>
      <c r="L400" s="17" t="n">
        <v>2008</v>
      </c>
      <c r="M400" s="17" t="n">
        <v>2009</v>
      </c>
      <c r="N400" s="18" t="n">
        <v>2010</v>
      </c>
      <c r="O400" s="11" t="n">
        <v>2011</v>
      </c>
      <c r="P400" s="11" t="n">
        <v>2012</v>
      </c>
      <c r="Q400" s="11" t="n">
        <v>2013</v>
      </c>
      <c r="R400" s="11" t="n">
        <v>2014</v>
      </c>
      <c r="S400" s="11" t="n">
        <v>2015</v>
      </c>
      <c r="T400" s="11" t="n">
        <v>2016</v>
      </c>
      <c r="U400" s="11" t="n">
        <v>2017</v>
      </c>
      <c r="V400" s="11" t="n">
        <v>2018</v>
      </c>
      <c r="W400" s="11" t="n">
        <v>2019</v>
      </c>
      <c r="X400" s="11" t="n">
        <v>2020</v>
      </c>
    </row>
    <row r="401" customFormat="false" ht="11.25" hidden="false" customHeight="false" outlineLevel="0" collapsed="false">
      <c r="A401" s="14" t="s">
        <v>7</v>
      </c>
      <c r="B401" s="19" t="n">
        <f aca="false">NPV(0.1,D401:Y401)</f>
        <v>571890.437069672</v>
      </c>
      <c r="C401" s="19" t="n">
        <f aca="false">B401-B391</f>
        <v>-9296.86200135411</v>
      </c>
      <c r="D401" s="20" t="n">
        <v>39544.2212</v>
      </c>
      <c r="E401" s="21" t="n">
        <v>54211.262468</v>
      </c>
      <c r="F401" s="21" t="n">
        <v>54288.55497404</v>
      </c>
      <c r="G401" s="21" t="n">
        <v>62082.9570334903</v>
      </c>
      <c r="H401" s="21" t="n">
        <v>70348.4997413189</v>
      </c>
      <c r="I401" s="21" t="n">
        <v>71798.5326167585</v>
      </c>
      <c r="J401" s="21" t="n">
        <v>71782.4819078733</v>
      </c>
      <c r="K401" s="21" t="n">
        <v>72498.0981944566</v>
      </c>
      <c r="L401" s="21" t="n">
        <v>73211.859888022</v>
      </c>
      <c r="M401" s="21" t="n">
        <v>73923.0116583302</v>
      </c>
      <c r="N401" s="22" t="n">
        <v>74630.7545244616</v>
      </c>
      <c r="O401" s="23" t="n">
        <v>75334.2439155725</v>
      </c>
      <c r="P401" s="23" t="n">
        <v>76032.587654582</v>
      </c>
      <c r="Q401" s="23" t="n">
        <v>76724.8438619121</v>
      </c>
      <c r="R401" s="23" t="n">
        <v>77410.0187762968</v>
      </c>
      <c r="S401" s="23" t="n">
        <v>78087.0644895729</v>
      </c>
      <c r="T401" s="23" t="n">
        <v>78754.8765922509</v>
      </c>
      <c r="U401" s="23" t="n">
        <v>79412.291726553</v>
      </c>
      <c r="V401" s="23" t="n">
        <v>80058.0850434842</v>
      </c>
      <c r="W401" s="23" t="n">
        <v>79582.5296427739</v>
      </c>
      <c r="X401" s="23" t="n">
        <v>80167.8923601215</v>
      </c>
    </row>
    <row r="402" customFormat="false" ht="11.25" hidden="false" customHeight="false" outlineLevel="0" collapsed="false">
      <c r="A402" s="24" t="s">
        <v>8</v>
      </c>
      <c r="B402" s="19" t="n">
        <f aca="false">NPV(0.1,D402:Y402)</f>
        <v>250347.006076846</v>
      </c>
      <c r="C402" s="19" t="n">
        <f aca="false">B402-B392</f>
        <v>41.7120663882815</v>
      </c>
      <c r="D402" s="20" t="n">
        <v>26271.7262753245</v>
      </c>
      <c r="E402" s="21" t="n">
        <v>28000.6469505291</v>
      </c>
      <c r="F402" s="21" t="n">
        <v>28151.2618824522</v>
      </c>
      <c r="G402" s="21" t="n">
        <v>28369.6694734601</v>
      </c>
      <c r="H402" s="21" t="n">
        <v>28609.630769732</v>
      </c>
      <c r="I402" s="21" t="n">
        <v>28736.0933974249</v>
      </c>
      <c r="J402" s="21" t="n">
        <v>28923.540726055</v>
      </c>
      <c r="K402" s="21" t="n">
        <v>29116.611474544</v>
      </c>
      <c r="L402" s="21" t="n">
        <v>29315.4743454877</v>
      </c>
      <c r="M402" s="21" t="n">
        <v>29464.7780325534</v>
      </c>
      <c r="N402" s="22" t="n">
        <v>29675.7516523376</v>
      </c>
      <c r="O402" s="23" t="n">
        <v>29893.0544807152</v>
      </c>
      <c r="P402" s="23" t="n">
        <v>30116.8763939442</v>
      </c>
      <c r="Q402" s="23" t="n">
        <v>30291.8878945639</v>
      </c>
      <c r="R402" s="23" t="n">
        <v>30529.3405623085</v>
      </c>
      <c r="S402" s="23" t="n">
        <v>30773.9168100855</v>
      </c>
      <c r="T402" s="23" t="n">
        <v>31025.8303452958</v>
      </c>
      <c r="U402" s="23" t="n">
        <v>31229.7762165562</v>
      </c>
      <c r="V402" s="23" t="n">
        <v>31497.0312860608</v>
      </c>
      <c r="W402" s="23" t="n">
        <v>31772.3040076505</v>
      </c>
      <c r="X402" s="23" t="n">
        <v>32055.834910888</v>
      </c>
    </row>
    <row r="403" customFormat="false" ht="11.25" hidden="false" customHeight="false" outlineLevel="0" collapsed="false">
      <c r="A403" s="24" t="s">
        <v>9</v>
      </c>
      <c r="B403" s="19" t="n">
        <f aca="false">NPV(0.1,D403:Y403)</f>
        <v>108322.175557054</v>
      </c>
      <c r="C403" s="19" t="n">
        <f aca="false">B403-B393</f>
        <v>-3893.23114329507</v>
      </c>
      <c r="D403" s="20" t="n">
        <v>1812.57211753648</v>
      </c>
      <c r="E403" s="21" t="n">
        <v>3517.46826806718</v>
      </c>
      <c r="F403" s="21" t="n">
        <v>3662.90744055949</v>
      </c>
      <c r="G403" s="21" t="n">
        <v>8493.554450653</v>
      </c>
      <c r="H403" s="21" t="n">
        <v>13431.4468597828</v>
      </c>
      <c r="I403" s="21" t="n">
        <v>14520.5234336197</v>
      </c>
      <c r="J403" s="21" t="n">
        <v>14717.7558882183</v>
      </c>
      <c r="K403" s="21" t="n">
        <v>15285.8209271162</v>
      </c>
      <c r="L403" s="21" t="n">
        <v>15879.2119050437</v>
      </c>
      <c r="M403" s="21" t="n">
        <v>16533.5320909074</v>
      </c>
      <c r="N403" s="22" t="n">
        <v>17183.833066394</v>
      </c>
      <c r="O403" s="23" t="n">
        <v>17865.0073851026</v>
      </c>
      <c r="P403" s="23" t="n">
        <v>18579.1767764847</v>
      </c>
      <c r="Q403" s="23" t="n">
        <v>19362.5495454715</v>
      </c>
      <c r="R403" s="23" t="n">
        <v>20150.8314446239</v>
      </c>
      <c r="S403" s="23" t="n">
        <v>20979.622315617</v>
      </c>
      <c r="T403" s="23" t="n">
        <v>21851.808596553</v>
      </c>
      <c r="U403" s="23" t="n">
        <v>22804.4253717687</v>
      </c>
      <c r="V403" s="23" t="n">
        <v>23774.0722688169</v>
      </c>
      <c r="W403" s="23" t="n">
        <v>24120.2022575736</v>
      </c>
      <c r="X403" s="23" t="n">
        <v>25181.8844657784</v>
      </c>
    </row>
    <row r="404" customFormat="false" ht="11.25" hidden="false" customHeight="false" outlineLevel="0" collapsed="false">
      <c r="A404" s="24" t="s">
        <v>10</v>
      </c>
      <c r="B404" s="19" t="n">
        <f aca="false">NPV(0.1,D404:Y404)</f>
        <v>137603.066050093</v>
      </c>
      <c r="C404" s="19" t="n">
        <f aca="false">B404-B394</f>
        <v>-3205.80485151283</v>
      </c>
      <c r="D404" s="25" t="n">
        <v>4590.07116145028</v>
      </c>
      <c r="E404" s="26" t="n">
        <v>9527.21344984413</v>
      </c>
      <c r="F404" s="26" t="n">
        <v>9039.14719417413</v>
      </c>
      <c r="G404" s="26" t="n">
        <v>20649.3886305186</v>
      </c>
      <c r="H404" s="26" t="n">
        <v>25565.057245097</v>
      </c>
      <c r="I404" s="26" t="n">
        <v>21590.1440923313</v>
      </c>
      <c r="J404" s="26" t="n">
        <v>19234.9343238245</v>
      </c>
      <c r="K404" s="26" t="n">
        <v>19190.6824266434</v>
      </c>
      <c r="L404" s="26" t="n">
        <v>19106.7491545527</v>
      </c>
      <c r="M404" s="26" t="n">
        <v>18974.3350213842</v>
      </c>
      <c r="N404" s="27" t="n">
        <v>18897.405967445</v>
      </c>
      <c r="O404" s="23" t="n">
        <v>18756.5184974548</v>
      </c>
      <c r="P404" s="23" t="n">
        <v>18568.4464065811</v>
      </c>
      <c r="Q404" s="23" t="n">
        <v>18323.8647975954</v>
      </c>
      <c r="R404" s="23" t="n">
        <v>18126.1764529368</v>
      </c>
      <c r="S404" s="23" t="n">
        <v>15140.0115505761</v>
      </c>
      <c r="T404" s="23" t="n">
        <v>12115.1658919021</v>
      </c>
      <c r="U404" s="23" t="n">
        <v>11711.0759654966</v>
      </c>
      <c r="V404" s="23" t="n">
        <v>11360.9441766529</v>
      </c>
      <c r="W404" s="23" t="n">
        <v>10673.4926569302</v>
      </c>
      <c r="X404" s="23" t="n">
        <v>29405.1658411067</v>
      </c>
    </row>
    <row r="406" customFormat="false" ht="11.25" hidden="false" customHeight="false" outlineLevel="0" collapsed="false">
      <c r="A406" s="28" t="s">
        <v>52</v>
      </c>
    </row>
    <row r="407" customFormat="false" ht="11.25" hidden="false" customHeight="false" outlineLevel="0" collapsed="false">
      <c r="A407" s="31" t="n">
        <v>36284</v>
      </c>
    </row>
    <row r="408" customFormat="false" ht="11.25" hidden="false" customHeight="false" outlineLevel="0" collapsed="false">
      <c r="A408" s="9" t="s">
        <v>2</v>
      </c>
      <c r="B408" s="10" t="n">
        <v>58859.9451636533</v>
      </c>
      <c r="C408" s="11"/>
      <c r="D408" s="11"/>
      <c r="E408" s="11"/>
      <c r="F408" s="11"/>
      <c r="G408" s="11"/>
      <c r="H408" s="11"/>
      <c r="I408" s="11"/>
      <c r="J408" s="11"/>
      <c r="K408" s="11"/>
      <c r="L408" s="11"/>
      <c r="M408" s="11"/>
      <c r="N408" s="11"/>
      <c r="O408" s="11"/>
      <c r="P408" s="11"/>
      <c r="Q408" s="11"/>
      <c r="R408" s="11"/>
      <c r="S408" s="11"/>
      <c r="T408" s="11"/>
      <c r="U408" s="11"/>
      <c r="V408" s="11"/>
    </row>
    <row r="409" customFormat="false" ht="11.25" hidden="false" customHeight="false" outlineLevel="0" collapsed="false">
      <c r="A409" s="12" t="s">
        <v>3</v>
      </c>
      <c r="B409" s="13" t="n">
        <v>98932.5416684659</v>
      </c>
      <c r="C409" s="11"/>
      <c r="D409" s="11"/>
      <c r="E409" s="11"/>
      <c r="F409" s="11"/>
      <c r="G409" s="11"/>
      <c r="H409" s="11"/>
      <c r="I409" s="11"/>
      <c r="J409" s="11"/>
      <c r="K409" s="11"/>
      <c r="L409" s="11"/>
      <c r="M409" s="11"/>
      <c r="N409" s="11"/>
      <c r="O409" s="11"/>
      <c r="P409" s="11"/>
      <c r="Q409" s="11"/>
      <c r="R409" s="11"/>
      <c r="S409" s="11"/>
      <c r="T409" s="11"/>
      <c r="U409" s="11"/>
      <c r="V409" s="11"/>
    </row>
    <row r="410" customFormat="false" ht="11.25" hidden="false" customHeight="false" outlineLevel="0" collapsed="false">
      <c r="A410" s="14" t="s">
        <v>4</v>
      </c>
      <c r="B410" s="15" t="s">
        <v>5</v>
      </c>
      <c r="C410" s="15" t="s">
        <v>6</v>
      </c>
      <c r="D410" s="16" t="n">
        <v>2000</v>
      </c>
      <c r="E410" s="17" t="n">
        <v>2001</v>
      </c>
      <c r="F410" s="17" t="n">
        <v>2002</v>
      </c>
      <c r="G410" s="17" t="n">
        <v>2003</v>
      </c>
      <c r="H410" s="17" t="n">
        <v>2004</v>
      </c>
      <c r="I410" s="17" t="n">
        <v>2005</v>
      </c>
      <c r="J410" s="17" t="n">
        <v>2006</v>
      </c>
      <c r="K410" s="17" t="n">
        <v>2007</v>
      </c>
      <c r="L410" s="17" t="n">
        <v>2008</v>
      </c>
      <c r="M410" s="17" t="n">
        <v>2009</v>
      </c>
      <c r="N410" s="18" t="n">
        <v>2010</v>
      </c>
      <c r="O410" s="11" t="n">
        <v>2011</v>
      </c>
      <c r="P410" s="11" t="n">
        <v>2012</v>
      </c>
      <c r="Q410" s="11" t="n">
        <v>2013</v>
      </c>
      <c r="R410" s="11" t="n">
        <v>2014</v>
      </c>
      <c r="S410" s="11" t="n">
        <v>2015</v>
      </c>
      <c r="T410" s="11" t="n">
        <v>2016</v>
      </c>
      <c r="U410" s="11" t="n">
        <v>2017</v>
      </c>
      <c r="V410" s="11" t="n">
        <v>2018</v>
      </c>
      <c r="W410" s="11" t="n">
        <v>2019</v>
      </c>
      <c r="X410" s="11" t="n">
        <v>2020</v>
      </c>
    </row>
    <row r="411" customFormat="false" ht="11.25" hidden="false" customHeight="false" outlineLevel="0" collapsed="false">
      <c r="A411" s="14" t="s">
        <v>7</v>
      </c>
      <c r="B411" s="19" t="n">
        <f aca="false">NPV(0.1,D411:Y411)</f>
        <v>569640.984333696</v>
      </c>
      <c r="C411" s="19" t="n">
        <f aca="false">B411-B401</f>
        <v>-2249.45273597632</v>
      </c>
      <c r="D411" s="20" t="n">
        <v>39284.1296</v>
      </c>
      <c r="E411" s="21" t="n">
        <v>53951.170868</v>
      </c>
      <c r="F411" s="21" t="n">
        <v>54028.46337404</v>
      </c>
      <c r="G411" s="21" t="n">
        <v>61822.8654334903</v>
      </c>
      <c r="H411" s="21" t="n">
        <v>70088.4081413189</v>
      </c>
      <c r="I411" s="21" t="n">
        <v>71538.4410167585</v>
      </c>
      <c r="J411" s="21" t="n">
        <v>71522.3903078733</v>
      </c>
      <c r="K411" s="21" t="n">
        <v>72238.0065944566</v>
      </c>
      <c r="L411" s="21" t="n">
        <v>72951.768288022</v>
      </c>
      <c r="M411" s="21" t="n">
        <v>73662.9200583302</v>
      </c>
      <c r="N411" s="22" t="n">
        <v>74370.6629244616</v>
      </c>
      <c r="O411" s="23" t="n">
        <v>75074.1523155725</v>
      </c>
      <c r="P411" s="23" t="n">
        <v>75772.496054582</v>
      </c>
      <c r="Q411" s="23" t="n">
        <v>76464.7522619121</v>
      </c>
      <c r="R411" s="23" t="n">
        <v>77149.9271762968</v>
      </c>
      <c r="S411" s="23" t="n">
        <v>77826.9728895729</v>
      </c>
      <c r="T411" s="23" t="n">
        <v>78494.7849922509</v>
      </c>
      <c r="U411" s="23" t="n">
        <v>79152.200126553</v>
      </c>
      <c r="V411" s="23" t="n">
        <v>79797.9934434842</v>
      </c>
      <c r="W411" s="23" t="n">
        <v>79322.4380427739</v>
      </c>
      <c r="X411" s="23" t="n">
        <v>79907.8007601215</v>
      </c>
    </row>
    <row r="412" customFormat="false" ht="11.25" hidden="false" customHeight="false" outlineLevel="0" collapsed="false">
      <c r="A412" s="24" t="s">
        <v>8</v>
      </c>
      <c r="B412" s="19" t="n">
        <f aca="false">NPV(0.1,D412:Y412)</f>
        <v>248097.55334087</v>
      </c>
      <c r="C412" s="19" t="n">
        <f aca="false">B412-B402</f>
        <v>-2249.45273597635</v>
      </c>
      <c r="D412" s="20" t="n">
        <v>26011.6346753245</v>
      </c>
      <c r="E412" s="21" t="n">
        <v>27740.5553505291</v>
      </c>
      <c r="F412" s="21" t="n">
        <v>27891.1702824522</v>
      </c>
      <c r="G412" s="21" t="n">
        <v>28109.5778734601</v>
      </c>
      <c r="H412" s="21" t="n">
        <v>28349.539169732</v>
      </c>
      <c r="I412" s="21" t="n">
        <v>28476.0017974249</v>
      </c>
      <c r="J412" s="21" t="n">
        <v>28663.449126055</v>
      </c>
      <c r="K412" s="21" t="n">
        <v>28856.519874544</v>
      </c>
      <c r="L412" s="21" t="n">
        <v>29055.3827454877</v>
      </c>
      <c r="M412" s="21" t="n">
        <v>29204.6864325534</v>
      </c>
      <c r="N412" s="22" t="n">
        <v>29415.6600523376</v>
      </c>
      <c r="O412" s="23" t="n">
        <v>29632.9628807152</v>
      </c>
      <c r="P412" s="23" t="n">
        <v>29856.7847939442</v>
      </c>
      <c r="Q412" s="23" t="n">
        <v>30031.7962945639</v>
      </c>
      <c r="R412" s="23" t="n">
        <v>30269.2489623085</v>
      </c>
      <c r="S412" s="23" t="n">
        <v>30513.8252100855</v>
      </c>
      <c r="T412" s="23" t="n">
        <v>30765.7387452958</v>
      </c>
      <c r="U412" s="23" t="n">
        <v>30969.6846165562</v>
      </c>
      <c r="V412" s="23" t="n">
        <v>31236.9396860608</v>
      </c>
      <c r="W412" s="23" t="n">
        <v>31512.2124076505</v>
      </c>
      <c r="X412" s="23" t="n">
        <v>31795.743310888</v>
      </c>
    </row>
    <row r="413" customFormat="false" ht="11.25" hidden="false" customHeight="false" outlineLevel="0" collapsed="false">
      <c r="A413" s="24" t="s">
        <v>9</v>
      </c>
      <c r="B413" s="19" t="n">
        <f aca="false">NPV(0.1,D413:Y413)</f>
        <v>108322.175557054</v>
      </c>
      <c r="C413" s="19" t="n">
        <f aca="false">B413-B403</f>
        <v>0</v>
      </c>
      <c r="D413" s="20" t="n">
        <v>1812.57211753648</v>
      </c>
      <c r="E413" s="21" t="n">
        <v>3517.46826806718</v>
      </c>
      <c r="F413" s="21" t="n">
        <v>3662.90744055948</v>
      </c>
      <c r="G413" s="21" t="n">
        <v>8493.554450653</v>
      </c>
      <c r="H413" s="21" t="n">
        <v>13431.4468597828</v>
      </c>
      <c r="I413" s="21" t="n">
        <v>14520.5234336197</v>
      </c>
      <c r="J413" s="21" t="n">
        <v>14717.7558882183</v>
      </c>
      <c r="K413" s="21" t="n">
        <v>15285.8209271162</v>
      </c>
      <c r="L413" s="21" t="n">
        <v>15879.2119050437</v>
      </c>
      <c r="M413" s="21" t="n">
        <v>16533.5320909074</v>
      </c>
      <c r="N413" s="22" t="n">
        <v>17183.833066394</v>
      </c>
      <c r="O413" s="23" t="n">
        <v>17865.0073851026</v>
      </c>
      <c r="P413" s="23" t="n">
        <v>18579.1767764847</v>
      </c>
      <c r="Q413" s="23" t="n">
        <v>19362.5495454715</v>
      </c>
      <c r="R413" s="23" t="n">
        <v>20150.8314446239</v>
      </c>
      <c r="S413" s="23" t="n">
        <v>20979.622315617</v>
      </c>
      <c r="T413" s="23" t="n">
        <v>21851.808596553</v>
      </c>
      <c r="U413" s="23" t="n">
        <v>22804.4253717687</v>
      </c>
      <c r="V413" s="23" t="n">
        <v>23774.0722688169</v>
      </c>
      <c r="W413" s="23" t="n">
        <v>24120.2022575736</v>
      </c>
      <c r="X413" s="23" t="n">
        <v>25181.8844657784</v>
      </c>
    </row>
    <row r="414" customFormat="false" ht="11.25" hidden="false" customHeight="false" outlineLevel="0" collapsed="false">
      <c r="A414" s="24" t="s">
        <v>10</v>
      </c>
      <c r="B414" s="19" t="n">
        <f aca="false">NPV(0.1,D414:Y414)</f>
        <v>137603.066050093</v>
      </c>
      <c r="C414" s="19" t="n">
        <f aca="false">B414-B404</f>
        <v>0</v>
      </c>
      <c r="D414" s="25" t="n">
        <v>4590.07116145028</v>
      </c>
      <c r="E414" s="26" t="n">
        <v>9527.21344984413</v>
      </c>
      <c r="F414" s="26" t="n">
        <v>9039.14719417413</v>
      </c>
      <c r="G414" s="26" t="n">
        <v>20649.3886305186</v>
      </c>
      <c r="H414" s="26" t="n">
        <v>25565.057245097</v>
      </c>
      <c r="I414" s="26" t="n">
        <v>21590.1440923313</v>
      </c>
      <c r="J414" s="26" t="n">
        <v>19234.9343238245</v>
      </c>
      <c r="K414" s="26" t="n">
        <v>19190.6824266434</v>
      </c>
      <c r="L414" s="26" t="n">
        <v>19106.7491545527</v>
      </c>
      <c r="M414" s="26" t="n">
        <v>18974.3350213842</v>
      </c>
      <c r="N414" s="27" t="n">
        <v>18897.405967445</v>
      </c>
      <c r="O414" s="23" t="n">
        <v>18756.5184974548</v>
      </c>
      <c r="P414" s="23" t="n">
        <v>18568.4464065811</v>
      </c>
      <c r="Q414" s="23" t="n">
        <v>18323.8647975954</v>
      </c>
      <c r="R414" s="23" t="n">
        <v>18126.1764529368</v>
      </c>
      <c r="S414" s="23" t="n">
        <v>15140.0115505761</v>
      </c>
      <c r="T414" s="23" t="n">
        <v>12115.1658919021</v>
      </c>
      <c r="U414" s="23" t="n">
        <v>11711.0759654966</v>
      </c>
      <c r="V414" s="23" t="n">
        <v>11360.9441766529</v>
      </c>
      <c r="W414" s="23" t="n">
        <v>10673.4926569302</v>
      </c>
      <c r="X414" s="23" t="n">
        <v>29405.1658411067</v>
      </c>
    </row>
    <row r="416" customFormat="false" ht="11.25" hidden="false" customHeight="false" outlineLevel="0" collapsed="false">
      <c r="A416" s="28" t="s">
        <v>53</v>
      </c>
    </row>
    <row r="417" customFormat="false" ht="11.25" hidden="false" customHeight="false" outlineLevel="0" collapsed="false">
      <c r="A417" s="31" t="n">
        <v>36285</v>
      </c>
    </row>
    <row r="418" customFormat="false" ht="11.25" hidden="false" customHeight="false" outlineLevel="0" collapsed="false">
      <c r="A418" s="9" t="s">
        <v>2</v>
      </c>
      <c r="B418" s="10" t="n">
        <v>58785.5745687485</v>
      </c>
      <c r="C418" s="11"/>
      <c r="D418" s="11"/>
      <c r="E418" s="11"/>
      <c r="F418" s="11"/>
      <c r="G418" s="11"/>
      <c r="H418" s="11"/>
      <c r="I418" s="11"/>
      <c r="J418" s="11"/>
      <c r="K418" s="11"/>
      <c r="L418" s="11"/>
      <c r="M418" s="11"/>
      <c r="N418" s="11"/>
      <c r="O418" s="11"/>
      <c r="P418" s="11"/>
      <c r="Q418" s="11"/>
      <c r="R418" s="11"/>
      <c r="S418" s="11"/>
      <c r="T418" s="11"/>
      <c r="U418" s="11"/>
      <c r="V418" s="11"/>
    </row>
    <row r="419" customFormat="false" ht="11.25" hidden="false" customHeight="false" outlineLevel="0" collapsed="false">
      <c r="A419" s="12" t="s">
        <v>3</v>
      </c>
      <c r="B419" s="13" t="n">
        <v>98843.6988085115</v>
      </c>
      <c r="C419" s="11"/>
      <c r="D419" s="11"/>
      <c r="E419" s="11"/>
      <c r="F419" s="11"/>
      <c r="G419" s="11"/>
      <c r="H419" s="11"/>
      <c r="I419" s="11"/>
      <c r="J419" s="11"/>
      <c r="K419" s="11"/>
      <c r="L419" s="11"/>
      <c r="M419" s="11"/>
      <c r="N419" s="11"/>
      <c r="O419" s="11"/>
      <c r="P419" s="11"/>
      <c r="Q419" s="11"/>
      <c r="R419" s="11"/>
      <c r="S419" s="11"/>
      <c r="T419" s="11"/>
      <c r="U419" s="11"/>
      <c r="V419" s="11"/>
    </row>
    <row r="420" customFormat="false" ht="11.25" hidden="false" customHeight="false" outlineLevel="0" collapsed="false">
      <c r="A420" s="14" t="s">
        <v>4</v>
      </c>
      <c r="B420" s="15" t="s">
        <v>5</v>
      </c>
      <c r="C420" s="15" t="s">
        <v>6</v>
      </c>
      <c r="D420" s="16" t="n">
        <v>2000</v>
      </c>
      <c r="E420" s="17" t="n">
        <v>2001</v>
      </c>
      <c r="F420" s="17" t="n">
        <v>2002</v>
      </c>
      <c r="G420" s="17" t="n">
        <v>2003</v>
      </c>
      <c r="H420" s="17" t="n">
        <v>2004</v>
      </c>
      <c r="I420" s="17" t="n">
        <v>2005</v>
      </c>
      <c r="J420" s="17" t="n">
        <v>2006</v>
      </c>
      <c r="K420" s="17" t="n">
        <v>2007</v>
      </c>
      <c r="L420" s="17" t="n">
        <v>2008</v>
      </c>
      <c r="M420" s="17" t="n">
        <v>2009</v>
      </c>
      <c r="N420" s="18" t="n">
        <v>2010</v>
      </c>
      <c r="O420" s="11" t="n">
        <v>2011</v>
      </c>
      <c r="P420" s="11" t="n">
        <v>2012</v>
      </c>
      <c r="Q420" s="11" t="n">
        <v>2013</v>
      </c>
      <c r="R420" s="11" t="n">
        <v>2014</v>
      </c>
      <c r="S420" s="11" t="n">
        <v>2015</v>
      </c>
      <c r="T420" s="11" t="n">
        <v>2016</v>
      </c>
      <c r="U420" s="11" t="n">
        <v>2017</v>
      </c>
      <c r="V420" s="11" t="n">
        <v>2018</v>
      </c>
      <c r="W420" s="11" t="n">
        <v>2019</v>
      </c>
      <c r="X420" s="11" t="n">
        <v>2020</v>
      </c>
    </row>
    <row r="421" customFormat="false" ht="11.25" hidden="false" customHeight="false" outlineLevel="0" collapsed="false">
      <c r="A421" s="14" t="s">
        <v>7</v>
      </c>
      <c r="B421" s="19" t="n">
        <f aca="false">NPV(0.1,D421:Y421)</f>
        <v>569640.984333696</v>
      </c>
      <c r="C421" s="19" t="n">
        <f aca="false">B421-B411</f>
        <v>0</v>
      </c>
      <c r="D421" s="20" t="n">
        <v>39284.1296</v>
      </c>
      <c r="E421" s="21" t="n">
        <v>53951.170868</v>
      </c>
      <c r="F421" s="21" t="n">
        <v>54028.46337404</v>
      </c>
      <c r="G421" s="21" t="n">
        <v>61822.8654334903</v>
      </c>
      <c r="H421" s="21" t="n">
        <v>70088.4081413189</v>
      </c>
      <c r="I421" s="21" t="n">
        <v>71538.4410167585</v>
      </c>
      <c r="J421" s="21" t="n">
        <v>71522.3903078733</v>
      </c>
      <c r="K421" s="21" t="n">
        <v>72238.0065944566</v>
      </c>
      <c r="L421" s="21" t="n">
        <v>72951.768288022</v>
      </c>
      <c r="M421" s="21" t="n">
        <v>73662.9200583302</v>
      </c>
      <c r="N421" s="22" t="n">
        <v>74370.6629244616</v>
      </c>
      <c r="O421" s="23" t="n">
        <v>75074.1523155725</v>
      </c>
      <c r="P421" s="23" t="n">
        <v>75772.496054582</v>
      </c>
      <c r="Q421" s="23" t="n">
        <v>76464.7522619121</v>
      </c>
      <c r="R421" s="23" t="n">
        <v>77149.9271762968</v>
      </c>
      <c r="S421" s="23" t="n">
        <v>77826.9728895729</v>
      </c>
      <c r="T421" s="23" t="n">
        <v>78494.7849922509</v>
      </c>
      <c r="U421" s="23" t="n">
        <v>79152.200126553</v>
      </c>
      <c r="V421" s="23" t="n">
        <v>79797.9934434842</v>
      </c>
      <c r="W421" s="23" t="n">
        <v>79322.4380427739</v>
      </c>
      <c r="X421" s="23" t="n">
        <v>79907.8007601215</v>
      </c>
    </row>
    <row r="422" customFormat="false" ht="11.25" hidden="false" customHeight="false" outlineLevel="0" collapsed="false">
      <c r="A422" s="24" t="s">
        <v>8</v>
      </c>
      <c r="B422" s="19" t="n">
        <f aca="false">NPV(0.1,D422:Y422)</f>
        <v>248098.358536609</v>
      </c>
      <c r="C422" s="19" t="n">
        <f aca="false">B422-B412</f>
        <v>0.805195739289047</v>
      </c>
      <c r="D422" s="20" t="n">
        <v>26011.7673526617</v>
      </c>
      <c r="E422" s="21" t="n">
        <v>27740.6438020872</v>
      </c>
      <c r="F422" s="21" t="n">
        <v>27891.2587340103</v>
      </c>
      <c r="G422" s="21" t="n">
        <v>28109.6663250182</v>
      </c>
      <c r="H422" s="21" t="n">
        <v>28349.6276212901</v>
      </c>
      <c r="I422" s="21" t="n">
        <v>28476.090248983</v>
      </c>
      <c r="J422" s="21" t="n">
        <v>28663.5375776131</v>
      </c>
      <c r="K422" s="21" t="n">
        <v>28856.6083261021</v>
      </c>
      <c r="L422" s="21" t="n">
        <v>29055.4711970458</v>
      </c>
      <c r="M422" s="21" t="n">
        <v>29204.7748841115</v>
      </c>
      <c r="N422" s="22" t="n">
        <v>29415.7485038957</v>
      </c>
      <c r="O422" s="23" t="n">
        <v>29633.0513322734</v>
      </c>
      <c r="P422" s="23" t="n">
        <v>29856.8732455024</v>
      </c>
      <c r="Q422" s="23" t="n">
        <v>30031.884746122</v>
      </c>
      <c r="R422" s="23" t="n">
        <v>30269.3374138666</v>
      </c>
      <c r="S422" s="23" t="n">
        <v>30513.9136616436</v>
      </c>
      <c r="T422" s="23" t="n">
        <v>30765.8271968539</v>
      </c>
      <c r="U422" s="23" t="n">
        <v>30969.7730681143</v>
      </c>
      <c r="V422" s="23" t="n">
        <v>31237.0281376189</v>
      </c>
      <c r="W422" s="23" t="n">
        <v>31512.3008592086</v>
      </c>
      <c r="X422" s="23" t="n">
        <v>31795.8317624461</v>
      </c>
    </row>
    <row r="423" customFormat="false" ht="11.25" hidden="false" customHeight="false" outlineLevel="0" collapsed="false">
      <c r="A423" s="24" t="s">
        <v>9</v>
      </c>
      <c r="B423" s="19" t="n">
        <f aca="false">NPV(0.1,D423:Y423)</f>
        <v>108308.740626858</v>
      </c>
      <c r="C423" s="19" t="n">
        <f aca="false">B423-B413</f>
        <v>-13.4349301965267</v>
      </c>
      <c r="D423" s="20" t="n">
        <v>1811.7055059291</v>
      </c>
      <c r="E423" s="21" t="n">
        <v>3515.83981296355</v>
      </c>
      <c r="F423" s="21" t="n">
        <v>3661.27765040659</v>
      </c>
      <c r="G423" s="21" t="n">
        <v>8491.92322198451</v>
      </c>
      <c r="H423" s="21" t="n">
        <v>13429.8151695773</v>
      </c>
      <c r="I423" s="21" t="n">
        <v>14518.8912449542</v>
      </c>
      <c r="J423" s="21" t="n">
        <v>14716.1231612161</v>
      </c>
      <c r="K423" s="21" t="n">
        <v>15284.1876187102</v>
      </c>
      <c r="L423" s="21" t="n">
        <v>15877.5779687217</v>
      </c>
      <c r="M423" s="21" t="n">
        <v>16531.8974764361</v>
      </c>
      <c r="N423" s="22" t="n">
        <v>17182.1977195214</v>
      </c>
      <c r="O423" s="23" t="n">
        <v>17863.3712472367</v>
      </c>
      <c r="P423" s="23" t="n">
        <v>18577.539784346</v>
      </c>
      <c r="Q423" s="23" t="n">
        <v>19360.9116307181</v>
      </c>
      <c r="R423" s="23" t="n">
        <v>20149.1925334467</v>
      </c>
      <c r="S423" s="23" t="n">
        <v>20977.982328302</v>
      </c>
      <c r="T423" s="23" t="n">
        <v>21850.1674470093</v>
      </c>
      <c r="U423" s="23" t="n">
        <v>22802.782967018</v>
      </c>
      <c r="V423" s="23" t="n">
        <v>23772.4285084426</v>
      </c>
      <c r="W423" s="23" t="n">
        <v>24118.5570331258</v>
      </c>
      <c r="X423" s="23" t="n">
        <v>25180.2376601312</v>
      </c>
    </row>
    <row r="424" customFormat="false" ht="11.25" hidden="false" customHeight="false" outlineLevel="0" collapsed="false">
      <c r="A424" s="24" t="s">
        <v>10</v>
      </c>
      <c r="B424" s="19" t="n">
        <f aca="false">NPV(0.1,D424:Y424)</f>
        <v>137618.434651756</v>
      </c>
      <c r="C424" s="19" t="n">
        <f aca="false">B424-B414</f>
        <v>15.3686016628635</v>
      </c>
      <c r="D424" s="25" t="n">
        <v>4590.02527720451</v>
      </c>
      <c r="E424" s="26" t="n">
        <v>9527.18286034695</v>
      </c>
      <c r="F424" s="26" t="n">
        <v>9039.11660467695</v>
      </c>
      <c r="G424" s="26" t="n">
        <v>20649.3344539392</v>
      </c>
      <c r="H424" s="26" t="n">
        <v>25565.0030685177</v>
      </c>
      <c r="I424" s="26" t="n">
        <v>21605.5881401989</v>
      </c>
      <c r="J424" s="26" t="n">
        <v>19236.9659028826</v>
      </c>
      <c r="K424" s="26" t="n">
        <v>19192.717878612</v>
      </c>
      <c r="L424" s="26" t="n">
        <v>19108.7815286995</v>
      </c>
      <c r="M424" s="26" t="n">
        <v>18976.3713320486</v>
      </c>
      <c r="N424" s="27" t="n">
        <v>18899.4392689833</v>
      </c>
      <c r="O424" s="23" t="n">
        <v>18758.555809702</v>
      </c>
      <c r="P424" s="23" t="n">
        <v>18570.4807898288</v>
      </c>
      <c r="Q424" s="23" t="n">
        <v>18325.9032780888</v>
      </c>
      <c r="R424" s="23" t="n">
        <v>18128.2120978903</v>
      </c>
      <c r="S424" s="23" t="n">
        <v>15141.0181594372</v>
      </c>
      <c r="T424" s="23" t="n">
        <v>12115.1435212729</v>
      </c>
      <c r="U424" s="23" t="n">
        <v>11711.0544201255</v>
      </c>
      <c r="V424" s="23" t="n">
        <v>11360.9235225605</v>
      </c>
      <c r="W424" s="23" t="n">
        <v>10673.4729654189</v>
      </c>
      <c r="X424" s="23" t="n">
        <v>29405.1118085596</v>
      </c>
    </row>
    <row r="426" customFormat="false" ht="11.25" hidden="false" customHeight="false" outlineLevel="0" collapsed="false">
      <c r="A426" s="28" t="s">
        <v>54</v>
      </c>
    </row>
    <row r="427" customFormat="false" ht="11.25" hidden="false" customHeight="false" outlineLevel="0" collapsed="false">
      <c r="A427" s="31" t="n">
        <v>36285</v>
      </c>
    </row>
    <row r="428" customFormat="false" ht="11.25" hidden="false" customHeight="false" outlineLevel="0" collapsed="false">
      <c r="A428" s="9" t="s">
        <v>2</v>
      </c>
      <c r="B428" s="10" t="n">
        <v>59117.1701661713</v>
      </c>
      <c r="C428" s="11"/>
      <c r="D428" s="11"/>
      <c r="E428" s="11"/>
      <c r="F428" s="11"/>
      <c r="G428" s="11"/>
      <c r="H428" s="11"/>
      <c r="I428" s="11"/>
      <c r="J428" s="11"/>
      <c r="K428" s="11"/>
      <c r="L428" s="11"/>
      <c r="M428" s="11"/>
      <c r="N428" s="11"/>
      <c r="O428" s="11"/>
      <c r="P428" s="11"/>
      <c r="Q428" s="11"/>
      <c r="R428" s="11"/>
      <c r="S428" s="11"/>
      <c r="T428" s="11"/>
      <c r="U428" s="11"/>
      <c r="V428" s="11"/>
    </row>
    <row r="429" customFormat="false" ht="11.25" hidden="false" customHeight="false" outlineLevel="0" collapsed="false">
      <c r="A429" s="12" t="s">
        <v>3</v>
      </c>
      <c r="B429" s="13" t="n">
        <v>99283.4618653989</v>
      </c>
      <c r="C429" s="11"/>
      <c r="D429" s="11"/>
      <c r="E429" s="11"/>
      <c r="F429" s="11"/>
      <c r="G429" s="11"/>
      <c r="H429" s="11"/>
      <c r="I429" s="11"/>
      <c r="J429" s="11"/>
      <c r="K429" s="11"/>
      <c r="L429" s="11"/>
      <c r="M429" s="11"/>
      <c r="N429" s="11"/>
      <c r="O429" s="11"/>
      <c r="P429" s="11"/>
      <c r="Q429" s="11"/>
      <c r="R429" s="11"/>
      <c r="S429" s="11"/>
      <c r="T429" s="11"/>
      <c r="U429" s="11"/>
      <c r="V429" s="11"/>
    </row>
    <row r="430" customFormat="false" ht="11.25" hidden="false" customHeight="false" outlineLevel="0" collapsed="false">
      <c r="A430" s="14" t="s">
        <v>4</v>
      </c>
      <c r="B430" s="15" t="s">
        <v>5</v>
      </c>
      <c r="C430" s="15" t="s">
        <v>6</v>
      </c>
      <c r="D430" s="16" t="n">
        <v>2000</v>
      </c>
      <c r="E430" s="17" t="n">
        <v>2001</v>
      </c>
      <c r="F430" s="17" t="n">
        <v>2002</v>
      </c>
      <c r="G430" s="17" t="n">
        <v>2003</v>
      </c>
      <c r="H430" s="17" t="n">
        <v>2004</v>
      </c>
      <c r="I430" s="17" t="n">
        <v>2005</v>
      </c>
      <c r="J430" s="17" t="n">
        <v>2006</v>
      </c>
      <c r="K430" s="17" t="n">
        <v>2007</v>
      </c>
      <c r="L430" s="17" t="n">
        <v>2008</v>
      </c>
      <c r="M430" s="17" t="n">
        <v>2009</v>
      </c>
      <c r="N430" s="18" t="n">
        <v>2010</v>
      </c>
      <c r="O430" s="11" t="n">
        <v>2011</v>
      </c>
      <c r="P430" s="11" t="n">
        <v>2012</v>
      </c>
      <c r="Q430" s="11" t="n">
        <v>2013</v>
      </c>
      <c r="R430" s="11" t="n">
        <v>2014</v>
      </c>
      <c r="S430" s="11" t="n">
        <v>2015</v>
      </c>
      <c r="T430" s="11" t="n">
        <v>2016</v>
      </c>
      <c r="U430" s="11" t="n">
        <v>2017</v>
      </c>
      <c r="V430" s="11" t="n">
        <v>2018</v>
      </c>
      <c r="W430" s="11" t="n">
        <v>2019</v>
      </c>
      <c r="X430" s="11" t="n">
        <v>2020</v>
      </c>
    </row>
    <row r="431" customFormat="false" ht="11.25" hidden="false" customHeight="false" outlineLevel="0" collapsed="false">
      <c r="A431" s="14" t="s">
        <v>7</v>
      </c>
      <c r="B431" s="19" t="n">
        <f aca="false">NPV(0.1,D431:Y431)</f>
        <v>572719.067736655</v>
      </c>
      <c r="C431" s="19" t="n">
        <f aca="false">B431-B421</f>
        <v>3078.08340295893</v>
      </c>
      <c r="D431" s="20" t="n">
        <v>41716.1296</v>
      </c>
      <c r="E431" s="21" t="n">
        <v>53951.170868</v>
      </c>
      <c r="F431" s="21" t="n">
        <v>54028.46337404</v>
      </c>
      <c r="G431" s="21" t="n">
        <v>63092.4953437626</v>
      </c>
      <c r="H431" s="21" t="n">
        <v>70088.4081413189</v>
      </c>
      <c r="I431" s="21" t="n">
        <v>71538.4410167585</v>
      </c>
      <c r="J431" s="21" t="n">
        <v>71522.3903078733</v>
      </c>
      <c r="K431" s="21" t="n">
        <v>72238.0065944566</v>
      </c>
      <c r="L431" s="21" t="n">
        <v>72951.768288022</v>
      </c>
      <c r="M431" s="21" t="n">
        <v>73662.9200583302</v>
      </c>
      <c r="N431" s="22" t="n">
        <v>74370.6629244616</v>
      </c>
      <c r="O431" s="23" t="n">
        <v>75074.1523155725</v>
      </c>
      <c r="P431" s="23" t="n">
        <v>75772.496054582</v>
      </c>
      <c r="Q431" s="23" t="n">
        <v>76464.7522619121</v>
      </c>
      <c r="R431" s="23" t="n">
        <v>77149.9271762968</v>
      </c>
      <c r="S431" s="23" t="n">
        <v>77826.9728895729</v>
      </c>
      <c r="T431" s="23" t="n">
        <v>78494.7849922509</v>
      </c>
      <c r="U431" s="23" t="n">
        <v>79152.200126553</v>
      </c>
      <c r="V431" s="23" t="n">
        <v>79797.9934434842</v>
      </c>
      <c r="W431" s="23" t="n">
        <v>79322.4380427739</v>
      </c>
      <c r="X431" s="23" t="n">
        <v>79907.8007601215</v>
      </c>
    </row>
    <row r="432" customFormat="false" ht="11.25" hidden="false" customHeight="false" outlineLevel="0" collapsed="false">
      <c r="A432" s="24" t="s">
        <v>8</v>
      </c>
      <c r="B432" s="19" t="n">
        <f aca="false">NPV(0.1,D432:Y432)</f>
        <v>248273.633611026</v>
      </c>
      <c r="C432" s="19" t="n">
        <f aca="false">B432-B422</f>
        <v>175.275074417557</v>
      </c>
      <c r="D432" s="20" t="n">
        <v>26202.8822367349</v>
      </c>
      <c r="E432" s="21" t="n">
        <v>27739.9113891626</v>
      </c>
      <c r="F432" s="21" t="n">
        <v>27890.5263210856</v>
      </c>
      <c r="G432" s="21" t="n">
        <v>28119.4796139481</v>
      </c>
      <c r="H432" s="21" t="n">
        <v>28348.8952083655</v>
      </c>
      <c r="I432" s="21" t="n">
        <v>28475.3578360584</v>
      </c>
      <c r="J432" s="21" t="n">
        <v>28662.8051646885</v>
      </c>
      <c r="K432" s="21" t="n">
        <v>28855.8759131775</v>
      </c>
      <c r="L432" s="21" t="n">
        <v>29054.7387841211</v>
      </c>
      <c r="M432" s="21" t="n">
        <v>29204.0424711869</v>
      </c>
      <c r="N432" s="22" t="n">
        <v>29415.016090971</v>
      </c>
      <c r="O432" s="23" t="n">
        <v>29632.3189193487</v>
      </c>
      <c r="P432" s="23" t="n">
        <v>29856.1408325777</v>
      </c>
      <c r="Q432" s="23" t="n">
        <v>30031.1523331973</v>
      </c>
      <c r="R432" s="23" t="n">
        <v>30268.605000942</v>
      </c>
      <c r="S432" s="23" t="n">
        <v>30513.181248719</v>
      </c>
      <c r="T432" s="23" t="n">
        <v>30765.0947839293</v>
      </c>
      <c r="U432" s="23" t="n">
        <v>30969.0406551896</v>
      </c>
      <c r="V432" s="23" t="n">
        <v>31236.2957246942</v>
      </c>
      <c r="W432" s="23" t="n">
        <v>31511.568446284</v>
      </c>
      <c r="X432" s="23" t="n">
        <v>31795.0993495214</v>
      </c>
    </row>
    <row r="433" customFormat="false" ht="11.25" hidden="false" customHeight="false" outlineLevel="0" collapsed="false">
      <c r="A433" s="24" t="s">
        <v>9</v>
      </c>
      <c r="B433" s="19" t="n">
        <f aca="false">NPV(0.1,D433:Y433)</f>
        <v>109070.342459424</v>
      </c>
      <c r="C433" s="19" t="n">
        <f aca="false">B433-B423</f>
        <v>761.601832566084</v>
      </c>
      <c r="D433" s="20" t="n">
        <v>2110.87502700455</v>
      </c>
      <c r="E433" s="21" t="n">
        <v>3496.74868648043</v>
      </c>
      <c r="F433" s="21" t="n">
        <v>3640.69511813714</v>
      </c>
      <c r="G433" s="21" t="n">
        <v>9238.87251638829</v>
      </c>
      <c r="H433" s="21" t="n">
        <v>13430.1374181799</v>
      </c>
      <c r="I433" s="21" t="n">
        <v>14533.7980959971</v>
      </c>
      <c r="J433" s="21" t="n">
        <v>14716.4539948946</v>
      </c>
      <c r="K433" s="21" t="n">
        <v>15284.5232666352</v>
      </c>
      <c r="L433" s="21" t="n">
        <v>15877.9188160329</v>
      </c>
      <c r="M433" s="21" t="n">
        <v>16532.2439390844</v>
      </c>
      <c r="N433" s="22" t="n">
        <v>17182.5502467338</v>
      </c>
      <c r="O433" s="23" t="n">
        <v>17863.7303241783</v>
      </c>
      <c r="P433" s="23" t="n">
        <v>18577.9059349951</v>
      </c>
      <c r="Q433" s="23" t="n">
        <v>19361.2854209713</v>
      </c>
      <c r="R433" s="23" t="n">
        <v>20149.5745744724</v>
      </c>
      <c r="S433" s="23" t="n">
        <v>20978.373280162</v>
      </c>
      <c r="T433" s="23" t="n">
        <v>21850.5680225703</v>
      </c>
      <c r="U433" s="23" t="n">
        <v>22803.193936176</v>
      </c>
      <c r="V433" s="23" t="n">
        <v>23772.8507026855</v>
      </c>
      <c r="W433" s="23" t="n">
        <v>24118.9913504603</v>
      </c>
      <c r="X433" s="23" t="n">
        <v>25184.4558829047</v>
      </c>
    </row>
    <row r="434" customFormat="false" ht="11.25" hidden="false" customHeight="false" outlineLevel="0" collapsed="false">
      <c r="A434" s="24" t="s">
        <v>10</v>
      </c>
      <c r="B434" s="19" t="n">
        <f aca="false">NPV(0.1,D434:Y434)</f>
        <v>138342.853693915</v>
      </c>
      <c r="C434" s="19" t="n">
        <f aca="false">B434-B424</f>
        <v>724.419042158843</v>
      </c>
      <c r="D434" s="25" t="n">
        <v>5364.99804646252</v>
      </c>
      <c r="E434" s="26" t="n">
        <v>9527.43615315006</v>
      </c>
      <c r="F434" s="26" t="n">
        <v>9039.36989748006</v>
      </c>
      <c r="G434" s="26" t="n">
        <v>21420.9721345114</v>
      </c>
      <c r="H434" s="26" t="n">
        <v>25565.451671434</v>
      </c>
      <c r="I434" s="26" t="n">
        <v>20704.8969535641</v>
      </c>
      <c r="J434" s="26" t="n">
        <v>19237.1969933344</v>
      </c>
      <c r="K434" s="26" t="n">
        <v>19192.9458038521</v>
      </c>
      <c r="L434" s="26" t="n">
        <v>19109.006035511</v>
      </c>
      <c r="M434" s="26" t="n">
        <v>18976.5921469572</v>
      </c>
      <c r="N434" s="27" t="n">
        <v>18899.6560966367</v>
      </c>
      <c r="O434" s="23" t="n">
        <v>18758.7683311199</v>
      </c>
      <c r="P434" s="23" t="n">
        <v>18570.6886605124</v>
      </c>
      <c r="Q434" s="23" t="n">
        <v>18326.1061259793</v>
      </c>
      <c r="R434" s="23" t="n">
        <v>18128.4095211642</v>
      </c>
      <c r="S434" s="23" t="n">
        <v>15141.2097241252</v>
      </c>
      <c r="T434" s="23" t="n">
        <v>12115.3287586882</v>
      </c>
      <c r="U434" s="23" t="n">
        <v>11711.2328240862</v>
      </c>
      <c r="V434" s="23" t="n">
        <v>11361.0945463903</v>
      </c>
      <c r="W434" s="23" t="n">
        <v>10673.6360187072</v>
      </c>
      <c r="X434" s="23" t="n">
        <v>29403.0800313331</v>
      </c>
    </row>
    <row r="436" customFormat="false" ht="11.25" hidden="false" customHeight="false" outlineLevel="0" collapsed="false">
      <c r="A436" s="28" t="s">
        <v>55</v>
      </c>
    </row>
    <row r="437" customFormat="false" ht="11.25" hidden="false" customHeight="false" outlineLevel="0" collapsed="false">
      <c r="A437" s="31" t="n">
        <v>36286</v>
      </c>
    </row>
    <row r="438" customFormat="false" ht="11.25" hidden="false" customHeight="false" outlineLevel="0" collapsed="false">
      <c r="A438" s="9" t="s">
        <v>2</v>
      </c>
      <c r="B438" s="10" t="n">
        <v>54757.0698811936</v>
      </c>
      <c r="C438" s="11"/>
      <c r="D438" s="11"/>
      <c r="E438" s="11"/>
      <c r="F438" s="11"/>
      <c r="G438" s="11"/>
      <c r="H438" s="11"/>
      <c r="I438" s="11"/>
      <c r="J438" s="11"/>
      <c r="K438" s="11"/>
      <c r="L438" s="11"/>
      <c r="M438" s="11"/>
      <c r="N438" s="11"/>
      <c r="O438" s="11"/>
      <c r="P438" s="11"/>
      <c r="Q438" s="11"/>
      <c r="R438" s="11"/>
      <c r="S438" s="11"/>
      <c r="T438" s="11"/>
      <c r="U438" s="11"/>
      <c r="V438" s="11"/>
    </row>
    <row r="439" customFormat="false" ht="11.25" hidden="false" customHeight="false" outlineLevel="0" collapsed="false">
      <c r="A439" s="12" t="s">
        <v>3</v>
      </c>
      <c r="B439" s="13" t="n">
        <v>93608.3593820448</v>
      </c>
      <c r="C439" s="11"/>
      <c r="D439" s="11"/>
      <c r="E439" s="11"/>
      <c r="F439" s="11"/>
      <c r="G439" s="11"/>
      <c r="H439" s="11"/>
      <c r="I439" s="11"/>
      <c r="J439" s="11"/>
      <c r="K439" s="11"/>
      <c r="L439" s="11"/>
      <c r="M439" s="11"/>
      <c r="N439" s="11"/>
      <c r="O439" s="11"/>
      <c r="P439" s="11"/>
      <c r="Q439" s="11"/>
      <c r="R439" s="11"/>
      <c r="S439" s="11"/>
      <c r="T439" s="11"/>
      <c r="U439" s="11"/>
      <c r="V439" s="11"/>
    </row>
    <row r="440" customFormat="false" ht="11.25" hidden="false" customHeight="false" outlineLevel="0" collapsed="false">
      <c r="A440" s="14" t="s">
        <v>4</v>
      </c>
      <c r="B440" s="15" t="s">
        <v>5</v>
      </c>
      <c r="C440" s="15" t="s">
        <v>6</v>
      </c>
      <c r="D440" s="16" t="n">
        <v>2000</v>
      </c>
      <c r="E440" s="17" t="n">
        <v>2001</v>
      </c>
      <c r="F440" s="17" t="n">
        <v>2002</v>
      </c>
      <c r="G440" s="17" t="n">
        <v>2003</v>
      </c>
      <c r="H440" s="17" t="n">
        <v>2004</v>
      </c>
      <c r="I440" s="17" t="n">
        <v>2005</v>
      </c>
      <c r="J440" s="17" t="n">
        <v>2006</v>
      </c>
      <c r="K440" s="17" t="n">
        <v>2007</v>
      </c>
      <c r="L440" s="17" t="n">
        <v>2008</v>
      </c>
      <c r="M440" s="17" t="n">
        <v>2009</v>
      </c>
      <c r="N440" s="18" t="n">
        <v>2010</v>
      </c>
      <c r="O440" s="11" t="n">
        <v>2011</v>
      </c>
      <c r="P440" s="11" t="n">
        <v>2012</v>
      </c>
      <c r="Q440" s="11" t="n">
        <v>2013</v>
      </c>
      <c r="R440" s="11" t="n">
        <v>2014</v>
      </c>
      <c r="S440" s="11" t="n">
        <v>2015</v>
      </c>
      <c r="T440" s="11" t="n">
        <v>2016</v>
      </c>
      <c r="U440" s="11" t="n">
        <v>2017</v>
      </c>
      <c r="V440" s="11" t="n">
        <v>2018</v>
      </c>
      <c r="W440" s="11" t="n">
        <v>2019</v>
      </c>
      <c r="X440" s="11" t="n">
        <v>2020</v>
      </c>
    </row>
    <row r="441" customFormat="false" ht="11.25" hidden="false" customHeight="false" outlineLevel="0" collapsed="false">
      <c r="A441" s="14" t="s">
        <v>7</v>
      </c>
      <c r="B441" s="19" t="n">
        <f aca="false">NPV(0.1,D441:Y441)</f>
        <v>567115.636042497</v>
      </c>
      <c r="C441" s="19" t="n">
        <f aca="false">B441-B431</f>
        <v>-5603.43169415742</v>
      </c>
      <c r="D441" s="20" t="n">
        <v>41716.1296</v>
      </c>
      <c r="E441" s="21" t="n">
        <v>53951.170868</v>
      </c>
      <c r="F441" s="21" t="n">
        <v>54028.46337404</v>
      </c>
      <c r="G441" s="21" t="n">
        <v>62649.0355773218</v>
      </c>
      <c r="H441" s="21" t="n">
        <v>69192.0342272532</v>
      </c>
      <c r="I441" s="21" t="n">
        <v>70614.7468804709</v>
      </c>
      <c r="J441" s="21" t="n">
        <v>70600.7480341087</v>
      </c>
      <c r="K441" s="21" t="n">
        <v>71303.8347687562</v>
      </c>
      <c r="L441" s="21" t="n">
        <v>72005.1574854599</v>
      </c>
      <c r="M441" s="21" t="n">
        <v>72703.9775650819</v>
      </c>
      <c r="N441" s="22" t="n">
        <v>73399.5136589522</v>
      </c>
      <c r="O441" s="23" t="n">
        <v>74090.9397898543</v>
      </c>
      <c r="P441" s="23" t="n">
        <v>74777.3833775254</v>
      </c>
      <c r="Q441" s="23" t="n">
        <v>75457.9231858539</v>
      </c>
      <c r="R441" s="23" t="n">
        <v>76131.5871888504</v>
      </c>
      <c r="S441" s="23" t="n">
        <v>76797.3503523673</v>
      </c>
      <c r="T441" s="23" t="n">
        <v>77454.1323284334</v>
      </c>
      <c r="U441" s="23" t="n">
        <v>78100.7950589542</v>
      </c>
      <c r="V441" s="23" t="n">
        <v>78736.1402854187</v>
      </c>
      <c r="W441" s="23" t="n">
        <v>78272.6378018708</v>
      </c>
      <c r="X441" s="23" t="n">
        <v>78848.911328294</v>
      </c>
    </row>
    <row r="442" customFormat="false" ht="11.25" hidden="false" customHeight="false" outlineLevel="0" collapsed="false">
      <c r="A442" s="24" t="s">
        <v>8</v>
      </c>
      <c r="B442" s="19" t="n">
        <f aca="false">NPV(0.1,D442:Y442)</f>
        <v>248196.716500217</v>
      </c>
      <c r="C442" s="19" t="n">
        <f aca="false">B442-B432</f>
        <v>-76.9171108093578</v>
      </c>
      <c r="D442" s="20" t="n">
        <v>26206.9302834358</v>
      </c>
      <c r="E442" s="21" t="n">
        <v>27742.6100869632</v>
      </c>
      <c r="F442" s="21" t="n">
        <v>27893.2250188862</v>
      </c>
      <c r="G442" s="21" t="n">
        <v>28113.9126500819</v>
      </c>
      <c r="H442" s="21" t="n">
        <v>28336.9991092803</v>
      </c>
      <c r="I442" s="21" t="n">
        <v>28463.0238930666</v>
      </c>
      <c r="J442" s="21" t="n">
        <v>28650.0202424729</v>
      </c>
      <c r="K442" s="21" t="n">
        <v>28842.6264823615</v>
      </c>
      <c r="L442" s="21" t="n">
        <v>29041.0109094466</v>
      </c>
      <c r="M442" s="21" t="n">
        <v>29189.8217993381</v>
      </c>
      <c r="N442" s="22" t="n">
        <v>29400.2878380328</v>
      </c>
      <c r="O442" s="23" t="n">
        <v>29617.0678578883</v>
      </c>
      <c r="P442" s="23" t="n">
        <v>29840.3512783395</v>
      </c>
      <c r="Q442" s="23" t="n">
        <v>30014.8081313979</v>
      </c>
      <c r="R442" s="23" t="n">
        <v>30251.6895121546</v>
      </c>
      <c r="S442" s="23" t="n">
        <v>30495.6773343339</v>
      </c>
      <c r="T442" s="23" t="n">
        <v>30746.9847911786</v>
      </c>
      <c r="U442" s="23" t="n">
        <v>30950.3064017225</v>
      </c>
      <c r="V442" s="23" t="n">
        <v>31216.918482689</v>
      </c>
      <c r="W442" s="23" t="n">
        <v>31491.5289260846</v>
      </c>
      <c r="X442" s="23" t="n">
        <v>31774.377682782</v>
      </c>
    </row>
    <row r="443" customFormat="false" ht="11.25" hidden="false" customHeight="false" outlineLevel="0" collapsed="false">
      <c r="A443" s="24" t="s">
        <v>9</v>
      </c>
      <c r="B443" s="19" t="n">
        <f aca="false">NPV(0.1,D443:Y443)</f>
        <v>106762.549700599</v>
      </c>
      <c r="C443" s="19" t="n">
        <f aca="false">B443-B433</f>
        <v>-2307.79275882518</v>
      </c>
      <c r="D443" s="20" t="n">
        <v>2184.90593320107</v>
      </c>
      <c r="E443" s="21" t="n">
        <v>3632.0522565647</v>
      </c>
      <c r="F443" s="21" t="n">
        <v>3786.52835419826</v>
      </c>
      <c r="G443" s="21" t="n">
        <v>9130.20373756567</v>
      </c>
      <c r="H443" s="21" t="n">
        <v>13052.9145241868</v>
      </c>
      <c r="I443" s="21" t="n">
        <v>14136.1236563647</v>
      </c>
      <c r="J443" s="21" t="n">
        <v>14315.4372114223</v>
      </c>
      <c r="K443" s="21" t="n">
        <v>14870.9236522467</v>
      </c>
      <c r="L443" s="21" t="n">
        <v>15451.1502675786</v>
      </c>
      <c r="M443" s="21" t="n">
        <v>16091.6808392231</v>
      </c>
      <c r="N443" s="22" t="n">
        <v>16727.5243667701</v>
      </c>
      <c r="O443" s="23" t="n">
        <v>17393.5274763287</v>
      </c>
      <c r="P443" s="23" t="n">
        <v>18091.7623538113</v>
      </c>
      <c r="Q443" s="23" t="n">
        <v>18858.3838520174</v>
      </c>
      <c r="R443" s="23" t="n">
        <v>19629.040046588</v>
      </c>
      <c r="S443" s="23" t="n">
        <v>20439.2685357383</v>
      </c>
      <c r="T443" s="23" t="n">
        <v>21291.8885782079</v>
      </c>
      <c r="U443" s="23" t="n">
        <v>22223.8627438696</v>
      </c>
      <c r="V443" s="23" t="n">
        <v>23171.7123792783</v>
      </c>
      <c r="W443" s="23" t="n">
        <v>23508.3482059576</v>
      </c>
      <c r="X443" s="23" t="n">
        <v>24550.2686532227</v>
      </c>
    </row>
    <row r="444" customFormat="false" ht="11.25" hidden="false" customHeight="false" outlineLevel="0" collapsed="false">
      <c r="A444" s="24" t="s">
        <v>10</v>
      </c>
      <c r="B444" s="19" t="n">
        <f aca="false">NPV(0.1,D444:Y444)</f>
        <v>136456.687843703</v>
      </c>
      <c r="C444" s="19" t="n">
        <f aca="false">B444-B434</f>
        <v>-1886.16585021175</v>
      </c>
      <c r="D444" s="25" t="n">
        <v>5363.59809697845</v>
      </c>
      <c r="E444" s="26" t="n">
        <v>9526.50285349401</v>
      </c>
      <c r="F444" s="26" t="n">
        <v>9038.43659782401</v>
      </c>
      <c r="G444" s="26" t="n">
        <v>21152.7627929344</v>
      </c>
      <c r="H444" s="26" t="n">
        <v>25023.7090097584</v>
      </c>
      <c r="I444" s="26" t="n">
        <v>20494.0937269711</v>
      </c>
      <c r="J444" s="26" t="n">
        <v>18944.1774561492</v>
      </c>
      <c r="K444" s="26" t="n">
        <v>18900.8092327878</v>
      </c>
      <c r="L444" s="26" t="n">
        <v>18818.2017870481</v>
      </c>
      <c r="M444" s="26" t="n">
        <v>18687.6060484915</v>
      </c>
      <c r="N444" s="27" t="n">
        <v>18613.013054649</v>
      </c>
      <c r="O444" s="23" t="n">
        <v>18475.035128959</v>
      </c>
      <c r="P444" s="23" t="n">
        <v>18290.4769600965</v>
      </c>
      <c r="Q444" s="23" t="n">
        <v>18050.0756888308</v>
      </c>
      <c r="R444" s="23" t="n">
        <v>17857.2716653899</v>
      </c>
      <c r="S444" s="23" t="n">
        <v>14875.7310352451</v>
      </c>
      <c r="T444" s="23" t="n">
        <v>11856.3350736114</v>
      </c>
      <c r="U444" s="23" t="n">
        <v>11459.613509034</v>
      </c>
      <c r="V444" s="23" t="n">
        <v>11117.8070911891</v>
      </c>
      <c r="W444" s="23" t="n">
        <v>10444.3857337244</v>
      </c>
      <c r="X444" s="23" t="n">
        <v>28768.8928016511</v>
      </c>
    </row>
    <row r="446" customFormat="false" ht="11.25" hidden="false" customHeight="false" outlineLevel="0" collapsed="false">
      <c r="A446" s="28" t="s">
        <v>56</v>
      </c>
    </row>
    <row r="447" customFormat="false" ht="11.25" hidden="false" customHeight="false" outlineLevel="0" collapsed="false">
      <c r="A447" s="31" t="n">
        <v>36286</v>
      </c>
    </row>
    <row r="448" customFormat="false" ht="11.25" hidden="false" customHeight="false" outlineLevel="0" collapsed="false">
      <c r="A448" s="9" t="s">
        <v>2</v>
      </c>
      <c r="B448" s="10" t="n">
        <v>47013.0556119679</v>
      </c>
      <c r="C448" s="11"/>
      <c r="D448" s="11"/>
      <c r="E448" s="11"/>
      <c r="F448" s="11"/>
      <c r="G448" s="11"/>
      <c r="H448" s="11"/>
      <c r="I448" s="11"/>
      <c r="J448" s="11"/>
      <c r="K448" s="11"/>
      <c r="L448" s="11"/>
      <c r="M448" s="11"/>
      <c r="N448" s="11"/>
      <c r="O448" s="11"/>
      <c r="P448" s="11"/>
      <c r="Q448" s="11"/>
      <c r="R448" s="11"/>
      <c r="S448" s="11"/>
      <c r="T448" s="11"/>
      <c r="U448" s="11"/>
      <c r="V448" s="11"/>
    </row>
    <row r="449" customFormat="false" ht="11.25" hidden="false" customHeight="false" outlineLevel="0" collapsed="false">
      <c r="A449" s="12" t="s">
        <v>3</v>
      </c>
      <c r="B449" s="13" t="n">
        <v>83580.7099734908</v>
      </c>
      <c r="C449" s="11"/>
      <c r="D449" s="11"/>
      <c r="E449" s="11"/>
      <c r="F449" s="11"/>
      <c r="G449" s="11"/>
      <c r="H449" s="11"/>
      <c r="I449" s="11"/>
      <c r="J449" s="11"/>
      <c r="K449" s="11"/>
      <c r="L449" s="11"/>
      <c r="M449" s="11"/>
      <c r="N449" s="11"/>
      <c r="O449" s="11"/>
      <c r="P449" s="11"/>
      <c r="Q449" s="11"/>
      <c r="R449" s="11"/>
      <c r="S449" s="11"/>
      <c r="T449" s="11"/>
      <c r="U449" s="11"/>
      <c r="V449" s="11"/>
    </row>
    <row r="450" customFormat="false" ht="11.25" hidden="false" customHeight="false" outlineLevel="0" collapsed="false">
      <c r="A450" s="14" t="s">
        <v>4</v>
      </c>
      <c r="B450" s="15" t="s">
        <v>5</v>
      </c>
      <c r="C450" s="15" t="s">
        <v>6</v>
      </c>
      <c r="D450" s="16" t="n">
        <v>2000</v>
      </c>
      <c r="E450" s="17" t="n">
        <v>2001</v>
      </c>
      <c r="F450" s="17" t="n">
        <v>2002</v>
      </c>
      <c r="G450" s="17" t="n">
        <v>2003</v>
      </c>
      <c r="H450" s="17" t="n">
        <v>2004</v>
      </c>
      <c r="I450" s="17" t="n">
        <v>2005</v>
      </c>
      <c r="J450" s="17" t="n">
        <v>2006</v>
      </c>
      <c r="K450" s="17" t="n">
        <v>2007</v>
      </c>
      <c r="L450" s="17" t="n">
        <v>2008</v>
      </c>
      <c r="M450" s="17" t="n">
        <v>2009</v>
      </c>
      <c r="N450" s="18" t="n">
        <v>2010</v>
      </c>
      <c r="O450" s="11" t="n">
        <v>2011</v>
      </c>
      <c r="P450" s="11" t="n">
        <v>2012</v>
      </c>
      <c r="Q450" s="11" t="n">
        <v>2013</v>
      </c>
      <c r="R450" s="11" t="n">
        <v>2014</v>
      </c>
      <c r="S450" s="11" t="n">
        <v>2015</v>
      </c>
      <c r="T450" s="11" t="n">
        <v>2016</v>
      </c>
      <c r="U450" s="11" t="n">
        <v>2017</v>
      </c>
      <c r="V450" s="11" t="n">
        <v>2018</v>
      </c>
      <c r="W450" s="11" t="n">
        <v>2019</v>
      </c>
      <c r="X450" s="11" t="n">
        <v>2020</v>
      </c>
    </row>
    <row r="451" customFormat="false" ht="11.25" hidden="false" customHeight="false" outlineLevel="0" collapsed="false">
      <c r="A451" s="14" t="s">
        <v>7</v>
      </c>
      <c r="B451" s="19" t="n">
        <f aca="false">NPV(0.1,D451:Y451)</f>
        <v>554469.077712738</v>
      </c>
      <c r="C451" s="19" t="n">
        <f aca="false">B451-B441</f>
        <v>-12646.5583297592</v>
      </c>
      <c r="D451" s="20" t="n">
        <v>41364.1276</v>
      </c>
      <c r="E451" s="21" t="n">
        <v>53599.168868</v>
      </c>
      <c r="F451" s="21" t="n">
        <v>53676.46137404</v>
      </c>
      <c r="G451" s="21" t="n">
        <v>61465.5710986956</v>
      </c>
      <c r="H451" s="21" t="n">
        <v>67464.2400703866</v>
      </c>
      <c r="I451" s="21" t="n">
        <v>68845.6789588982</v>
      </c>
      <c r="J451" s="21" t="n">
        <v>68789.1681348889</v>
      </c>
      <c r="K451" s="21" t="n">
        <v>69448.4675325598</v>
      </c>
      <c r="L451" s="21" t="n">
        <v>70104.6892921776</v>
      </c>
      <c r="M451" s="21" t="n">
        <v>70757.0553860011</v>
      </c>
      <c r="N451" s="22" t="n">
        <v>71404.7438744991</v>
      </c>
      <c r="O451" s="23" t="n">
        <v>72046.8869718675</v>
      </c>
      <c r="P451" s="23" t="n">
        <v>72682.569034999</v>
      </c>
      <c r="Q451" s="23" t="n">
        <v>73310.8244730518</v>
      </c>
      <c r="R451" s="23" t="n">
        <v>73930.6355746641</v>
      </c>
      <c r="S451" s="23" t="n">
        <v>74540.9302497555</v>
      </c>
      <c r="T451" s="23" t="n">
        <v>75140.5796827432</v>
      </c>
      <c r="U451" s="23" t="n">
        <v>75728.3958938933</v>
      </c>
      <c r="V451" s="23" t="n">
        <v>76303.129205406</v>
      </c>
      <c r="W451" s="23" t="n">
        <v>75777.1964494577</v>
      </c>
      <c r="X451" s="23" t="n">
        <v>76289.1667953085</v>
      </c>
    </row>
    <row r="452" customFormat="false" ht="11.25" hidden="false" customHeight="false" outlineLevel="0" collapsed="false">
      <c r="A452" s="24" t="s">
        <v>8</v>
      </c>
      <c r="B452" s="19" t="n">
        <f aca="false">NPV(0.1,D452:Y452)</f>
        <v>245368.159790289</v>
      </c>
      <c r="C452" s="19" t="n">
        <f aca="false">B452-B442</f>
        <v>-2828.55670992765</v>
      </c>
      <c r="D452" s="20" t="n">
        <v>25862.0561916159</v>
      </c>
      <c r="E452" s="21" t="n">
        <v>27395.3600257499</v>
      </c>
      <c r="F452" s="21" t="n">
        <v>27545.974957673</v>
      </c>
      <c r="G452" s="21" t="n">
        <v>27878.9656385354</v>
      </c>
      <c r="H452" s="21" t="n">
        <v>28004.3438449528</v>
      </c>
      <c r="I452" s="21" t="n">
        <v>28130.8064726457</v>
      </c>
      <c r="J452" s="21" t="n">
        <v>28318.2538012758</v>
      </c>
      <c r="K452" s="21" t="n">
        <v>28511.3245497648</v>
      </c>
      <c r="L452" s="21" t="n">
        <v>28710.1874207085</v>
      </c>
      <c r="M452" s="21" t="n">
        <v>28859.4911077742</v>
      </c>
      <c r="N452" s="22" t="n">
        <v>29070.4647275584</v>
      </c>
      <c r="O452" s="23" t="n">
        <v>29287.7675559361</v>
      </c>
      <c r="P452" s="23" t="n">
        <v>29511.5894691651</v>
      </c>
      <c r="Q452" s="23" t="n">
        <v>29686.6009697847</v>
      </c>
      <c r="R452" s="23" t="n">
        <v>29924.0536375293</v>
      </c>
      <c r="S452" s="23" t="n">
        <v>30168.6298853063</v>
      </c>
      <c r="T452" s="23" t="n">
        <v>30420.5434205166</v>
      </c>
      <c r="U452" s="23" t="n">
        <v>30624.489291777</v>
      </c>
      <c r="V452" s="23" t="n">
        <v>30891.7443612816</v>
      </c>
      <c r="W452" s="23" t="n">
        <v>31167.0170828713</v>
      </c>
      <c r="X452" s="23" t="n">
        <v>31450.5479861088</v>
      </c>
    </row>
    <row r="453" customFormat="false" ht="11.25" hidden="false" customHeight="false" outlineLevel="0" collapsed="false">
      <c r="A453" s="24" t="s">
        <v>9</v>
      </c>
      <c r="B453" s="19" t="n">
        <f aca="false">NPV(0.1,D453:Y453)</f>
        <v>102711.908277473</v>
      </c>
      <c r="C453" s="19" t="n">
        <f aca="false">B453-B443</f>
        <v>-4050.64142312569</v>
      </c>
      <c r="D453" s="20" t="n">
        <v>2316.77974585662</v>
      </c>
      <c r="E453" s="21" t="n">
        <v>3872.98678472857</v>
      </c>
      <c r="F453" s="21" t="n">
        <v>4046.15741452284</v>
      </c>
      <c r="G453" s="21" t="n">
        <v>8833.45657440614</v>
      </c>
      <c r="H453" s="21" t="n">
        <v>12487.5839145236</v>
      </c>
      <c r="I453" s="21" t="n">
        <v>13541.2743873998</v>
      </c>
      <c r="J453" s="21" t="n">
        <v>13689.176504644</v>
      </c>
      <c r="K453" s="21" t="n">
        <v>14211.2213682892</v>
      </c>
      <c r="L453" s="21" t="n">
        <v>14755.8283391966</v>
      </c>
      <c r="M453" s="21" t="n">
        <v>15358.4018715598</v>
      </c>
      <c r="N453" s="22" t="n">
        <v>15953.7793386807</v>
      </c>
      <c r="O453" s="23" t="n">
        <v>16576.622471237</v>
      </c>
      <c r="P453" s="23" t="n">
        <v>17228.8042428626</v>
      </c>
      <c r="Q453" s="23" t="n">
        <v>17946.2648461279</v>
      </c>
      <c r="R453" s="23" t="n">
        <v>18664.4210273287</v>
      </c>
      <c r="S453" s="23" t="n">
        <v>19418.5610678009</v>
      </c>
      <c r="T453" s="23" t="n">
        <v>20211.2354984323</v>
      </c>
      <c r="U453" s="23" t="n">
        <v>21079.1172134247</v>
      </c>
      <c r="V453" s="23" t="n">
        <v>21958.4152765302</v>
      </c>
      <c r="W453" s="23" t="n">
        <v>22221.7037277742</v>
      </c>
      <c r="X453" s="23" t="n">
        <v>23185.117981901</v>
      </c>
    </row>
    <row r="454" customFormat="false" ht="11.25" hidden="false" customHeight="false" outlineLevel="0" collapsed="false">
      <c r="A454" s="24" t="s">
        <v>10</v>
      </c>
      <c r="B454" s="19" t="n">
        <f aca="false">NPV(0.1,D454:Y454)</f>
        <v>133044.912080753</v>
      </c>
      <c r="C454" s="19" t="n">
        <f aca="false">B454-B444</f>
        <v>-3411.77576295068</v>
      </c>
      <c r="D454" s="25" t="n">
        <v>5361.13302873283</v>
      </c>
      <c r="E454" s="26" t="n">
        <v>9524.8594746636</v>
      </c>
      <c r="F454" s="26" t="n">
        <v>9036.7932189936</v>
      </c>
      <c r="G454" s="26" t="n">
        <v>20571.7958443481</v>
      </c>
      <c r="H454" s="26" t="n">
        <v>24169.1864380782</v>
      </c>
      <c r="I454" s="26" t="n">
        <v>20151.8942778666</v>
      </c>
      <c r="J454" s="26" t="n">
        <v>18449.0890487939</v>
      </c>
      <c r="K454" s="26" t="n">
        <v>18400.6017797388</v>
      </c>
      <c r="L454" s="26" t="n">
        <v>18313.497265163</v>
      </c>
      <c r="M454" s="26" t="n">
        <v>18179.1006023345</v>
      </c>
      <c r="N454" s="27" t="n">
        <v>18101.4967331092</v>
      </c>
      <c r="O454" s="23" t="n">
        <v>17961.3874730638</v>
      </c>
      <c r="P454" s="23" t="n">
        <v>17775.688021945</v>
      </c>
      <c r="Q454" s="23" t="n">
        <v>17535.2430059979</v>
      </c>
      <c r="R454" s="23" t="n">
        <v>17343.6227791185</v>
      </c>
      <c r="S454" s="23" t="n">
        <v>14365.0802365212</v>
      </c>
      <c r="T454" s="23" t="n">
        <v>11350.1882769117</v>
      </c>
      <c r="U454" s="23" t="n">
        <v>10959.1795769939</v>
      </c>
      <c r="V454" s="23" t="n">
        <v>10624.924976762</v>
      </c>
      <c r="W454" s="23" t="n">
        <v>9961.08296381335</v>
      </c>
      <c r="X454" s="23" t="n">
        <v>27403.0358722314</v>
      </c>
    </row>
    <row r="456" customFormat="false" ht="11.25" hidden="false" customHeight="false" outlineLevel="0" collapsed="false">
      <c r="A456" s="28" t="s">
        <v>57</v>
      </c>
    </row>
    <row r="457" customFormat="false" ht="11.25" hidden="false" customHeight="false" outlineLevel="0" collapsed="false">
      <c r="A457" s="31" t="n">
        <v>43964</v>
      </c>
    </row>
    <row r="458" customFormat="false" ht="11.25" hidden="false" customHeight="false" outlineLevel="0" collapsed="false">
      <c r="A458" s="9" t="s">
        <v>2</v>
      </c>
      <c r="B458" s="10" t="n">
        <v>45334.3631531437</v>
      </c>
      <c r="C458" s="11"/>
      <c r="D458" s="11"/>
      <c r="E458" s="11"/>
      <c r="F458" s="11"/>
      <c r="G458" s="11"/>
      <c r="H458" s="11"/>
      <c r="I458" s="11"/>
      <c r="J458" s="11"/>
      <c r="K458" s="11"/>
      <c r="L458" s="11"/>
      <c r="M458" s="11"/>
      <c r="N458" s="11"/>
      <c r="O458" s="11"/>
      <c r="P458" s="11"/>
      <c r="Q458" s="11"/>
      <c r="R458" s="11"/>
      <c r="S458" s="11"/>
      <c r="T458" s="11"/>
      <c r="U458" s="11"/>
      <c r="V458" s="11"/>
    </row>
    <row r="459" customFormat="false" ht="11.25" hidden="false" customHeight="false" outlineLevel="0" collapsed="false">
      <c r="A459" s="12" t="s">
        <v>3</v>
      </c>
      <c r="B459" s="13" t="n">
        <v>80798.3314098122</v>
      </c>
      <c r="C459" s="11"/>
      <c r="D459" s="11"/>
      <c r="E459" s="11"/>
      <c r="F459" s="11"/>
      <c r="G459" s="11"/>
      <c r="H459" s="11"/>
      <c r="I459" s="11"/>
      <c r="J459" s="11"/>
      <c r="K459" s="11"/>
      <c r="L459" s="11"/>
      <c r="M459" s="11"/>
      <c r="N459" s="11"/>
      <c r="O459" s="11"/>
      <c r="P459" s="11"/>
      <c r="Q459" s="11"/>
      <c r="R459" s="11"/>
      <c r="S459" s="11"/>
      <c r="T459" s="11"/>
      <c r="U459" s="11"/>
      <c r="V459" s="11"/>
    </row>
    <row r="460" customFormat="false" ht="11.25" hidden="false" customHeight="false" outlineLevel="0" collapsed="false">
      <c r="A460" s="14" t="s">
        <v>4</v>
      </c>
      <c r="B460" s="15" t="s">
        <v>5</v>
      </c>
      <c r="C460" s="15" t="s">
        <v>6</v>
      </c>
      <c r="D460" s="16" t="n">
        <v>2000</v>
      </c>
      <c r="E460" s="17" t="n">
        <v>2001</v>
      </c>
      <c r="F460" s="17" t="n">
        <v>2002</v>
      </c>
      <c r="G460" s="17" t="n">
        <v>2003</v>
      </c>
      <c r="H460" s="17" t="n">
        <v>2004</v>
      </c>
      <c r="I460" s="17" t="n">
        <v>2005</v>
      </c>
      <c r="J460" s="17" t="n">
        <v>2006</v>
      </c>
      <c r="K460" s="17" t="n">
        <v>2007</v>
      </c>
      <c r="L460" s="17" t="n">
        <v>2008</v>
      </c>
      <c r="M460" s="17" t="n">
        <v>2009</v>
      </c>
      <c r="N460" s="18" t="n">
        <v>2010</v>
      </c>
      <c r="O460" s="11" t="n">
        <v>2011</v>
      </c>
      <c r="P460" s="11" t="n">
        <v>2012</v>
      </c>
      <c r="Q460" s="11" t="n">
        <v>2013</v>
      </c>
      <c r="R460" s="11" t="n">
        <v>2014</v>
      </c>
      <c r="S460" s="11" t="n">
        <v>2015</v>
      </c>
      <c r="T460" s="11" t="n">
        <v>2016</v>
      </c>
      <c r="U460" s="11" t="n">
        <v>2017</v>
      </c>
      <c r="V460" s="11" t="n">
        <v>2018</v>
      </c>
      <c r="W460" s="11" t="n">
        <v>2019</v>
      </c>
      <c r="X460" s="11" t="n">
        <v>2020</v>
      </c>
    </row>
    <row r="461" customFormat="false" ht="11.25" hidden="false" customHeight="false" outlineLevel="0" collapsed="false">
      <c r="A461" s="14" t="s">
        <v>7</v>
      </c>
      <c r="B461" s="19" t="n">
        <f aca="false">NPV(0.1,D461:Y461)</f>
        <v>548561.390989611</v>
      </c>
      <c r="C461" s="19" t="n">
        <f aca="false">B461-B451</f>
        <v>-5907.6867231268</v>
      </c>
      <c r="D461" s="20" t="n">
        <v>41364.1276</v>
      </c>
      <c r="E461" s="21" t="n">
        <v>53599.168868</v>
      </c>
      <c r="F461" s="21" t="n">
        <v>53676.46137404</v>
      </c>
      <c r="G461" s="21" t="n">
        <v>61465.5710986956</v>
      </c>
      <c r="H461" s="21" t="n">
        <v>67464.2400703866</v>
      </c>
      <c r="I461" s="21" t="n">
        <v>68845.6789588982</v>
      </c>
      <c r="J461" s="21" t="n">
        <v>68789.1681348889</v>
      </c>
      <c r="K461" s="21" t="n">
        <v>69448.4675325598</v>
      </c>
      <c r="L461" s="21" t="n">
        <v>70104.6892921776</v>
      </c>
      <c r="M461" s="21" t="n">
        <v>70757.0553860011</v>
      </c>
      <c r="N461" s="22" t="n">
        <v>71404.7438744991</v>
      </c>
      <c r="O461" s="23" t="n">
        <v>72046.8869718675</v>
      </c>
      <c r="P461" s="23" t="n">
        <v>72682.569034999</v>
      </c>
      <c r="Q461" s="23" t="n">
        <v>73310.8244730518</v>
      </c>
      <c r="R461" s="23" t="n">
        <v>73930.6355746641</v>
      </c>
      <c r="S461" s="23" t="n">
        <v>74540.9302497555</v>
      </c>
      <c r="T461" s="23" t="n">
        <v>75140.5796827432</v>
      </c>
      <c r="U461" s="23" t="n">
        <v>75728.3958938933</v>
      </c>
      <c r="V461" s="23" t="n">
        <v>76303.129205406</v>
      </c>
      <c r="W461" s="23" t="n">
        <v>75777.1964494577</v>
      </c>
      <c r="X461" s="23" t="n">
        <v>32570.808451795</v>
      </c>
    </row>
    <row r="462" customFormat="false" ht="11.25" hidden="false" customHeight="false" outlineLevel="0" collapsed="false">
      <c r="A462" s="24" t="s">
        <v>8</v>
      </c>
      <c r="B462" s="19" t="n">
        <f aca="false">NPV(0.1,D462:Y462)</f>
        <v>243293.406012557</v>
      </c>
      <c r="C462" s="19" t="n">
        <f aca="false">B462-B452</f>
        <v>-2074.75377773194</v>
      </c>
      <c r="D462" s="20" t="n">
        <v>25862.0561916159</v>
      </c>
      <c r="E462" s="21" t="n">
        <v>27395.3600257499</v>
      </c>
      <c r="F462" s="21" t="n">
        <v>27545.974957673</v>
      </c>
      <c r="G462" s="21" t="n">
        <v>27878.9656385354</v>
      </c>
      <c r="H462" s="21" t="n">
        <v>28004.3438449528</v>
      </c>
      <c r="I462" s="21" t="n">
        <v>28130.8064726457</v>
      </c>
      <c r="J462" s="21" t="n">
        <v>28318.2538012758</v>
      </c>
      <c r="K462" s="21" t="n">
        <v>28511.3245497648</v>
      </c>
      <c r="L462" s="21" t="n">
        <v>28710.1874207085</v>
      </c>
      <c r="M462" s="21" t="n">
        <v>28859.4911077742</v>
      </c>
      <c r="N462" s="22" t="n">
        <v>29070.4647275584</v>
      </c>
      <c r="O462" s="23" t="n">
        <v>29287.7675559361</v>
      </c>
      <c r="P462" s="23" t="n">
        <v>29511.5894691651</v>
      </c>
      <c r="Q462" s="23" t="n">
        <v>29686.6009697847</v>
      </c>
      <c r="R462" s="23" t="n">
        <v>29924.0536375293</v>
      </c>
      <c r="S462" s="23" t="n">
        <v>30168.6298853063</v>
      </c>
      <c r="T462" s="23" t="n">
        <v>30420.5434205166</v>
      </c>
      <c r="U462" s="23" t="n">
        <v>30624.489291777</v>
      </c>
      <c r="V462" s="23" t="n">
        <v>30891.7443612816</v>
      </c>
      <c r="W462" s="23" t="n">
        <v>31167.0170828713</v>
      </c>
      <c r="X462" s="23" t="n">
        <v>16096.8514580986</v>
      </c>
    </row>
    <row r="463" customFormat="false" ht="11.25" hidden="false" customHeight="false" outlineLevel="0" collapsed="false">
      <c r="A463" s="24" t="s">
        <v>9</v>
      </c>
      <c r="B463" s="19" t="n">
        <f aca="false">NPV(0.1,D463:Y463)</f>
        <v>100370.478300604</v>
      </c>
      <c r="C463" s="19" t="n">
        <f aca="false">B463-B453</f>
        <v>-2341.42997686936</v>
      </c>
      <c r="D463" s="20" t="n">
        <v>2316.77974585662</v>
      </c>
      <c r="E463" s="21" t="n">
        <v>3872.98678472857</v>
      </c>
      <c r="F463" s="21" t="n">
        <v>4046.15741452284</v>
      </c>
      <c r="G463" s="21" t="n">
        <v>8833.45657440614</v>
      </c>
      <c r="H463" s="21" t="n">
        <v>12487.5839145236</v>
      </c>
      <c r="I463" s="21" t="n">
        <v>13541.2743873998</v>
      </c>
      <c r="J463" s="21" t="n">
        <v>13689.176504644</v>
      </c>
      <c r="K463" s="21" t="n">
        <v>14211.2213682892</v>
      </c>
      <c r="L463" s="21" t="n">
        <v>14755.8283391966</v>
      </c>
      <c r="M463" s="21" t="n">
        <v>15358.4018715598</v>
      </c>
      <c r="N463" s="22" t="n">
        <v>15953.7793386807</v>
      </c>
      <c r="O463" s="23" t="n">
        <v>16576.622471237</v>
      </c>
      <c r="P463" s="23" t="n">
        <v>17228.8042428626</v>
      </c>
      <c r="Q463" s="23" t="n">
        <v>17946.2648461279</v>
      </c>
      <c r="R463" s="23" t="n">
        <v>18664.4210273287</v>
      </c>
      <c r="S463" s="23" t="n">
        <v>19418.5610678009</v>
      </c>
      <c r="T463" s="23" t="n">
        <v>20211.2354984323</v>
      </c>
      <c r="U463" s="23" t="n">
        <v>21079.1172134247</v>
      </c>
      <c r="V463" s="23" t="n">
        <v>21958.4152765302</v>
      </c>
      <c r="W463" s="23" t="n">
        <v>22221.7037277742</v>
      </c>
      <c r="X463" s="23" t="n">
        <v>5857.95092608908</v>
      </c>
    </row>
    <row r="464" customFormat="false" ht="11.25" hidden="false" customHeight="false" outlineLevel="0" collapsed="false">
      <c r="A464" s="24" t="s">
        <v>10</v>
      </c>
      <c r="B464" s="19" t="n">
        <f aca="false">NPV(0.1,D464:Y464)</f>
        <v>130703.482103883</v>
      </c>
      <c r="C464" s="19" t="n">
        <f aca="false">B464-B454</f>
        <v>-2341.42997686937</v>
      </c>
      <c r="D464" s="25" t="n">
        <v>5361.13302873283</v>
      </c>
      <c r="E464" s="26" t="n">
        <v>9524.8594746636</v>
      </c>
      <c r="F464" s="26" t="n">
        <v>9036.7932189936</v>
      </c>
      <c r="G464" s="26" t="n">
        <v>20571.7958443481</v>
      </c>
      <c r="H464" s="26" t="n">
        <v>24169.1864380782</v>
      </c>
      <c r="I464" s="26" t="n">
        <v>20151.8942778666</v>
      </c>
      <c r="J464" s="26" t="n">
        <v>18449.0890487939</v>
      </c>
      <c r="K464" s="26" t="n">
        <v>18400.6017797388</v>
      </c>
      <c r="L464" s="26" t="n">
        <v>18313.497265163</v>
      </c>
      <c r="M464" s="26" t="n">
        <v>18179.1006023345</v>
      </c>
      <c r="N464" s="27" t="n">
        <v>18101.4967331092</v>
      </c>
      <c r="O464" s="23" t="n">
        <v>17961.3874730638</v>
      </c>
      <c r="P464" s="23" t="n">
        <v>17775.688021945</v>
      </c>
      <c r="Q464" s="23" t="n">
        <v>17535.2430059979</v>
      </c>
      <c r="R464" s="23" t="n">
        <v>17343.6227791185</v>
      </c>
      <c r="S464" s="23" t="n">
        <v>14365.0802365212</v>
      </c>
      <c r="T464" s="23" t="n">
        <v>11350.1882769117</v>
      </c>
      <c r="U464" s="23" t="n">
        <v>10959.1795769939</v>
      </c>
      <c r="V464" s="23" t="n">
        <v>10624.924976762</v>
      </c>
      <c r="W464" s="23" t="n">
        <v>9961.08296381335</v>
      </c>
      <c r="X464" s="23" t="n">
        <v>10075.8688164195</v>
      </c>
    </row>
    <row r="466" customFormat="false" ht="11.25" hidden="false" customHeight="false" outlineLevel="0" collapsed="false">
      <c r="A466" s="28" t="s">
        <v>58</v>
      </c>
    </row>
    <row r="467" customFormat="false" ht="11.25" hidden="false" customHeight="false" outlineLevel="0" collapsed="false">
      <c r="A467" s="31" t="n">
        <v>36298</v>
      </c>
    </row>
    <row r="468" customFormat="false" ht="11.25" hidden="false" customHeight="false" outlineLevel="0" collapsed="false">
      <c r="A468" s="9" t="s">
        <v>2</v>
      </c>
      <c r="B468" s="10" t="n">
        <v>45334.2615626257</v>
      </c>
      <c r="C468" s="11"/>
      <c r="D468" s="11"/>
      <c r="E468" s="11"/>
      <c r="F468" s="11"/>
      <c r="G468" s="11"/>
      <c r="H468" s="11"/>
      <c r="I468" s="11"/>
      <c r="J468" s="11"/>
      <c r="K468" s="11"/>
      <c r="L468" s="11"/>
      <c r="M468" s="11"/>
      <c r="N468" s="11"/>
      <c r="O468" s="11"/>
      <c r="P468" s="11"/>
      <c r="Q468" s="11"/>
      <c r="R468" s="11"/>
      <c r="S468" s="11"/>
      <c r="T468" s="11"/>
      <c r="U468" s="11"/>
      <c r="V468" s="11"/>
    </row>
    <row r="469" customFormat="false" ht="11.25" hidden="false" customHeight="false" outlineLevel="0" collapsed="false">
      <c r="A469" s="12" t="s">
        <v>3</v>
      </c>
      <c r="B469" s="13" t="n">
        <v>80798.2102679663</v>
      </c>
      <c r="C469" s="11"/>
      <c r="D469" s="11"/>
      <c r="E469" s="11"/>
      <c r="F469" s="11"/>
      <c r="G469" s="11"/>
      <c r="H469" s="11"/>
      <c r="I469" s="11"/>
      <c r="J469" s="11"/>
      <c r="K469" s="11"/>
      <c r="L469" s="11"/>
      <c r="M469" s="11"/>
      <c r="N469" s="11"/>
      <c r="O469" s="11"/>
      <c r="P469" s="11"/>
      <c r="Q469" s="11"/>
      <c r="R469" s="11"/>
      <c r="S469" s="11"/>
      <c r="T469" s="11"/>
      <c r="U469" s="11"/>
      <c r="V469" s="11"/>
    </row>
    <row r="470" customFormat="false" ht="11.25" hidden="false" customHeight="false" outlineLevel="0" collapsed="false">
      <c r="A470" s="14" t="s">
        <v>4</v>
      </c>
      <c r="B470" s="15" t="s">
        <v>5</v>
      </c>
      <c r="C470" s="15" t="s">
        <v>6</v>
      </c>
      <c r="D470" s="16" t="n">
        <v>2000</v>
      </c>
      <c r="E470" s="17" t="n">
        <v>2001</v>
      </c>
      <c r="F470" s="17" t="n">
        <v>2002</v>
      </c>
      <c r="G470" s="17" t="n">
        <v>2003</v>
      </c>
      <c r="H470" s="17" t="n">
        <v>2004</v>
      </c>
      <c r="I470" s="17" t="n">
        <v>2005</v>
      </c>
      <c r="J470" s="17" t="n">
        <v>2006</v>
      </c>
      <c r="K470" s="17" t="n">
        <v>2007</v>
      </c>
      <c r="L470" s="17" t="n">
        <v>2008</v>
      </c>
      <c r="M470" s="17" t="n">
        <v>2009</v>
      </c>
      <c r="N470" s="18" t="n">
        <v>2010</v>
      </c>
      <c r="O470" s="11" t="n">
        <v>2011</v>
      </c>
      <c r="P470" s="11" t="n">
        <v>2012</v>
      </c>
      <c r="Q470" s="11" t="n">
        <v>2013</v>
      </c>
      <c r="R470" s="11" t="n">
        <v>2014</v>
      </c>
      <c r="S470" s="11" t="n">
        <v>2015</v>
      </c>
      <c r="T470" s="11" t="n">
        <v>2016</v>
      </c>
      <c r="U470" s="11" t="n">
        <v>2017</v>
      </c>
      <c r="V470" s="11" t="n">
        <v>2018</v>
      </c>
      <c r="W470" s="11" t="n">
        <v>2019</v>
      </c>
      <c r="X470" s="11" t="n">
        <v>2020</v>
      </c>
    </row>
    <row r="471" customFormat="false" ht="11.25" hidden="false" customHeight="false" outlineLevel="0" collapsed="false">
      <c r="A471" s="14" t="s">
        <v>7</v>
      </c>
      <c r="B471" s="19" t="n">
        <f aca="false">NPV(0.1,D471:Y471)</f>
        <v>548561.390989611</v>
      </c>
      <c r="C471" s="19" t="n">
        <f aca="false">B471-B461</f>
        <v>0</v>
      </c>
      <c r="D471" s="20" t="n">
        <v>41364.1276</v>
      </c>
      <c r="E471" s="21" t="n">
        <v>53599.168868</v>
      </c>
      <c r="F471" s="21" t="n">
        <v>53676.46137404</v>
      </c>
      <c r="G471" s="21" t="n">
        <v>61465.5710986956</v>
      </c>
      <c r="H471" s="21" t="n">
        <v>67464.2400703866</v>
      </c>
      <c r="I471" s="21" t="n">
        <v>68845.6789588982</v>
      </c>
      <c r="J471" s="21" t="n">
        <v>68789.1681348889</v>
      </c>
      <c r="K471" s="21" t="n">
        <v>69448.4675325598</v>
      </c>
      <c r="L471" s="21" t="n">
        <v>70104.6892921776</v>
      </c>
      <c r="M471" s="21" t="n">
        <v>70757.0553860011</v>
      </c>
      <c r="N471" s="22" t="n">
        <v>71404.7438744991</v>
      </c>
      <c r="O471" s="23" t="n">
        <v>72046.8869718675</v>
      </c>
      <c r="P471" s="23" t="n">
        <v>72682.569034999</v>
      </c>
      <c r="Q471" s="23" t="n">
        <v>73310.8244730518</v>
      </c>
      <c r="R471" s="23" t="n">
        <v>73930.6355746641</v>
      </c>
      <c r="S471" s="23" t="n">
        <v>74540.9302497555</v>
      </c>
      <c r="T471" s="23" t="n">
        <v>75140.5796827432</v>
      </c>
      <c r="U471" s="23" t="n">
        <v>75728.3958938933</v>
      </c>
      <c r="V471" s="23" t="n">
        <v>76303.129205406</v>
      </c>
      <c r="W471" s="23" t="n">
        <v>75777.1964494577</v>
      </c>
      <c r="X471" s="23" t="n">
        <v>32570.808451795</v>
      </c>
    </row>
    <row r="472" customFormat="false" ht="11.25" hidden="false" customHeight="false" outlineLevel="0" collapsed="false">
      <c r="A472" s="24" t="s">
        <v>8</v>
      </c>
      <c r="B472" s="19" t="n">
        <f aca="false">NPV(0.1,D472:Y472)</f>
        <v>243293.407110528</v>
      </c>
      <c r="C472" s="19" t="n">
        <f aca="false">B472-B462</f>
        <v>0.00109797096229158</v>
      </c>
      <c r="D472" s="20" t="n">
        <v>25862.0563725357</v>
      </c>
      <c r="E472" s="21" t="n">
        <v>27395.3601463631</v>
      </c>
      <c r="F472" s="21" t="n">
        <v>27545.9750782862</v>
      </c>
      <c r="G472" s="21" t="n">
        <v>27878.9657591486</v>
      </c>
      <c r="H472" s="21" t="n">
        <v>28004.343965566</v>
      </c>
      <c r="I472" s="21" t="n">
        <v>28130.8065932589</v>
      </c>
      <c r="J472" s="21" t="n">
        <v>28318.253921889</v>
      </c>
      <c r="K472" s="21" t="n">
        <v>28511.324670378</v>
      </c>
      <c r="L472" s="21" t="n">
        <v>28710.1875413217</v>
      </c>
      <c r="M472" s="21" t="n">
        <v>28859.4912283874</v>
      </c>
      <c r="N472" s="22" t="n">
        <v>29070.4648481716</v>
      </c>
      <c r="O472" s="23" t="n">
        <v>29287.7676765493</v>
      </c>
      <c r="P472" s="23" t="n">
        <v>29511.5895897783</v>
      </c>
      <c r="Q472" s="23" t="n">
        <v>29686.6010903979</v>
      </c>
      <c r="R472" s="23" t="n">
        <v>29924.0537581425</v>
      </c>
      <c r="S472" s="23" t="n">
        <v>30168.6300059195</v>
      </c>
      <c r="T472" s="23" t="n">
        <v>30420.5435411298</v>
      </c>
      <c r="U472" s="23" t="n">
        <v>30624.4894123902</v>
      </c>
      <c r="V472" s="23" t="n">
        <v>30891.7444818948</v>
      </c>
      <c r="W472" s="23" t="n">
        <v>31167.0172034845</v>
      </c>
      <c r="X472" s="23" t="n">
        <v>16096.8515787118</v>
      </c>
    </row>
    <row r="473" customFormat="false" ht="11.25" hidden="false" customHeight="false" outlineLevel="0" collapsed="false">
      <c r="A473" s="24" t="s">
        <v>9</v>
      </c>
      <c r="B473" s="19" t="n">
        <f aca="false">NPV(0.1,D473:Y473)</f>
        <v>100370.459817648</v>
      </c>
      <c r="C473" s="19" t="n">
        <f aca="false">B473-B463</f>
        <v>-0.0184829555510078</v>
      </c>
      <c r="D473" s="20" t="n">
        <v>2316.7783854577</v>
      </c>
      <c r="E473" s="21" t="n">
        <v>3872.98456408433</v>
      </c>
      <c r="F473" s="21" t="n">
        <v>4046.15519205811</v>
      </c>
      <c r="G473" s="21" t="n">
        <v>8833.45434997984</v>
      </c>
      <c r="H473" s="21" t="n">
        <v>12487.5816894679</v>
      </c>
      <c r="I473" s="21" t="n">
        <v>13541.2721616644</v>
      </c>
      <c r="J473" s="21" t="n">
        <v>13689.1742781745</v>
      </c>
      <c r="K473" s="21" t="n">
        <v>14211.2191410269</v>
      </c>
      <c r="L473" s="21" t="n">
        <v>14755.8261110781</v>
      </c>
      <c r="M473" s="21" t="n">
        <v>15358.3996425166</v>
      </c>
      <c r="N473" s="22" t="n">
        <v>15953.7771086388</v>
      </c>
      <c r="O473" s="23" t="n">
        <v>16576.6202401164</v>
      </c>
      <c r="P473" s="23" t="n">
        <v>17228.8020105771</v>
      </c>
      <c r="Q473" s="23" t="n">
        <v>17946.2626125844</v>
      </c>
      <c r="R473" s="23" t="n">
        <v>18664.4187924264</v>
      </c>
      <c r="S473" s="23" t="n">
        <v>19418.5588314313</v>
      </c>
      <c r="T473" s="23" t="n">
        <v>20211.2332604778</v>
      </c>
      <c r="U473" s="23" t="n">
        <v>21079.1149737586</v>
      </c>
      <c r="V473" s="23" t="n">
        <v>21958.4130350156</v>
      </c>
      <c r="W473" s="23" t="n">
        <v>22221.7014842632</v>
      </c>
      <c r="X473" s="23" t="n">
        <v>5857.94868042189</v>
      </c>
    </row>
    <row r="474" customFormat="false" ht="11.25" hidden="false" customHeight="false" outlineLevel="0" collapsed="false">
      <c r="A474" s="24" t="s">
        <v>10</v>
      </c>
      <c r="B474" s="19" t="n">
        <f aca="false">NPV(0.1,D474:Y474)</f>
        <v>130703.503060441</v>
      </c>
      <c r="C474" s="19" t="n">
        <f aca="false">B474-B464</f>
        <v>0.0209565579862101</v>
      </c>
      <c r="D474" s="25" t="n">
        <v>5361.13296616473</v>
      </c>
      <c r="E474" s="26" t="n">
        <v>9524.85943295153</v>
      </c>
      <c r="F474" s="26" t="n">
        <v>9036.79317728153</v>
      </c>
      <c r="G474" s="26" t="n">
        <v>20571.7957704725</v>
      </c>
      <c r="H474" s="26" t="n">
        <v>24169.1863642026</v>
      </c>
      <c r="I474" s="26" t="n">
        <v>20151.9153366187</v>
      </c>
      <c r="J474" s="26" t="n">
        <v>18449.0918191617</v>
      </c>
      <c r="K474" s="26" t="n">
        <v>18400.6045553879</v>
      </c>
      <c r="L474" s="26" t="n">
        <v>18313.500036615</v>
      </c>
      <c r="M474" s="26" t="n">
        <v>18179.1033791546</v>
      </c>
      <c r="N474" s="27" t="n">
        <v>18101.4995058257</v>
      </c>
      <c r="O474" s="23" t="n">
        <v>17961.3902512496</v>
      </c>
      <c r="P474" s="23" t="n">
        <v>17775.6907961367</v>
      </c>
      <c r="Q474" s="23" t="n">
        <v>17535.2457857767</v>
      </c>
      <c r="R474" s="23" t="n">
        <v>17343.6255550306</v>
      </c>
      <c r="S474" s="23" t="n">
        <v>14365.0816091863</v>
      </c>
      <c r="T474" s="23" t="n">
        <v>11350.1882464069</v>
      </c>
      <c r="U474" s="23" t="n">
        <v>10959.1795476144</v>
      </c>
      <c r="V474" s="23" t="n">
        <v>10624.9249485979</v>
      </c>
      <c r="W474" s="23" t="n">
        <v>9961.08293696186</v>
      </c>
      <c r="X474" s="23" t="n">
        <v>10075.8687427403</v>
      </c>
    </row>
    <row r="476" customFormat="false" ht="11.25" hidden="false" customHeight="false" outlineLevel="0" collapsed="false">
      <c r="A476" s="28" t="s">
        <v>59</v>
      </c>
    </row>
    <row r="477" customFormat="false" ht="11.25" hidden="false" customHeight="false" outlineLevel="0" collapsed="false">
      <c r="A477" s="31" t="n">
        <v>36300</v>
      </c>
    </row>
    <row r="478" customFormat="false" ht="11.25" hidden="false" customHeight="false" outlineLevel="0" collapsed="false">
      <c r="A478" s="9" t="s">
        <v>2</v>
      </c>
      <c r="B478" s="10" t="n">
        <v>38648.9976761133</v>
      </c>
      <c r="C478" s="11"/>
      <c r="D478" s="11"/>
      <c r="E478" s="11"/>
      <c r="F478" s="11"/>
      <c r="G478" s="11"/>
      <c r="H478" s="11"/>
      <c r="I478" s="11"/>
      <c r="J478" s="11"/>
      <c r="K478" s="11"/>
      <c r="L478" s="11"/>
      <c r="M478" s="11"/>
      <c r="N478" s="11"/>
      <c r="O478" s="11"/>
      <c r="P478" s="11"/>
      <c r="Q478" s="11"/>
      <c r="R478" s="11"/>
      <c r="S478" s="11"/>
      <c r="T478" s="11"/>
      <c r="U478" s="11"/>
      <c r="V478" s="11"/>
    </row>
    <row r="479" customFormat="false" ht="11.25" hidden="false" customHeight="false" outlineLevel="0" collapsed="false">
      <c r="A479" s="12" t="s">
        <v>3</v>
      </c>
      <c r="B479" s="13" t="n">
        <v>74490.2464398629</v>
      </c>
      <c r="C479" s="11"/>
      <c r="D479" s="11"/>
      <c r="E479" s="11"/>
      <c r="F479" s="11"/>
      <c r="G479" s="11"/>
      <c r="H479" s="11"/>
      <c r="I479" s="11"/>
      <c r="J479" s="11"/>
      <c r="K479" s="11"/>
      <c r="L479" s="11"/>
      <c r="M479" s="11"/>
      <c r="N479" s="11"/>
      <c r="O479" s="11"/>
      <c r="P479" s="11"/>
      <c r="Q479" s="11"/>
      <c r="R479" s="11"/>
      <c r="S479" s="11"/>
      <c r="T479" s="11"/>
      <c r="U479" s="11"/>
      <c r="V479" s="11"/>
    </row>
    <row r="480" customFormat="false" ht="11.25" hidden="false" customHeight="false" outlineLevel="0" collapsed="false">
      <c r="A480" s="14" t="s">
        <v>4</v>
      </c>
      <c r="B480" s="15" t="s">
        <v>5</v>
      </c>
      <c r="C480" s="15" t="s">
        <v>6</v>
      </c>
      <c r="D480" s="16" t="n">
        <v>2000</v>
      </c>
      <c r="E480" s="17" t="n">
        <v>2001</v>
      </c>
      <c r="F480" s="17" t="n">
        <v>2002</v>
      </c>
      <c r="G480" s="17" t="n">
        <v>2003</v>
      </c>
      <c r="H480" s="17" t="n">
        <v>2004</v>
      </c>
      <c r="I480" s="17" t="n">
        <v>2005</v>
      </c>
      <c r="J480" s="17" t="n">
        <v>2006</v>
      </c>
      <c r="K480" s="17" t="n">
        <v>2007</v>
      </c>
      <c r="L480" s="17" t="n">
        <v>2008</v>
      </c>
      <c r="M480" s="17" t="n">
        <v>2009</v>
      </c>
      <c r="N480" s="18" t="n">
        <v>2010</v>
      </c>
      <c r="O480" s="11" t="n">
        <v>2011</v>
      </c>
      <c r="P480" s="11" t="n">
        <v>2012</v>
      </c>
      <c r="Q480" s="11" t="n">
        <v>2013</v>
      </c>
      <c r="R480" s="11" t="n">
        <v>2014</v>
      </c>
      <c r="S480" s="11" t="n">
        <v>2015</v>
      </c>
      <c r="T480" s="11" t="n">
        <v>2016</v>
      </c>
      <c r="U480" s="11" t="n">
        <v>2017</v>
      </c>
      <c r="V480" s="11" t="n">
        <v>2018</v>
      </c>
      <c r="W480" s="11" t="n">
        <v>2019</v>
      </c>
      <c r="X480" s="11" t="n">
        <v>2020</v>
      </c>
    </row>
    <row r="481" customFormat="false" ht="11.25" hidden="false" customHeight="false" outlineLevel="0" collapsed="false">
      <c r="A481" s="14" t="s">
        <v>7</v>
      </c>
      <c r="B481" s="19" t="n">
        <f aca="false">NPV(0.1,D481:Y481)</f>
        <v>548561.390989611</v>
      </c>
      <c r="C481" s="19" t="n">
        <f aca="false">B481-B471</f>
        <v>0</v>
      </c>
      <c r="D481" s="20" t="n">
        <v>41364.1276</v>
      </c>
      <c r="E481" s="21" t="n">
        <v>53599.168868</v>
      </c>
      <c r="F481" s="21" t="n">
        <v>53676.46137404</v>
      </c>
      <c r="G481" s="21" t="n">
        <v>61465.5710986956</v>
      </c>
      <c r="H481" s="21" t="n">
        <v>67464.2400703866</v>
      </c>
      <c r="I481" s="21" t="n">
        <v>68845.6789588982</v>
      </c>
      <c r="J481" s="21" t="n">
        <v>68789.1681348889</v>
      </c>
      <c r="K481" s="21" t="n">
        <v>69448.4675325598</v>
      </c>
      <c r="L481" s="21" t="n">
        <v>70104.6892921776</v>
      </c>
      <c r="M481" s="21" t="n">
        <v>70757.0553860011</v>
      </c>
      <c r="N481" s="22" t="n">
        <v>71404.7438744991</v>
      </c>
      <c r="O481" s="23" t="n">
        <v>72046.8869718675</v>
      </c>
      <c r="P481" s="23" t="n">
        <v>72682.569034999</v>
      </c>
      <c r="Q481" s="23" t="n">
        <v>73310.8244730518</v>
      </c>
      <c r="R481" s="23" t="n">
        <v>73930.6355746641</v>
      </c>
      <c r="S481" s="23" t="n">
        <v>74540.9302497555</v>
      </c>
      <c r="T481" s="23" t="n">
        <v>75140.5796827432</v>
      </c>
      <c r="U481" s="23" t="n">
        <v>75728.3958938933</v>
      </c>
      <c r="V481" s="23" t="n">
        <v>76303.129205406</v>
      </c>
      <c r="W481" s="23" t="n">
        <v>75777.1964494577</v>
      </c>
      <c r="X481" s="23" t="n">
        <v>32570.808451795</v>
      </c>
    </row>
    <row r="482" customFormat="false" ht="11.25" hidden="false" customHeight="false" outlineLevel="0" collapsed="false">
      <c r="A482" s="24" t="s">
        <v>8</v>
      </c>
      <c r="B482" s="19" t="n">
        <f aca="false">NPV(0.1,D482:Y482)</f>
        <v>243114.44212646</v>
      </c>
      <c r="C482" s="19" t="n">
        <f aca="false">B482-B472</f>
        <v>-178.964984068589</v>
      </c>
      <c r="D482" s="20" t="n">
        <v>25832.5671485215</v>
      </c>
      <c r="E482" s="21" t="n">
        <v>27375.7006636869</v>
      </c>
      <c r="F482" s="21" t="n">
        <v>27526.31559561</v>
      </c>
      <c r="G482" s="21" t="n">
        <v>27859.3062764724</v>
      </c>
      <c r="H482" s="21" t="n">
        <v>27984.6844828899</v>
      </c>
      <c r="I482" s="21" t="n">
        <v>28111.1471105827</v>
      </c>
      <c r="J482" s="21" t="n">
        <v>28298.5944392128</v>
      </c>
      <c r="K482" s="21" t="n">
        <v>28491.6651877018</v>
      </c>
      <c r="L482" s="21" t="n">
        <v>28690.5280586455</v>
      </c>
      <c r="M482" s="21" t="n">
        <v>28839.8317457113</v>
      </c>
      <c r="N482" s="22" t="n">
        <v>29050.8053654954</v>
      </c>
      <c r="O482" s="23" t="n">
        <v>29268.1081938731</v>
      </c>
      <c r="P482" s="23" t="n">
        <v>29491.9301071021</v>
      </c>
      <c r="Q482" s="23" t="n">
        <v>29666.9416077217</v>
      </c>
      <c r="R482" s="23" t="n">
        <v>29904.3942754664</v>
      </c>
      <c r="S482" s="23" t="n">
        <v>30148.9705232433</v>
      </c>
      <c r="T482" s="23" t="n">
        <v>30400.8840584537</v>
      </c>
      <c r="U482" s="23" t="n">
        <v>30604.829929714</v>
      </c>
      <c r="V482" s="23" t="n">
        <v>30872.0849992186</v>
      </c>
      <c r="W482" s="23" t="n">
        <v>31147.3577208084</v>
      </c>
      <c r="X482" s="23" t="n">
        <v>16077.1920960356</v>
      </c>
    </row>
    <row r="483" customFormat="false" ht="11.25" hidden="false" customHeight="false" outlineLevel="0" collapsed="false">
      <c r="A483" s="24" t="s">
        <v>9</v>
      </c>
      <c r="B483" s="19" t="n">
        <f aca="false">NPV(0.1,D483:Y483)</f>
        <v>99692.5900926956</v>
      </c>
      <c r="C483" s="19" t="n">
        <f aca="false">B483-B473</f>
        <v>-677.869724952616</v>
      </c>
      <c r="D483" s="20" t="n">
        <v>-1645.40434712162</v>
      </c>
      <c r="E483" s="21" t="n">
        <v>3349.97274826742</v>
      </c>
      <c r="F483" s="21" t="n">
        <v>3605.37848768354</v>
      </c>
      <c r="G483" s="21" t="n">
        <v>8584.55726938366</v>
      </c>
      <c r="H483" s="21" t="n">
        <v>12721.0820648491</v>
      </c>
      <c r="I483" s="21" t="n">
        <v>13935.8107195672</v>
      </c>
      <c r="J483" s="21" t="n">
        <v>14205.7219233677</v>
      </c>
      <c r="K483" s="21" t="n">
        <v>14885.3307924574</v>
      </c>
      <c r="L483" s="21" t="n">
        <v>15559.5213765325</v>
      </c>
      <c r="M483" s="21" t="n">
        <v>16510.1327356885</v>
      </c>
      <c r="N483" s="22" t="n">
        <v>17593.2322374325</v>
      </c>
      <c r="O483" s="23" t="n">
        <v>18047.823401345</v>
      </c>
      <c r="P483" s="23" t="n">
        <v>18543.2524534244</v>
      </c>
      <c r="Q483" s="23" t="n">
        <v>19063.9616870414</v>
      </c>
      <c r="R483" s="23" t="n">
        <v>19541.3689779064</v>
      </c>
      <c r="S483" s="23" t="n">
        <v>20008.6113609282</v>
      </c>
      <c r="T483" s="23" t="n">
        <v>20464.8687269101</v>
      </c>
      <c r="U483" s="23" t="n">
        <v>21187.0349712995</v>
      </c>
      <c r="V483" s="23" t="n">
        <v>21960.069599933</v>
      </c>
      <c r="W483" s="23" t="n">
        <v>22202.1420270178</v>
      </c>
      <c r="X483" s="23" t="n">
        <v>5869.95810055095</v>
      </c>
    </row>
    <row r="484" customFormat="false" ht="11.25" hidden="false" customHeight="false" outlineLevel="0" collapsed="false">
      <c r="A484" s="24" t="s">
        <v>10</v>
      </c>
      <c r="B484" s="19" t="n">
        <f aca="false">NPV(0.1,D484:Y484)</f>
        <v>105472.856819501</v>
      </c>
      <c r="C484" s="19" t="n">
        <f aca="false">B484-B474</f>
        <v>-25230.6462409398</v>
      </c>
      <c r="D484" s="25" t="n">
        <v>-5859.63014287797</v>
      </c>
      <c r="E484" s="26" t="n">
        <v>5926.20109858575</v>
      </c>
      <c r="F484" s="26" t="n">
        <v>3166.31895066038</v>
      </c>
      <c r="G484" s="26" t="n">
        <v>8698.64705750094</v>
      </c>
      <c r="H484" s="26" t="n">
        <v>20971.7733823405</v>
      </c>
      <c r="I484" s="26" t="n">
        <v>21019.4298256965</v>
      </c>
      <c r="J484" s="26" t="n">
        <v>15475.4194855932</v>
      </c>
      <c r="K484" s="26" t="n">
        <v>16164.2036894286</v>
      </c>
      <c r="L484" s="26" t="n">
        <v>11388.218938758</v>
      </c>
      <c r="M484" s="26" t="n">
        <v>8583.84056265339</v>
      </c>
      <c r="N484" s="27" t="n">
        <v>23315.789799658</v>
      </c>
      <c r="O484" s="23" t="n">
        <v>22791.4162983161</v>
      </c>
      <c r="P484" s="23" t="n">
        <v>23277.67001565</v>
      </c>
      <c r="Q484" s="23" t="n">
        <v>23752.0295140063</v>
      </c>
      <c r="R484" s="23" t="n">
        <v>24275.786540132</v>
      </c>
      <c r="S484" s="23" t="n">
        <v>22036.3051732002</v>
      </c>
      <c r="T484" s="23" t="n">
        <v>14845.1387892285</v>
      </c>
      <c r="U484" s="23" t="n">
        <v>13535.4999636116</v>
      </c>
      <c r="V484" s="23" t="n">
        <v>11399.6396622514</v>
      </c>
      <c r="W484" s="23" t="n">
        <v>9665.43208933623</v>
      </c>
      <c r="X484" s="23" t="n">
        <v>10087.8781628693</v>
      </c>
    </row>
    <row r="486" customFormat="false" ht="11.25" hidden="false" customHeight="false" outlineLevel="0" collapsed="false">
      <c r="A486" s="28" t="s">
        <v>60</v>
      </c>
    </row>
    <row r="487" customFormat="false" ht="11.25" hidden="false" customHeight="false" outlineLevel="0" collapsed="false">
      <c r="A487" s="31" t="n">
        <v>36300</v>
      </c>
    </row>
    <row r="488" customFormat="false" ht="11.25" hidden="false" customHeight="false" outlineLevel="0" collapsed="false">
      <c r="A488" s="9" t="s">
        <v>2</v>
      </c>
      <c r="B488" s="10" t="n">
        <v>38648.9976761133</v>
      </c>
      <c r="C488" s="11"/>
      <c r="D488" s="11"/>
      <c r="E488" s="11"/>
      <c r="F488" s="11"/>
      <c r="G488" s="11"/>
      <c r="H488" s="11"/>
      <c r="I488" s="11"/>
      <c r="J488" s="11"/>
      <c r="K488" s="11"/>
      <c r="L488" s="11"/>
      <c r="M488" s="11"/>
      <c r="N488" s="11"/>
      <c r="O488" s="11"/>
      <c r="P488" s="11"/>
      <c r="Q488" s="11"/>
      <c r="R488" s="11"/>
      <c r="S488" s="11"/>
      <c r="T488" s="11"/>
      <c r="U488" s="11"/>
      <c r="V488" s="11"/>
    </row>
    <row r="489" customFormat="false" ht="11.25" hidden="false" customHeight="false" outlineLevel="0" collapsed="false">
      <c r="A489" s="12" t="s">
        <v>3</v>
      </c>
      <c r="B489" s="13" t="n">
        <v>74490.2464398629</v>
      </c>
      <c r="C489" s="11"/>
      <c r="D489" s="11"/>
      <c r="E489" s="11"/>
      <c r="F489" s="11"/>
      <c r="G489" s="11"/>
      <c r="H489" s="11"/>
      <c r="I489" s="11"/>
      <c r="J489" s="11"/>
      <c r="K489" s="11"/>
      <c r="L489" s="11"/>
      <c r="M489" s="11"/>
      <c r="N489" s="11"/>
      <c r="O489" s="11"/>
      <c r="P489" s="11"/>
      <c r="Q489" s="11"/>
      <c r="R489" s="11"/>
      <c r="S489" s="11"/>
      <c r="T489" s="11"/>
      <c r="U489" s="11"/>
      <c r="V489" s="11"/>
    </row>
    <row r="490" customFormat="false" ht="11.25" hidden="false" customHeight="false" outlineLevel="0" collapsed="false">
      <c r="A490" s="14" t="s">
        <v>4</v>
      </c>
      <c r="B490" s="15" t="s">
        <v>5</v>
      </c>
      <c r="C490" s="15" t="s">
        <v>6</v>
      </c>
      <c r="D490" s="16" t="n">
        <v>2000</v>
      </c>
      <c r="E490" s="17" t="n">
        <v>2001</v>
      </c>
      <c r="F490" s="17" t="n">
        <v>2002</v>
      </c>
      <c r="G490" s="17" t="n">
        <v>2003</v>
      </c>
      <c r="H490" s="17" t="n">
        <v>2004</v>
      </c>
      <c r="I490" s="17" t="n">
        <v>2005</v>
      </c>
      <c r="J490" s="17" t="n">
        <v>2006</v>
      </c>
      <c r="K490" s="17" t="n">
        <v>2007</v>
      </c>
      <c r="L490" s="17" t="n">
        <v>2008</v>
      </c>
      <c r="M490" s="17" t="n">
        <v>2009</v>
      </c>
      <c r="N490" s="18" t="n">
        <v>2010</v>
      </c>
      <c r="O490" s="11" t="n">
        <v>2011</v>
      </c>
      <c r="P490" s="11" t="n">
        <v>2012</v>
      </c>
      <c r="Q490" s="11" t="n">
        <v>2013</v>
      </c>
      <c r="R490" s="11" t="n">
        <v>2014</v>
      </c>
      <c r="S490" s="11" t="n">
        <v>2015</v>
      </c>
      <c r="T490" s="11" t="n">
        <v>2016</v>
      </c>
      <c r="U490" s="11" t="n">
        <v>2017</v>
      </c>
      <c r="V490" s="11" t="n">
        <v>2018</v>
      </c>
      <c r="W490" s="11" t="n">
        <v>2019</v>
      </c>
      <c r="X490" s="11" t="n">
        <v>2020</v>
      </c>
    </row>
    <row r="491" customFormat="false" ht="11.25" hidden="false" customHeight="false" outlineLevel="0" collapsed="false">
      <c r="A491" s="14" t="s">
        <v>7</v>
      </c>
      <c r="B491" s="19" t="n">
        <f aca="false">NPV(0.1,D491:Y491)</f>
        <v>548561.390989611</v>
      </c>
      <c r="C491" s="19" t="n">
        <f aca="false">B491-B481</f>
        <v>0</v>
      </c>
      <c r="D491" s="20" t="n">
        <v>41364.1276</v>
      </c>
      <c r="E491" s="21" t="n">
        <v>53599.168868</v>
      </c>
      <c r="F491" s="21" t="n">
        <v>53676.46137404</v>
      </c>
      <c r="G491" s="21" t="n">
        <v>61465.5710986956</v>
      </c>
      <c r="H491" s="21" t="n">
        <v>67464.2400703866</v>
      </c>
      <c r="I491" s="21" t="n">
        <v>68845.6789588982</v>
      </c>
      <c r="J491" s="21" t="n">
        <v>68789.1681348889</v>
      </c>
      <c r="K491" s="21" t="n">
        <v>69448.4675325598</v>
      </c>
      <c r="L491" s="21" t="n">
        <v>70104.6892921776</v>
      </c>
      <c r="M491" s="21" t="n">
        <v>70757.0553860011</v>
      </c>
      <c r="N491" s="22" t="n">
        <v>71404.7438744991</v>
      </c>
      <c r="O491" s="23" t="n">
        <v>72046.8869718675</v>
      </c>
      <c r="P491" s="23" t="n">
        <v>72682.569034999</v>
      </c>
      <c r="Q491" s="23" t="n">
        <v>73310.8244730518</v>
      </c>
      <c r="R491" s="23" t="n">
        <v>73930.6355746641</v>
      </c>
      <c r="S491" s="23" t="n">
        <v>74540.9302497555</v>
      </c>
      <c r="T491" s="23" t="n">
        <v>75140.5796827432</v>
      </c>
      <c r="U491" s="23" t="n">
        <v>75728.3958938933</v>
      </c>
      <c r="V491" s="23" t="n">
        <v>76303.129205406</v>
      </c>
      <c r="W491" s="23" t="n">
        <v>75777.1964494577</v>
      </c>
      <c r="X491" s="23" t="n">
        <v>32570.808451795</v>
      </c>
    </row>
    <row r="492" customFormat="false" ht="11.25" hidden="false" customHeight="false" outlineLevel="0" collapsed="false">
      <c r="A492" s="24" t="s">
        <v>8</v>
      </c>
      <c r="B492" s="19" t="n">
        <f aca="false">NPV(0.1,D492:Y492)</f>
        <v>242672.722454294</v>
      </c>
      <c r="C492" s="19" t="n">
        <f aca="false">B492-B482</f>
        <v>-441.719672165986</v>
      </c>
      <c r="D492" s="20" t="n">
        <v>25832.5671485215</v>
      </c>
      <c r="E492" s="21" t="n">
        <v>27375.7006636869</v>
      </c>
      <c r="F492" s="21" t="n">
        <v>27526.31559561</v>
      </c>
      <c r="G492" s="21" t="n">
        <v>27822.6625234907</v>
      </c>
      <c r="H492" s="21" t="n">
        <v>27919.9820847679</v>
      </c>
      <c r="I492" s="21" t="n">
        <v>28044.5036405171</v>
      </c>
      <c r="J492" s="21" t="n">
        <v>28229.9516650452</v>
      </c>
      <c r="K492" s="21" t="n">
        <v>28420.9631303092</v>
      </c>
      <c r="L492" s="21" t="n">
        <v>28617.7049395311</v>
      </c>
      <c r="M492" s="21" t="n">
        <v>28764.8239330234</v>
      </c>
      <c r="N492" s="22" t="n">
        <v>28973.5473184269</v>
      </c>
      <c r="O492" s="23" t="n">
        <v>29188.5324053926</v>
      </c>
      <c r="P492" s="23" t="n">
        <v>29409.9670449672</v>
      </c>
      <c r="Q492" s="23" t="n">
        <v>29582.5196537227</v>
      </c>
      <c r="R492" s="23" t="n">
        <v>29817.4396628474</v>
      </c>
      <c r="S492" s="23" t="n">
        <v>30059.4072722458</v>
      </c>
      <c r="T492" s="23" t="n">
        <v>30308.6339099262</v>
      </c>
      <c r="U492" s="23" t="n">
        <v>30509.8122767307</v>
      </c>
      <c r="V492" s="23" t="n">
        <v>30774.2168166458</v>
      </c>
      <c r="W492" s="23" t="n">
        <v>31046.5534927584</v>
      </c>
      <c r="X492" s="23" t="n">
        <v>16033.9302814975</v>
      </c>
    </row>
    <row r="493" customFormat="false" ht="11.25" hidden="false" customHeight="false" outlineLevel="0" collapsed="false">
      <c r="A493" s="24" t="s">
        <v>9</v>
      </c>
      <c r="B493" s="19" t="n">
        <f aca="false">NPV(0.1,D493:Y493)</f>
        <v>99692.5900926956</v>
      </c>
      <c r="C493" s="19" t="n">
        <f aca="false">B493-B483</f>
        <v>0</v>
      </c>
      <c r="D493" s="20" t="n">
        <v>-1645.40434712162</v>
      </c>
      <c r="E493" s="21" t="n">
        <v>3349.97274826742</v>
      </c>
      <c r="F493" s="21" t="n">
        <v>3605.37848768354</v>
      </c>
      <c r="G493" s="21" t="n">
        <v>8584.55726938366</v>
      </c>
      <c r="H493" s="21" t="n">
        <v>12721.0820648491</v>
      </c>
      <c r="I493" s="21" t="n">
        <v>13935.8107195672</v>
      </c>
      <c r="J493" s="21" t="n">
        <v>14205.7219233677</v>
      </c>
      <c r="K493" s="21" t="n">
        <v>14885.3307924574</v>
      </c>
      <c r="L493" s="21" t="n">
        <v>15559.5213765325</v>
      </c>
      <c r="M493" s="21" t="n">
        <v>16510.1327356885</v>
      </c>
      <c r="N493" s="22" t="n">
        <v>17593.2322374325</v>
      </c>
      <c r="O493" s="23" t="n">
        <v>18047.823401345</v>
      </c>
      <c r="P493" s="23" t="n">
        <v>18543.2524534244</v>
      </c>
      <c r="Q493" s="23" t="n">
        <v>19063.9616870414</v>
      </c>
      <c r="R493" s="23" t="n">
        <v>19541.3689779064</v>
      </c>
      <c r="S493" s="23" t="n">
        <v>20008.6113609282</v>
      </c>
      <c r="T493" s="23" t="n">
        <v>20464.8687269101</v>
      </c>
      <c r="U493" s="23" t="n">
        <v>21187.0349712995</v>
      </c>
      <c r="V493" s="23" t="n">
        <v>21960.069599933</v>
      </c>
      <c r="W493" s="23" t="n">
        <v>22202.1420270178</v>
      </c>
      <c r="X493" s="23" t="n">
        <v>5869.95810055095</v>
      </c>
    </row>
    <row r="494" customFormat="false" ht="11.25" hidden="false" customHeight="false" outlineLevel="0" collapsed="false">
      <c r="A494" s="24" t="s">
        <v>10</v>
      </c>
      <c r="B494" s="19" t="n">
        <f aca="false">NPV(0.1,D494:Y494)</f>
        <v>105472.856819501</v>
      </c>
      <c r="C494" s="19" t="n">
        <f aca="false">B494-B484</f>
        <v>0</v>
      </c>
      <c r="D494" s="25" t="n">
        <v>-5859.63014287797</v>
      </c>
      <c r="E494" s="26" t="n">
        <v>5926.20109858575</v>
      </c>
      <c r="F494" s="26" t="n">
        <v>3166.31895066038</v>
      </c>
      <c r="G494" s="26" t="n">
        <v>8698.64705750094</v>
      </c>
      <c r="H494" s="26" t="n">
        <v>20971.7733823405</v>
      </c>
      <c r="I494" s="26" t="n">
        <v>21019.4298256965</v>
      </c>
      <c r="J494" s="26" t="n">
        <v>15475.4194855932</v>
      </c>
      <c r="K494" s="26" t="n">
        <v>16164.2036894286</v>
      </c>
      <c r="L494" s="26" t="n">
        <v>11388.218938758</v>
      </c>
      <c r="M494" s="26" t="n">
        <v>8583.84056265339</v>
      </c>
      <c r="N494" s="27" t="n">
        <v>23315.789799658</v>
      </c>
      <c r="O494" s="23" t="n">
        <v>22791.4162983161</v>
      </c>
      <c r="P494" s="23" t="n">
        <v>23277.67001565</v>
      </c>
      <c r="Q494" s="23" t="n">
        <v>23752.0295140063</v>
      </c>
      <c r="R494" s="23" t="n">
        <v>24275.786540132</v>
      </c>
      <c r="S494" s="23" t="n">
        <v>22036.3051732002</v>
      </c>
      <c r="T494" s="23" t="n">
        <v>14845.1387892285</v>
      </c>
      <c r="U494" s="23" t="n">
        <v>13535.4999636116</v>
      </c>
      <c r="V494" s="23" t="n">
        <v>11399.6396622514</v>
      </c>
      <c r="W494" s="23" t="n">
        <v>9665.43208933623</v>
      </c>
      <c r="X494" s="23" t="n">
        <v>10087.8781628693</v>
      </c>
    </row>
    <row r="496" customFormat="false" ht="11.25" hidden="false" customHeight="false" outlineLevel="0" collapsed="false">
      <c r="A496" s="28" t="s">
        <v>60</v>
      </c>
    </row>
    <row r="497" customFormat="false" ht="11.25" hidden="false" customHeight="false" outlineLevel="0" collapsed="false">
      <c r="A497" s="31" t="n">
        <v>36300</v>
      </c>
    </row>
    <row r="498" customFormat="false" ht="11.25" hidden="false" customHeight="false" outlineLevel="0" collapsed="false">
      <c r="A498" s="9" t="s">
        <v>2</v>
      </c>
      <c r="B498" s="10" t="n">
        <v>38940.8494979308</v>
      </c>
      <c r="C498" s="11"/>
      <c r="D498" s="11"/>
      <c r="E498" s="11"/>
      <c r="F498" s="11"/>
      <c r="G498" s="11"/>
      <c r="H498" s="11"/>
      <c r="I498" s="11"/>
      <c r="J498" s="11"/>
      <c r="K498" s="11"/>
      <c r="L498" s="11"/>
      <c r="M498" s="11"/>
      <c r="N498" s="11"/>
      <c r="O498" s="11"/>
      <c r="P498" s="11"/>
      <c r="Q498" s="11"/>
      <c r="R498" s="11"/>
      <c r="S498" s="11"/>
      <c r="T498" s="11"/>
      <c r="U498" s="11"/>
      <c r="V498" s="11"/>
    </row>
    <row r="499" customFormat="false" ht="11.25" hidden="false" customHeight="false" outlineLevel="0" collapsed="false">
      <c r="A499" s="12" t="s">
        <v>3</v>
      </c>
      <c r="B499" s="13" t="n">
        <v>74942.4810898169</v>
      </c>
      <c r="C499" s="11"/>
      <c r="D499" s="11"/>
      <c r="E499" s="11"/>
      <c r="F499" s="11"/>
      <c r="G499" s="11"/>
      <c r="H499" s="11"/>
      <c r="I499" s="11"/>
      <c r="J499" s="11"/>
      <c r="K499" s="11"/>
      <c r="L499" s="11"/>
      <c r="M499" s="11"/>
      <c r="N499" s="11"/>
      <c r="O499" s="11"/>
      <c r="P499" s="11"/>
      <c r="Q499" s="11"/>
      <c r="R499" s="11"/>
      <c r="S499" s="11"/>
      <c r="T499" s="11"/>
      <c r="U499" s="11"/>
      <c r="V499" s="11"/>
    </row>
    <row r="500" customFormat="false" ht="11.25" hidden="false" customHeight="false" outlineLevel="0" collapsed="false">
      <c r="A500" s="14" t="s">
        <v>4</v>
      </c>
      <c r="B500" s="15" t="s">
        <v>5</v>
      </c>
      <c r="C500" s="15" t="s">
        <v>6</v>
      </c>
      <c r="D500" s="16" t="n">
        <v>2000</v>
      </c>
      <c r="E500" s="17" t="n">
        <v>2001</v>
      </c>
      <c r="F500" s="17" t="n">
        <v>2002</v>
      </c>
      <c r="G500" s="17" t="n">
        <v>2003</v>
      </c>
      <c r="H500" s="17" t="n">
        <v>2004</v>
      </c>
      <c r="I500" s="17" t="n">
        <v>2005</v>
      </c>
      <c r="J500" s="17" t="n">
        <v>2006</v>
      </c>
      <c r="K500" s="17" t="n">
        <v>2007</v>
      </c>
      <c r="L500" s="17" t="n">
        <v>2008</v>
      </c>
      <c r="M500" s="17" t="n">
        <v>2009</v>
      </c>
      <c r="N500" s="18" t="n">
        <v>2010</v>
      </c>
      <c r="O500" s="11" t="n">
        <v>2011</v>
      </c>
      <c r="P500" s="11" t="n">
        <v>2012</v>
      </c>
      <c r="Q500" s="11" t="n">
        <v>2013</v>
      </c>
      <c r="R500" s="11" t="n">
        <v>2014</v>
      </c>
      <c r="S500" s="11" t="n">
        <v>2015</v>
      </c>
      <c r="T500" s="11" t="n">
        <v>2016</v>
      </c>
      <c r="U500" s="11" t="n">
        <v>2017</v>
      </c>
      <c r="V500" s="11" t="n">
        <v>2018</v>
      </c>
      <c r="W500" s="11" t="n">
        <v>2019</v>
      </c>
      <c r="X500" s="11" t="n">
        <v>2020</v>
      </c>
    </row>
    <row r="501" customFormat="false" ht="11.25" hidden="false" customHeight="false" outlineLevel="0" collapsed="false">
      <c r="A501" s="14" t="s">
        <v>7</v>
      </c>
      <c r="B501" s="19" t="n">
        <f aca="false">NPV(0.1,D501:Y501)</f>
        <v>548561.390989611</v>
      </c>
      <c r="C501" s="19" t="n">
        <f aca="false">B501-B491</f>
        <v>0</v>
      </c>
      <c r="D501" s="20" t="n">
        <v>41364.1276</v>
      </c>
      <c r="E501" s="21" t="n">
        <v>53599.168868</v>
      </c>
      <c r="F501" s="21" t="n">
        <v>53676.46137404</v>
      </c>
      <c r="G501" s="21" t="n">
        <v>61465.5710986956</v>
      </c>
      <c r="H501" s="21" t="n">
        <v>67464.2400703866</v>
      </c>
      <c r="I501" s="21" t="n">
        <v>68845.6789588982</v>
      </c>
      <c r="J501" s="21" t="n">
        <v>68789.1681348889</v>
      </c>
      <c r="K501" s="21" t="n">
        <v>69448.4675325598</v>
      </c>
      <c r="L501" s="21" t="n">
        <v>70104.6892921776</v>
      </c>
      <c r="M501" s="21" t="n">
        <v>70757.0553860011</v>
      </c>
      <c r="N501" s="22" t="n">
        <v>71404.7438744991</v>
      </c>
      <c r="O501" s="23" t="n">
        <v>72046.8869718675</v>
      </c>
      <c r="P501" s="23" t="n">
        <v>72682.569034999</v>
      </c>
      <c r="Q501" s="23" t="n">
        <v>73310.8244730518</v>
      </c>
      <c r="R501" s="23" t="n">
        <v>73930.6355746641</v>
      </c>
      <c r="S501" s="23" t="n">
        <v>74540.9302497555</v>
      </c>
      <c r="T501" s="23" t="n">
        <v>75140.5796827432</v>
      </c>
      <c r="U501" s="23" t="n">
        <v>75728.3958938933</v>
      </c>
      <c r="V501" s="23" t="n">
        <v>76303.129205406</v>
      </c>
      <c r="W501" s="23" t="n">
        <v>75777.1964494577</v>
      </c>
      <c r="X501" s="23" t="n">
        <v>32570.808451795</v>
      </c>
    </row>
    <row r="502" customFormat="false" ht="11.25" hidden="false" customHeight="false" outlineLevel="0" collapsed="false">
      <c r="A502" s="24" t="s">
        <v>8</v>
      </c>
      <c r="B502" s="19" t="n">
        <f aca="false">NPV(0.1,D502:Y502)</f>
        <v>242672.131244389</v>
      </c>
      <c r="C502" s="19" t="n">
        <f aca="false">B502-B492</f>
        <v>-0.591209905280266</v>
      </c>
      <c r="D502" s="20" t="n">
        <v>25832.4697310215</v>
      </c>
      <c r="E502" s="21" t="n">
        <v>27375.6357186869</v>
      </c>
      <c r="F502" s="21" t="n">
        <v>27526.25065061</v>
      </c>
      <c r="G502" s="21" t="n">
        <v>27822.5975784907</v>
      </c>
      <c r="H502" s="21" t="n">
        <v>27919.9171397679</v>
      </c>
      <c r="I502" s="21" t="n">
        <v>28044.4386955171</v>
      </c>
      <c r="J502" s="21" t="n">
        <v>28229.8867200452</v>
      </c>
      <c r="K502" s="21" t="n">
        <v>28420.8981853092</v>
      </c>
      <c r="L502" s="21" t="n">
        <v>28617.6399945311</v>
      </c>
      <c r="M502" s="21" t="n">
        <v>28764.7589880234</v>
      </c>
      <c r="N502" s="22" t="n">
        <v>28973.4823734269</v>
      </c>
      <c r="O502" s="23" t="n">
        <v>29188.4674603926</v>
      </c>
      <c r="P502" s="23" t="n">
        <v>29409.9020999672</v>
      </c>
      <c r="Q502" s="23" t="n">
        <v>29582.4547087227</v>
      </c>
      <c r="R502" s="23" t="n">
        <v>29817.3747178474</v>
      </c>
      <c r="S502" s="23" t="n">
        <v>30059.3423272458</v>
      </c>
      <c r="T502" s="23" t="n">
        <v>30308.5689649262</v>
      </c>
      <c r="U502" s="23" t="n">
        <v>30509.7473317307</v>
      </c>
      <c r="V502" s="23" t="n">
        <v>30774.1518716458</v>
      </c>
      <c r="W502" s="23" t="n">
        <v>31046.4885477584</v>
      </c>
      <c r="X502" s="23" t="n">
        <v>16033.8653364975</v>
      </c>
    </row>
    <row r="503" customFormat="false" ht="11.25" hidden="false" customHeight="false" outlineLevel="0" collapsed="false">
      <c r="A503" s="24" t="s">
        <v>9</v>
      </c>
      <c r="B503" s="19" t="n">
        <f aca="false">NPV(0.1,D503:Y503)</f>
        <v>99972.5065184745</v>
      </c>
      <c r="C503" s="19" t="n">
        <f aca="false">B503-B493</f>
        <v>279.916425778909</v>
      </c>
      <c r="D503" s="20" t="n">
        <v>-1644.65913036522</v>
      </c>
      <c r="E503" s="21" t="n">
        <v>3351.18791933061</v>
      </c>
      <c r="F503" s="21" t="n">
        <v>3606.59365874673</v>
      </c>
      <c r="G503" s="21" t="n">
        <v>8608.15706937687</v>
      </c>
      <c r="H503" s="21" t="n">
        <v>12761.8220949944</v>
      </c>
      <c r="I503" s="21" t="n">
        <v>13977.736495485</v>
      </c>
      <c r="J503" s="21" t="n">
        <v>14248.8690174311</v>
      </c>
      <c r="K503" s="21" t="n">
        <v>14929.7358442109</v>
      </c>
      <c r="L503" s="21" t="n">
        <v>15605.2221247066</v>
      </c>
      <c r="M503" s="21" t="n">
        <v>16557.168051176</v>
      </c>
      <c r="N503" s="22" t="n">
        <v>17641.6421572527</v>
      </c>
      <c r="O503" s="23" t="n">
        <v>18097.6491636279</v>
      </c>
      <c r="P503" s="23" t="n">
        <v>18594.536533444</v>
      </c>
      <c r="Q503" s="23" t="n">
        <v>19116.7478343296</v>
      </c>
      <c r="R503" s="23" t="n">
        <v>19595.7022544814</v>
      </c>
      <c r="S503" s="23" t="n">
        <v>20064.5381806685</v>
      </c>
      <c r="T503" s="23" t="n">
        <v>20522.4368961107</v>
      </c>
      <c r="U503" s="23" t="n">
        <v>21246.2937304443</v>
      </c>
      <c r="V503" s="23" t="n">
        <v>22021.0696667202</v>
      </c>
      <c r="W503" s="23" t="n">
        <v>22264.9356406768</v>
      </c>
      <c r="X503" s="23" t="n">
        <v>5897.60068656148</v>
      </c>
    </row>
    <row r="504" customFormat="false" ht="11.25" hidden="false" customHeight="false" outlineLevel="0" collapsed="false">
      <c r="A504" s="24" t="s">
        <v>10</v>
      </c>
      <c r="B504" s="19" t="n">
        <f aca="false">NPV(0.1,D504:Y504)</f>
        <v>105734.797708492</v>
      </c>
      <c r="C504" s="19" t="n">
        <f aca="false">B504-B494</f>
        <v>261.940888990968</v>
      </c>
      <c r="D504" s="25" t="n">
        <v>-5859.53150765922</v>
      </c>
      <c r="E504" s="26" t="n">
        <v>5926.26685539826</v>
      </c>
      <c r="F504" s="26" t="n">
        <v>3166.38470747288</v>
      </c>
      <c r="G504" s="26" t="n">
        <v>8735.8146142074</v>
      </c>
      <c r="H504" s="26" t="n">
        <v>21037.3503172514</v>
      </c>
      <c r="I504" s="26" t="n">
        <v>21008.0211759509</v>
      </c>
      <c r="J504" s="26" t="n">
        <v>15515.8711393953</v>
      </c>
      <c r="K504" s="26" t="n">
        <v>16205.9107247474</v>
      </c>
      <c r="L504" s="26" t="n">
        <v>11431.2242466708</v>
      </c>
      <c r="M504" s="26" t="n">
        <v>8628.17786170622</v>
      </c>
      <c r="N504" s="27" t="n">
        <v>23361.5042792169</v>
      </c>
      <c r="O504" s="23" t="n">
        <v>22838.5440441644</v>
      </c>
      <c r="P504" s="23" t="n">
        <v>23326.2586554082</v>
      </c>
      <c r="Q504" s="23" t="n">
        <v>23802.1176448599</v>
      </c>
      <c r="R504" s="23" t="n">
        <v>24327.4243764456</v>
      </c>
      <c r="S504" s="23" t="n">
        <v>22090.2965238071</v>
      </c>
      <c r="T504" s="23" t="n">
        <v>14901.5314604236</v>
      </c>
      <c r="U504" s="23" t="n">
        <v>13593.5832247509</v>
      </c>
      <c r="V504" s="23" t="n">
        <v>11459.4642310331</v>
      </c>
      <c r="W504" s="23" t="n">
        <v>9727.05020498966</v>
      </c>
      <c r="X504" s="23" t="n">
        <v>10114.3452508744</v>
      </c>
    </row>
    <row r="506" customFormat="false" ht="11.25" hidden="false" customHeight="false" outlineLevel="0" collapsed="false">
      <c r="A506" s="28" t="s">
        <v>61</v>
      </c>
    </row>
    <row r="507" customFormat="false" ht="11.25" hidden="false" customHeight="false" outlineLevel="0" collapsed="false">
      <c r="A507" s="31" t="n">
        <v>36313</v>
      </c>
    </row>
    <row r="508" customFormat="false" ht="11.25" hidden="false" customHeight="false" outlineLevel="0" collapsed="false">
      <c r="A508" s="9" t="s">
        <v>2</v>
      </c>
      <c r="B508" s="10" t="n">
        <v>38757.1762806894</v>
      </c>
      <c r="C508" s="11"/>
      <c r="D508" s="11"/>
      <c r="E508" s="11"/>
      <c r="F508" s="11"/>
      <c r="G508" s="11"/>
      <c r="H508" s="11"/>
      <c r="I508" s="11"/>
      <c r="J508" s="11"/>
      <c r="K508" s="11"/>
      <c r="L508" s="11"/>
      <c r="M508" s="11"/>
      <c r="N508" s="11"/>
      <c r="O508" s="11"/>
      <c r="P508" s="11"/>
      <c r="Q508" s="11"/>
      <c r="R508" s="11"/>
      <c r="S508" s="11"/>
      <c r="T508" s="11"/>
      <c r="U508" s="11"/>
      <c r="V508" s="11"/>
    </row>
    <row r="509" customFormat="false" ht="11.25" hidden="false" customHeight="false" outlineLevel="0" collapsed="false">
      <c r="A509" s="12" t="s">
        <v>3</v>
      </c>
      <c r="B509" s="13" t="n">
        <v>74723.2539317928</v>
      </c>
      <c r="C509" s="11"/>
      <c r="D509" s="11"/>
      <c r="E509" s="11"/>
      <c r="F509" s="11"/>
      <c r="G509" s="11"/>
      <c r="H509" s="11"/>
      <c r="I509" s="11"/>
      <c r="J509" s="11"/>
      <c r="K509" s="11"/>
      <c r="L509" s="11"/>
      <c r="M509" s="11"/>
      <c r="N509" s="11"/>
      <c r="O509" s="11"/>
      <c r="P509" s="11"/>
      <c r="Q509" s="11"/>
      <c r="R509" s="11"/>
      <c r="S509" s="11"/>
      <c r="T509" s="11"/>
      <c r="U509" s="11"/>
      <c r="V509" s="11"/>
    </row>
    <row r="510" customFormat="false" ht="11.25" hidden="false" customHeight="false" outlineLevel="0" collapsed="false">
      <c r="A510" s="14" t="s">
        <v>4</v>
      </c>
      <c r="B510" s="15" t="s">
        <v>5</v>
      </c>
      <c r="C510" s="15" t="s">
        <v>6</v>
      </c>
      <c r="D510" s="16" t="n">
        <v>2000</v>
      </c>
      <c r="E510" s="17" t="n">
        <v>2001</v>
      </c>
      <c r="F510" s="17" t="n">
        <v>2002</v>
      </c>
      <c r="G510" s="17" t="n">
        <v>2003</v>
      </c>
      <c r="H510" s="17" t="n">
        <v>2004</v>
      </c>
      <c r="I510" s="17" t="n">
        <v>2005</v>
      </c>
      <c r="J510" s="17" t="n">
        <v>2006</v>
      </c>
      <c r="K510" s="17" t="n">
        <v>2007</v>
      </c>
      <c r="L510" s="17" t="n">
        <v>2008</v>
      </c>
      <c r="M510" s="17" t="n">
        <v>2009</v>
      </c>
      <c r="N510" s="18" t="n">
        <v>2010</v>
      </c>
      <c r="O510" s="11" t="n">
        <v>2011</v>
      </c>
      <c r="P510" s="11" t="n">
        <v>2012</v>
      </c>
      <c r="Q510" s="11" t="n">
        <v>2013</v>
      </c>
      <c r="R510" s="11" t="n">
        <v>2014</v>
      </c>
      <c r="S510" s="11" t="n">
        <v>2015</v>
      </c>
      <c r="T510" s="11" t="n">
        <v>2016</v>
      </c>
      <c r="U510" s="11" t="n">
        <v>2017</v>
      </c>
      <c r="V510" s="11" t="n">
        <v>2018</v>
      </c>
      <c r="W510" s="11" t="n">
        <v>2019</v>
      </c>
      <c r="X510" s="11" t="n">
        <v>2020</v>
      </c>
    </row>
    <row r="511" customFormat="false" ht="11.25" hidden="false" customHeight="false" outlineLevel="0" collapsed="false">
      <c r="A511" s="14" t="s">
        <v>7</v>
      </c>
      <c r="B511" s="19" t="n">
        <f aca="false">NPV(0.1,D511:Y511)</f>
        <v>548561.390989611</v>
      </c>
      <c r="C511" s="19" t="n">
        <f aca="false">B511-B501</f>
        <v>0</v>
      </c>
      <c r="D511" s="20" t="n">
        <v>41364.1276</v>
      </c>
      <c r="E511" s="21" t="n">
        <v>53599.168868</v>
      </c>
      <c r="F511" s="21" t="n">
        <v>53676.46137404</v>
      </c>
      <c r="G511" s="21" t="n">
        <v>61465.5710986956</v>
      </c>
      <c r="H511" s="21" t="n">
        <v>67464.2400703866</v>
      </c>
      <c r="I511" s="21" t="n">
        <v>68845.6789588982</v>
      </c>
      <c r="J511" s="21" t="n">
        <v>68789.1681348889</v>
      </c>
      <c r="K511" s="21" t="n">
        <v>69448.4675325598</v>
      </c>
      <c r="L511" s="21" t="n">
        <v>70104.6892921776</v>
      </c>
      <c r="M511" s="21" t="n">
        <v>70757.0553860011</v>
      </c>
      <c r="N511" s="22" t="n">
        <v>71404.7438744991</v>
      </c>
      <c r="O511" s="23" t="n">
        <v>72046.8869718675</v>
      </c>
      <c r="P511" s="23" t="n">
        <v>72682.569034999</v>
      </c>
      <c r="Q511" s="23" t="n">
        <v>73310.8244730518</v>
      </c>
      <c r="R511" s="23" t="n">
        <v>73930.6355746641</v>
      </c>
      <c r="S511" s="23" t="n">
        <v>74540.9302497555</v>
      </c>
      <c r="T511" s="23" t="n">
        <v>75140.5796827432</v>
      </c>
      <c r="U511" s="23" t="n">
        <v>75728.3958938933</v>
      </c>
      <c r="V511" s="23" t="n">
        <v>76303.129205406</v>
      </c>
      <c r="W511" s="23" t="n">
        <v>75777.1964494577</v>
      </c>
      <c r="X511" s="23" t="n">
        <v>32570.808451795</v>
      </c>
    </row>
    <row r="512" customFormat="false" ht="11.25" hidden="false" customHeight="false" outlineLevel="0" collapsed="false">
      <c r="A512" s="24" t="s">
        <v>8</v>
      </c>
      <c r="B512" s="19" t="n">
        <f aca="false">NPV(0.1,D512:Y512)</f>
        <v>242674.110106644</v>
      </c>
      <c r="C512" s="19" t="n">
        <f aca="false">B512-B502</f>
        <v>1.9788622558408</v>
      </c>
      <c r="D512" s="20" t="n">
        <v>25832.7958010215</v>
      </c>
      <c r="E512" s="21" t="n">
        <v>27375.8530986869</v>
      </c>
      <c r="F512" s="21" t="n">
        <v>27526.46803061</v>
      </c>
      <c r="G512" s="21" t="n">
        <v>27822.8149584907</v>
      </c>
      <c r="H512" s="21" t="n">
        <v>27920.1345197679</v>
      </c>
      <c r="I512" s="21" t="n">
        <v>28044.6560755171</v>
      </c>
      <c r="J512" s="21" t="n">
        <v>28230.1041000452</v>
      </c>
      <c r="K512" s="21" t="n">
        <v>28421.1155653092</v>
      </c>
      <c r="L512" s="21" t="n">
        <v>28617.8573745311</v>
      </c>
      <c r="M512" s="21" t="n">
        <v>28764.9763680234</v>
      </c>
      <c r="N512" s="22" t="n">
        <v>28973.6997534269</v>
      </c>
      <c r="O512" s="23" t="n">
        <v>29188.6848403926</v>
      </c>
      <c r="P512" s="23" t="n">
        <v>29410.1194799672</v>
      </c>
      <c r="Q512" s="23" t="n">
        <v>29582.6720887227</v>
      </c>
      <c r="R512" s="23" t="n">
        <v>29817.5920978474</v>
      </c>
      <c r="S512" s="23" t="n">
        <v>30059.5597072458</v>
      </c>
      <c r="T512" s="23" t="n">
        <v>30308.7863449262</v>
      </c>
      <c r="U512" s="23" t="n">
        <v>30509.9647117307</v>
      </c>
      <c r="V512" s="23" t="n">
        <v>30774.3692516458</v>
      </c>
      <c r="W512" s="23" t="n">
        <v>31046.7059277584</v>
      </c>
      <c r="X512" s="23" t="n">
        <v>16034.0827164975</v>
      </c>
    </row>
    <row r="513" customFormat="false" ht="11.25" hidden="false" customHeight="false" outlineLevel="0" collapsed="false">
      <c r="A513" s="24" t="s">
        <v>9</v>
      </c>
      <c r="B513" s="19" t="n">
        <f aca="false">NPV(0.1,D513:Y513)</f>
        <v>99938.7592756136</v>
      </c>
      <c r="C513" s="19" t="n">
        <f aca="false">B513-B503</f>
        <v>-33.7472428609617</v>
      </c>
      <c r="D513" s="20" t="n">
        <v>-1647.15347509548</v>
      </c>
      <c r="E513" s="21" t="n">
        <v>3347.12057179476</v>
      </c>
      <c r="F513" s="21" t="n">
        <v>3602.52631121089</v>
      </c>
      <c r="G513" s="21" t="n">
        <v>8604.08972184103</v>
      </c>
      <c r="H513" s="21" t="n">
        <v>12757.7547474586</v>
      </c>
      <c r="I513" s="21" t="n">
        <v>13973.6691479491</v>
      </c>
      <c r="J513" s="21" t="n">
        <v>14244.8016698953</v>
      </c>
      <c r="K513" s="21" t="n">
        <v>14925.6684966751</v>
      </c>
      <c r="L513" s="21" t="n">
        <v>15601.1547771708</v>
      </c>
      <c r="M513" s="21" t="n">
        <v>16553.1007036401</v>
      </c>
      <c r="N513" s="22" t="n">
        <v>17637.5748097169</v>
      </c>
      <c r="O513" s="23" t="n">
        <v>18093.581816092</v>
      </c>
      <c r="P513" s="23" t="n">
        <v>18590.4691859081</v>
      </c>
      <c r="Q513" s="23" t="n">
        <v>19112.6804867938</v>
      </c>
      <c r="R513" s="23" t="n">
        <v>19591.6349069456</v>
      </c>
      <c r="S513" s="23" t="n">
        <v>20060.4708331327</v>
      </c>
      <c r="T513" s="23" t="n">
        <v>20518.3695485749</v>
      </c>
      <c r="U513" s="23" t="n">
        <v>21242.2263829084</v>
      </c>
      <c r="V513" s="23" t="n">
        <v>22017.0023191844</v>
      </c>
      <c r="W513" s="23" t="n">
        <v>22260.8682931409</v>
      </c>
      <c r="X513" s="23" t="n">
        <v>5893.53333902564</v>
      </c>
    </row>
    <row r="514" customFormat="false" ht="11.25" hidden="false" customHeight="false" outlineLevel="0" collapsed="false">
      <c r="A514" s="24" t="s">
        <v>10</v>
      </c>
      <c r="B514" s="19" t="n">
        <f aca="false">NPV(0.1,D514:Y514)</f>
        <v>105771.966195289</v>
      </c>
      <c r="C514" s="19" t="n">
        <f aca="false">B514-B504</f>
        <v>37.1684867969598</v>
      </c>
      <c r="D514" s="25" t="n">
        <v>-5859.86165353422</v>
      </c>
      <c r="E514" s="26" t="n">
        <v>5926.04675814825</v>
      </c>
      <c r="F514" s="26" t="n">
        <v>3166.16461022288</v>
      </c>
      <c r="G514" s="26" t="n">
        <v>8735.59451695741</v>
      </c>
      <c r="H514" s="26" t="n">
        <v>21037.1302200014</v>
      </c>
      <c r="I514" s="26" t="n">
        <v>21046.2313370578</v>
      </c>
      <c r="J514" s="26" t="n">
        <v>15520.8258074729</v>
      </c>
      <c r="K514" s="26" t="n">
        <v>16210.8740156374</v>
      </c>
      <c r="L514" s="26" t="n">
        <v>11436.1789147484</v>
      </c>
      <c r="M514" s="26" t="n">
        <v>8633.14115259624</v>
      </c>
      <c r="N514" s="27" t="n">
        <v>23366.4589472945</v>
      </c>
      <c r="O514" s="23" t="n">
        <v>22843.5073350544</v>
      </c>
      <c r="P514" s="23" t="n">
        <v>23331.2133234857</v>
      </c>
      <c r="Q514" s="23" t="n">
        <v>23807.0809357499</v>
      </c>
      <c r="R514" s="23" t="n">
        <v>24332.3790445232</v>
      </c>
      <c r="S514" s="23" t="n">
        <v>22092.707462209</v>
      </c>
      <c r="T514" s="23" t="n">
        <v>14901.3986691498</v>
      </c>
      <c r="U514" s="23" t="n">
        <v>13593.450433477</v>
      </c>
      <c r="V514" s="23" t="n">
        <v>11459.3314397593</v>
      </c>
      <c r="W514" s="23" t="n">
        <v>9726.91741371581</v>
      </c>
      <c r="X514" s="23" t="n">
        <v>10114.2124596005</v>
      </c>
    </row>
    <row r="516" customFormat="false" ht="11.25" hidden="false" customHeight="false" outlineLevel="0" collapsed="false">
      <c r="A516" s="28" t="s">
        <v>62</v>
      </c>
    </row>
    <row r="517" customFormat="false" ht="11.25" hidden="false" customHeight="false" outlineLevel="0" collapsed="false">
      <c r="A517" s="31" t="n">
        <v>36313</v>
      </c>
    </row>
    <row r="518" customFormat="false" ht="11.25" hidden="false" customHeight="false" outlineLevel="0" collapsed="false">
      <c r="A518" s="9" t="s">
        <v>2</v>
      </c>
      <c r="B518" s="10" t="n">
        <v>38795.6896582445</v>
      </c>
      <c r="C518" s="11"/>
      <c r="D518" s="11"/>
      <c r="E518" s="11"/>
      <c r="F518" s="11"/>
      <c r="G518" s="11"/>
      <c r="H518" s="11"/>
      <c r="I518" s="11"/>
      <c r="J518" s="11"/>
      <c r="K518" s="11"/>
      <c r="L518" s="11"/>
      <c r="M518" s="11"/>
      <c r="N518" s="11"/>
      <c r="O518" s="11"/>
      <c r="P518" s="11"/>
      <c r="Q518" s="11"/>
      <c r="R518" s="11"/>
      <c r="S518" s="11"/>
      <c r="T518" s="11"/>
      <c r="U518" s="11"/>
      <c r="V518" s="11"/>
    </row>
    <row r="519" customFormat="false" ht="11.25" hidden="false" customHeight="false" outlineLevel="0" collapsed="false">
      <c r="A519" s="12" t="s">
        <v>3</v>
      </c>
      <c r="B519" s="13" t="n">
        <v>74787.0886119101</v>
      </c>
      <c r="C519" s="11"/>
      <c r="D519" s="11"/>
      <c r="E519" s="11"/>
      <c r="F519" s="11"/>
      <c r="G519" s="11"/>
      <c r="H519" s="11"/>
      <c r="I519" s="11"/>
      <c r="J519" s="11"/>
      <c r="K519" s="11"/>
      <c r="L519" s="11"/>
      <c r="M519" s="11"/>
      <c r="N519" s="11"/>
      <c r="O519" s="11"/>
      <c r="P519" s="11"/>
      <c r="Q519" s="11"/>
      <c r="R519" s="11"/>
      <c r="S519" s="11"/>
      <c r="T519" s="11"/>
      <c r="U519" s="11"/>
      <c r="V519" s="11"/>
    </row>
    <row r="520" customFormat="false" ht="11.25" hidden="false" customHeight="false" outlineLevel="0" collapsed="false">
      <c r="A520" s="14" t="s">
        <v>4</v>
      </c>
      <c r="B520" s="15" t="s">
        <v>5</v>
      </c>
      <c r="C520" s="15" t="s">
        <v>6</v>
      </c>
      <c r="D520" s="16" t="n">
        <v>2000</v>
      </c>
      <c r="E520" s="17" t="n">
        <v>2001</v>
      </c>
      <c r="F520" s="17" t="n">
        <v>2002</v>
      </c>
      <c r="G520" s="17" t="n">
        <v>2003</v>
      </c>
      <c r="H520" s="17" t="n">
        <v>2004</v>
      </c>
      <c r="I520" s="17" t="n">
        <v>2005</v>
      </c>
      <c r="J520" s="17" t="n">
        <v>2006</v>
      </c>
      <c r="K520" s="17" t="n">
        <v>2007</v>
      </c>
      <c r="L520" s="17" t="n">
        <v>2008</v>
      </c>
      <c r="M520" s="17" t="n">
        <v>2009</v>
      </c>
      <c r="N520" s="18" t="n">
        <v>2010</v>
      </c>
      <c r="O520" s="11" t="n">
        <v>2011</v>
      </c>
      <c r="P520" s="11" t="n">
        <v>2012</v>
      </c>
      <c r="Q520" s="11" t="n">
        <v>2013</v>
      </c>
      <c r="R520" s="11" t="n">
        <v>2014</v>
      </c>
      <c r="S520" s="11" t="n">
        <v>2015</v>
      </c>
      <c r="T520" s="11" t="n">
        <v>2016</v>
      </c>
      <c r="U520" s="11" t="n">
        <v>2017</v>
      </c>
      <c r="V520" s="11" t="n">
        <v>2018</v>
      </c>
      <c r="W520" s="11" t="n">
        <v>2019</v>
      </c>
      <c r="X520" s="11" t="n">
        <v>2020</v>
      </c>
    </row>
    <row r="521" customFormat="false" ht="11.25" hidden="false" customHeight="false" outlineLevel="0" collapsed="false">
      <c r="A521" s="14" t="s">
        <v>7</v>
      </c>
      <c r="B521" s="19" t="n">
        <f aca="false">NPV(0.1,D521:Y521)</f>
        <v>548649.327998498</v>
      </c>
      <c r="C521" s="19" t="n">
        <f aca="false">B521-B511</f>
        <v>87.9370088867145</v>
      </c>
      <c r="D521" s="20" t="n">
        <v>41364.1276</v>
      </c>
      <c r="E521" s="21" t="n">
        <v>53599.168868</v>
      </c>
      <c r="F521" s="21" t="n">
        <v>53676.46137404</v>
      </c>
      <c r="G521" s="21" t="n">
        <v>61465.5710986956</v>
      </c>
      <c r="H521" s="21" t="n">
        <v>67464.2400703866</v>
      </c>
      <c r="I521" s="21" t="n">
        <v>68845.6789588982</v>
      </c>
      <c r="J521" s="21" t="n">
        <v>68789.1681348889</v>
      </c>
      <c r="K521" s="21" t="n">
        <v>69448.4675325598</v>
      </c>
      <c r="L521" s="21" t="n">
        <v>70104.6892921776</v>
      </c>
      <c r="M521" s="21" t="n">
        <v>70757.0553860011</v>
      </c>
      <c r="N521" s="22" t="n">
        <v>71404.7438744991</v>
      </c>
      <c r="O521" s="23" t="n">
        <v>72046.8869718675</v>
      </c>
      <c r="P521" s="23" t="n">
        <v>72682.569034999</v>
      </c>
      <c r="Q521" s="23" t="n">
        <v>73310.8244730518</v>
      </c>
      <c r="R521" s="23" t="n">
        <v>73930.6355746641</v>
      </c>
      <c r="S521" s="23" t="n">
        <v>74540.9302497555</v>
      </c>
      <c r="T521" s="23" t="n">
        <v>75140.5796827432</v>
      </c>
      <c r="U521" s="23" t="n">
        <v>75728.3958938933</v>
      </c>
      <c r="V521" s="23" t="n">
        <v>76303.129205406</v>
      </c>
      <c r="W521" s="23" t="n">
        <v>75777.1964494577</v>
      </c>
      <c r="X521" s="23" t="n">
        <v>33221.5642969066</v>
      </c>
    </row>
    <row r="522" customFormat="false" ht="11.25" hidden="false" customHeight="false" outlineLevel="0" collapsed="false">
      <c r="A522" s="24" t="s">
        <v>8</v>
      </c>
      <c r="B522" s="19" t="n">
        <f aca="false">NPV(0.1,D522:Y522)</f>
        <v>242674.110106644</v>
      </c>
      <c r="C522" s="19" t="n">
        <f aca="false">B522-B512</f>
        <v>0</v>
      </c>
      <c r="D522" s="20" t="n">
        <v>25832.7958010215</v>
      </c>
      <c r="E522" s="21" t="n">
        <v>27375.8530986869</v>
      </c>
      <c r="F522" s="21" t="n">
        <v>27526.46803061</v>
      </c>
      <c r="G522" s="21" t="n">
        <v>27822.8149584907</v>
      </c>
      <c r="H522" s="21" t="n">
        <v>27920.1345197679</v>
      </c>
      <c r="I522" s="21" t="n">
        <v>28044.6560755171</v>
      </c>
      <c r="J522" s="21" t="n">
        <v>28230.1041000452</v>
      </c>
      <c r="K522" s="21" t="n">
        <v>28421.1155653092</v>
      </c>
      <c r="L522" s="21" t="n">
        <v>28617.8573745311</v>
      </c>
      <c r="M522" s="21" t="n">
        <v>28764.9763680234</v>
      </c>
      <c r="N522" s="22" t="n">
        <v>28973.6997534269</v>
      </c>
      <c r="O522" s="23" t="n">
        <v>29188.6848403926</v>
      </c>
      <c r="P522" s="23" t="n">
        <v>29410.1194799672</v>
      </c>
      <c r="Q522" s="23" t="n">
        <v>29582.6720887227</v>
      </c>
      <c r="R522" s="23" t="n">
        <v>29817.5920978474</v>
      </c>
      <c r="S522" s="23" t="n">
        <v>30059.5597072458</v>
      </c>
      <c r="T522" s="23" t="n">
        <v>30308.7863449262</v>
      </c>
      <c r="U522" s="23" t="n">
        <v>30509.9647117307</v>
      </c>
      <c r="V522" s="23" t="n">
        <v>30774.3692516458</v>
      </c>
      <c r="W522" s="23" t="n">
        <v>31046.7059277584</v>
      </c>
      <c r="X522" s="23" t="n">
        <v>16034.0827164975</v>
      </c>
    </row>
    <row r="523" customFormat="false" ht="11.25" hidden="false" customHeight="false" outlineLevel="0" collapsed="false">
      <c r="A523" s="24" t="s">
        <v>9</v>
      </c>
      <c r="B523" s="19" t="n">
        <f aca="false">NPV(0.1,D523:Y523)</f>
        <v>99992.4774991298</v>
      </c>
      <c r="C523" s="19" t="n">
        <f aca="false">B523-B513</f>
        <v>53.7182235162181</v>
      </c>
      <c r="D523" s="20" t="n">
        <v>-1647.15347509548</v>
      </c>
      <c r="E523" s="21" t="n">
        <v>3347.12057179476</v>
      </c>
      <c r="F523" s="21" t="n">
        <v>3602.52631121089</v>
      </c>
      <c r="G523" s="21" t="n">
        <v>8604.08972184103</v>
      </c>
      <c r="H523" s="21" t="n">
        <v>12757.7547474586</v>
      </c>
      <c r="I523" s="21" t="n">
        <v>13973.6691479491</v>
      </c>
      <c r="J523" s="21" t="n">
        <v>14244.8016698953</v>
      </c>
      <c r="K523" s="21" t="n">
        <v>14925.6684966751</v>
      </c>
      <c r="L523" s="21" t="n">
        <v>15601.1547771708</v>
      </c>
      <c r="M523" s="21" t="n">
        <v>16553.1007036401</v>
      </c>
      <c r="N523" s="22" t="n">
        <v>17637.5748097169</v>
      </c>
      <c r="O523" s="23" t="n">
        <v>18093.581816092</v>
      </c>
      <c r="P523" s="23" t="n">
        <v>18590.4691859081</v>
      </c>
      <c r="Q523" s="23" t="n">
        <v>19112.6804867938</v>
      </c>
      <c r="R523" s="23" t="n">
        <v>19591.6349069456</v>
      </c>
      <c r="S523" s="23" t="n">
        <v>20060.4708331327</v>
      </c>
      <c r="T523" s="23" t="n">
        <v>20518.3695485749</v>
      </c>
      <c r="U523" s="23" t="n">
        <v>21242.2263829084</v>
      </c>
      <c r="V523" s="23" t="n">
        <v>22017.0023191844</v>
      </c>
      <c r="W523" s="23" t="n">
        <v>22260.8682931409</v>
      </c>
      <c r="X523" s="23" t="n">
        <v>6291.0616196072</v>
      </c>
    </row>
    <row r="524" customFormat="false" ht="11.25" hidden="false" customHeight="false" outlineLevel="0" collapsed="false">
      <c r="A524" s="24" t="s">
        <v>10</v>
      </c>
      <c r="B524" s="19" t="n">
        <f aca="false">NPV(0.1,D524:Y524)</f>
        <v>105825.684418805</v>
      </c>
      <c r="C524" s="19" t="n">
        <f aca="false">B524-B514</f>
        <v>53.7182235162181</v>
      </c>
      <c r="D524" s="25" t="n">
        <v>-5859.86165353422</v>
      </c>
      <c r="E524" s="26" t="n">
        <v>5926.04675814825</v>
      </c>
      <c r="F524" s="26" t="n">
        <v>3166.16461022288</v>
      </c>
      <c r="G524" s="26" t="n">
        <v>8735.59451695741</v>
      </c>
      <c r="H524" s="26" t="n">
        <v>21037.1302200014</v>
      </c>
      <c r="I524" s="26" t="n">
        <v>21046.2313370578</v>
      </c>
      <c r="J524" s="26" t="n">
        <v>15520.8258074729</v>
      </c>
      <c r="K524" s="26" t="n">
        <v>16210.8740156374</v>
      </c>
      <c r="L524" s="26" t="n">
        <v>11436.1789147484</v>
      </c>
      <c r="M524" s="26" t="n">
        <v>8633.14115259624</v>
      </c>
      <c r="N524" s="27" t="n">
        <v>23366.4589472945</v>
      </c>
      <c r="O524" s="23" t="n">
        <v>22843.5073350544</v>
      </c>
      <c r="P524" s="23" t="n">
        <v>23331.2133234857</v>
      </c>
      <c r="Q524" s="23" t="n">
        <v>23807.0809357499</v>
      </c>
      <c r="R524" s="23" t="n">
        <v>24332.3790445232</v>
      </c>
      <c r="S524" s="23" t="n">
        <v>22092.707462209</v>
      </c>
      <c r="T524" s="23" t="n">
        <v>14901.3986691498</v>
      </c>
      <c r="U524" s="23" t="n">
        <v>13593.450433477</v>
      </c>
      <c r="V524" s="23" t="n">
        <v>11459.3314397593</v>
      </c>
      <c r="W524" s="23" t="n">
        <v>9726.91741371581</v>
      </c>
      <c r="X524" s="23" t="n">
        <v>10511.7407401821</v>
      </c>
    </row>
    <row r="526" customFormat="false" ht="11.25" hidden="false" customHeight="false" outlineLevel="0" collapsed="false">
      <c r="A526" s="28" t="s">
        <v>63</v>
      </c>
    </row>
    <row r="527" customFormat="false" ht="11.25" hidden="false" customHeight="false" outlineLevel="0" collapsed="false">
      <c r="A527" s="31" t="n">
        <v>36322</v>
      </c>
    </row>
    <row r="528" customFormat="false" ht="11.25" hidden="false" customHeight="false" outlineLevel="0" collapsed="false">
      <c r="A528" s="9" t="s">
        <v>2</v>
      </c>
      <c r="B528" s="10" t="n">
        <v>36497.141809951</v>
      </c>
      <c r="C528" s="11"/>
      <c r="D528" s="11"/>
      <c r="E528" s="11"/>
      <c r="F528" s="11"/>
      <c r="G528" s="11"/>
      <c r="H528" s="11"/>
      <c r="I528" s="11"/>
      <c r="J528" s="11"/>
      <c r="K528" s="11"/>
      <c r="L528" s="11"/>
      <c r="M528" s="11"/>
      <c r="N528" s="11"/>
      <c r="O528" s="11"/>
      <c r="P528" s="11"/>
      <c r="Q528" s="11"/>
      <c r="R528" s="11"/>
      <c r="S528" s="11"/>
      <c r="T528" s="11"/>
      <c r="U528" s="11"/>
      <c r="V528" s="11"/>
    </row>
    <row r="529" customFormat="false" ht="11.25" hidden="false" customHeight="false" outlineLevel="0" collapsed="false">
      <c r="A529" s="12" t="s">
        <v>3</v>
      </c>
      <c r="B529" s="13" t="n">
        <v>72092.2919586766</v>
      </c>
      <c r="C529" s="11"/>
      <c r="D529" s="11"/>
      <c r="E529" s="11"/>
      <c r="F529" s="11"/>
      <c r="G529" s="11"/>
      <c r="H529" s="11"/>
      <c r="I529" s="11"/>
      <c r="J529" s="11"/>
      <c r="K529" s="11"/>
      <c r="L529" s="11"/>
      <c r="M529" s="11"/>
      <c r="N529" s="11"/>
      <c r="O529" s="11"/>
      <c r="P529" s="11"/>
      <c r="Q529" s="11"/>
      <c r="R529" s="11"/>
      <c r="S529" s="11"/>
      <c r="T529" s="11"/>
      <c r="U529" s="11"/>
      <c r="V529" s="11"/>
    </row>
    <row r="530" customFormat="false" ht="11.25" hidden="false" customHeight="false" outlineLevel="0" collapsed="false">
      <c r="A530" s="14" t="s">
        <v>4</v>
      </c>
      <c r="B530" s="15" t="s">
        <v>5</v>
      </c>
      <c r="C530" s="15" t="s">
        <v>6</v>
      </c>
      <c r="D530" s="16" t="n">
        <v>2000</v>
      </c>
      <c r="E530" s="17" t="n">
        <v>2001</v>
      </c>
      <c r="F530" s="17" t="n">
        <v>2002</v>
      </c>
      <c r="G530" s="17" t="n">
        <v>2003</v>
      </c>
      <c r="H530" s="17" t="n">
        <v>2004</v>
      </c>
      <c r="I530" s="17" t="n">
        <v>2005</v>
      </c>
      <c r="J530" s="17" t="n">
        <v>2006</v>
      </c>
      <c r="K530" s="17" t="n">
        <v>2007</v>
      </c>
      <c r="L530" s="17" t="n">
        <v>2008</v>
      </c>
      <c r="M530" s="17" t="n">
        <v>2009</v>
      </c>
      <c r="N530" s="18" t="n">
        <v>2010</v>
      </c>
      <c r="O530" s="11" t="n">
        <v>2011</v>
      </c>
      <c r="P530" s="11" t="n">
        <v>2012</v>
      </c>
      <c r="Q530" s="11" t="n">
        <v>2013</v>
      </c>
      <c r="R530" s="11" t="n">
        <v>2014</v>
      </c>
      <c r="S530" s="11" t="n">
        <v>2015</v>
      </c>
      <c r="T530" s="11" t="n">
        <v>2016</v>
      </c>
      <c r="U530" s="11" t="n">
        <v>2017</v>
      </c>
      <c r="V530" s="11" t="n">
        <v>2018</v>
      </c>
      <c r="W530" s="11" t="n">
        <v>2019</v>
      </c>
      <c r="X530" s="11" t="n">
        <v>2020</v>
      </c>
    </row>
    <row r="531" customFormat="false" ht="11.25" hidden="false" customHeight="false" outlineLevel="0" collapsed="false">
      <c r="A531" s="14" t="s">
        <v>7</v>
      </c>
      <c r="B531" s="19" t="n">
        <f aca="false">NPV(0.1,D531:Y531)</f>
        <v>551504.800051354</v>
      </c>
      <c r="C531" s="19" t="n">
        <f aca="false">B531-B521</f>
        <v>2855.472052856</v>
      </c>
      <c r="D531" s="20" t="n">
        <v>41716.1296</v>
      </c>
      <c r="E531" s="21" t="n">
        <v>53951.170868</v>
      </c>
      <c r="F531" s="21" t="n">
        <v>54028.46337404</v>
      </c>
      <c r="G531" s="21" t="n">
        <v>61812.6825822094</v>
      </c>
      <c r="H531" s="21" t="n">
        <v>67801.6472735008</v>
      </c>
      <c r="I531" s="21" t="n">
        <v>69182.6483181058</v>
      </c>
      <c r="J531" s="21" t="n">
        <v>69125.6865148727</v>
      </c>
      <c r="K531" s="21" t="n">
        <v>69784.5214039432</v>
      </c>
      <c r="L531" s="21" t="n">
        <v>70440.2647197024</v>
      </c>
      <c r="M531" s="21" t="n">
        <v>71092.1380163517</v>
      </c>
      <c r="N531" s="22" t="n">
        <v>71739.3189237602</v>
      </c>
      <c r="O531" s="23" t="n">
        <v>72380.9392126065</v>
      </c>
      <c r="P531" s="23" t="n">
        <v>73016.0827829602</v>
      </c>
      <c r="Q531" s="23" t="n">
        <v>73643.7835734517</v>
      </c>
      <c r="R531" s="23" t="n">
        <v>74263.0233880761</v>
      </c>
      <c r="S531" s="23" t="n">
        <v>74872.7296375698</v>
      </c>
      <c r="T531" s="23" t="n">
        <v>75471.7729921919</v>
      </c>
      <c r="U531" s="23" t="n">
        <v>76058.9649426255</v>
      </c>
      <c r="V531" s="23" t="n">
        <v>76633.0552656002</v>
      </c>
      <c r="W531" s="23" t="n">
        <v>76106.4602314577</v>
      </c>
      <c r="X531" s="23" t="n">
        <v>32886.2924466521</v>
      </c>
    </row>
    <row r="532" customFormat="false" ht="11.25" hidden="false" customHeight="false" outlineLevel="0" collapsed="false">
      <c r="A532" s="24" t="s">
        <v>8</v>
      </c>
      <c r="B532" s="19" t="n">
        <f aca="false">NPV(0.1,D532:Y532)</f>
        <v>245440.434443367</v>
      </c>
      <c r="C532" s="19" t="n">
        <f aca="false">B532-B522</f>
        <v>2766.32433672244</v>
      </c>
      <c r="D532" s="20" t="n">
        <v>26188.9460687215</v>
      </c>
      <c r="E532" s="21" t="n">
        <v>27713.1646015744</v>
      </c>
      <c r="F532" s="21" t="n">
        <v>27863.7795334975</v>
      </c>
      <c r="G532" s="21" t="n">
        <v>28155.235944892</v>
      </c>
      <c r="H532" s="21" t="n">
        <v>28242.8512257695</v>
      </c>
      <c r="I532" s="21" t="n">
        <v>28369.0296586817</v>
      </c>
      <c r="J532" s="21" t="n">
        <v>28554.0267039861</v>
      </c>
      <c r="K532" s="21" t="n">
        <v>28744.5736606496</v>
      </c>
      <c r="L532" s="21" t="n">
        <v>28940.837026013</v>
      </c>
      <c r="M532" s="21" t="n">
        <v>29089.5579434005</v>
      </c>
      <c r="N532" s="22" t="n">
        <v>29297.7737477145</v>
      </c>
      <c r="O532" s="23" t="n">
        <v>29512.236026158</v>
      </c>
      <c r="P532" s="23" t="n">
        <v>29733.1321729548</v>
      </c>
      <c r="Q532" s="23" t="n">
        <v>29907.2248552187</v>
      </c>
      <c r="R532" s="23" t="n">
        <v>30141.5735773553</v>
      </c>
      <c r="S532" s="23" t="n">
        <v>30382.9527611561</v>
      </c>
      <c r="T532" s="23" t="n">
        <v>30631.5733204709</v>
      </c>
      <c r="U532" s="23" t="n">
        <v>30834.2221476284</v>
      </c>
      <c r="V532" s="23" t="n">
        <v>31097.9836990055</v>
      </c>
      <c r="W532" s="23" t="n">
        <v>31369.6580969239</v>
      </c>
      <c r="X532" s="23" t="n">
        <v>15692.4992534085</v>
      </c>
    </row>
    <row r="533" customFormat="false" ht="11.25" hidden="false" customHeight="false" outlineLevel="0" collapsed="false">
      <c r="A533" s="24" t="s">
        <v>9</v>
      </c>
      <c r="B533" s="19" t="n">
        <f aca="false">NPV(0.1,D533:Y533)</f>
        <v>99743.3603045864</v>
      </c>
      <c r="C533" s="19" t="n">
        <f aca="false">B533-B523</f>
        <v>-249.117194543374</v>
      </c>
      <c r="D533" s="20" t="n">
        <v>-1656.14611681779</v>
      </c>
      <c r="E533" s="21" t="n">
        <v>3345.02272359544</v>
      </c>
      <c r="F533" s="21" t="n">
        <v>3600.42846301156</v>
      </c>
      <c r="G533" s="21" t="n">
        <v>8601.99187364171</v>
      </c>
      <c r="H533" s="21" t="n">
        <v>12755.6568992593</v>
      </c>
      <c r="I533" s="21" t="n">
        <v>13943.5382218407</v>
      </c>
      <c r="J533" s="21" t="n">
        <v>14195.5611207543</v>
      </c>
      <c r="K533" s="21" t="n">
        <v>14876.4279475341</v>
      </c>
      <c r="L533" s="21" t="n">
        <v>15551.9142280298</v>
      </c>
      <c r="M533" s="21" t="n">
        <v>16502.5805488355</v>
      </c>
      <c r="N533" s="22" t="n">
        <v>17587.0546549122</v>
      </c>
      <c r="O533" s="23" t="n">
        <v>18043.0616612874</v>
      </c>
      <c r="P533" s="23" t="n">
        <v>18539.9490311035</v>
      </c>
      <c r="Q533" s="23" t="n">
        <v>19060.8807263255</v>
      </c>
      <c r="R533" s="23" t="n">
        <v>19539.8351464773</v>
      </c>
      <c r="S533" s="23" t="n">
        <v>20008.6710726644</v>
      </c>
      <c r="T533" s="23" t="n">
        <v>20466.5697881066</v>
      </c>
      <c r="U533" s="23" t="n">
        <v>21189.1470167765</v>
      </c>
      <c r="V533" s="23" t="n">
        <v>21963.9229530525</v>
      </c>
      <c r="W533" s="23" t="n">
        <v>22207.788927009</v>
      </c>
      <c r="X533" s="23" t="n">
        <v>6237.98225347528</v>
      </c>
    </row>
    <row r="534" customFormat="false" ht="11.25" hidden="false" customHeight="false" outlineLevel="0" collapsed="false">
      <c r="A534" s="24" t="s">
        <v>10</v>
      </c>
      <c r="B534" s="19" t="n">
        <f aca="false">NPV(0.1,D534:Y534)</f>
        <v>106343.415844105</v>
      </c>
      <c r="C534" s="19" t="n">
        <f aca="false">B534-B524</f>
        <v>517.731425299135</v>
      </c>
      <c r="D534" s="25" t="n">
        <v>-5864.06177458047</v>
      </c>
      <c r="E534" s="26" t="n">
        <v>5923.46487756216</v>
      </c>
      <c r="F534" s="26" t="n">
        <v>3181.03873854932</v>
      </c>
      <c r="G534" s="26" t="n">
        <v>8750.46864528385</v>
      </c>
      <c r="H534" s="26" t="n">
        <v>21052.0043483279</v>
      </c>
      <c r="I534" s="26" t="n">
        <v>21431.2112892979</v>
      </c>
      <c r="J534" s="26" t="n">
        <v>15602.1382319221</v>
      </c>
      <c r="K534" s="26" t="n">
        <v>16292.3112163955</v>
      </c>
      <c r="L534" s="26" t="n">
        <v>11517.4913391976</v>
      </c>
      <c r="M534" s="26" t="n">
        <v>8715.3934687602</v>
      </c>
      <c r="N534" s="27" t="n">
        <v>23446.49176608</v>
      </c>
      <c r="O534" s="23" t="n">
        <v>22923.6649301489</v>
      </c>
      <c r="P534" s="23" t="n">
        <v>23411.2461422713</v>
      </c>
      <c r="Q534" s="23" t="n">
        <v>23888.0536462502</v>
      </c>
      <c r="R534" s="23" t="n">
        <v>24411.1322576451</v>
      </c>
      <c r="S534" s="23" t="n">
        <v>22134.651664196</v>
      </c>
      <c r="T534" s="23" t="n">
        <v>14906.533860002</v>
      </c>
      <c r="U534" s="23" t="n">
        <v>13599.4007397351</v>
      </c>
      <c r="V534" s="23" t="n">
        <v>11463.1870249479</v>
      </c>
      <c r="W534" s="23" t="n">
        <v>9730.77299890442</v>
      </c>
      <c r="X534" s="23" t="n">
        <v>10515.5963253707</v>
      </c>
    </row>
    <row r="536" customFormat="false" ht="11.25" hidden="false" customHeight="false" outlineLevel="0" collapsed="false">
      <c r="A536" s="28" t="s">
        <v>64</v>
      </c>
    </row>
    <row r="537" customFormat="false" ht="11.25" hidden="false" customHeight="false" outlineLevel="0" collapsed="false">
      <c r="A537" s="31" t="n">
        <v>36343</v>
      </c>
    </row>
    <row r="538" customFormat="false" ht="11.25" hidden="false" customHeight="false" outlineLevel="0" collapsed="false">
      <c r="A538" s="9" t="s">
        <v>2</v>
      </c>
      <c r="B538" s="10" t="n">
        <v>40044.4810289884</v>
      </c>
      <c r="C538" s="11"/>
      <c r="D538" s="11"/>
      <c r="E538" s="11"/>
      <c r="F538" s="11"/>
      <c r="G538" s="11"/>
      <c r="H538" s="11"/>
      <c r="I538" s="11"/>
      <c r="J538" s="11"/>
      <c r="K538" s="11"/>
      <c r="L538" s="11"/>
      <c r="M538" s="11"/>
      <c r="N538" s="11"/>
      <c r="O538" s="11"/>
      <c r="P538" s="11"/>
      <c r="Q538" s="11"/>
      <c r="R538" s="11"/>
      <c r="S538" s="11"/>
      <c r="T538" s="11"/>
      <c r="U538" s="11"/>
      <c r="V538" s="11"/>
    </row>
    <row r="539" customFormat="false" ht="11.25" hidden="false" customHeight="false" outlineLevel="0" collapsed="false">
      <c r="A539" s="12" t="s">
        <v>3</v>
      </c>
      <c r="B539" s="13" t="n">
        <v>76267.3570984122</v>
      </c>
      <c r="C539" s="11"/>
      <c r="D539" s="11"/>
      <c r="E539" s="11"/>
      <c r="F539" s="11"/>
      <c r="G539" s="11"/>
      <c r="H539" s="11"/>
      <c r="I539" s="11"/>
      <c r="J539" s="11"/>
      <c r="K539" s="11"/>
      <c r="L539" s="11"/>
      <c r="M539" s="11"/>
      <c r="N539" s="11"/>
      <c r="O539" s="11"/>
      <c r="P539" s="11"/>
      <c r="Q539" s="11"/>
      <c r="R539" s="11"/>
      <c r="S539" s="11"/>
      <c r="T539" s="11"/>
      <c r="U539" s="11"/>
      <c r="V539" s="11"/>
    </row>
    <row r="540" customFormat="false" ht="11.25" hidden="false" customHeight="false" outlineLevel="0" collapsed="false">
      <c r="A540" s="14" t="s">
        <v>4</v>
      </c>
      <c r="B540" s="15" t="s">
        <v>5</v>
      </c>
      <c r="C540" s="15" t="s">
        <v>6</v>
      </c>
      <c r="D540" s="16" t="n">
        <v>2000</v>
      </c>
      <c r="E540" s="17" t="n">
        <v>2001</v>
      </c>
      <c r="F540" s="17" t="n">
        <v>2002</v>
      </c>
      <c r="G540" s="17" t="n">
        <v>2003</v>
      </c>
      <c r="H540" s="17" t="n">
        <v>2004</v>
      </c>
      <c r="I540" s="17" t="n">
        <v>2005</v>
      </c>
      <c r="J540" s="17" t="n">
        <v>2006</v>
      </c>
      <c r="K540" s="17" t="n">
        <v>2007</v>
      </c>
      <c r="L540" s="17" t="n">
        <v>2008</v>
      </c>
      <c r="M540" s="17" t="n">
        <v>2009</v>
      </c>
      <c r="N540" s="18" t="n">
        <v>2010</v>
      </c>
      <c r="O540" s="11" t="n">
        <v>2011</v>
      </c>
      <c r="P540" s="11" t="n">
        <v>2012</v>
      </c>
      <c r="Q540" s="11" t="n">
        <v>2013</v>
      </c>
      <c r="R540" s="11" t="n">
        <v>2014</v>
      </c>
      <c r="S540" s="11" t="n">
        <v>2015</v>
      </c>
      <c r="T540" s="11" t="n">
        <v>2016</v>
      </c>
      <c r="U540" s="11" t="n">
        <v>2017</v>
      </c>
      <c r="V540" s="11" t="n">
        <v>2018</v>
      </c>
      <c r="W540" s="11" t="n">
        <v>2019</v>
      </c>
      <c r="X540" s="11" t="n">
        <v>2020</v>
      </c>
    </row>
    <row r="541" customFormat="false" ht="11.25" hidden="false" customHeight="false" outlineLevel="0" collapsed="false">
      <c r="A541" s="14" t="s">
        <v>7</v>
      </c>
      <c r="B541" s="19" t="n">
        <f aca="false">NPV(0.1,D541:Y541)</f>
        <v>551504.800051354</v>
      </c>
      <c r="C541" s="19" t="n">
        <f aca="false">B541-B531</f>
        <v>0</v>
      </c>
      <c r="D541" s="20" t="n">
        <v>41716.1296</v>
      </c>
      <c r="E541" s="21" t="n">
        <v>53951.170868</v>
      </c>
      <c r="F541" s="21" t="n">
        <v>54028.46337404</v>
      </c>
      <c r="G541" s="21" t="n">
        <v>61812.6825822094</v>
      </c>
      <c r="H541" s="21" t="n">
        <v>67801.6472735008</v>
      </c>
      <c r="I541" s="21" t="n">
        <v>69182.6483181058</v>
      </c>
      <c r="J541" s="21" t="n">
        <v>69125.6865148727</v>
      </c>
      <c r="K541" s="21" t="n">
        <v>69784.5214039432</v>
      </c>
      <c r="L541" s="21" t="n">
        <v>70440.2647197024</v>
      </c>
      <c r="M541" s="21" t="n">
        <v>71092.1380163517</v>
      </c>
      <c r="N541" s="22" t="n">
        <v>71739.3189237602</v>
      </c>
      <c r="O541" s="23" t="n">
        <v>72380.9392126065</v>
      </c>
      <c r="P541" s="23" t="n">
        <v>73016.0827829602</v>
      </c>
      <c r="Q541" s="23" t="n">
        <v>73643.7835734517</v>
      </c>
      <c r="R541" s="23" t="n">
        <v>74263.0233880761</v>
      </c>
      <c r="S541" s="23" t="n">
        <v>74872.7296375698</v>
      </c>
      <c r="T541" s="23" t="n">
        <v>75471.7729921919</v>
      </c>
      <c r="U541" s="23" t="n">
        <v>76058.9649426255</v>
      </c>
      <c r="V541" s="23" t="n">
        <v>76633.0552656002</v>
      </c>
      <c r="W541" s="23" t="n">
        <v>76106.4602314577</v>
      </c>
      <c r="X541" s="23" t="n">
        <v>32886.2924466521</v>
      </c>
    </row>
    <row r="542" customFormat="false" ht="11.25" hidden="false" customHeight="false" outlineLevel="0" collapsed="false">
      <c r="A542" s="24" t="s">
        <v>8</v>
      </c>
      <c r="B542" s="19" t="n">
        <f aca="false">NPV(0.1,D542:Y542)</f>
        <v>245512.560904206</v>
      </c>
      <c r="C542" s="19" t="n">
        <f aca="false">B542-B532</f>
        <v>72.1264608391211</v>
      </c>
      <c r="D542" s="20" t="n">
        <v>26182.6006262215</v>
      </c>
      <c r="E542" s="21" t="n">
        <v>27725.8273483152</v>
      </c>
      <c r="F542" s="21" t="n">
        <v>27876.4422802382</v>
      </c>
      <c r="G542" s="21" t="n">
        <v>28167.8986916328</v>
      </c>
      <c r="H542" s="21" t="n">
        <v>28255.5139725103</v>
      </c>
      <c r="I542" s="21" t="n">
        <v>28379.6652404136</v>
      </c>
      <c r="J542" s="21" t="n">
        <v>28564.6622857179</v>
      </c>
      <c r="K542" s="21" t="n">
        <v>28755.2092423814</v>
      </c>
      <c r="L542" s="21" t="n">
        <v>28951.4726077448</v>
      </c>
      <c r="M542" s="21" t="n">
        <v>29098.1663601235</v>
      </c>
      <c r="N542" s="22" t="n">
        <v>29306.3821644375</v>
      </c>
      <c r="O542" s="23" t="n">
        <v>29520.844442881</v>
      </c>
      <c r="P542" s="23" t="n">
        <v>29741.7405896777</v>
      </c>
      <c r="Q542" s="23" t="n">
        <v>29913.8061069328</v>
      </c>
      <c r="R542" s="23" t="n">
        <v>30148.1548290694</v>
      </c>
      <c r="S542" s="23" t="n">
        <v>30389.5340128702</v>
      </c>
      <c r="T542" s="23" t="n">
        <v>30638.154572185</v>
      </c>
      <c r="U542" s="23" t="n">
        <v>30838.7762343336</v>
      </c>
      <c r="V542" s="23" t="n">
        <v>31102.5377857107</v>
      </c>
      <c r="W542" s="23" t="n">
        <v>31374.2121836291</v>
      </c>
      <c r="X542" s="23" t="n">
        <v>15697.0533401137</v>
      </c>
    </row>
    <row r="543" customFormat="false" ht="11.25" hidden="false" customHeight="false" outlineLevel="0" collapsed="false">
      <c r="A543" s="24" t="s">
        <v>9</v>
      </c>
      <c r="B543" s="19" t="n">
        <f aca="false">NPV(0.1,D543:Y543)</f>
        <v>100168.030483113</v>
      </c>
      <c r="C543" s="19" t="n">
        <f aca="false">B543-B533</f>
        <v>424.670178526911</v>
      </c>
      <c r="D543" s="20" t="n">
        <v>-1641.49147212927</v>
      </c>
      <c r="E543" s="21" t="n">
        <v>3355.76465763213</v>
      </c>
      <c r="F543" s="21" t="n">
        <v>3611.17039704826</v>
      </c>
      <c r="G543" s="21" t="n">
        <v>8612.7338076784</v>
      </c>
      <c r="H543" s="21" t="n">
        <v>12766.398833296</v>
      </c>
      <c r="I543" s="21" t="n">
        <v>13995.384639371</v>
      </c>
      <c r="J543" s="21" t="n">
        <v>14275.8833567921</v>
      </c>
      <c r="K543" s="21" t="n">
        <v>14956.7501835719</v>
      </c>
      <c r="L543" s="21" t="n">
        <v>15632.2364640676</v>
      </c>
      <c r="M543" s="21" t="n">
        <v>16584.1411224564</v>
      </c>
      <c r="N543" s="22" t="n">
        <v>17668.6152285332</v>
      </c>
      <c r="O543" s="23" t="n">
        <v>18124.6222349084</v>
      </c>
      <c r="P543" s="23" t="n">
        <v>18621.5096047245</v>
      </c>
      <c r="Q543" s="23" t="n">
        <v>19143.6796375296</v>
      </c>
      <c r="R543" s="23" t="n">
        <v>19622.6340576814</v>
      </c>
      <c r="S543" s="23" t="n">
        <v>20091.4699838685</v>
      </c>
      <c r="T543" s="23" t="n">
        <v>20549.3686993107</v>
      </c>
      <c r="U543" s="23" t="n">
        <v>21273.1842655637</v>
      </c>
      <c r="V543" s="23" t="n">
        <v>22047.9602018397</v>
      </c>
      <c r="W543" s="23" t="n">
        <v>22291.8261757962</v>
      </c>
      <c r="X543" s="23" t="n">
        <v>6322.01950226248</v>
      </c>
    </row>
    <row r="544" customFormat="false" ht="11.25" hidden="false" customHeight="false" outlineLevel="0" collapsed="false">
      <c r="A544" s="24" t="s">
        <v>10</v>
      </c>
      <c r="B544" s="19" t="n">
        <f aca="false">NPV(0.1,D544:Y544)</f>
        <v>105585.990487609</v>
      </c>
      <c r="C544" s="19" t="n">
        <f aca="false">B544-B534</f>
        <v>-757.425356495704</v>
      </c>
      <c r="D544" s="25" t="n">
        <v>-5857.63701404922</v>
      </c>
      <c r="E544" s="26" t="n">
        <v>5927.5368882279</v>
      </c>
      <c r="F544" s="26" t="n">
        <v>3168.21770747428</v>
      </c>
      <c r="G544" s="26" t="n">
        <v>8737.64761420881</v>
      </c>
      <c r="H544" s="26" t="n">
        <v>21039.1833172528</v>
      </c>
      <c r="I544" s="26" t="n">
        <v>20829.6716257495</v>
      </c>
      <c r="J544" s="26" t="n">
        <v>15483.3822933886</v>
      </c>
      <c r="K544" s="26" t="n">
        <v>16173.3650084326</v>
      </c>
      <c r="L544" s="26" t="n">
        <v>11398.7354006642</v>
      </c>
      <c r="M544" s="26" t="n">
        <v>8595.65843337146</v>
      </c>
      <c r="N544" s="27" t="n">
        <v>23328.9741651297</v>
      </c>
      <c r="O544" s="23" t="n">
        <v>22805.957059769</v>
      </c>
      <c r="P544" s="23" t="n">
        <v>23293.728541321</v>
      </c>
      <c r="Q544" s="23" t="n">
        <v>23769.5569484446</v>
      </c>
      <c r="R544" s="23" t="n">
        <v>24294.8529942779</v>
      </c>
      <c r="S544" s="23" t="n">
        <v>22074.5018825479</v>
      </c>
      <c r="T544" s="23" t="n">
        <v>14902.5135600729</v>
      </c>
      <c r="U544" s="23" t="n">
        <v>13594.5916123802</v>
      </c>
      <c r="V544" s="23" t="n">
        <v>11460.4050626019</v>
      </c>
      <c r="W544" s="23" t="n">
        <v>9727.99103655842</v>
      </c>
      <c r="X544" s="23" t="n">
        <v>10512.8143630247</v>
      </c>
    </row>
    <row r="546" customFormat="false" ht="11.25" hidden="false" customHeight="false" outlineLevel="0" collapsed="false">
      <c r="A546" s="28" t="s">
        <v>65</v>
      </c>
    </row>
    <row r="547" customFormat="false" ht="11.25" hidden="false" customHeight="false" outlineLevel="0" collapsed="false">
      <c r="A547" s="31" t="n">
        <v>36349</v>
      </c>
    </row>
    <row r="548" customFormat="false" ht="11.25" hidden="false" customHeight="false" outlineLevel="0" collapsed="false">
      <c r="A548" s="9" t="s">
        <v>2</v>
      </c>
      <c r="B548" s="10" t="n">
        <v>40410.9801763468</v>
      </c>
      <c r="C548" s="11"/>
      <c r="D548" s="11"/>
      <c r="E548" s="11"/>
      <c r="F548" s="11"/>
      <c r="G548" s="11"/>
      <c r="H548" s="11"/>
      <c r="I548" s="11"/>
      <c r="J548" s="11"/>
      <c r="K548" s="11"/>
      <c r="L548" s="11"/>
      <c r="M548" s="11"/>
      <c r="N548" s="11"/>
      <c r="O548" s="11"/>
      <c r="P548" s="11"/>
      <c r="Q548" s="11"/>
      <c r="R548" s="11"/>
      <c r="S548" s="11"/>
      <c r="T548" s="11"/>
      <c r="U548" s="11"/>
      <c r="V548" s="11"/>
    </row>
    <row r="549" customFormat="false" ht="11.25" hidden="false" customHeight="false" outlineLevel="0" collapsed="false">
      <c r="A549" s="12" t="s">
        <v>3</v>
      </c>
      <c r="B549" s="13" t="n">
        <v>76871.9813670498</v>
      </c>
      <c r="C549" s="11"/>
      <c r="D549" s="11"/>
      <c r="E549" s="11"/>
      <c r="F549" s="11"/>
      <c r="G549" s="11"/>
      <c r="H549" s="11"/>
      <c r="I549" s="11"/>
      <c r="J549" s="11"/>
      <c r="K549" s="11"/>
      <c r="L549" s="11"/>
      <c r="M549" s="11"/>
      <c r="N549" s="11"/>
      <c r="O549" s="11"/>
      <c r="P549" s="11"/>
      <c r="Q549" s="11"/>
      <c r="R549" s="11"/>
      <c r="S549" s="11"/>
      <c r="T549" s="11"/>
      <c r="U549" s="11"/>
      <c r="V549" s="11"/>
    </row>
    <row r="550" customFormat="false" ht="11.25" hidden="false" customHeight="false" outlineLevel="0" collapsed="false">
      <c r="A550" s="14" t="s">
        <v>4</v>
      </c>
      <c r="B550" s="15" t="s">
        <v>5</v>
      </c>
      <c r="C550" s="15" t="s">
        <v>6</v>
      </c>
      <c r="D550" s="16" t="n">
        <v>2000</v>
      </c>
      <c r="E550" s="17" t="n">
        <v>2001</v>
      </c>
      <c r="F550" s="17" t="n">
        <v>2002</v>
      </c>
      <c r="G550" s="17" t="n">
        <v>2003</v>
      </c>
      <c r="H550" s="17" t="n">
        <v>2004</v>
      </c>
      <c r="I550" s="17" t="n">
        <v>2005</v>
      </c>
      <c r="J550" s="17" t="n">
        <v>2006</v>
      </c>
      <c r="K550" s="17" t="n">
        <v>2007</v>
      </c>
      <c r="L550" s="17" t="n">
        <v>2008</v>
      </c>
      <c r="M550" s="17" t="n">
        <v>2009</v>
      </c>
      <c r="N550" s="18" t="n">
        <v>2010</v>
      </c>
      <c r="O550" s="11" t="n">
        <v>2011</v>
      </c>
      <c r="P550" s="11" t="n">
        <v>2012</v>
      </c>
      <c r="Q550" s="11" t="n">
        <v>2013</v>
      </c>
      <c r="R550" s="11" t="n">
        <v>2014</v>
      </c>
      <c r="S550" s="11" t="n">
        <v>2015</v>
      </c>
      <c r="T550" s="11" t="n">
        <v>2016</v>
      </c>
      <c r="U550" s="11" t="n">
        <v>2017</v>
      </c>
      <c r="V550" s="11" t="n">
        <v>2018</v>
      </c>
      <c r="W550" s="11" t="n">
        <v>2019</v>
      </c>
      <c r="X550" s="11" t="n">
        <v>2020</v>
      </c>
    </row>
    <row r="551" customFormat="false" ht="11.25" hidden="false" customHeight="false" outlineLevel="0" collapsed="false">
      <c r="A551" s="14" t="s">
        <v>7</v>
      </c>
      <c r="B551" s="19" t="n">
        <f aca="false">NPV(0.1,D551:Y551)</f>
        <v>551504.800051354</v>
      </c>
      <c r="C551" s="19" t="n">
        <f aca="false">B551-B541</f>
        <v>0</v>
      </c>
      <c r="D551" s="20" t="n">
        <v>41716.1296</v>
      </c>
      <c r="E551" s="21" t="n">
        <v>53951.170868</v>
      </c>
      <c r="F551" s="21" t="n">
        <v>54028.46337404</v>
      </c>
      <c r="G551" s="21" t="n">
        <v>61812.6825822094</v>
      </c>
      <c r="H551" s="21" t="n">
        <v>67801.6472735008</v>
      </c>
      <c r="I551" s="21" t="n">
        <v>69182.6483181058</v>
      </c>
      <c r="J551" s="21" t="n">
        <v>69125.6865148727</v>
      </c>
      <c r="K551" s="21" t="n">
        <v>69784.5214039432</v>
      </c>
      <c r="L551" s="21" t="n">
        <v>70440.2647197024</v>
      </c>
      <c r="M551" s="21" t="n">
        <v>71092.1380163517</v>
      </c>
      <c r="N551" s="22" t="n">
        <v>71739.3189237602</v>
      </c>
      <c r="O551" s="23" t="n">
        <v>72380.9392126065</v>
      </c>
      <c r="P551" s="23" t="n">
        <v>73016.0827829602</v>
      </c>
      <c r="Q551" s="23" t="n">
        <v>73643.7835734517</v>
      </c>
      <c r="R551" s="23" t="n">
        <v>74263.0233880761</v>
      </c>
      <c r="S551" s="23" t="n">
        <v>74872.7296375698</v>
      </c>
      <c r="T551" s="23" t="n">
        <v>75471.7729921919</v>
      </c>
      <c r="U551" s="23" t="n">
        <v>76058.9649426255</v>
      </c>
      <c r="V551" s="23" t="n">
        <v>76633.0552656002</v>
      </c>
      <c r="W551" s="23" t="n">
        <v>76106.4602314577</v>
      </c>
      <c r="X551" s="23" t="n">
        <v>32886.2924466521</v>
      </c>
    </row>
    <row r="552" customFormat="false" ht="11.25" hidden="false" customHeight="false" outlineLevel="0" collapsed="false">
      <c r="A552" s="24" t="s">
        <v>8</v>
      </c>
      <c r="B552" s="19" t="n">
        <f aca="false">NPV(0.1,D552:Y552)</f>
        <v>244778.892544811</v>
      </c>
      <c r="C552" s="19" t="n">
        <f aca="false">B552-B542</f>
        <v>-733.668359394855</v>
      </c>
      <c r="D552" s="20" t="n">
        <v>26182.6006262215</v>
      </c>
      <c r="E552" s="21" t="n">
        <v>27613.803170145</v>
      </c>
      <c r="F552" s="21" t="n">
        <v>27764.418102068</v>
      </c>
      <c r="G552" s="21" t="n">
        <v>28055.8745134626</v>
      </c>
      <c r="H552" s="21" t="n">
        <v>28143.4897943401</v>
      </c>
      <c r="I552" s="21" t="n">
        <v>28281.0839636238</v>
      </c>
      <c r="J552" s="21" t="n">
        <v>28466.0810089282</v>
      </c>
      <c r="K552" s="21" t="n">
        <v>28656.6279655917</v>
      </c>
      <c r="L552" s="21" t="n">
        <v>28852.8913309551</v>
      </c>
      <c r="M552" s="21" t="n">
        <v>29013.0279847142</v>
      </c>
      <c r="N552" s="22" t="n">
        <v>29221.2437890282</v>
      </c>
      <c r="O552" s="23" t="n">
        <v>29435.7060674716</v>
      </c>
      <c r="P552" s="23" t="n">
        <v>29656.6022142684</v>
      </c>
      <c r="Q552" s="23" t="n">
        <v>29842.1106329038</v>
      </c>
      <c r="R552" s="23" t="n">
        <v>30076.4593550405</v>
      </c>
      <c r="S552" s="23" t="n">
        <v>30317.8385388413</v>
      </c>
      <c r="T552" s="23" t="n">
        <v>30566.4590981561</v>
      </c>
      <c r="U552" s="23" t="n">
        <v>30780.5236616851</v>
      </c>
      <c r="V552" s="23" t="n">
        <v>31044.2852130622</v>
      </c>
      <c r="W552" s="23" t="n">
        <v>31315.9596109806</v>
      </c>
      <c r="X552" s="23" t="n">
        <v>15638.8007674652</v>
      </c>
    </row>
    <row r="553" customFormat="false" ht="11.25" hidden="false" customHeight="false" outlineLevel="0" collapsed="false">
      <c r="A553" s="24" t="s">
        <v>9</v>
      </c>
      <c r="B553" s="19" t="n">
        <f aca="false">NPV(0.1,D553:Y553)</f>
        <v>100616.207666028</v>
      </c>
      <c r="C553" s="19" t="n">
        <f aca="false">B553-B543</f>
        <v>448.177182914616</v>
      </c>
      <c r="D553" s="20" t="n">
        <v>-1641.49147212927</v>
      </c>
      <c r="E553" s="21" t="n">
        <v>3424.19704939025</v>
      </c>
      <c r="F553" s="21" t="n">
        <v>3679.60278880637</v>
      </c>
      <c r="G553" s="21" t="n">
        <v>8681.16619943652</v>
      </c>
      <c r="H553" s="21" t="n">
        <v>12834.8312250541</v>
      </c>
      <c r="I553" s="21" t="n">
        <v>14055.6051441181</v>
      </c>
      <c r="J553" s="21" t="n">
        <v>14336.1038615392</v>
      </c>
      <c r="K553" s="21" t="n">
        <v>15016.970688319</v>
      </c>
      <c r="L553" s="21" t="n">
        <v>15692.4569688148</v>
      </c>
      <c r="M553" s="21" t="n">
        <v>16636.1497401926</v>
      </c>
      <c r="N553" s="22" t="n">
        <v>17720.6238462693</v>
      </c>
      <c r="O553" s="23" t="n">
        <v>18176.6308526445</v>
      </c>
      <c r="P553" s="23" t="n">
        <v>18673.5182224606</v>
      </c>
      <c r="Q553" s="23" t="n">
        <v>19187.4763682548</v>
      </c>
      <c r="R553" s="23" t="n">
        <v>19666.4307884066</v>
      </c>
      <c r="S553" s="23" t="n">
        <v>20135.2667145937</v>
      </c>
      <c r="T553" s="23" t="n">
        <v>20593.1654300359</v>
      </c>
      <c r="U553" s="23" t="n">
        <v>21308.7691092779</v>
      </c>
      <c r="V553" s="23" t="n">
        <v>22083.5450455539</v>
      </c>
      <c r="W553" s="23" t="n">
        <v>22327.4110195104</v>
      </c>
      <c r="X553" s="23" t="n">
        <v>6357.6043459767</v>
      </c>
    </row>
    <row r="554" customFormat="false" ht="11.25" hidden="false" customHeight="false" outlineLevel="0" collapsed="false">
      <c r="A554" s="24" t="s">
        <v>10</v>
      </c>
      <c r="B554" s="19" t="n">
        <f aca="false">NPV(0.1,D554:Y554)</f>
        <v>105988.380524139</v>
      </c>
      <c r="C554" s="19" t="n">
        <f aca="false">B554-B544</f>
        <v>402.39003652973</v>
      </c>
      <c r="D554" s="25" t="n">
        <v>-5857.63701404922</v>
      </c>
      <c r="E554" s="26" t="n">
        <v>5928.93719045502</v>
      </c>
      <c r="F554" s="26" t="n">
        <v>3281.6421878716</v>
      </c>
      <c r="G554" s="26" t="n">
        <v>8851.07209460613</v>
      </c>
      <c r="H554" s="26" t="n">
        <v>21152.6077976502</v>
      </c>
      <c r="I554" s="26" t="n">
        <v>20723.3666773202</v>
      </c>
      <c r="J554" s="26" t="n">
        <v>15543.6027981358</v>
      </c>
      <c r="K554" s="26" t="n">
        <v>16233.5855131797</v>
      </c>
      <c r="L554" s="26" t="n">
        <v>11458.9559054113</v>
      </c>
      <c r="M554" s="26" t="n">
        <v>8661.10995248806</v>
      </c>
      <c r="N554" s="27" t="n">
        <v>23380.9827828659</v>
      </c>
      <c r="O554" s="23" t="n">
        <v>22857.9656775052</v>
      </c>
      <c r="P554" s="23" t="n">
        <v>23345.7371590572</v>
      </c>
      <c r="Q554" s="23" t="n">
        <v>23826.7965805502</v>
      </c>
      <c r="R554" s="23" t="n">
        <v>24338.6497250031</v>
      </c>
      <c r="S554" s="23" t="n">
        <v>22118.2986132731</v>
      </c>
      <c r="T554" s="23" t="n">
        <v>14946.3102907981</v>
      </c>
      <c r="U554" s="23" t="n">
        <v>13643.6193574749</v>
      </c>
      <c r="V554" s="23" t="n">
        <v>11495.9899063161</v>
      </c>
      <c r="W554" s="23" t="n">
        <v>9763.57588027264</v>
      </c>
      <c r="X554" s="23" t="n">
        <v>10548.3992067389</v>
      </c>
    </row>
    <row r="556" customFormat="false" ht="11.25" hidden="false" customHeight="false" outlineLevel="0" collapsed="false">
      <c r="A556" s="28" t="s">
        <v>66</v>
      </c>
    </row>
    <row r="557" customFormat="false" ht="11.25" hidden="false" customHeight="false" outlineLevel="0" collapsed="false">
      <c r="A557" s="31" t="n">
        <v>36362</v>
      </c>
    </row>
    <row r="558" customFormat="false" ht="11.25" hidden="false" customHeight="false" outlineLevel="0" collapsed="false">
      <c r="A558" s="9" t="s">
        <v>2</v>
      </c>
      <c r="B558" s="10" t="n">
        <v>40429.0808691594</v>
      </c>
      <c r="C558" s="11"/>
      <c r="D558" s="11"/>
      <c r="E558" s="11"/>
      <c r="F558" s="11"/>
      <c r="G558" s="11"/>
      <c r="H558" s="11"/>
      <c r="I558" s="11"/>
      <c r="J558" s="11"/>
      <c r="K558" s="11"/>
      <c r="L558" s="11"/>
      <c r="M558" s="11"/>
      <c r="N558" s="11"/>
      <c r="O558" s="11"/>
      <c r="P558" s="11"/>
      <c r="Q558" s="11"/>
      <c r="R558" s="11"/>
      <c r="S558" s="11"/>
      <c r="T558" s="11"/>
      <c r="U558" s="11"/>
      <c r="V558" s="11"/>
    </row>
    <row r="559" customFormat="false" ht="11.25" hidden="false" customHeight="false" outlineLevel="0" collapsed="false">
      <c r="A559" s="12" t="s">
        <v>3</v>
      </c>
      <c r="B559" s="13" t="n">
        <v>77044.0007632416</v>
      </c>
      <c r="C559" s="11"/>
      <c r="D559" s="11"/>
      <c r="E559" s="11"/>
      <c r="F559" s="11"/>
      <c r="G559" s="11"/>
      <c r="H559" s="11"/>
      <c r="I559" s="11"/>
      <c r="J559" s="11"/>
      <c r="K559" s="11"/>
      <c r="L559" s="11"/>
      <c r="M559" s="11"/>
      <c r="N559" s="11"/>
      <c r="O559" s="11"/>
      <c r="P559" s="11"/>
      <c r="Q559" s="11"/>
      <c r="R559" s="11"/>
      <c r="S559" s="11"/>
      <c r="T559" s="11"/>
      <c r="U559" s="11"/>
      <c r="V559" s="11"/>
    </row>
    <row r="560" customFormat="false" ht="11.25" hidden="false" customHeight="false" outlineLevel="0" collapsed="false">
      <c r="A560" s="14" t="s">
        <v>4</v>
      </c>
      <c r="B560" s="15" t="s">
        <v>5</v>
      </c>
      <c r="C560" s="15" t="s">
        <v>6</v>
      </c>
      <c r="D560" s="16" t="n">
        <v>2000</v>
      </c>
      <c r="E560" s="17" t="n">
        <v>2001</v>
      </c>
      <c r="F560" s="17" t="n">
        <v>2002</v>
      </c>
      <c r="G560" s="17" t="n">
        <v>2003</v>
      </c>
      <c r="H560" s="17" t="n">
        <v>2004</v>
      </c>
      <c r="I560" s="17" t="n">
        <v>2005</v>
      </c>
      <c r="J560" s="17" t="n">
        <v>2006</v>
      </c>
      <c r="K560" s="17" t="n">
        <v>2007</v>
      </c>
      <c r="L560" s="17" t="n">
        <v>2008</v>
      </c>
      <c r="M560" s="17" t="n">
        <v>2009</v>
      </c>
      <c r="N560" s="18" t="n">
        <v>2010</v>
      </c>
      <c r="O560" s="11" t="n">
        <v>2011</v>
      </c>
      <c r="P560" s="11" t="n">
        <v>2012</v>
      </c>
      <c r="Q560" s="11" t="n">
        <v>2013</v>
      </c>
      <c r="R560" s="11" t="n">
        <v>2014</v>
      </c>
      <c r="S560" s="11" t="n">
        <v>2015</v>
      </c>
      <c r="T560" s="11" t="n">
        <v>2016</v>
      </c>
      <c r="U560" s="11" t="n">
        <v>2017</v>
      </c>
      <c r="V560" s="11" t="n">
        <v>2018</v>
      </c>
      <c r="W560" s="11" t="n">
        <v>2019</v>
      </c>
      <c r="X560" s="11" t="n">
        <v>2020</v>
      </c>
    </row>
    <row r="561" customFormat="false" ht="11.25" hidden="false" customHeight="false" outlineLevel="0" collapsed="false">
      <c r="A561" s="14" t="s">
        <v>7</v>
      </c>
      <c r="B561" s="19" t="n">
        <f aca="false">NPV(0.1,D561:Y561)</f>
        <v>551504.800051354</v>
      </c>
      <c r="C561" s="19" t="n">
        <f aca="false">B561-B551</f>
        <v>0</v>
      </c>
      <c r="D561" s="20" t="n">
        <v>41716.1296</v>
      </c>
      <c r="E561" s="21" t="n">
        <v>53951.170868</v>
      </c>
      <c r="F561" s="21" t="n">
        <v>54028.46337404</v>
      </c>
      <c r="G561" s="21" t="n">
        <v>61812.6825822094</v>
      </c>
      <c r="H561" s="21" t="n">
        <v>67801.6472735008</v>
      </c>
      <c r="I561" s="21" t="n">
        <v>69182.6483181058</v>
      </c>
      <c r="J561" s="21" t="n">
        <v>69125.6865148727</v>
      </c>
      <c r="K561" s="21" t="n">
        <v>69784.5214039432</v>
      </c>
      <c r="L561" s="21" t="n">
        <v>70440.2647197024</v>
      </c>
      <c r="M561" s="21" t="n">
        <v>71092.1380163517</v>
      </c>
      <c r="N561" s="22" t="n">
        <v>71739.3189237602</v>
      </c>
      <c r="O561" s="23" t="n">
        <v>72380.9392126065</v>
      </c>
      <c r="P561" s="23" t="n">
        <v>73016.0827829602</v>
      </c>
      <c r="Q561" s="23" t="n">
        <v>73643.7835734517</v>
      </c>
      <c r="R561" s="23" t="n">
        <v>74263.0233880761</v>
      </c>
      <c r="S561" s="23" t="n">
        <v>74872.7296375698</v>
      </c>
      <c r="T561" s="23" t="n">
        <v>75471.7729921919</v>
      </c>
      <c r="U561" s="23" t="n">
        <v>76058.9649426255</v>
      </c>
      <c r="V561" s="23" t="n">
        <v>76633.0552656002</v>
      </c>
      <c r="W561" s="23" t="n">
        <v>76106.4602314577</v>
      </c>
      <c r="X561" s="23" t="n">
        <v>32886.2924466521</v>
      </c>
    </row>
    <row r="562" customFormat="false" ht="11.25" hidden="false" customHeight="false" outlineLevel="0" collapsed="false">
      <c r="A562" s="24" t="s">
        <v>8</v>
      </c>
      <c r="B562" s="19" t="n">
        <f aca="false">NPV(0.1,D562:Y562)</f>
        <v>244777.339805208</v>
      </c>
      <c r="C562" s="19" t="n">
        <f aca="false">B562-B552</f>
        <v>-1.55273960335762</v>
      </c>
      <c r="D562" s="20" t="n">
        <v>26182.3447712215</v>
      </c>
      <c r="E562" s="21" t="n">
        <v>27613.632600145</v>
      </c>
      <c r="F562" s="21" t="n">
        <v>27764.247532068</v>
      </c>
      <c r="G562" s="21" t="n">
        <v>28055.7039434626</v>
      </c>
      <c r="H562" s="21" t="n">
        <v>28143.3192243401</v>
      </c>
      <c r="I562" s="21" t="n">
        <v>28280.9133936238</v>
      </c>
      <c r="J562" s="21" t="n">
        <v>28465.9104389282</v>
      </c>
      <c r="K562" s="21" t="n">
        <v>28656.4573955917</v>
      </c>
      <c r="L562" s="21" t="n">
        <v>28852.7207609551</v>
      </c>
      <c r="M562" s="21" t="n">
        <v>29012.8574147142</v>
      </c>
      <c r="N562" s="22" t="n">
        <v>29221.0732190282</v>
      </c>
      <c r="O562" s="23" t="n">
        <v>29435.5354974716</v>
      </c>
      <c r="P562" s="23" t="n">
        <v>29656.4316442684</v>
      </c>
      <c r="Q562" s="23" t="n">
        <v>29841.9400629038</v>
      </c>
      <c r="R562" s="23" t="n">
        <v>30076.2887850405</v>
      </c>
      <c r="S562" s="23" t="n">
        <v>30317.6679688413</v>
      </c>
      <c r="T562" s="23" t="n">
        <v>30566.2885281561</v>
      </c>
      <c r="U562" s="23" t="n">
        <v>30780.3530916851</v>
      </c>
      <c r="V562" s="23" t="n">
        <v>31044.1146430622</v>
      </c>
      <c r="W562" s="23" t="n">
        <v>31315.7890409806</v>
      </c>
      <c r="X562" s="23" t="n">
        <v>15638.6301974652</v>
      </c>
    </row>
    <row r="563" customFormat="false" ht="11.25" hidden="false" customHeight="false" outlineLevel="0" collapsed="false">
      <c r="A563" s="24" t="s">
        <v>9</v>
      </c>
      <c r="B563" s="19" t="n">
        <f aca="false">NPV(0.1,D563:Y563)</f>
        <v>100908.79159752</v>
      </c>
      <c r="C563" s="19" t="n">
        <f aca="false">B563-B553</f>
        <v>292.583931491754</v>
      </c>
      <c r="D563" s="20" t="n">
        <v>-1596.77431931638</v>
      </c>
      <c r="E563" s="21" t="n">
        <v>3500.69128848323</v>
      </c>
      <c r="F563" s="21" t="n">
        <v>3756.09702789935</v>
      </c>
      <c r="G563" s="21" t="n">
        <v>8757.6604385295</v>
      </c>
      <c r="H563" s="21" t="n">
        <v>12911.3254641471</v>
      </c>
      <c r="I563" s="21" t="n">
        <v>14089.1822477681</v>
      </c>
      <c r="J563" s="21" t="n">
        <v>14339.0258684442</v>
      </c>
      <c r="K563" s="21" t="n">
        <v>15019.892695224</v>
      </c>
      <c r="L563" s="21" t="n">
        <v>15695.3789757197</v>
      </c>
      <c r="M563" s="21" t="n">
        <v>16639.0717470976</v>
      </c>
      <c r="N563" s="22" t="n">
        <v>17723.5458531743</v>
      </c>
      <c r="O563" s="23" t="n">
        <v>18179.5528595495</v>
      </c>
      <c r="P563" s="23" t="n">
        <v>18676.4402293656</v>
      </c>
      <c r="Q563" s="23" t="n">
        <v>19190.3983751597</v>
      </c>
      <c r="R563" s="23" t="n">
        <v>19669.3527953115</v>
      </c>
      <c r="S563" s="23" t="n">
        <v>20138.1887214987</v>
      </c>
      <c r="T563" s="23" t="n">
        <v>20596.0874369409</v>
      </c>
      <c r="U563" s="23" t="n">
        <v>21311.6911161829</v>
      </c>
      <c r="V563" s="23" t="n">
        <v>22086.4670524589</v>
      </c>
      <c r="W563" s="23" t="n">
        <v>22330.3330264154</v>
      </c>
      <c r="X563" s="23" t="n">
        <v>6360.52635288168</v>
      </c>
    </row>
    <row r="564" customFormat="false" ht="11.25" hidden="false" customHeight="false" outlineLevel="0" collapsed="false">
      <c r="A564" s="24" t="s">
        <v>10</v>
      </c>
      <c r="B564" s="19" t="n">
        <f aca="false">NPV(0.1,D564:Y564)</f>
        <v>105825.329312175</v>
      </c>
      <c r="C564" s="19" t="n">
        <f aca="false">B564-B554</f>
        <v>-163.05121196399</v>
      </c>
      <c r="D564" s="25" t="n">
        <v>-5857.37796086172</v>
      </c>
      <c r="E564" s="26" t="n">
        <v>5929.10989258003</v>
      </c>
      <c r="F564" s="26" t="n">
        <v>3281.8148899966</v>
      </c>
      <c r="G564" s="26" t="n">
        <v>8851.24479673114</v>
      </c>
      <c r="H564" s="26" t="n">
        <v>21152.7804997752</v>
      </c>
      <c r="I564" s="26" t="n">
        <v>20454.1210793829</v>
      </c>
      <c r="J564" s="26" t="n">
        <v>15540.0635095549</v>
      </c>
      <c r="K564" s="26" t="n">
        <v>16230.0400492006</v>
      </c>
      <c r="L564" s="26" t="n">
        <v>11455.4166168304</v>
      </c>
      <c r="M564" s="26" t="n">
        <v>8657.56448850898</v>
      </c>
      <c r="N564" s="27" t="n">
        <v>23377.443494285</v>
      </c>
      <c r="O564" s="23" t="n">
        <v>22854.4202135261</v>
      </c>
      <c r="P564" s="23" t="n">
        <v>23342.1978704763</v>
      </c>
      <c r="Q564" s="23" t="n">
        <v>23823.2511165711</v>
      </c>
      <c r="R564" s="23" t="n">
        <v>24335.1104364222</v>
      </c>
      <c r="S564" s="23" t="n">
        <v>22116.5810671692</v>
      </c>
      <c r="T564" s="23" t="n">
        <v>14946.4144871712</v>
      </c>
      <c r="U564" s="23" t="n">
        <v>13643.723553848</v>
      </c>
      <c r="V564" s="23" t="n">
        <v>11496.0941026892</v>
      </c>
      <c r="W564" s="23" t="n">
        <v>9763.68007664572</v>
      </c>
      <c r="X564" s="23" t="n">
        <v>10548.503403112</v>
      </c>
    </row>
    <row r="566" customFormat="false" ht="11.25" hidden="false" customHeight="false" outlineLevel="0" collapsed="false">
      <c r="A566" s="28" t="s">
        <v>67</v>
      </c>
    </row>
    <row r="567" customFormat="false" ht="11.25" hidden="false" customHeight="false" outlineLevel="0" collapsed="false">
      <c r="A567" s="31" t="n">
        <v>24314</v>
      </c>
    </row>
    <row r="568" customFormat="false" ht="11.25" hidden="false" customHeight="false" outlineLevel="0" collapsed="false">
      <c r="A568" s="9" t="s">
        <v>2</v>
      </c>
      <c r="B568" s="10" t="n">
        <v>54527.2784281905</v>
      </c>
      <c r="C568" s="11"/>
      <c r="D568" s="11"/>
      <c r="E568" s="11"/>
      <c r="F568" s="11"/>
      <c r="G568" s="11"/>
      <c r="H568" s="11"/>
      <c r="I568" s="11"/>
      <c r="J568" s="11"/>
      <c r="K568" s="11"/>
      <c r="L568" s="11"/>
      <c r="M568" s="11"/>
      <c r="N568" s="11"/>
      <c r="O568" s="11"/>
      <c r="P568" s="11"/>
      <c r="Q568" s="11"/>
      <c r="R568" s="11"/>
      <c r="S568" s="11"/>
      <c r="T568" s="11"/>
      <c r="U568" s="11"/>
      <c r="V568" s="11"/>
    </row>
    <row r="569" customFormat="false" ht="11.25" hidden="false" customHeight="false" outlineLevel="0" collapsed="false">
      <c r="A569" s="12" t="s">
        <v>3</v>
      </c>
      <c r="B569" s="13" t="n">
        <v>100015.444282395</v>
      </c>
      <c r="C569" s="11"/>
      <c r="D569" s="11"/>
      <c r="E569" s="11"/>
      <c r="F569" s="11"/>
      <c r="G569" s="11"/>
      <c r="H569" s="11"/>
      <c r="I569" s="11"/>
      <c r="J569" s="11"/>
      <c r="K569" s="11"/>
      <c r="L569" s="11"/>
      <c r="M569" s="11"/>
      <c r="N569" s="11"/>
      <c r="O569" s="11"/>
      <c r="P569" s="11"/>
      <c r="Q569" s="11"/>
      <c r="R569" s="11"/>
      <c r="S569" s="11"/>
      <c r="T569" s="11"/>
      <c r="U569" s="11"/>
      <c r="V569" s="11"/>
    </row>
    <row r="570" customFormat="false" ht="11.25" hidden="false" customHeight="false" outlineLevel="0" collapsed="false">
      <c r="A570" s="14" t="s">
        <v>4</v>
      </c>
      <c r="B570" s="15" t="s">
        <v>5</v>
      </c>
      <c r="C570" s="15" t="s">
        <v>6</v>
      </c>
      <c r="D570" s="16" t="n">
        <v>2000</v>
      </c>
      <c r="E570" s="17" t="n">
        <v>2001</v>
      </c>
      <c r="F570" s="17" t="n">
        <v>2002</v>
      </c>
      <c r="G570" s="17" t="n">
        <v>2003</v>
      </c>
      <c r="H570" s="17" t="n">
        <v>2004</v>
      </c>
      <c r="I570" s="17" t="n">
        <v>2005</v>
      </c>
      <c r="J570" s="17" t="n">
        <v>2006</v>
      </c>
      <c r="K570" s="17" t="n">
        <v>2007</v>
      </c>
      <c r="L570" s="17" t="n">
        <v>2008</v>
      </c>
      <c r="M570" s="17" t="n">
        <v>2009</v>
      </c>
      <c r="N570" s="18" t="n">
        <v>2010</v>
      </c>
      <c r="O570" s="11" t="n">
        <v>2011</v>
      </c>
      <c r="P570" s="11" t="n">
        <v>2012</v>
      </c>
      <c r="Q570" s="11" t="n">
        <v>2013</v>
      </c>
      <c r="R570" s="11" t="n">
        <v>2014</v>
      </c>
      <c r="S570" s="11" t="n">
        <v>2015</v>
      </c>
      <c r="T570" s="11" t="n">
        <v>2016</v>
      </c>
      <c r="U570" s="11" t="n">
        <v>2017</v>
      </c>
      <c r="V570" s="11" t="n">
        <v>2018</v>
      </c>
      <c r="W570" s="11" t="n">
        <v>2019</v>
      </c>
      <c r="X570" s="11" t="n">
        <v>2020</v>
      </c>
    </row>
    <row r="571" customFormat="false" ht="11.25" hidden="false" customHeight="false" outlineLevel="0" collapsed="false">
      <c r="A571" s="14" t="s">
        <v>7</v>
      </c>
      <c r="B571" s="19" t="n">
        <f aca="false">NPV(0.1,D571:Y571)</f>
        <v>587133.411132182</v>
      </c>
      <c r="C571" s="19" t="n">
        <f aca="false">B571-B561</f>
        <v>35628.6110808275</v>
      </c>
      <c r="D571" s="20" t="n">
        <v>41364.1276</v>
      </c>
      <c r="E571" s="21" t="n">
        <v>53599.168868</v>
      </c>
      <c r="F571" s="21" t="n">
        <v>53676.46137404</v>
      </c>
      <c r="G571" s="21" t="n">
        <v>65143.1014397198</v>
      </c>
      <c r="H571" s="21" t="n">
        <v>73806.6892850544</v>
      </c>
      <c r="I571" s="21" t="n">
        <v>75317.217318826</v>
      </c>
      <c r="J571" s="21" t="n">
        <v>75252.7853412367</v>
      </c>
      <c r="K571" s="21" t="n">
        <v>75972.2541927211</v>
      </c>
      <c r="L571" s="21" t="n">
        <v>76688.2738478309</v>
      </c>
      <c r="M571" s="21" t="n">
        <v>77399.9898328172</v>
      </c>
      <c r="N571" s="22" t="n">
        <v>78106.4995097831</v>
      </c>
      <c r="O571" s="23" t="n">
        <v>78806.8499558607</v>
      </c>
      <c r="P571" s="23" t="n">
        <v>79500.0357584877</v>
      </c>
      <c r="Q571" s="23" t="n">
        <v>80184.9967236553</v>
      </c>
      <c r="R571" s="23" t="n">
        <v>80860.6154938938</v>
      </c>
      <c r="S571" s="23" t="n">
        <v>81525.7150726388</v>
      </c>
      <c r="T571" s="23" t="n">
        <v>82179.0562515072</v>
      </c>
      <c r="U571" s="23" t="n">
        <v>82819.3349368859</v>
      </c>
      <c r="V571" s="23" t="n">
        <v>83445.1793721043</v>
      </c>
      <c r="W571" s="23" t="n">
        <v>82865.4323941846</v>
      </c>
      <c r="X571" s="23" t="n">
        <v>35526.3023726024</v>
      </c>
    </row>
    <row r="572" customFormat="false" ht="11.25" hidden="false" customHeight="false" outlineLevel="0" collapsed="false">
      <c r="A572" s="24" t="s">
        <v>8</v>
      </c>
      <c r="B572" s="19" t="n">
        <f aca="false">NPV(0.1,D572:Y572)</f>
        <v>254359.34072119</v>
      </c>
      <c r="C572" s="19" t="n">
        <f aca="false">B572-B562</f>
        <v>9582.00091598195</v>
      </c>
      <c r="D572" s="20" t="n">
        <v>25830.3427712215</v>
      </c>
      <c r="E572" s="21" t="n">
        <v>27261.630600145</v>
      </c>
      <c r="F572" s="21" t="n">
        <v>27412.245532068</v>
      </c>
      <c r="G572" s="21" t="n">
        <v>28969.205303413</v>
      </c>
      <c r="H572" s="21" t="n">
        <v>29946.6297518005</v>
      </c>
      <c r="I572" s="21" t="n">
        <v>30087.739819968</v>
      </c>
      <c r="J572" s="21" t="n">
        <v>30276.3582411227</v>
      </c>
      <c r="K572" s="21" t="n">
        <v>30470.635214912</v>
      </c>
      <c r="L572" s="21" t="n">
        <v>30670.7404979151</v>
      </c>
      <c r="M572" s="21" t="n">
        <v>30834.8343268429</v>
      </c>
      <c r="N572" s="22" t="n">
        <v>31047.1260215808</v>
      </c>
      <c r="O572" s="23" t="n">
        <v>31265.7864671609</v>
      </c>
      <c r="P572" s="23" t="n">
        <v>31491.0067261083</v>
      </c>
      <c r="Q572" s="23" t="n">
        <v>31680.9689802589</v>
      </c>
      <c r="R572" s="23" t="n">
        <v>31919.9051529763</v>
      </c>
      <c r="S572" s="23" t="n">
        <v>32166.0094108751</v>
      </c>
      <c r="T572" s="23" t="n">
        <v>32419.4967965109</v>
      </c>
      <c r="U572" s="23" t="n">
        <v>32638.5741911506</v>
      </c>
      <c r="V572" s="23" t="n">
        <v>32907.4989585717</v>
      </c>
      <c r="W572" s="23" t="n">
        <v>33184.4914690153</v>
      </c>
      <c r="X572" s="23" t="n">
        <v>16224.6428252239</v>
      </c>
    </row>
    <row r="573" customFormat="false" ht="11.25" hidden="false" customHeight="false" outlineLevel="0" collapsed="false">
      <c r="A573" s="24" t="s">
        <v>9</v>
      </c>
      <c r="B573" s="19" t="n">
        <f aca="false">NPV(0.1,D573:Y573)</f>
        <v>116819.92667466</v>
      </c>
      <c r="C573" s="19" t="n">
        <f aca="false">B573-B563</f>
        <v>15911.1350771408</v>
      </c>
      <c r="D573" s="20" t="n">
        <v>-1596.77431931638</v>
      </c>
      <c r="E573" s="21" t="n">
        <v>3500.69128848323</v>
      </c>
      <c r="F573" s="21" t="n">
        <v>3756.09702789935</v>
      </c>
      <c r="G573" s="21" t="n">
        <v>10234.0867577549</v>
      </c>
      <c r="H573" s="21" t="n">
        <v>15478.0440036487</v>
      </c>
      <c r="I573" s="21" t="n">
        <v>16732.8773867588</v>
      </c>
      <c r="J573" s="21" t="n">
        <v>16975.9454941365</v>
      </c>
      <c r="K573" s="21" t="n">
        <v>17691.5733264434</v>
      </c>
      <c r="L573" s="21" t="n">
        <v>18401.5337938356</v>
      </c>
      <c r="M573" s="21" t="n">
        <v>19379.3654394565</v>
      </c>
      <c r="N573" s="22" t="n">
        <v>20497.5919615954</v>
      </c>
      <c r="O573" s="23" t="n">
        <v>20986.9110133743</v>
      </c>
      <c r="P573" s="23" t="n">
        <v>21516.6132585216</v>
      </c>
      <c r="Q573" s="23" t="n">
        <v>22062.8292985293</v>
      </c>
      <c r="R573" s="23" t="n">
        <v>22573.4216795221</v>
      </c>
      <c r="S573" s="23" t="n">
        <v>23073.2094050705</v>
      </c>
      <c r="T573" s="23" t="n">
        <v>23561.3041145407</v>
      </c>
      <c r="U573" s="23" t="n">
        <v>24306.2747775382</v>
      </c>
      <c r="V573" s="23" t="n">
        <v>25109.5117702859</v>
      </c>
      <c r="W573" s="23" t="n">
        <v>25317.6600459351</v>
      </c>
      <c r="X573" s="23" t="n">
        <v>7615.25502017359</v>
      </c>
    </row>
    <row r="574" customFormat="false" ht="11.25" hidden="false" customHeight="false" outlineLevel="0" collapsed="false">
      <c r="A574" s="24" t="s">
        <v>10</v>
      </c>
      <c r="B574" s="19" t="n">
        <f aca="false">NPV(0.1,D574:Y574)</f>
        <v>121946.787948423</v>
      </c>
      <c r="C574" s="19" t="n">
        <f aca="false">B574-B564</f>
        <v>16121.458636248</v>
      </c>
      <c r="D574" s="25" t="n">
        <v>-5857.37796086172</v>
      </c>
      <c r="E574" s="26" t="n">
        <v>5929.10989258003</v>
      </c>
      <c r="F574" s="26" t="n">
        <v>3281.8148899966</v>
      </c>
      <c r="G574" s="26" t="n">
        <v>11298.3737630107</v>
      </c>
      <c r="H574" s="26" t="n">
        <v>25407.0336274195</v>
      </c>
      <c r="I574" s="26" t="n">
        <v>20439.5789831769</v>
      </c>
      <c r="J574" s="26" t="n">
        <v>18176.9831352472</v>
      </c>
      <c r="K574" s="26" t="n">
        <v>18901.72068042</v>
      </c>
      <c r="L574" s="26" t="n">
        <v>14161.5714349463</v>
      </c>
      <c r="M574" s="26" t="n">
        <v>11397.8581808679</v>
      </c>
      <c r="N574" s="27" t="n">
        <v>26151.4896027061</v>
      </c>
      <c r="O574" s="23" t="n">
        <v>25661.7783673509</v>
      </c>
      <c r="P574" s="23" t="n">
        <v>26182.3708996323</v>
      </c>
      <c r="Q574" s="23" t="n">
        <v>26695.6820399407</v>
      </c>
      <c r="R574" s="23" t="n">
        <v>27239.1793206328</v>
      </c>
      <c r="S574" s="23" t="n">
        <v>25051.601750741</v>
      </c>
      <c r="T574" s="23" t="n">
        <v>17911.631164771</v>
      </c>
      <c r="U574" s="23" t="n">
        <v>16638.3072152033</v>
      </c>
      <c r="V574" s="23" t="n">
        <v>14519.1388205162</v>
      </c>
      <c r="W574" s="23" t="n">
        <v>12751.0070961654</v>
      </c>
      <c r="X574" s="23" t="n">
        <v>11803.2320704039</v>
      </c>
    </row>
    <row r="576" customFormat="false" ht="11.25" hidden="false" customHeight="false" outlineLevel="0" collapsed="false">
      <c r="A576" s="28" t="s">
        <v>68</v>
      </c>
    </row>
    <row r="577" customFormat="false" ht="11.25" hidden="false" customHeight="false" outlineLevel="0" collapsed="false">
      <c r="A577" s="31" t="n">
        <v>36374</v>
      </c>
    </row>
    <row r="578" customFormat="false" ht="11.25" hidden="false" customHeight="false" outlineLevel="0" collapsed="false">
      <c r="A578" s="9" t="s">
        <v>2</v>
      </c>
      <c r="B578" s="10" t="n">
        <v>45126.4117689775</v>
      </c>
      <c r="C578" s="11"/>
      <c r="D578" s="11"/>
      <c r="E578" s="11"/>
      <c r="F578" s="11"/>
      <c r="G578" s="11"/>
      <c r="H578" s="11"/>
      <c r="I578" s="11"/>
      <c r="J578" s="11"/>
      <c r="K578" s="11"/>
      <c r="L578" s="11"/>
      <c r="M578" s="11"/>
      <c r="N578" s="11"/>
      <c r="O578" s="11"/>
      <c r="P578" s="11"/>
      <c r="Q578" s="11"/>
      <c r="R578" s="11"/>
      <c r="S578" s="11"/>
      <c r="T578" s="11"/>
      <c r="U578" s="11"/>
      <c r="V578" s="11"/>
    </row>
    <row r="579" customFormat="false" ht="11.25" hidden="false" customHeight="false" outlineLevel="0" collapsed="false">
      <c r="A579" s="12" t="s">
        <v>3</v>
      </c>
      <c r="B579" s="13" t="n">
        <v>88810.5857632396</v>
      </c>
      <c r="C579" s="11"/>
      <c r="D579" s="11"/>
      <c r="E579" s="11"/>
      <c r="F579" s="11"/>
      <c r="G579" s="11"/>
      <c r="H579" s="11"/>
      <c r="I579" s="11"/>
      <c r="J579" s="11"/>
      <c r="K579" s="11"/>
      <c r="L579" s="11"/>
      <c r="M579" s="11"/>
      <c r="N579" s="11"/>
      <c r="O579" s="11"/>
      <c r="P579" s="11"/>
      <c r="Q579" s="11"/>
      <c r="R579" s="11"/>
      <c r="S579" s="11"/>
      <c r="T579" s="11"/>
      <c r="U579" s="11"/>
      <c r="V579" s="11"/>
    </row>
    <row r="580" customFormat="false" ht="11.25" hidden="false" customHeight="false" outlineLevel="0" collapsed="false">
      <c r="A580" s="14" t="s">
        <v>4</v>
      </c>
      <c r="B580" s="15" t="s">
        <v>5</v>
      </c>
      <c r="C580" s="15" t="s">
        <v>6</v>
      </c>
      <c r="D580" s="16" t="n">
        <v>2000</v>
      </c>
      <c r="E580" s="17" t="n">
        <v>2001</v>
      </c>
      <c r="F580" s="17" t="n">
        <v>2002</v>
      </c>
      <c r="G580" s="17" t="n">
        <v>2003</v>
      </c>
      <c r="H580" s="17" t="n">
        <v>2004</v>
      </c>
      <c r="I580" s="17" t="n">
        <v>2005</v>
      </c>
      <c r="J580" s="17" t="n">
        <v>2006</v>
      </c>
      <c r="K580" s="17" t="n">
        <v>2007</v>
      </c>
      <c r="L580" s="17" t="n">
        <v>2008</v>
      </c>
      <c r="M580" s="17" t="n">
        <v>2009</v>
      </c>
      <c r="N580" s="18" t="n">
        <v>2010</v>
      </c>
      <c r="O580" s="11" t="n">
        <v>2011</v>
      </c>
      <c r="P580" s="11" t="n">
        <v>2012</v>
      </c>
      <c r="Q580" s="11" t="n">
        <v>2013</v>
      </c>
      <c r="R580" s="11" t="n">
        <v>2014</v>
      </c>
      <c r="S580" s="11" t="n">
        <v>2015</v>
      </c>
      <c r="T580" s="11" t="n">
        <v>2016</v>
      </c>
      <c r="U580" s="11" t="n">
        <v>2017</v>
      </c>
      <c r="V580" s="11" t="n">
        <v>2018</v>
      </c>
      <c r="W580" s="11" t="n">
        <v>2019</v>
      </c>
      <c r="X580" s="11" t="n">
        <v>2020</v>
      </c>
    </row>
    <row r="581" customFormat="false" ht="11.25" hidden="false" customHeight="false" outlineLevel="0" collapsed="false">
      <c r="A581" s="14" t="s">
        <v>7</v>
      </c>
      <c r="B581" s="19" t="n">
        <f aca="false">NPV(0.1,D581:Y581)</f>
        <v>587133.411132182</v>
      </c>
      <c r="C581" s="19" t="n">
        <f aca="false">B581-B571</f>
        <v>0</v>
      </c>
      <c r="D581" s="20" t="n">
        <v>41364.1276</v>
      </c>
      <c r="E581" s="21" t="n">
        <v>53599.168868</v>
      </c>
      <c r="F581" s="21" t="n">
        <v>53676.46137404</v>
      </c>
      <c r="G581" s="21" t="n">
        <v>65143.1014397198</v>
      </c>
      <c r="H581" s="21" t="n">
        <v>73806.6892850544</v>
      </c>
      <c r="I581" s="21" t="n">
        <v>75317.217318826</v>
      </c>
      <c r="J581" s="21" t="n">
        <v>75252.7853412367</v>
      </c>
      <c r="K581" s="21" t="n">
        <v>75972.2541927211</v>
      </c>
      <c r="L581" s="21" t="n">
        <v>76688.2738478309</v>
      </c>
      <c r="M581" s="21" t="n">
        <v>77399.9898328172</v>
      </c>
      <c r="N581" s="22" t="n">
        <v>78106.4995097831</v>
      </c>
      <c r="O581" s="23" t="n">
        <v>78806.8499558607</v>
      </c>
      <c r="P581" s="23" t="n">
        <v>79500.0357584877</v>
      </c>
      <c r="Q581" s="23" t="n">
        <v>80184.9967236553</v>
      </c>
      <c r="R581" s="23" t="n">
        <v>80860.6154938938</v>
      </c>
      <c r="S581" s="23" t="n">
        <v>81525.7150726388</v>
      </c>
      <c r="T581" s="23" t="n">
        <v>82179.0562515072</v>
      </c>
      <c r="U581" s="23" t="n">
        <v>82819.3349368859</v>
      </c>
      <c r="V581" s="23" t="n">
        <v>83445.1793721043</v>
      </c>
      <c r="W581" s="23" t="n">
        <v>82865.4323941846</v>
      </c>
      <c r="X581" s="23" t="n">
        <v>35526.3023726024</v>
      </c>
    </row>
    <row r="582" customFormat="false" ht="11.25" hidden="false" customHeight="false" outlineLevel="0" collapsed="false">
      <c r="A582" s="24" t="s">
        <v>8</v>
      </c>
      <c r="B582" s="19" t="n">
        <f aca="false">NPV(0.1,D582:Y582)</f>
        <v>254409.972290454</v>
      </c>
      <c r="C582" s="19" t="n">
        <f aca="false">B582-B572</f>
        <v>50.6315692641365</v>
      </c>
      <c r="D582" s="20" t="n">
        <v>25847.0708207215</v>
      </c>
      <c r="E582" s="21" t="n">
        <v>27265.0125104257</v>
      </c>
      <c r="F582" s="21" t="n">
        <v>27415.6274423488</v>
      </c>
      <c r="G582" s="21" t="n">
        <v>28972.5872136937</v>
      </c>
      <c r="H582" s="21" t="n">
        <v>29950.0116620813</v>
      </c>
      <c r="I582" s="21" t="n">
        <v>30092.0541449751</v>
      </c>
      <c r="J582" s="21" t="n">
        <v>30280.6725661298</v>
      </c>
      <c r="K582" s="21" t="n">
        <v>30474.9495399191</v>
      </c>
      <c r="L582" s="21" t="n">
        <v>30675.0548229221</v>
      </c>
      <c r="M582" s="21" t="n">
        <v>30840.0810665763</v>
      </c>
      <c r="N582" s="22" t="n">
        <v>31052.3727613142</v>
      </c>
      <c r="O582" s="23" t="n">
        <v>31271.0332068942</v>
      </c>
      <c r="P582" s="23" t="n">
        <v>31496.2534658417</v>
      </c>
      <c r="Q582" s="23" t="n">
        <v>31687.1481347186</v>
      </c>
      <c r="R582" s="23" t="n">
        <v>31926.0843074359</v>
      </c>
      <c r="S582" s="23" t="n">
        <v>32172.1885653348</v>
      </c>
      <c r="T582" s="23" t="n">
        <v>32425.6759509706</v>
      </c>
      <c r="U582" s="23" t="n">
        <v>32645.6857603366</v>
      </c>
      <c r="V582" s="23" t="n">
        <v>32914.6105277577</v>
      </c>
      <c r="W582" s="23" t="n">
        <v>33191.6030382013</v>
      </c>
      <c r="X582" s="23" t="n">
        <v>16231.7543944099</v>
      </c>
    </row>
    <row r="583" customFormat="false" ht="11.25" hidden="false" customHeight="false" outlineLevel="0" collapsed="false">
      <c r="A583" s="24" t="s">
        <v>9</v>
      </c>
      <c r="B583" s="19" t="n">
        <f aca="false">NPV(0.1,D583:Y583)</f>
        <v>115126.283322552</v>
      </c>
      <c r="C583" s="19" t="n">
        <f aca="false">B583-B573</f>
        <v>-1693.64335210831</v>
      </c>
      <c r="D583" s="20" t="n">
        <v>-1723.73842595277</v>
      </c>
      <c r="E583" s="21" t="n">
        <v>3298.49037684543</v>
      </c>
      <c r="F583" s="21" t="n">
        <v>3553.89611626155</v>
      </c>
      <c r="G583" s="21" t="n">
        <v>10031.8858461171</v>
      </c>
      <c r="H583" s="21" t="n">
        <v>15275.8430920109</v>
      </c>
      <c r="I583" s="21" t="n">
        <v>16529.145804843</v>
      </c>
      <c r="J583" s="21" t="n">
        <v>16771.5274232356</v>
      </c>
      <c r="K583" s="21" t="n">
        <v>17487.1552555425</v>
      </c>
      <c r="L583" s="21" t="n">
        <v>18197.1157229347</v>
      </c>
      <c r="M583" s="21" t="n">
        <v>19174.3777828566</v>
      </c>
      <c r="N583" s="22" t="n">
        <v>20292.6043049956</v>
      </c>
      <c r="O583" s="23" t="n">
        <v>20781.9233567744</v>
      </c>
      <c r="P583" s="23" t="n">
        <v>21311.6256019217</v>
      </c>
      <c r="Q583" s="23" t="n">
        <v>21857.2720562304</v>
      </c>
      <c r="R583" s="23" t="n">
        <v>22367.8644372232</v>
      </c>
      <c r="S583" s="23" t="n">
        <v>22867.6521627716</v>
      </c>
      <c r="T583" s="23" t="n">
        <v>23355.7468722419</v>
      </c>
      <c r="U583" s="23" t="n">
        <v>24100.1479495402</v>
      </c>
      <c r="V583" s="23" t="n">
        <v>24903.384942288</v>
      </c>
      <c r="W583" s="23" t="n">
        <v>25111.5332179372</v>
      </c>
      <c r="X583" s="23" t="n">
        <v>7409.12819217565</v>
      </c>
    </row>
    <row r="584" customFormat="false" ht="11.25" hidden="false" customHeight="false" outlineLevel="0" collapsed="false">
      <c r="A584" s="24" t="s">
        <v>10</v>
      </c>
      <c r="B584" s="19" t="n">
        <f aca="false">NPV(0.1,D584:Y584)</f>
        <v>123877.793279911</v>
      </c>
      <c r="C584" s="19" t="n">
        <f aca="false">B584-B574</f>
        <v>1931.00533148852</v>
      </c>
      <c r="D584" s="25" t="n">
        <v>-5874.31511098048</v>
      </c>
      <c r="E584" s="26" t="n">
        <v>5917.91558570151</v>
      </c>
      <c r="F584" s="26" t="n">
        <v>3278.39070583736</v>
      </c>
      <c r="G584" s="26" t="n">
        <v>11294.9495788514</v>
      </c>
      <c r="H584" s="26" t="n">
        <v>25403.6094432603</v>
      </c>
      <c r="I584" s="26" t="n">
        <v>22386.3924198159</v>
      </c>
      <c r="J584" s="26" t="n">
        <v>18435.2565079125</v>
      </c>
      <c r="K584" s="26" t="n">
        <v>19160.4362715113</v>
      </c>
      <c r="L584" s="26" t="n">
        <v>14419.8448076115</v>
      </c>
      <c r="M584" s="26" t="n">
        <v>11656.9366009865</v>
      </c>
      <c r="N584" s="27" t="n">
        <v>26409.1933896724</v>
      </c>
      <c r="O584" s="23" t="n">
        <v>25919.9243727432</v>
      </c>
      <c r="P584" s="23" t="n">
        <v>26440.0746865986</v>
      </c>
      <c r="Q584" s="23" t="n">
        <v>26954.1908743603</v>
      </c>
      <c r="R584" s="23" t="n">
        <v>27496.3135219</v>
      </c>
      <c r="S584" s="23" t="n">
        <v>25178.2815163117</v>
      </c>
      <c r="T584" s="23" t="n">
        <v>17907.8564946451</v>
      </c>
      <c r="U584" s="23" t="n">
        <v>16634.8953741046</v>
      </c>
      <c r="V584" s="23" t="n">
        <v>14514.7945646913</v>
      </c>
      <c r="W584" s="23" t="n">
        <v>12746.6628403405</v>
      </c>
      <c r="X584" s="23" t="n">
        <v>11798.8878145789</v>
      </c>
    </row>
    <row r="586" customFormat="false" ht="11.25" hidden="false" customHeight="false" outlineLevel="0" collapsed="false">
      <c r="A586" s="28" t="s">
        <v>69</v>
      </c>
    </row>
    <row r="587" customFormat="false" ht="11.25" hidden="false" customHeight="false" outlineLevel="0" collapsed="false">
      <c r="A587" s="31" t="n">
        <v>36385</v>
      </c>
    </row>
    <row r="588" customFormat="false" ht="11.25" hidden="false" customHeight="false" outlineLevel="0" collapsed="false">
      <c r="A588" s="9" t="s">
        <v>2</v>
      </c>
      <c r="B588" s="10" t="n">
        <v>45072.2851654626</v>
      </c>
      <c r="C588" s="11"/>
      <c r="D588" s="11"/>
      <c r="E588" s="11"/>
      <c r="F588" s="11"/>
      <c r="G588" s="11"/>
      <c r="H588" s="11"/>
      <c r="I588" s="11"/>
      <c r="J588" s="11"/>
      <c r="K588" s="11"/>
      <c r="L588" s="11"/>
      <c r="M588" s="11"/>
      <c r="N588" s="11"/>
      <c r="O588" s="11"/>
      <c r="P588" s="11"/>
      <c r="Q588" s="11"/>
      <c r="R588" s="11"/>
      <c r="S588" s="11"/>
      <c r="T588" s="11"/>
      <c r="U588" s="11"/>
      <c r="V588" s="11"/>
    </row>
    <row r="589" customFormat="false" ht="11.25" hidden="false" customHeight="false" outlineLevel="0" collapsed="false">
      <c r="A589" s="12" t="s">
        <v>3</v>
      </c>
      <c r="B589" s="13" t="n">
        <v>88744.3197632396</v>
      </c>
      <c r="C589" s="11"/>
      <c r="D589" s="11"/>
      <c r="E589" s="11"/>
      <c r="F589" s="11"/>
      <c r="G589" s="11"/>
      <c r="H589" s="11"/>
      <c r="I589" s="11"/>
      <c r="J589" s="11"/>
      <c r="K589" s="11"/>
      <c r="L589" s="11"/>
      <c r="M589" s="11"/>
      <c r="N589" s="11"/>
      <c r="O589" s="11"/>
      <c r="P589" s="11"/>
      <c r="Q589" s="11"/>
      <c r="R589" s="11"/>
      <c r="S589" s="11"/>
      <c r="T589" s="11"/>
      <c r="U589" s="11"/>
      <c r="V589" s="11"/>
    </row>
    <row r="590" customFormat="false" ht="11.25" hidden="false" customHeight="false" outlineLevel="0" collapsed="false">
      <c r="A590" s="14" t="s">
        <v>4</v>
      </c>
      <c r="B590" s="15" t="s">
        <v>5</v>
      </c>
      <c r="C590" s="15" t="s">
        <v>6</v>
      </c>
      <c r="D590" s="16" t="n">
        <v>2000</v>
      </c>
      <c r="E590" s="17" t="n">
        <v>2001</v>
      </c>
      <c r="F590" s="17" t="n">
        <v>2002</v>
      </c>
      <c r="G590" s="17" t="n">
        <v>2003</v>
      </c>
      <c r="H590" s="17" t="n">
        <v>2004</v>
      </c>
      <c r="I590" s="17" t="n">
        <v>2005</v>
      </c>
      <c r="J590" s="17" t="n">
        <v>2006</v>
      </c>
      <c r="K590" s="17" t="n">
        <v>2007</v>
      </c>
      <c r="L590" s="17" t="n">
        <v>2008</v>
      </c>
      <c r="M590" s="17" t="n">
        <v>2009</v>
      </c>
      <c r="N590" s="18" t="n">
        <v>2010</v>
      </c>
      <c r="O590" s="11" t="n">
        <v>2011</v>
      </c>
      <c r="P590" s="11" t="n">
        <v>2012</v>
      </c>
      <c r="Q590" s="11" t="n">
        <v>2013</v>
      </c>
      <c r="R590" s="11" t="n">
        <v>2014</v>
      </c>
      <c r="S590" s="11" t="n">
        <v>2015</v>
      </c>
      <c r="T590" s="11" t="n">
        <v>2016</v>
      </c>
      <c r="U590" s="11" t="n">
        <v>2017</v>
      </c>
      <c r="V590" s="11" t="n">
        <v>2018</v>
      </c>
      <c r="W590" s="11" t="n">
        <v>2019</v>
      </c>
      <c r="X590" s="11" t="n">
        <v>2020</v>
      </c>
    </row>
    <row r="591" customFormat="false" ht="11.25" hidden="false" customHeight="false" outlineLevel="0" collapsed="false">
      <c r="A591" s="14" t="s">
        <v>7</v>
      </c>
      <c r="B591" s="19" t="n">
        <f aca="false">NPV(0.1,D591:Y591)</f>
        <v>587133.411132182</v>
      </c>
      <c r="C591" s="19" t="n">
        <f aca="false">B591-B581</f>
        <v>0</v>
      </c>
      <c r="D591" s="20" t="n">
        <v>41364.1276</v>
      </c>
      <c r="E591" s="21" t="n">
        <v>53599.168868</v>
      </c>
      <c r="F591" s="21" t="n">
        <v>53676.46137404</v>
      </c>
      <c r="G591" s="21" t="n">
        <v>65143.1014397198</v>
      </c>
      <c r="H591" s="21" t="n">
        <v>73806.6892850544</v>
      </c>
      <c r="I591" s="21" t="n">
        <v>75317.217318826</v>
      </c>
      <c r="J591" s="21" t="n">
        <v>75252.7853412367</v>
      </c>
      <c r="K591" s="21" t="n">
        <v>75972.2541927211</v>
      </c>
      <c r="L591" s="21" t="n">
        <v>76688.2738478309</v>
      </c>
      <c r="M591" s="21" t="n">
        <v>77399.9898328172</v>
      </c>
      <c r="N591" s="22" t="n">
        <v>78106.4995097831</v>
      </c>
      <c r="O591" s="23" t="n">
        <v>78806.8499558607</v>
      </c>
      <c r="P591" s="23" t="n">
        <v>79500.0357584877</v>
      </c>
      <c r="Q591" s="23" t="n">
        <v>80184.9967236553</v>
      </c>
      <c r="R591" s="23" t="n">
        <v>80860.6154938938</v>
      </c>
      <c r="S591" s="23" t="n">
        <v>81525.7150726388</v>
      </c>
      <c r="T591" s="23" t="n">
        <v>82179.0562515072</v>
      </c>
      <c r="U591" s="23" t="n">
        <v>82819.3349368859</v>
      </c>
      <c r="V591" s="23" t="n">
        <v>83445.1793721043</v>
      </c>
      <c r="W591" s="23" t="n">
        <v>82865.4323941846</v>
      </c>
      <c r="X591" s="23" t="n">
        <v>35526.3023726024</v>
      </c>
    </row>
    <row r="592" customFormat="false" ht="11.25" hidden="false" customHeight="false" outlineLevel="0" collapsed="false">
      <c r="A592" s="24" t="s">
        <v>8</v>
      </c>
      <c r="B592" s="19" t="n">
        <f aca="false">NPV(0.1,D592:Y592)</f>
        <v>254409.972290454</v>
      </c>
      <c r="C592" s="19" t="n">
        <f aca="false">B592-B582</f>
        <v>0</v>
      </c>
      <c r="D592" s="20" t="n">
        <v>25847.0708207215</v>
      </c>
      <c r="E592" s="21" t="n">
        <v>27265.0125104257</v>
      </c>
      <c r="F592" s="21" t="n">
        <v>27415.6274423488</v>
      </c>
      <c r="G592" s="21" t="n">
        <v>28972.5872136937</v>
      </c>
      <c r="H592" s="21" t="n">
        <v>29950.0116620813</v>
      </c>
      <c r="I592" s="21" t="n">
        <v>30092.0541449751</v>
      </c>
      <c r="J592" s="21" t="n">
        <v>30280.6725661298</v>
      </c>
      <c r="K592" s="21" t="n">
        <v>30474.9495399191</v>
      </c>
      <c r="L592" s="21" t="n">
        <v>30675.0548229221</v>
      </c>
      <c r="M592" s="21" t="n">
        <v>30840.0810665763</v>
      </c>
      <c r="N592" s="22" t="n">
        <v>31052.3727613142</v>
      </c>
      <c r="O592" s="23" t="n">
        <v>31271.0332068942</v>
      </c>
      <c r="P592" s="23" t="n">
        <v>31496.2534658417</v>
      </c>
      <c r="Q592" s="23" t="n">
        <v>31687.1481347186</v>
      </c>
      <c r="R592" s="23" t="n">
        <v>31926.0843074359</v>
      </c>
      <c r="S592" s="23" t="n">
        <v>32172.1885653348</v>
      </c>
      <c r="T592" s="23" t="n">
        <v>32425.6759509706</v>
      </c>
      <c r="U592" s="23" t="n">
        <v>32645.6857603366</v>
      </c>
      <c r="V592" s="23" t="n">
        <v>32914.6105277577</v>
      </c>
      <c r="W592" s="23" t="n">
        <v>33191.6030382013</v>
      </c>
      <c r="X592" s="23" t="n">
        <v>16231.7543944099</v>
      </c>
    </row>
    <row r="593" customFormat="false" ht="11.25" hidden="false" customHeight="false" outlineLevel="0" collapsed="false">
      <c r="A593" s="24" t="s">
        <v>9</v>
      </c>
      <c r="B593" s="19" t="n">
        <f aca="false">NPV(0.1,D593:Y593)</f>
        <v>115107.696229384</v>
      </c>
      <c r="C593" s="19" t="n">
        <f aca="false">B593-B583</f>
        <v>-18.5870931685931</v>
      </c>
      <c r="D593" s="20" t="n">
        <v>-1726.22389315973</v>
      </c>
      <c r="E593" s="21" t="n">
        <v>3294.22957591923</v>
      </c>
      <c r="F593" s="21" t="n">
        <v>3549.63531533535</v>
      </c>
      <c r="G593" s="21" t="n">
        <v>10027.6250451909</v>
      </c>
      <c r="H593" s="21" t="n">
        <v>15271.5822910847</v>
      </c>
      <c r="I593" s="21" t="n">
        <v>16526.9859598648</v>
      </c>
      <c r="J593" s="21" t="n">
        <v>16770.8682610775</v>
      </c>
      <c r="K593" s="21" t="n">
        <v>17486.4960933843</v>
      </c>
      <c r="L593" s="21" t="n">
        <v>18196.4565607765</v>
      </c>
      <c r="M593" s="21" t="n">
        <v>19173.7186206984</v>
      </c>
      <c r="N593" s="22" t="n">
        <v>20291.9451428374</v>
      </c>
      <c r="O593" s="23" t="n">
        <v>20781.2641946162</v>
      </c>
      <c r="P593" s="23" t="n">
        <v>21310.9664397635</v>
      </c>
      <c r="Q593" s="23" t="n">
        <v>21856.6128940722</v>
      </c>
      <c r="R593" s="23" t="n">
        <v>22367.205275065</v>
      </c>
      <c r="S593" s="23" t="n">
        <v>22866.9930006134</v>
      </c>
      <c r="T593" s="23" t="n">
        <v>23355.0877100836</v>
      </c>
      <c r="U593" s="23" t="n">
        <v>24099.488787382</v>
      </c>
      <c r="V593" s="23" t="n">
        <v>24902.7257801298</v>
      </c>
      <c r="W593" s="23" t="n">
        <v>25110.874055779</v>
      </c>
      <c r="X593" s="23" t="n">
        <v>7408.46903001745</v>
      </c>
    </row>
    <row r="594" customFormat="false" ht="11.25" hidden="false" customHeight="false" outlineLevel="0" collapsed="false">
      <c r="A594" s="24" t="s">
        <v>10</v>
      </c>
      <c r="B594" s="19" t="n">
        <f aca="false">NPV(0.1,D594:Y594)</f>
        <v>123890.922636681</v>
      </c>
      <c r="C594" s="19" t="n">
        <f aca="false">B594-B584</f>
        <v>13.1293567697576</v>
      </c>
      <c r="D594" s="25" t="n">
        <v>-5874.31511098048</v>
      </c>
      <c r="E594" s="26" t="n">
        <v>5917.91558570152</v>
      </c>
      <c r="F594" s="26" t="n">
        <v>3278.39070583736</v>
      </c>
      <c r="G594" s="26" t="n">
        <v>11294.9495788514</v>
      </c>
      <c r="H594" s="26" t="n">
        <v>25403.6094432603</v>
      </c>
      <c r="I594" s="26" t="n">
        <v>22404.5754329871</v>
      </c>
      <c r="J594" s="26" t="n">
        <v>18436.108817668</v>
      </c>
      <c r="K594" s="26" t="n">
        <v>19161.2900258597</v>
      </c>
      <c r="L594" s="26" t="n">
        <v>14420.6971173671</v>
      </c>
      <c r="M594" s="26" t="n">
        <v>11657.7903553348</v>
      </c>
      <c r="N594" s="27" t="n">
        <v>26410.0456994279</v>
      </c>
      <c r="O594" s="23" t="n">
        <v>25920.7781270916</v>
      </c>
      <c r="P594" s="23" t="n">
        <v>26440.9269963541</v>
      </c>
      <c r="Q594" s="23" t="n">
        <v>26955.0446287086</v>
      </c>
      <c r="R594" s="23" t="n">
        <v>27497.1658316555</v>
      </c>
      <c r="S594" s="23" t="n">
        <v>25178.7076711894</v>
      </c>
      <c r="T594" s="23" t="n">
        <v>17907.8564946451</v>
      </c>
      <c r="U594" s="23" t="n">
        <v>16634.8953741046</v>
      </c>
      <c r="V594" s="23" t="n">
        <v>14514.7945646913</v>
      </c>
      <c r="W594" s="23" t="n">
        <v>12746.6628403405</v>
      </c>
      <c r="X594" s="23" t="n">
        <v>11798.8878145789</v>
      </c>
    </row>
    <row r="596" customFormat="false" ht="11.25" hidden="false" customHeight="false" outlineLevel="0" collapsed="false">
      <c r="A596" s="28" t="s">
        <v>70</v>
      </c>
    </row>
    <row r="597" customFormat="false" ht="11.25" hidden="false" customHeight="false" outlineLevel="0" collapsed="false">
      <c r="A597" s="31" t="n">
        <v>36389</v>
      </c>
    </row>
    <row r="598" customFormat="false" ht="11.25" hidden="false" customHeight="false" outlineLevel="0" collapsed="false">
      <c r="A598" s="9" t="s">
        <v>2</v>
      </c>
      <c r="B598" s="10" t="n">
        <v>44643.3661786044</v>
      </c>
      <c r="C598" s="11"/>
      <c r="D598" s="11"/>
      <c r="E598" s="11"/>
      <c r="F598" s="11"/>
      <c r="G598" s="11"/>
      <c r="H598" s="11"/>
      <c r="I598" s="11"/>
      <c r="J598" s="11"/>
      <c r="K598" s="11"/>
      <c r="L598" s="11"/>
      <c r="M598" s="11"/>
      <c r="N598" s="11"/>
      <c r="O598" s="11"/>
      <c r="P598" s="11"/>
      <c r="Q598" s="11"/>
      <c r="R598" s="11"/>
      <c r="S598" s="11"/>
      <c r="T598" s="11"/>
      <c r="U598" s="11"/>
      <c r="V598" s="11"/>
    </row>
    <row r="599" customFormat="false" ht="11.25" hidden="false" customHeight="false" outlineLevel="0" collapsed="false">
      <c r="A599" s="12" t="s">
        <v>3</v>
      </c>
      <c r="B599" s="13" t="n">
        <v>88191.4999787387</v>
      </c>
      <c r="C599" s="11"/>
      <c r="D599" s="11"/>
      <c r="E599" s="11"/>
      <c r="F599" s="11"/>
      <c r="G599" s="11"/>
      <c r="H599" s="11"/>
      <c r="I599" s="11"/>
      <c r="J599" s="11"/>
      <c r="K599" s="11"/>
      <c r="L599" s="11"/>
      <c r="M599" s="11"/>
      <c r="N599" s="11"/>
      <c r="O599" s="11"/>
      <c r="P599" s="11"/>
      <c r="Q599" s="11"/>
      <c r="R599" s="11"/>
      <c r="S599" s="11"/>
      <c r="T599" s="11"/>
      <c r="U599" s="11"/>
      <c r="V599" s="11"/>
    </row>
    <row r="600" customFormat="false" ht="11.25" hidden="false" customHeight="false" outlineLevel="0" collapsed="false">
      <c r="A600" s="14" t="s">
        <v>4</v>
      </c>
      <c r="B600" s="15" t="s">
        <v>5</v>
      </c>
      <c r="C600" s="15" t="s">
        <v>6</v>
      </c>
      <c r="D600" s="16" t="n">
        <v>2000</v>
      </c>
      <c r="E600" s="17" t="n">
        <v>2001</v>
      </c>
      <c r="F600" s="17" t="n">
        <v>2002</v>
      </c>
      <c r="G600" s="17" t="n">
        <v>2003</v>
      </c>
      <c r="H600" s="17" t="n">
        <v>2004</v>
      </c>
      <c r="I600" s="17" t="n">
        <v>2005</v>
      </c>
      <c r="J600" s="17" t="n">
        <v>2006</v>
      </c>
      <c r="K600" s="17" t="n">
        <v>2007</v>
      </c>
      <c r="L600" s="17" t="n">
        <v>2008</v>
      </c>
      <c r="M600" s="17" t="n">
        <v>2009</v>
      </c>
      <c r="N600" s="18" t="n">
        <v>2010</v>
      </c>
      <c r="O600" s="11" t="n">
        <v>2011</v>
      </c>
      <c r="P600" s="11" t="n">
        <v>2012</v>
      </c>
      <c r="Q600" s="11" t="n">
        <v>2013</v>
      </c>
      <c r="R600" s="11" t="n">
        <v>2014</v>
      </c>
      <c r="S600" s="11" t="n">
        <v>2015</v>
      </c>
      <c r="T600" s="11" t="n">
        <v>2016</v>
      </c>
      <c r="U600" s="11" t="n">
        <v>2017</v>
      </c>
      <c r="V600" s="11" t="n">
        <v>2018</v>
      </c>
      <c r="W600" s="11" t="n">
        <v>2019</v>
      </c>
      <c r="X600" s="11" t="n">
        <v>2020</v>
      </c>
    </row>
    <row r="601" customFormat="false" ht="11.25" hidden="false" customHeight="false" outlineLevel="0" collapsed="false">
      <c r="A601" s="14" t="s">
        <v>7</v>
      </c>
      <c r="B601" s="19" t="n">
        <f aca="false">NPV(0.1,D601:Y601)</f>
        <v>587133.411132182</v>
      </c>
      <c r="C601" s="19" t="n">
        <f aca="false">B601-B591</f>
        <v>0</v>
      </c>
      <c r="D601" s="20" t="n">
        <v>41364.1276</v>
      </c>
      <c r="E601" s="21" t="n">
        <v>53599.168868</v>
      </c>
      <c r="F601" s="21" t="n">
        <v>53676.46137404</v>
      </c>
      <c r="G601" s="21" t="n">
        <v>65143.1014397198</v>
      </c>
      <c r="H601" s="21" t="n">
        <v>73806.6892850544</v>
      </c>
      <c r="I601" s="21" t="n">
        <v>75317.217318826</v>
      </c>
      <c r="J601" s="21" t="n">
        <v>75252.7853412367</v>
      </c>
      <c r="K601" s="21" t="n">
        <v>75972.2541927211</v>
      </c>
      <c r="L601" s="21" t="n">
        <v>76688.2738478309</v>
      </c>
      <c r="M601" s="21" t="n">
        <v>77399.9898328172</v>
      </c>
      <c r="N601" s="22" t="n">
        <v>78106.4995097831</v>
      </c>
      <c r="O601" s="23" t="n">
        <v>78806.8499558607</v>
      </c>
      <c r="P601" s="23" t="n">
        <v>79500.0357584877</v>
      </c>
      <c r="Q601" s="23" t="n">
        <v>80184.9967236553</v>
      </c>
      <c r="R601" s="23" t="n">
        <v>80860.6154938938</v>
      </c>
      <c r="S601" s="23" t="n">
        <v>81525.7150726388</v>
      </c>
      <c r="T601" s="23" t="n">
        <v>82179.0562515072</v>
      </c>
      <c r="U601" s="23" t="n">
        <v>82819.3349368859</v>
      </c>
      <c r="V601" s="23" t="n">
        <v>83445.1793721043</v>
      </c>
      <c r="W601" s="23" t="n">
        <v>82865.4323941846</v>
      </c>
      <c r="X601" s="23" t="n">
        <v>35526.3023726024</v>
      </c>
    </row>
    <row r="602" customFormat="false" ht="11.25" hidden="false" customHeight="false" outlineLevel="0" collapsed="false">
      <c r="A602" s="24" t="s">
        <v>8</v>
      </c>
      <c r="B602" s="19" t="n">
        <f aca="false">NPV(0.1,D602:Y602)</f>
        <v>254405.15527473</v>
      </c>
      <c r="C602" s="19" t="n">
        <f aca="false">B602-B592</f>
        <v>-4.81701572416932</v>
      </c>
      <c r="D602" s="20" t="n">
        <v>25846.2770897215</v>
      </c>
      <c r="E602" s="21" t="n">
        <v>27264.4833564257</v>
      </c>
      <c r="F602" s="21" t="n">
        <v>27415.0982883488</v>
      </c>
      <c r="G602" s="21" t="n">
        <v>28972.0580596937</v>
      </c>
      <c r="H602" s="21" t="n">
        <v>29949.4825080813</v>
      </c>
      <c r="I602" s="21" t="n">
        <v>30091.5249909751</v>
      </c>
      <c r="J602" s="21" t="n">
        <v>30280.1434121298</v>
      </c>
      <c r="K602" s="21" t="n">
        <v>30474.4203859191</v>
      </c>
      <c r="L602" s="21" t="n">
        <v>30674.5256689221</v>
      </c>
      <c r="M602" s="21" t="n">
        <v>30839.5519125763</v>
      </c>
      <c r="N602" s="22" t="n">
        <v>31051.8436073142</v>
      </c>
      <c r="O602" s="23" t="n">
        <v>31270.5040528942</v>
      </c>
      <c r="P602" s="23" t="n">
        <v>31495.7243118417</v>
      </c>
      <c r="Q602" s="23" t="n">
        <v>31686.6189807186</v>
      </c>
      <c r="R602" s="23" t="n">
        <v>31925.5551534359</v>
      </c>
      <c r="S602" s="23" t="n">
        <v>32171.6594113348</v>
      </c>
      <c r="T602" s="23" t="n">
        <v>32425.1467969706</v>
      </c>
      <c r="U602" s="23" t="n">
        <v>32645.1566063366</v>
      </c>
      <c r="V602" s="23" t="n">
        <v>32914.0813737576</v>
      </c>
      <c r="W602" s="23" t="n">
        <v>33191.0738842013</v>
      </c>
      <c r="X602" s="23" t="n">
        <v>16231.2252404099</v>
      </c>
    </row>
    <row r="603" customFormat="false" ht="11.25" hidden="false" customHeight="false" outlineLevel="0" collapsed="false">
      <c r="A603" s="24" t="s">
        <v>9</v>
      </c>
      <c r="B603" s="19" t="n">
        <f aca="false">NPV(0.1,D603:Y603)</f>
        <v>114784.061763425</v>
      </c>
      <c r="C603" s="19" t="n">
        <f aca="false">B603-B593</f>
        <v>-323.634465958749</v>
      </c>
      <c r="D603" s="20" t="n">
        <v>-2084.97377401394</v>
      </c>
      <c r="E603" s="21" t="n">
        <v>3294.55282108308</v>
      </c>
      <c r="F603" s="21" t="n">
        <v>3549.95856049921</v>
      </c>
      <c r="G603" s="21" t="n">
        <v>10027.9482903548</v>
      </c>
      <c r="H603" s="21" t="n">
        <v>15271.9055362486</v>
      </c>
      <c r="I603" s="21" t="n">
        <v>16527.3092050286</v>
      </c>
      <c r="J603" s="21" t="n">
        <v>16771.1915062413</v>
      </c>
      <c r="K603" s="21" t="n">
        <v>17486.8193385482</v>
      </c>
      <c r="L603" s="21" t="n">
        <v>18196.7798059404</v>
      </c>
      <c r="M603" s="21" t="n">
        <v>19174.0418658623</v>
      </c>
      <c r="N603" s="22" t="n">
        <v>20292.2683880012</v>
      </c>
      <c r="O603" s="23" t="n">
        <v>20781.5874397801</v>
      </c>
      <c r="P603" s="23" t="n">
        <v>21311.2896849274</v>
      </c>
      <c r="Q603" s="23" t="n">
        <v>21856.936139236</v>
      </c>
      <c r="R603" s="23" t="n">
        <v>22367.5285202288</v>
      </c>
      <c r="S603" s="23" t="n">
        <v>22867.3162457773</v>
      </c>
      <c r="T603" s="23" t="n">
        <v>23355.4109552475</v>
      </c>
      <c r="U603" s="23" t="n">
        <v>24099.8120325459</v>
      </c>
      <c r="V603" s="23" t="n">
        <v>24903.0490252936</v>
      </c>
      <c r="W603" s="23" t="n">
        <v>25111.1973009428</v>
      </c>
      <c r="X603" s="23" t="n">
        <v>7408.7922751813</v>
      </c>
    </row>
    <row r="604" customFormat="false" ht="11.25" hidden="false" customHeight="false" outlineLevel="0" collapsed="false">
      <c r="A604" s="24" t="s">
        <v>10</v>
      </c>
      <c r="B604" s="19" t="n">
        <f aca="false">NPV(0.1,D604:Y604)</f>
        <v>123486.137153618</v>
      </c>
      <c r="C604" s="19" t="n">
        <f aca="false">B604-B594</f>
        <v>-404.785483062937</v>
      </c>
      <c r="D604" s="25" t="n">
        <v>-6468.93145834297</v>
      </c>
      <c r="E604" s="26" t="n">
        <v>5918.45135412652</v>
      </c>
      <c r="F604" s="26" t="n">
        <v>3278.92647426236</v>
      </c>
      <c r="G604" s="26" t="n">
        <v>11295.4853472764</v>
      </c>
      <c r="H604" s="26" t="n">
        <v>25404.1452116853</v>
      </c>
      <c r="I604" s="26" t="n">
        <v>22639.9150516146</v>
      </c>
      <c r="J604" s="26" t="n">
        <v>18436.4320628319</v>
      </c>
      <c r="K604" s="26" t="n">
        <v>19161.6132710235</v>
      </c>
      <c r="L604" s="26" t="n">
        <v>14421.0203625309</v>
      </c>
      <c r="M604" s="26" t="n">
        <v>11658.1136004987</v>
      </c>
      <c r="N604" s="27" t="n">
        <v>26410.3689445918</v>
      </c>
      <c r="O604" s="23" t="n">
        <v>25921.1013722554</v>
      </c>
      <c r="P604" s="23" t="n">
        <v>26441.2502415179</v>
      </c>
      <c r="Q604" s="23" t="n">
        <v>26955.3678738725</v>
      </c>
      <c r="R604" s="23" t="n">
        <v>27497.4890768194</v>
      </c>
      <c r="S604" s="23" t="n">
        <v>25179.0309163533</v>
      </c>
      <c r="T604" s="23" t="n">
        <v>17908.179739809</v>
      </c>
      <c r="U604" s="23" t="n">
        <v>16635.2186192685</v>
      </c>
      <c r="V604" s="23" t="n">
        <v>14515.1178098551</v>
      </c>
      <c r="W604" s="23" t="n">
        <v>12746.9860855043</v>
      </c>
      <c r="X604" s="23" t="n">
        <v>11799.2110597428</v>
      </c>
    </row>
    <row r="606" customFormat="false" ht="11.25" hidden="false" customHeight="false" outlineLevel="0" collapsed="false">
      <c r="A606" s="28" t="s">
        <v>71</v>
      </c>
    </row>
    <row r="607" customFormat="false" ht="11.25" hidden="false" customHeight="false" outlineLevel="0" collapsed="false">
      <c r="A607" s="31" t="n">
        <v>36390</v>
      </c>
    </row>
    <row r="608" customFormat="false" ht="11.25" hidden="false" customHeight="false" outlineLevel="0" collapsed="false">
      <c r="A608" s="9" t="s">
        <v>2</v>
      </c>
      <c r="B608" s="10" t="n">
        <v>44426.2554764372</v>
      </c>
      <c r="C608" s="11"/>
      <c r="D608" s="11"/>
      <c r="E608" s="11"/>
      <c r="F608" s="11"/>
      <c r="G608" s="11"/>
      <c r="H608" s="11"/>
      <c r="I608" s="11"/>
      <c r="J608" s="11"/>
      <c r="K608" s="11"/>
      <c r="L608" s="11"/>
      <c r="M608" s="11"/>
      <c r="N608" s="11"/>
      <c r="O608" s="11"/>
      <c r="P608" s="11"/>
      <c r="Q608" s="11"/>
      <c r="R608" s="11"/>
      <c r="S608" s="11"/>
      <c r="T608" s="11"/>
      <c r="U608" s="11"/>
      <c r="V608" s="11"/>
    </row>
    <row r="609" customFormat="false" ht="11.25" hidden="false" customHeight="false" outlineLevel="0" collapsed="false">
      <c r="A609" s="12" t="s">
        <v>3</v>
      </c>
      <c r="B609" s="13" t="n">
        <v>87901.3846969978</v>
      </c>
      <c r="C609" s="11"/>
      <c r="D609" s="11"/>
      <c r="E609" s="11"/>
      <c r="F609" s="11"/>
      <c r="G609" s="11"/>
      <c r="H609" s="11"/>
      <c r="I609" s="11"/>
      <c r="J609" s="11"/>
      <c r="K609" s="11"/>
      <c r="L609" s="11"/>
      <c r="M609" s="11"/>
      <c r="N609" s="11"/>
      <c r="O609" s="11"/>
      <c r="P609" s="11"/>
      <c r="Q609" s="11"/>
      <c r="R609" s="11"/>
      <c r="S609" s="11"/>
      <c r="T609" s="11"/>
      <c r="U609" s="11"/>
      <c r="V609" s="11"/>
    </row>
    <row r="610" customFormat="false" ht="11.25" hidden="false" customHeight="false" outlineLevel="0" collapsed="false">
      <c r="A610" s="14" t="s">
        <v>4</v>
      </c>
      <c r="B610" s="15" t="s">
        <v>5</v>
      </c>
      <c r="C610" s="15" t="s">
        <v>6</v>
      </c>
      <c r="D610" s="16" t="n">
        <v>2000</v>
      </c>
      <c r="E610" s="17" t="n">
        <v>2001</v>
      </c>
      <c r="F610" s="17" t="n">
        <v>2002</v>
      </c>
      <c r="G610" s="17" t="n">
        <v>2003</v>
      </c>
      <c r="H610" s="17" t="n">
        <v>2004</v>
      </c>
      <c r="I610" s="17" t="n">
        <v>2005</v>
      </c>
      <c r="J610" s="17" t="n">
        <v>2006</v>
      </c>
      <c r="K610" s="17" t="n">
        <v>2007</v>
      </c>
      <c r="L610" s="17" t="n">
        <v>2008</v>
      </c>
      <c r="M610" s="17" t="n">
        <v>2009</v>
      </c>
      <c r="N610" s="18" t="n">
        <v>2010</v>
      </c>
      <c r="O610" s="11" t="n">
        <v>2011</v>
      </c>
      <c r="P610" s="11" t="n">
        <v>2012</v>
      </c>
      <c r="Q610" s="11" t="n">
        <v>2013</v>
      </c>
      <c r="R610" s="11" t="n">
        <v>2014</v>
      </c>
      <c r="S610" s="11" t="n">
        <v>2015</v>
      </c>
      <c r="T610" s="11" t="n">
        <v>2016</v>
      </c>
      <c r="U610" s="11" t="n">
        <v>2017</v>
      </c>
      <c r="V610" s="11" t="n">
        <v>2018</v>
      </c>
      <c r="W610" s="11" t="n">
        <v>2019</v>
      </c>
      <c r="X610" s="11" t="n">
        <v>2020</v>
      </c>
    </row>
    <row r="611" customFormat="false" ht="11.25" hidden="false" customHeight="false" outlineLevel="0" collapsed="false">
      <c r="A611" s="14" t="s">
        <v>7</v>
      </c>
      <c r="B611" s="19" t="n">
        <f aca="false">NPV(0.1,D611:Y611)</f>
        <v>587133.411132182</v>
      </c>
      <c r="C611" s="19" t="n">
        <f aca="false">B611-B601</f>
        <v>0</v>
      </c>
      <c r="D611" s="20" t="n">
        <v>41364.1276</v>
      </c>
      <c r="E611" s="21" t="n">
        <v>53599.168868</v>
      </c>
      <c r="F611" s="21" t="n">
        <v>53676.46137404</v>
      </c>
      <c r="G611" s="21" t="n">
        <v>65143.1014397198</v>
      </c>
      <c r="H611" s="21" t="n">
        <v>73806.6892850544</v>
      </c>
      <c r="I611" s="21" t="n">
        <v>75317.217318826</v>
      </c>
      <c r="J611" s="21" t="n">
        <v>75252.7853412367</v>
      </c>
      <c r="K611" s="21" t="n">
        <v>75972.2541927211</v>
      </c>
      <c r="L611" s="21" t="n">
        <v>76688.2738478309</v>
      </c>
      <c r="M611" s="21" t="n">
        <v>77399.9898328172</v>
      </c>
      <c r="N611" s="22" t="n">
        <v>78106.4995097831</v>
      </c>
      <c r="O611" s="23" t="n">
        <v>78806.8499558607</v>
      </c>
      <c r="P611" s="23" t="n">
        <v>79500.0357584877</v>
      </c>
      <c r="Q611" s="23" t="n">
        <v>80184.9967236553</v>
      </c>
      <c r="R611" s="23" t="n">
        <v>80860.6154938938</v>
      </c>
      <c r="S611" s="23" t="n">
        <v>81525.7150726388</v>
      </c>
      <c r="T611" s="23" t="n">
        <v>82179.0562515072</v>
      </c>
      <c r="U611" s="23" t="n">
        <v>82819.3349368859</v>
      </c>
      <c r="V611" s="23" t="n">
        <v>83445.1793721043</v>
      </c>
      <c r="W611" s="23" t="n">
        <v>82865.4323941846</v>
      </c>
      <c r="X611" s="23" t="n">
        <v>35526.3023726024</v>
      </c>
    </row>
    <row r="612" customFormat="false" ht="11.25" hidden="false" customHeight="false" outlineLevel="0" collapsed="false">
      <c r="A612" s="24" t="s">
        <v>8</v>
      </c>
      <c r="B612" s="19" t="n">
        <f aca="false">NPV(0.1,D612:Y612)</f>
        <v>254716.384046237</v>
      </c>
      <c r="C612" s="19" t="n">
        <f aca="false">B612-B602</f>
        <v>311.228771506896</v>
      </c>
      <c r="D612" s="20" t="n">
        <v>26188.628738379</v>
      </c>
      <c r="E612" s="21" t="n">
        <v>27264.4833564257</v>
      </c>
      <c r="F612" s="21" t="n">
        <v>27415.0982883488</v>
      </c>
      <c r="G612" s="21" t="n">
        <v>28972.0580596937</v>
      </c>
      <c r="H612" s="21" t="n">
        <v>29949.4825080813</v>
      </c>
      <c r="I612" s="21" t="n">
        <v>30091.5249909751</v>
      </c>
      <c r="J612" s="21" t="n">
        <v>30280.1434121298</v>
      </c>
      <c r="K612" s="21" t="n">
        <v>30474.4203859191</v>
      </c>
      <c r="L612" s="21" t="n">
        <v>30674.5256689221</v>
      </c>
      <c r="M612" s="21" t="n">
        <v>30839.5519125763</v>
      </c>
      <c r="N612" s="22" t="n">
        <v>31051.8436073142</v>
      </c>
      <c r="O612" s="23" t="n">
        <v>31270.5040528942</v>
      </c>
      <c r="P612" s="23" t="n">
        <v>31495.7243118417</v>
      </c>
      <c r="Q612" s="23" t="n">
        <v>31686.6189807186</v>
      </c>
      <c r="R612" s="23" t="n">
        <v>31925.5551534359</v>
      </c>
      <c r="S612" s="23" t="n">
        <v>32171.6594113348</v>
      </c>
      <c r="T612" s="23" t="n">
        <v>32425.1467969706</v>
      </c>
      <c r="U612" s="23" t="n">
        <v>32645.1566063366</v>
      </c>
      <c r="V612" s="23" t="n">
        <v>32914.0813737576</v>
      </c>
      <c r="W612" s="23" t="n">
        <v>33191.0738842013</v>
      </c>
      <c r="X612" s="23" t="n">
        <v>16231.2252404099</v>
      </c>
    </row>
    <row r="613" customFormat="false" ht="11.25" hidden="false" customHeight="false" outlineLevel="0" collapsed="false">
      <c r="A613" s="24" t="s">
        <v>9</v>
      </c>
      <c r="B613" s="19" t="n">
        <f aca="false">NPV(0.1,D613:Y613)</f>
        <v>114593.940938028</v>
      </c>
      <c r="C613" s="19" t="n">
        <f aca="false">B613-B603</f>
        <v>-190.120825397156</v>
      </c>
      <c r="D613" s="20" t="n">
        <v>-2294.10668195081</v>
      </c>
      <c r="E613" s="21" t="n">
        <v>3294.55282108308</v>
      </c>
      <c r="F613" s="21" t="n">
        <v>3549.95856049921</v>
      </c>
      <c r="G613" s="21" t="n">
        <v>10027.9482903548</v>
      </c>
      <c r="H613" s="21" t="n">
        <v>15271.9055362486</v>
      </c>
      <c r="I613" s="21" t="n">
        <v>16527.3092050286</v>
      </c>
      <c r="J613" s="21" t="n">
        <v>16771.1915062413</v>
      </c>
      <c r="K613" s="21" t="n">
        <v>17486.8193385482</v>
      </c>
      <c r="L613" s="21" t="n">
        <v>18196.7798059404</v>
      </c>
      <c r="M613" s="21" t="n">
        <v>19174.0418658623</v>
      </c>
      <c r="N613" s="22" t="n">
        <v>20292.2683880012</v>
      </c>
      <c r="O613" s="23" t="n">
        <v>20781.5874397801</v>
      </c>
      <c r="P613" s="23" t="n">
        <v>21311.2896849274</v>
      </c>
      <c r="Q613" s="23" t="n">
        <v>21856.936139236</v>
      </c>
      <c r="R613" s="23" t="n">
        <v>22367.5285202288</v>
      </c>
      <c r="S613" s="23" t="n">
        <v>22867.3162457773</v>
      </c>
      <c r="T613" s="23" t="n">
        <v>23355.4109552475</v>
      </c>
      <c r="U613" s="23" t="n">
        <v>24099.8120325459</v>
      </c>
      <c r="V613" s="23" t="n">
        <v>24903.0490252936</v>
      </c>
      <c r="W613" s="23" t="n">
        <v>25111.1973009428</v>
      </c>
      <c r="X613" s="23" t="n">
        <v>7408.7922751813</v>
      </c>
    </row>
    <row r="614" customFormat="false" ht="11.25" hidden="false" customHeight="false" outlineLevel="0" collapsed="false">
      <c r="A614" s="24" t="s">
        <v>10</v>
      </c>
      <c r="B614" s="19" t="n">
        <f aca="false">NPV(0.1,D614:Y614)</f>
        <v>123276.925660538</v>
      </c>
      <c r="C614" s="19" t="n">
        <f aca="false">B614-B604</f>
        <v>-209.211493079609</v>
      </c>
      <c r="D614" s="25" t="n">
        <v>-6473.21085395119</v>
      </c>
      <c r="E614" s="26" t="n">
        <v>5576.09970546895</v>
      </c>
      <c r="F614" s="26" t="n">
        <v>3278.92647426236</v>
      </c>
      <c r="G614" s="26" t="n">
        <v>11295.4853472764</v>
      </c>
      <c r="H614" s="26" t="n">
        <v>25404.1452116853</v>
      </c>
      <c r="I614" s="26" t="n">
        <v>22777.4131879435</v>
      </c>
      <c r="J614" s="26" t="n">
        <v>18436.4320628319</v>
      </c>
      <c r="K614" s="26" t="n">
        <v>19161.6132710235</v>
      </c>
      <c r="L614" s="26" t="n">
        <v>14421.0203625309</v>
      </c>
      <c r="M614" s="26" t="n">
        <v>11658.1136004987</v>
      </c>
      <c r="N614" s="27" t="n">
        <v>26410.3689445918</v>
      </c>
      <c r="O614" s="23" t="n">
        <v>25921.1013722554</v>
      </c>
      <c r="P614" s="23" t="n">
        <v>26441.2502415179</v>
      </c>
      <c r="Q614" s="23" t="n">
        <v>26955.3678738725</v>
      </c>
      <c r="R614" s="23" t="n">
        <v>27497.4890768194</v>
      </c>
      <c r="S614" s="23" t="n">
        <v>25179.0309163533</v>
      </c>
      <c r="T614" s="23" t="n">
        <v>17908.179739809</v>
      </c>
      <c r="U614" s="23" t="n">
        <v>16635.2186192685</v>
      </c>
      <c r="V614" s="23" t="n">
        <v>14515.1178098551</v>
      </c>
      <c r="W614" s="23" t="n">
        <v>12746.9860855043</v>
      </c>
      <c r="X614" s="23" t="n">
        <v>11799.2110597428</v>
      </c>
    </row>
    <row r="617" customFormat="false" ht="11.25" hidden="false" customHeight="false" outlineLevel="0" collapsed="false">
      <c r="A617" s="32" t="s">
        <v>72</v>
      </c>
    </row>
    <row r="618" customFormat="false" ht="11.25" hidden="false" customHeight="false" outlineLevel="0" collapsed="false">
      <c r="A618" s="31" t="n">
        <v>36391</v>
      </c>
    </row>
    <row r="619" customFormat="false" ht="11.25" hidden="false" customHeight="false" outlineLevel="0" collapsed="false">
      <c r="A619" s="9" t="s">
        <v>2</v>
      </c>
      <c r="B619" s="10" t="n">
        <v>44430.4363592609</v>
      </c>
      <c r="C619" s="11"/>
      <c r="D619" s="11"/>
      <c r="E619" s="11"/>
      <c r="F619" s="11"/>
      <c r="G619" s="11"/>
      <c r="H619" s="11"/>
      <c r="I619" s="11"/>
      <c r="J619" s="11"/>
      <c r="K619" s="11"/>
      <c r="L619" s="11"/>
      <c r="M619" s="11"/>
      <c r="N619" s="11"/>
      <c r="O619" s="11"/>
      <c r="P619" s="11"/>
      <c r="Q619" s="11"/>
      <c r="R619" s="11"/>
      <c r="S619" s="11"/>
      <c r="T619" s="11"/>
      <c r="U619" s="11"/>
      <c r="V619" s="11"/>
    </row>
    <row r="620" customFormat="false" ht="11.25" hidden="false" customHeight="false" outlineLevel="0" collapsed="false">
      <c r="A620" s="12" t="s">
        <v>3</v>
      </c>
      <c r="B620" s="13" t="n">
        <v>87903.5219633614</v>
      </c>
      <c r="C620" s="11"/>
      <c r="D620" s="11"/>
      <c r="E620" s="11"/>
      <c r="F620" s="11"/>
      <c r="G620" s="11"/>
      <c r="H620" s="11"/>
      <c r="I620" s="11"/>
      <c r="J620" s="11"/>
      <c r="K620" s="11"/>
      <c r="L620" s="11"/>
      <c r="M620" s="11"/>
      <c r="N620" s="11"/>
      <c r="O620" s="11"/>
      <c r="P620" s="11"/>
      <c r="Q620" s="11"/>
      <c r="R620" s="11"/>
      <c r="S620" s="11"/>
      <c r="T620" s="11"/>
      <c r="U620" s="11"/>
      <c r="V620" s="11"/>
    </row>
    <row r="621" customFormat="false" ht="11.25" hidden="false" customHeight="false" outlineLevel="0" collapsed="false">
      <c r="A621" s="14" t="s">
        <v>4</v>
      </c>
      <c r="B621" s="15" t="s">
        <v>5</v>
      </c>
      <c r="C621" s="15" t="s">
        <v>6</v>
      </c>
      <c r="D621" s="16" t="n">
        <v>2000</v>
      </c>
      <c r="E621" s="17" t="n">
        <v>2001</v>
      </c>
      <c r="F621" s="17" t="n">
        <v>2002</v>
      </c>
      <c r="G621" s="17" t="n">
        <v>2003</v>
      </c>
      <c r="H621" s="17" t="n">
        <v>2004</v>
      </c>
      <c r="I621" s="17" t="n">
        <v>2005</v>
      </c>
      <c r="J621" s="17" t="n">
        <v>2006</v>
      </c>
      <c r="K621" s="17" t="n">
        <v>2007</v>
      </c>
      <c r="L621" s="17" t="n">
        <v>2008</v>
      </c>
      <c r="M621" s="17" t="n">
        <v>2009</v>
      </c>
      <c r="N621" s="18" t="n">
        <v>2010</v>
      </c>
      <c r="O621" s="11" t="n">
        <v>2011</v>
      </c>
      <c r="P621" s="11" t="n">
        <v>2012</v>
      </c>
      <c r="Q621" s="11" t="n">
        <v>2013</v>
      </c>
      <c r="R621" s="11" t="n">
        <v>2014</v>
      </c>
      <c r="S621" s="11" t="n">
        <v>2015</v>
      </c>
      <c r="T621" s="11" t="n">
        <v>2016</v>
      </c>
      <c r="U621" s="11" t="n">
        <v>2017</v>
      </c>
      <c r="V621" s="11" t="n">
        <v>2018</v>
      </c>
      <c r="W621" s="11" t="n">
        <v>2019</v>
      </c>
      <c r="X621" s="11" t="n">
        <v>2020</v>
      </c>
    </row>
    <row r="622" customFormat="false" ht="11.25" hidden="false" customHeight="false" outlineLevel="0" collapsed="false">
      <c r="A622" s="14" t="s">
        <v>7</v>
      </c>
      <c r="B622" s="19" t="n">
        <f aca="false">NPV(0.1,D622:Y622)</f>
        <v>587133.411132182</v>
      </c>
      <c r="C622" s="19" t="n">
        <f aca="false">B622-B611</f>
        <v>0</v>
      </c>
      <c r="D622" s="20" t="n">
        <v>41364.1276</v>
      </c>
      <c r="E622" s="21" t="n">
        <v>53599.168868</v>
      </c>
      <c r="F622" s="21" t="n">
        <v>53676.46137404</v>
      </c>
      <c r="G622" s="21" t="n">
        <v>65143.1014397198</v>
      </c>
      <c r="H622" s="21" t="n">
        <v>73806.6892850544</v>
      </c>
      <c r="I622" s="21" t="n">
        <v>75317.217318826</v>
      </c>
      <c r="J622" s="21" t="n">
        <v>75252.7853412367</v>
      </c>
      <c r="K622" s="21" t="n">
        <v>75972.2541927211</v>
      </c>
      <c r="L622" s="21" t="n">
        <v>76688.2738478309</v>
      </c>
      <c r="M622" s="21" t="n">
        <v>77399.9898328172</v>
      </c>
      <c r="N622" s="22" t="n">
        <v>78106.4995097831</v>
      </c>
      <c r="O622" s="23" t="n">
        <v>78806.8499558607</v>
      </c>
      <c r="P622" s="23" t="n">
        <v>79500.0357584877</v>
      </c>
      <c r="Q622" s="23" t="n">
        <v>80184.9967236553</v>
      </c>
      <c r="R622" s="23" t="n">
        <v>80860.6154938938</v>
      </c>
      <c r="S622" s="23" t="n">
        <v>81525.7150726388</v>
      </c>
      <c r="T622" s="23" t="n">
        <v>82179.0562515072</v>
      </c>
      <c r="U622" s="23" t="n">
        <v>82819.3349368859</v>
      </c>
      <c r="V622" s="23" t="n">
        <v>83445.1793721043</v>
      </c>
      <c r="W622" s="23" t="n">
        <v>82865.4323941846</v>
      </c>
      <c r="X622" s="23" t="n">
        <v>35526.3023726024</v>
      </c>
    </row>
    <row r="623" customFormat="false" ht="11.25" hidden="false" customHeight="false" outlineLevel="0" collapsed="false">
      <c r="A623" s="24" t="s">
        <v>8</v>
      </c>
      <c r="B623" s="19" t="n">
        <f aca="false">NPV(0.1,D623:Y623)</f>
        <v>254717.391449097</v>
      </c>
      <c r="C623" s="19" t="n">
        <f aca="false">B623-B612</f>
        <v>1.00740286070504</v>
      </c>
      <c r="D623" s="20" t="n">
        <v>26188.7748755024</v>
      </c>
      <c r="E623" s="21" t="n">
        <v>27264.6096945491</v>
      </c>
      <c r="F623" s="21" t="n">
        <v>27415.2246264722</v>
      </c>
      <c r="G623" s="21" t="n">
        <v>28972.1843978171</v>
      </c>
      <c r="H623" s="21" t="n">
        <v>29949.6088462047</v>
      </c>
      <c r="I623" s="21" t="n">
        <v>30091.6409202837</v>
      </c>
      <c r="J623" s="21" t="n">
        <v>30280.2593414384</v>
      </c>
      <c r="K623" s="21" t="n">
        <v>30474.5363152277</v>
      </c>
      <c r="L623" s="21" t="n">
        <v>30674.6415982307</v>
      </c>
      <c r="M623" s="21" t="n">
        <v>30839.6574330701</v>
      </c>
      <c r="N623" s="22" t="n">
        <v>31051.949127808</v>
      </c>
      <c r="O623" s="23" t="n">
        <v>31270.609573388</v>
      </c>
      <c r="P623" s="23" t="n">
        <v>31495.8298323355</v>
      </c>
      <c r="Q623" s="23" t="n">
        <v>31686.7140923976</v>
      </c>
      <c r="R623" s="23" t="n">
        <v>31925.6502651149</v>
      </c>
      <c r="S623" s="23" t="n">
        <v>32171.7545230138</v>
      </c>
      <c r="T623" s="23" t="n">
        <v>32425.2419086496</v>
      </c>
      <c r="U623" s="23" t="n">
        <v>32645.2413092008</v>
      </c>
      <c r="V623" s="23" t="n">
        <v>32914.1660766218</v>
      </c>
      <c r="W623" s="23" t="n">
        <v>33191.1585870655</v>
      </c>
      <c r="X623" s="23" t="n">
        <v>16231.3099432741</v>
      </c>
    </row>
    <row r="624" customFormat="false" ht="11.25" hidden="false" customHeight="false" outlineLevel="0" collapsed="false">
      <c r="A624" s="24" t="s">
        <v>9</v>
      </c>
      <c r="B624" s="19" t="n">
        <f aca="false">NPV(0.1,D624:Y624)</f>
        <v>114599.470971503</v>
      </c>
      <c r="C624" s="19" t="n">
        <f aca="false">B624-B613</f>
        <v>5.53003347542835</v>
      </c>
      <c r="D624" s="20" t="n">
        <v>-2281.33414291632</v>
      </c>
      <c r="E624" s="21" t="n">
        <v>3293.75892486813</v>
      </c>
      <c r="F624" s="21" t="n">
        <v>3549.16466428426</v>
      </c>
      <c r="G624" s="21" t="n">
        <v>10027.1543941398</v>
      </c>
      <c r="H624" s="21" t="n">
        <v>15271.1116400336</v>
      </c>
      <c r="I624" s="21" t="n">
        <v>16526.5216672633</v>
      </c>
      <c r="J624" s="21" t="n">
        <v>16770.403968476</v>
      </c>
      <c r="K624" s="21" t="n">
        <v>17486.0318007829</v>
      </c>
      <c r="L624" s="21" t="n">
        <v>18195.9922681751</v>
      </c>
      <c r="M624" s="21" t="n">
        <v>19173.2606865465</v>
      </c>
      <c r="N624" s="22" t="n">
        <v>20291.4872086855</v>
      </c>
      <c r="O624" s="23" t="n">
        <v>20780.8062604644</v>
      </c>
      <c r="P624" s="23" t="n">
        <v>21310.5085056117</v>
      </c>
      <c r="Q624" s="23" t="n">
        <v>21856.1613183699</v>
      </c>
      <c r="R624" s="23" t="n">
        <v>22366.7536993627</v>
      </c>
      <c r="S624" s="23" t="n">
        <v>22866.5414249112</v>
      </c>
      <c r="T624" s="23" t="n">
        <v>23354.6361343814</v>
      </c>
      <c r="U624" s="23" t="n">
        <v>24099.0435701294</v>
      </c>
      <c r="V624" s="23" t="n">
        <v>24902.2805628772</v>
      </c>
      <c r="W624" s="23" t="n">
        <v>25110.4288385263</v>
      </c>
      <c r="X624" s="23" t="n">
        <v>7408.02381276482</v>
      </c>
    </row>
    <row r="625" customFormat="false" ht="11.25" hidden="false" customHeight="false" outlineLevel="0" collapsed="false">
      <c r="A625" s="24" t="s">
        <v>10</v>
      </c>
      <c r="B625" s="19" t="n">
        <f aca="false">NPV(0.1,D625:Y625)</f>
        <v>123298.413225097</v>
      </c>
      <c r="C625" s="19" t="n">
        <f aca="false">B625-B614</f>
        <v>21.4875645583088</v>
      </c>
      <c r="D625" s="25" t="n">
        <v>-6451.26107766524</v>
      </c>
      <c r="E625" s="26" t="n">
        <v>5575.97178811899</v>
      </c>
      <c r="F625" s="26" t="n">
        <v>3278.7985569124</v>
      </c>
      <c r="G625" s="26" t="n">
        <v>11295.3574299265</v>
      </c>
      <c r="H625" s="26" t="n">
        <v>25404.0172943353</v>
      </c>
      <c r="I625" s="26" t="n">
        <v>22775.7596069554</v>
      </c>
      <c r="J625" s="26" t="n">
        <v>18437.2879778877</v>
      </c>
      <c r="K625" s="26" t="n">
        <v>19162.4707568132</v>
      </c>
      <c r="L625" s="26" t="n">
        <v>14421.8762775867</v>
      </c>
      <c r="M625" s="26" t="n">
        <v>11658.9670359232</v>
      </c>
      <c r="N625" s="27" t="n">
        <v>26411.2312180972</v>
      </c>
      <c r="O625" s="23" t="n">
        <v>25921.9652164947</v>
      </c>
      <c r="P625" s="23" t="n">
        <v>26442.1125150234</v>
      </c>
      <c r="Q625" s="23" t="n">
        <v>26956.2276677466</v>
      </c>
      <c r="R625" s="23" t="n">
        <v>27498.3577087744</v>
      </c>
      <c r="S625" s="23" t="n">
        <v>25179.4361818179</v>
      </c>
      <c r="T625" s="23" t="n">
        <v>17908.1216387831</v>
      </c>
      <c r="U625" s="23" t="n">
        <v>16635.1564678774</v>
      </c>
      <c r="V625" s="23" t="n">
        <v>14515.0660672789</v>
      </c>
      <c r="W625" s="23" t="n">
        <v>12746.934342928</v>
      </c>
      <c r="X625" s="23" t="n">
        <v>11799.1593171665</v>
      </c>
    </row>
    <row r="628" customFormat="false" ht="11.25" hidden="false" customHeight="false" outlineLevel="0" collapsed="false">
      <c r="A628" s="32" t="s">
        <v>73</v>
      </c>
    </row>
    <row r="629" customFormat="false" ht="11.25" hidden="false" customHeight="false" outlineLevel="0" collapsed="false">
      <c r="A629" s="31" t="n">
        <v>36396</v>
      </c>
    </row>
    <row r="630" customFormat="false" ht="11.25" hidden="false" customHeight="false" outlineLevel="0" collapsed="false">
      <c r="A630" s="9" t="s">
        <v>2</v>
      </c>
      <c r="B630" s="10" t="n">
        <v>44489.3628203188</v>
      </c>
      <c r="C630" s="11"/>
      <c r="D630" s="11"/>
      <c r="E630" s="11"/>
      <c r="F630" s="11"/>
      <c r="G630" s="11"/>
      <c r="H630" s="11"/>
      <c r="I630" s="11"/>
      <c r="J630" s="11"/>
      <c r="K630" s="11"/>
      <c r="L630" s="11"/>
      <c r="M630" s="11"/>
      <c r="N630" s="11"/>
      <c r="O630" s="11"/>
      <c r="P630" s="11"/>
      <c r="Q630" s="11"/>
      <c r="R630" s="11"/>
      <c r="S630" s="11"/>
      <c r="T630" s="11"/>
      <c r="U630" s="11"/>
      <c r="V630" s="11"/>
    </row>
    <row r="631" customFormat="false" ht="11.25" hidden="false" customHeight="false" outlineLevel="0" collapsed="false">
      <c r="A631" s="12" t="s">
        <v>3</v>
      </c>
      <c r="B631" s="13" t="n">
        <v>87974.3049200289</v>
      </c>
      <c r="C631" s="11"/>
      <c r="D631" s="11"/>
      <c r="E631" s="11"/>
      <c r="F631" s="11"/>
      <c r="G631" s="11"/>
      <c r="H631" s="11"/>
      <c r="I631" s="11"/>
      <c r="J631" s="11"/>
      <c r="K631" s="11"/>
      <c r="L631" s="11"/>
      <c r="M631" s="11"/>
      <c r="N631" s="11"/>
      <c r="O631" s="11"/>
      <c r="P631" s="11"/>
      <c r="Q631" s="11"/>
      <c r="R631" s="11"/>
      <c r="S631" s="11"/>
      <c r="T631" s="11"/>
      <c r="U631" s="11"/>
      <c r="V631" s="11"/>
    </row>
    <row r="632" customFormat="false" ht="11.25" hidden="false" customHeight="false" outlineLevel="0" collapsed="false">
      <c r="A632" s="14" t="s">
        <v>4</v>
      </c>
      <c r="B632" s="15" t="s">
        <v>5</v>
      </c>
      <c r="C632" s="15" t="s">
        <v>6</v>
      </c>
      <c r="D632" s="16" t="n">
        <v>2000</v>
      </c>
      <c r="E632" s="17" t="n">
        <v>2001</v>
      </c>
      <c r="F632" s="17" t="n">
        <v>2002</v>
      </c>
      <c r="G632" s="17" t="n">
        <v>2003</v>
      </c>
      <c r="H632" s="17" t="n">
        <v>2004</v>
      </c>
      <c r="I632" s="17" t="n">
        <v>2005</v>
      </c>
      <c r="J632" s="17" t="n">
        <v>2006</v>
      </c>
      <c r="K632" s="17" t="n">
        <v>2007</v>
      </c>
      <c r="L632" s="17" t="n">
        <v>2008</v>
      </c>
      <c r="M632" s="17" t="n">
        <v>2009</v>
      </c>
      <c r="N632" s="18" t="n">
        <v>2010</v>
      </c>
      <c r="O632" s="11" t="n">
        <v>2011</v>
      </c>
      <c r="P632" s="11" t="n">
        <v>2012</v>
      </c>
      <c r="Q632" s="11" t="n">
        <v>2013</v>
      </c>
      <c r="R632" s="11" t="n">
        <v>2014</v>
      </c>
      <c r="S632" s="11" t="n">
        <v>2015</v>
      </c>
      <c r="T632" s="11" t="n">
        <v>2016</v>
      </c>
      <c r="U632" s="11" t="n">
        <v>2017</v>
      </c>
      <c r="V632" s="11" t="n">
        <v>2018</v>
      </c>
      <c r="W632" s="11" t="n">
        <v>2019</v>
      </c>
      <c r="X632" s="11" t="n">
        <v>2020</v>
      </c>
    </row>
    <row r="633" customFormat="false" ht="11.25" hidden="false" customHeight="false" outlineLevel="0" collapsed="false">
      <c r="A633" s="14" t="s">
        <v>7</v>
      </c>
      <c r="B633" s="19" t="n">
        <f aca="false">NPV(0.1,D633:Y633)</f>
        <v>587133.411132182</v>
      </c>
      <c r="C633" s="19" t="n">
        <f aca="false">B633-B622</f>
        <v>0</v>
      </c>
      <c r="D633" s="20" t="n">
        <v>41364.1276</v>
      </c>
      <c r="E633" s="21" t="n">
        <v>53599.168868</v>
      </c>
      <c r="F633" s="21" t="n">
        <v>53676.46137404</v>
      </c>
      <c r="G633" s="21" t="n">
        <v>65143.1014397198</v>
      </c>
      <c r="H633" s="21" t="n">
        <v>73806.6892850544</v>
      </c>
      <c r="I633" s="21" t="n">
        <v>75317.217318826</v>
      </c>
      <c r="J633" s="21" t="n">
        <v>75252.7853412367</v>
      </c>
      <c r="K633" s="21" t="n">
        <v>75972.2541927211</v>
      </c>
      <c r="L633" s="21" t="n">
        <v>76688.2738478309</v>
      </c>
      <c r="M633" s="21" t="n">
        <v>77399.9898328172</v>
      </c>
      <c r="N633" s="22" t="n">
        <v>78106.4995097831</v>
      </c>
      <c r="O633" s="23" t="n">
        <v>78806.8499558607</v>
      </c>
      <c r="P633" s="23" t="n">
        <v>79500.0357584877</v>
      </c>
      <c r="Q633" s="23" t="n">
        <v>80184.9967236553</v>
      </c>
      <c r="R633" s="23" t="n">
        <v>80860.6154938938</v>
      </c>
      <c r="S633" s="23" t="n">
        <v>81525.7150726388</v>
      </c>
      <c r="T633" s="23" t="n">
        <v>82179.0562515072</v>
      </c>
      <c r="U633" s="23" t="n">
        <v>82819.3349368859</v>
      </c>
      <c r="V633" s="23" t="n">
        <v>83445.1793721043</v>
      </c>
      <c r="W633" s="23" t="n">
        <v>82865.4323941846</v>
      </c>
      <c r="X633" s="23" t="n">
        <v>35526.3023726024</v>
      </c>
    </row>
    <row r="634" customFormat="false" ht="11.25" hidden="false" customHeight="false" outlineLevel="0" collapsed="false">
      <c r="A634" s="24" t="s">
        <v>8</v>
      </c>
      <c r="B634" s="19" t="n">
        <f aca="false">NPV(0.1,D634:Y634)</f>
        <v>254716.709534511</v>
      </c>
      <c r="C634" s="19" t="n">
        <f aca="false">B634-B623</f>
        <v>-0.68191458604997</v>
      </c>
      <c r="D634" s="20" t="n">
        <v>26188.6625120024</v>
      </c>
      <c r="E634" s="21" t="n">
        <v>27264.5347855491</v>
      </c>
      <c r="F634" s="21" t="n">
        <v>27415.1497174722</v>
      </c>
      <c r="G634" s="21" t="n">
        <v>28972.1094888171</v>
      </c>
      <c r="H634" s="21" t="n">
        <v>29949.5339372047</v>
      </c>
      <c r="I634" s="21" t="n">
        <v>30091.5660112837</v>
      </c>
      <c r="J634" s="21" t="n">
        <v>30280.1844324384</v>
      </c>
      <c r="K634" s="21" t="n">
        <v>30474.4614062277</v>
      </c>
      <c r="L634" s="21" t="n">
        <v>30674.5666892307</v>
      </c>
      <c r="M634" s="21" t="n">
        <v>30839.5825240701</v>
      </c>
      <c r="N634" s="22" t="n">
        <v>31051.874218808</v>
      </c>
      <c r="O634" s="23" t="n">
        <v>31270.534664388</v>
      </c>
      <c r="P634" s="23" t="n">
        <v>31495.7549233355</v>
      </c>
      <c r="Q634" s="23" t="n">
        <v>31686.6391833976</v>
      </c>
      <c r="R634" s="23" t="n">
        <v>31925.5753561149</v>
      </c>
      <c r="S634" s="23" t="n">
        <v>32171.6796140138</v>
      </c>
      <c r="T634" s="23" t="n">
        <v>32425.1669996496</v>
      </c>
      <c r="U634" s="23" t="n">
        <v>32645.1664002008</v>
      </c>
      <c r="V634" s="23" t="n">
        <v>32914.0911676218</v>
      </c>
      <c r="W634" s="23" t="n">
        <v>33191.0836780655</v>
      </c>
      <c r="X634" s="23" t="n">
        <v>16231.2350342741</v>
      </c>
    </row>
    <row r="635" customFormat="false" ht="11.25" hidden="false" customHeight="false" outlineLevel="0" collapsed="false">
      <c r="A635" s="24" t="s">
        <v>9</v>
      </c>
      <c r="B635" s="19" t="n">
        <f aca="false">NPV(0.1,D635:Y635)</f>
        <v>114610.465387112</v>
      </c>
      <c r="C635" s="19" t="n">
        <f aca="false">B635-B624</f>
        <v>10.994415608875</v>
      </c>
      <c r="D635" s="20" t="n">
        <v>-2281.81160286701</v>
      </c>
      <c r="E635" s="21" t="n">
        <v>3295.41284266579</v>
      </c>
      <c r="F635" s="21" t="n">
        <v>3550.81858208191</v>
      </c>
      <c r="G635" s="21" t="n">
        <v>10028.8083119375</v>
      </c>
      <c r="H635" s="21" t="n">
        <v>15272.7655578313</v>
      </c>
      <c r="I635" s="21" t="n">
        <v>16528.002429351</v>
      </c>
      <c r="J635" s="21" t="n">
        <v>16771.7610479136</v>
      </c>
      <c r="K635" s="21" t="n">
        <v>17487.3888802205</v>
      </c>
      <c r="L635" s="21" t="n">
        <v>18197.3493476127</v>
      </c>
      <c r="M635" s="21" t="n">
        <v>19174.6177659842</v>
      </c>
      <c r="N635" s="22" t="n">
        <v>20292.8442881232</v>
      </c>
      <c r="O635" s="23" t="n">
        <v>20782.163339902</v>
      </c>
      <c r="P635" s="23" t="n">
        <v>21311.8655850493</v>
      </c>
      <c r="Q635" s="23" t="n">
        <v>21857.5183978076</v>
      </c>
      <c r="R635" s="23" t="n">
        <v>22368.1107788004</v>
      </c>
      <c r="S635" s="23" t="n">
        <v>22867.8985043488</v>
      </c>
      <c r="T635" s="23" t="n">
        <v>23355.9932138191</v>
      </c>
      <c r="U635" s="23" t="n">
        <v>24100.4006495671</v>
      </c>
      <c r="V635" s="23" t="n">
        <v>24903.6376423148</v>
      </c>
      <c r="W635" s="23" t="n">
        <v>25111.785917964</v>
      </c>
      <c r="X635" s="23" t="n">
        <v>7409.38089220248</v>
      </c>
    </row>
    <row r="636" customFormat="false" ht="11.25" hidden="false" customHeight="false" outlineLevel="0" collapsed="false">
      <c r="A636" s="24" t="s">
        <v>10</v>
      </c>
      <c r="B636" s="19" t="n">
        <f aca="false">NPV(0.1,D636:Y636)</f>
        <v>123283.804053569</v>
      </c>
      <c r="C636" s="19" t="n">
        <f aca="false">B636-B625</f>
        <v>-14.609171527889</v>
      </c>
      <c r="D636" s="25" t="n">
        <v>-6453.60730962149</v>
      </c>
      <c r="E636" s="26" t="n">
        <v>5576.0476334815</v>
      </c>
      <c r="F636" s="26" t="n">
        <v>3278.8744022749</v>
      </c>
      <c r="G636" s="26" t="n">
        <v>11295.433275289</v>
      </c>
      <c r="H636" s="26" t="n">
        <v>25404.0931396978</v>
      </c>
      <c r="I636" s="26" t="n">
        <v>22763.0208888335</v>
      </c>
      <c r="J636" s="26" t="n">
        <v>18435.6381753252</v>
      </c>
      <c r="K636" s="26" t="n">
        <v>19160.8180804163</v>
      </c>
      <c r="L636" s="26" t="n">
        <v>14420.2264750243</v>
      </c>
      <c r="M636" s="26" t="n">
        <v>11657.3143595263</v>
      </c>
      <c r="N636" s="27" t="n">
        <v>26409.5814155348</v>
      </c>
      <c r="O636" s="23" t="n">
        <v>25920.3125400978</v>
      </c>
      <c r="P636" s="23" t="n">
        <v>26440.4627124609</v>
      </c>
      <c r="Q636" s="23" t="n">
        <v>26954.5749913497</v>
      </c>
      <c r="R636" s="23" t="n">
        <v>27496.707906212</v>
      </c>
      <c r="S636" s="23" t="n">
        <v>25178.6341604279</v>
      </c>
      <c r="T636" s="23" t="n">
        <v>17908.1673985657</v>
      </c>
      <c r="U636" s="23" t="n">
        <v>16635.2022276599</v>
      </c>
      <c r="V636" s="23" t="n">
        <v>14515.1118270614</v>
      </c>
      <c r="W636" s="23" t="n">
        <v>12746.9801027106</v>
      </c>
      <c r="X636" s="23" t="n">
        <v>11799.2050769491</v>
      </c>
    </row>
    <row r="639" customFormat="false" ht="11.25" hidden="false" customHeight="false" outlineLevel="0" collapsed="false">
      <c r="A639" s="32" t="s">
        <v>74</v>
      </c>
    </row>
    <row r="640" customFormat="false" ht="11.25" hidden="false" customHeight="false" outlineLevel="0" collapsed="false">
      <c r="A640" s="31" t="n">
        <v>36403</v>
      </c>
    </row>
    <row r="641" customFormat="false" ht="11.25" hidden="false" customHeight="false" outlineLevel="0" collapsed="false">
      <c r="A641" s="9" t="s">
        <v>2</v>
      </c>
      <c r="B641" s="10" t="n">
        <v>44545.7625188773</v>
      </c>
      <c r="C641" s="11"/>
      <c r="D641" s="11"/>
      <c r="E641" s="11"/>
      <c r="F641" s="11"/>
      <c r="G641" s="11"/>
      <c r="H641" s="11"/>
      <c r="I641" s="11"/>
      <c r="J641" s="11"/>
      <c r="K641" s="11"/>
      <c r="L641" s="11"/>
      <c r="M641" s="11"/>
      <c r="N641" s="11"/>
      <c r="O641" s="11"/>
      <c r="P641" s="11"/>
      <c r="Q641" s="11"/>
      <c r="R641" s="11"/>
      <c r="S641" s="11"/>
      <c r="T641" s="11"/>
      <c r="U641" s="11"/>
      <c r="V641" s="11"/>
    </row>
    <row r="642" customFormat="false" ht="11.25" hidden="false" customHeight="false" outlineLevel="0" collapsed="false">
      <c r="A642" s="12" t="s">
        <v>3</v>
      </c>
      <c r="B642" s="13" t="n">
        <v>88041.5049200289</v>
      </c>
      <c r="C642" s="11"/>
      <c r="D642" s="11"/>
      <c r="E642" s="11"/>
      <c r="F642" s="11"/>
      <c r="G642" s="11"/>
      <c r="H642" s="11"/>
      <c r="I642" s="11"/>
      <c r="J642" s="11"/>
      <c r="K642" s="11"/>
      <c r="L642" s="11"/>
      <c r="M642" s="11"/>
      <c r="N642" s="11"/>
      <c r="O642" s="11"/>
      <c r="P642" s="11"/>
      <c r="Q642" s="11"/>
      <c r="R642" s="11"/>
      <c r="S642" s="11"/>
      <c r="T642" s="11"/>
      <c r="U642" s="11"/>
      <c r="V642" s="11"/>
    </row>
    <row r="643" customFormat="false" ht="11.25" hidden="false" customHeight="false" outlineLevel="0" collapsed="false">
      <c r="A643" s="14" t="s">
        <v>4</v>
      </c>
      <c r="B643" s="15" t="s">
        <v>5</v>
      </c>
      <c r="C643" s="15" t="s">
        <v>6</v>
      </c>
      <c r="D643" s="16" t="n">
        <v>2000</v>
      </c>
      <c r="E643" s="17" t="n">
        <v>2001</v>
      </c>
      <c r="F643" s="17" t="n">
        <v>2002</v>
      </c>
      <c r="G643" s="17" t="n">
        <v>2003</v>
      </c>
      <c r="H643" s="17" t="n">
        <v>2004</v>
      </c>
      <c r="I643" s="17" t="n">
        <v>2005</v>
      </c>
      <c r="J643" s="17" t="n">
        <v>2006</v>
      </c>
      <c r="K643" s="17" t="n">
        <v>2007</v>
      </c>
      <c r="L643" s="17" t="n">
        <v>2008</v>
      </c>
      <c r="M643" s="17" t="n">
        <v>2009</v>
      </c>
      <c r="N643" s="18" t="n">
        <v>2010</v>
      </c>
      <c r="O643" s="11" t="n">
        <v>2011</v>
      </c>
      <c r="P643" s="11" t="n">
        <v>2012</v>
      </c>
      <c r="Q643" s="11" t="n">
        <v>2013</v>
      </c>
      <c r="R643" s="11" t="n">
        <v>2014</v>
      </c>
      <c r="S643" s="11" t="n">
        <v>2015</v>
      </c>
      <c r="T643" s="11" t="n">
        <v>2016</v>
      </c>
      <c r="U643" s="11" t="n">
        <v>2017</v>
      </c>
      <c r="V643" s="11" t="n">
        <v>2018</v>
      </c>
      <c r="W643" s="11" t="n">
        <v>2019</v>
      </c>
      <c r="X643" s="11" t="n">
        <v>2020</v>
      </c>
    </row>
    <row r="644" customFormat="false" ht="11.25" hidden="false" customHeight="false" outlineLevel="0" collapsed="false">
      <c r="A644" s="14" t="s">
        <v>7</v>
      </c>
      <c r="B644" s="19" t="n">
        <f aca="false">NPV(0.1,D644:Y644)</f>
        <v>587133.411132182</v>
      </c>
      <c r="C644" s="19" t="n">
        <f aca="false">B644-B633</f>
        <v>0</v>
      </c>
      <c r="D644" s="20" t="n">
        <v>41364.1276</v>
      </c>
      <c r="E644" s="21" t="n">
        <v>53599.168868</v>
      </c>
      <c r="F644" s="21" t="n">
        <v>53676.46137404</v>
      </c>
      <c r="G644" s="21" t="n">
        <v>65143.1014397198</v>
      </c>
      <c r="H644" s="21" t="n">
        <v>73806.6892850544</v>
      </c>
      <c r="I644" s="21" t="n">
        <v>75317.217318826</v>
      </c>
      <c r="J644" s="21" t="n">
        <v>75252.7853412367</v>
      </c>
      <c r="K644" s="21" t="n">
        <v>75972.2541927211</v>
      </c>
      <c r="L644" s="21" t="n">
        <v>76688.2738478309</v>
      </c>
      <c r="M644" s="21" t="n">
        <v>77399.9898328172</v>
      </c>
      <c r="N644" s="22" t="n">
        <v>78106.4995097831</v>
      </c>
      <c r="O644" s="23" t="n">
        <v>78806.8499558607</v>
      </c>
      <c r="P644" s="23" t="n">
        <v>79500.0357584877</v>
      </c>
      <c r="Q644" s="23" t="n">
        <v>80184.9967236553</v>
      </c>
      <c r="R644" s="23" t="n">
        <v>80860.6154938938</v>
      </c>
      <c r="S644" s="23" t="n">
        <v>81525.7150726388</v>
      </c>
      <c r="T644" s="23" t="n">
        <v>82179.0562515072</v>
      </c>
      <c r="U644" s="23" t="n">
        <v>82819.3349368859</v>
      </c>
      <c r="V644" s="23" t="n">
        <v>83445.1793721043</v>
      </c>
      <c r="W644" s="23" t="n">
        <v>82865.4323941846</v>
      </c>
      <c r="X644" s="23" t="n">
        <v>35526.3023726024</v>
      </c>
    </row>
    <row r="645" customFormat="false" ht="11.25" hidden="false" customHeight="false" outlineLevel="0" collapsed="false">
      <c r="A645" s="24" t="s">
        <v>8</v>
      </c>
      <c r="B645" s="19" t="n">
        <f aca="false">NPV(0.1,D645:Y645)</f>
        <v>254716.709534511</v>
      </c>
      <c r="C645" s="19" t="n">
        <f aca="false">B645-B634</f>
        <v>0</v>
      </c>
      <c r="D645" s="20" t="n">
        <v>26188.6625120024</v>
      </c>
      <c r="E645" s="21" t="n">
        <v>27264.5347855491</v>
      </c>
      <c r="F645" s="21" t="n">
        <v>27415.1497174722</v>
      </c>
      <c r="G645" s="21" t="n">
        <v>28972.1094888171</v>
      </c>
      <c r="H645" s="21" t="n">
        <v>29949.5339372047</v>
      </c>
      <c r="I645" s="21" t="n">
        <v>30091.5660112837</v>
      </c>
      <c r="J645" s="21" t="n">
        <v>30280.1844324384</v>
      </c>
      <c r="K645" s="21" t="n">
        <v>30474.4614062277</v>
      </c>
      <c r="L645" s="21" t="n">
        <v>30674.5666892307</v>
      </c>
      <c r="M645" s="21" t="n">
        <v>30839.5825240701</v>
      </c>
      <c r="N645" s="22" t="n">
        <v>31051.874218808</v>
      </c>
      <c r="O645" s="23" t="n">
        <v>31270.534664388</v>
      </c>
      <c r="P645" s="23" t="n">
        <v>31495.7549233355</v>
      </c>
      <c r="Q645" s="23" t="n">
        <v>31686.6391833976</v>
      </c>
      <c r="R645" s="23" t="n">
        <v>31925.5753561149</v>
      </c>
      <c r="S645" s="23" t="n">
        <v>32171.6796140138</v>
      </c>
      <c r="T645" s="23" t="n">
        <v>32425.1669996496</v>
      </c>
      <c r="U645" s="23" t="n">
        <v>32645.1664002008</v>
      </c>
      <c r="V645" s="23" t="n">
        <v>32914.0911676218</v>
      </c>
      <c r="W645" s="23" t="n">
        <v>33191.0836780655</v>
      </c>
      <c r="X645" s="23" t="n">
        <v>16231.2350342741</v>
      </c>
    </row>
    <row r="646" customFormat="false" ht="11.25" hidden="false" customHeight="false" outlineLevel="0" collapsed="false">
      <c r="A646" s="24" t="s">
        <v>9</v>
      </c>
      <c r="B646" s="19" t="n">
        <f aca="false">NPV(0.1,D646:Y646)</f>
        <v>114620.524184105</v>
      </c>
      <c r="C646" s="19" t="n">
        <f aca="false">B646-B635</f>
        <v>10.0587969931657</v>
      </c>
      <c r="D646" s="20" t="n">
        <v>-2281.10208678701</v>
      </c>
      <c r="E646" s="21" t="n">
        <v>3296.62915594579</v>
      </c>
      <c r="F646" s="21" t="n">
        <v>3552.03489536191</v>
      </c>
      <c r="G646" s="21" t="n">
        <v>10030.0246252175</v>
      </c>
      <c r="H646" s="21" t="n">
        <v>15273.9818711113</v>
      </c>
      <c r="I646" s="21" t="n">
        <v>16529.218742631</v>
      </c>
      <c r="J646" s="21" t="n">
        <v>16772.9773611936</v>
      </c>
      <c r="K646" s="21" t="n">
        <v>17488.6051935005</v>
      </c>
      <c r="L646" s="21" t="n">
        <v>18198.5656608927</v>
      </c>
      <c r="M646" s="21" t="n">
        <v>19175.8340792642</v>
      </c>
      <c r="N646" s="22" t="n">
        <v>20294.0606014032</v>
      </c>
      <c r="O646" s="23" t="n">
        <v>20783.379653182</v>
      </c>
      <c r="P646" s="23" t="n">
        <v>21313.0818983293</v>
      </c>
      <c r="Q646" s="23" t="n">
        <v>21858.7347110876</v>
      </c>
      <c r="R646" s="23" t="n">
        <v>22369.3270920804</v>
      </c>
      <c r="S646" s="23" t="n">
        <v>22869.1148176288</v>
      </c>
      <c r="T646" s="23" t="n">
        <v>23357.2095270991</v>
      </c>
      <c r="U646" s="23" t="n">
        <v>24101.6169628471</v>
      </c>
      <c r="V646" s="23" t="n">
        <v>24904.8539555948</v>
      </c>
      <c r="W646" s="23" t="n">
        <v>25113.002231244</v>
      </c>
      <c r="X646" s="23" t="n">
        <v>7410.59720548248</v>
      </c>
    </row>
    <row r="647" customFormat="false" ht="11.25" hidden="false" customHeight="false" outlineLevel="0" collapsed="false">
      <c r="A647" s="24" t="s">
        <v>10</v>
      </c>
      <c r="B647" s="19" t="n">
        <f aca="false">NPV(0.1,D647:Y647)</f>
        <v>123271.909452704</v>
      </c>
      <c r="C647" s="19" t="n">
        <f aca="false">B647-B636</f>
        <v>-11.8946008647617</v>
      </c>
      <c r="D647" s="25" t="n">
        <v>-6453.60730962149</v>
      </c>
      <c r="E647" s="26" t="n">
        <v>5576.04763348149</v>
      </c>
      <c r="F647" s="26" t="n">
        <v>3278.8744022749</v>
      </c>
      <c r="G647" s="26" t="n">
        <v>11295.433275289</v>
      </c>
      <c r="H647" s="26" t="n">
        <v>25404.0931396978</v>
      </c>
      <c r="I647" s="26" t="n">
        <v>22751.3161408751</v>
      </c>
      <c r="J647" s="26" t="n">
        <v>18434.0654581092</v>
      </c>
      <c r="K647" s="26" t="n">
        <v>19159.2426975779</v>
      </c>
      <c r="L647" s="26" t="n">
        <v>14418.6537578083</v>
      </c>
      <c r="M647" s="26" t="n">
        <v>11655.7389766879</v>
      </c>
      <c r="N647" s="27" t="n">
        <v>26408.0086983188</v>
      </c>
      <c r="O647" s="23" t="n">
        <v>25918.7371572594</v>
      </c>
      <c r="P647" s="23" t="n">
        <v>26438.8899952449</v>
      </c>
      <c r="Q647" s="23" t="n">
        <v>26952.9996085113</v>
      </c>
      <c r="R647" s="23" t="n">
        <v>27495.135188996</v>
      </c>
      <c r="S647" s="23" t="n">
        <v>25177.8478018199</v>
      </c>
      <c r="T647" s="23" t="n">
        <v>17908.1673985657</v>
      </c>
      <c r="U647" s="23" t="n">
        <v>16635.2022276599</v>
      </c>
      <c r="V647" s="23" t="n">
        <v>14515.1118270614</v>
      </c>
      <c r="W647" s="23" t="n">
        <v>12746.9801027106</v>
      </c>
      <c r="X647" s="23" t="n">
        <v>11799.2050769491</v>
      </c>
    </row>
    <row r="650" customFormat="false" ht="11.25" hidden="false" customHeight="false" outlineLevel="0" collapsed="false">
      <c r="A650" s="32" t="n">
        <v>63</v>
      </c>
    </row>
    <row r="651" customFormat="false" ht="11.25" hidden="false" customHeight="false" outlineLevel="0" collapsed="false">
      <c r="A651" s="31" t="n">
        <v>36412</v>
      </c>
    </row>
    <row r="652" customFormat="false" ht="11.25" hidden="false" customHeight="false" outlineLevel="0" collapsed="false">
      <c r="A652" s="9" t="s">
        <v>2</v>
      </c>
      <c r="B652" s="10" t="n">
        <v>44604.7960064506</v>
      </c>
      <c r="C652" s="11"/>
      <c r="D652" s="11"/>
      <c r="E652" s="11"/>
      <c r="F652" s="11"/>
      <c r="G652" s="11"/>
      <c r="H652" s="11"/>
      <c r="I652" s="11"/>
      <c r="J652" s="11"/>
      <c r="K652" s="11"/>
      <c r="L652" s="11"/>
      <c r="M652" s="11"/>
      <c r="N652" s="11"/>
      <c r="O652" s="11"/>
      <c r="P652" s="11"/>
      <c r="Q652" s="11"/>
      <c r="R652" s="11"/>
      <c r="S652" s="11"/>
      <c r="T652" s="11"/>
      <c r="U652" s="11"/>
      <c r="V652" s="11"/>
    </row>
    <row r="653" customFormat="false" ht="11.25" hidden="false" customHeight="false" outlineLevel="0" collapsed="false">
      <c r="A653" s="12" t="s">
        <v>3</v>
      </c>
      <c r="B653" s="13" t="n">
        <v>88111.9609432105</v>
      </c>
      <c r="C653" s="11"/>
      <c r="D653" s="11"/>
      <c r="E653" s="11"/>
      <c r="F653" s="11"/>
      <c r="G653" s="11"/>
      <c r="H653" s="11"/>
      <c r="I653" s="11"/>
      <c r="J653" s="11"/>
      <c r="K653" s="11"/>
      <c r="L653" s="11"/>
      <c r="M653" s="11"/>
      <c r="N653" s="11"/>
      <c r="O653" s="11"/>
      <c r="P653" s="11"/>
      <c r="Q653" s="11"/>
      <c r="R653" s="11"/>
      <c r="S653" s="11"/>
      <c r="T653" s="11"/>
      <c r="U653" s="11"/>
      <c r="V653" s="11"/>
    </row>
    <row r="654" customFormat="false" ht="11.25" hidden="false" customHeight="false" outlineLevel="0" collapsed="false">
      <c r="A654" s="14" t="s">
        <v>4</v>
      </c>
      <c r="B654" s="15" t="s">
        <v>5</v>
      </c>
      <c r="C654" s="15" t="s">
        <v>6</v>
      </c>
      <c r="D654" s="16" t="n">
        <v>2000</v>
      </c>
      <c r="E654" s="17" t="n">
        <v>2001</v>
      </c>
      <c r="F654" s="17" t="n">
        <v>2002</v>
      </c>
      <c r="G654" s="17" t="n">
        <v>2003</v>
      </c>
      <c r="H654" s="17" t="n">
        <v>2004</v>
      </c>
      <c r="I654" s="17" t="n">
        <v>2005</v>
      </c>
      <c r="J654" s="17" t="n">
        <v>2006</v>
      </c>
      <c r="K654" s="17" t="n">
        <v>2007</v>
      </c>
      <c r="L654" s="17" t="n">
        <v>2008</v>
      </c>
      <c r="M654" s="17" t="n">
        <v>2009</v>
      </c>
      <c r="N654" s="18" t="n">
        <v>2010</v>
      </c>
      <c r="O654" s="11" t="n">
        <v>2011</v>
      </c>
      <c r="P654" s="11" t="n">
        <v>2012</v>
      </c>
      <c r="Q654" s="11" t="n">
        <v>2013</v>
      </c>
      <c r="R654" s="11" t="n">
        <v>2014</v>
      </c>
      <c r="S654" s="11" t="n">
        <v>2015</v>
      </c>
      <c r="T654" s="11" t="n">
        <v>2016</v>
      </c>
      <c r="U654" s="11" t="n">
        <v>2017</v>
      </c>
      <c r="V654" s="11" t="n">
        <v>2018</v>
      </c>
      <c r="W654" s="11" t="n">
        <v>2019</v>
      </c>
      <c r="X654" s="11" t="n">
        <v>2020</v>
      </c>
    </row>
    <row r="655" customFormat="false" ht="11.25" hidden="false" customHeight="false" outlineLevel="0" collapsed="false">
      <c r="A655" s="14" t="s">
        <v>7</v>
      </c>
      <c r="B655" s="19" t="n">
        <f aca="false">NPV(0.1,D655:Y655)</f>
        <v>587133.411132182</v>
      </c>
      <c r="C655" s="19" t="n">
        <f aca="false">B655-B644</f>
        <v>0</v>
      </c>
      <c r="D655" s="20" t="n">
        <v>41364.1276</v>
      </c>
      <c r="E655" s="21" t="n">
        <v>53599.168868</v>
      </c>
      <c r="F655" s="21" t="n">
        <v>53676.46137404</v>
      </c>
      <c r="G655" s="21" t="n">
        <v>65143.1014397198</v>
      </c>
      <c r="H655" s="21" t="n">
        <v>73806.6892850544</v>
      </c>
      <c r="I655" s="21" t="n">
        <v>75317.217318826</v>
      </c>
      <c r="J655" s="21" t="n">
        <v>75252.7853412367</v>
      </c>
      <c r="K655" s="21" t="n">
        <v>75972.2541927211</v>
      </c>
      <c r="L655" s="21" t="n">
        <v>76688.2738478309</v>
      </c>
      <c r="M655" s="21" t="n">
        <v>77399.9898328172</v>
      </c>
      <c r="N655" s="22" t="n">
        <v>78106.4995097831</v>
      </c>
      <c r="O655" s="23" t="n">
        <v>78806.8499558607</v>
      </c>
      <c r="P655" s="23" t="n">
        <v>79500.0357584877</v>
      </c>
      <c r="Q655" s="23" t="n">
        <v>80184.9967236553</v>
      </c>
      <c r="R655" s="23" t="n">
        <v>80860.6154938938</v>
      </c>
      <c r="S655" s="23" t="n">
        <v>81525.7150726388</v>
      </c>
      <c r="T655" s="23" t="n">
        <v>82179.0562515072</v>
      </c>
      <c r="U655" s="23" t="n">
        <v>82819.3349368859</v>
      </c>
      <c r="V655" s="23" t="n">
        <v>83445.1793721043</v>
      </c>
      <c r="W655" s="23" t="n">
        <v>82865.4323941846</v>
      </c>
      <c r="X655" s="23" t="n">
        <v>35526.3023726024</v>
      </c>
    </row>
    <row r="656" customFormat="false" ht="11.25" hidden="false" customHeight="false" outlineLevel="0" collapsed="false">
      <c r="A656" s="24" t="s">
        <v>8</v>
      </c>
      <c r="B656" s="19" t="n">
        <f aca="false">NPV(0.1,D656:Y656)</f>
        <v>254716.0977968</v>
      </c>
      <c r="C656" s="19" t="n">
        <f aca="false">B656-B645</f>
        <v>-0.611737710889429</v>
      </c>
      <c r="D656" s="20" t="n">
        <v>26188.5617120024</v>
      </c>
      <c r="E656" s="21" t="n">
        <v>27264.4675855491</v>
      </c>
      <c r="F656" s="21" t="n">
        <v>27415.0825174722</v>
      </c>
      <c r="G656" s="21" t="n">
        <v>28972.0422888171</v>
      </c>
      <c r="H656" s="21" t="n">
        <v>29949.4667372047</v>
      </c>
      <c r="I656" s="21" t="n">
        <v>30091.4988112837</v>
      </c>
      <c r="J656" s="21" t="n">
        <v>30280.1172324384</v>
      </c>
      <c r="K656" s="21" t="n">
        <v>30474.3942062277</v>
      </c>
      <c r="L656" s="21" t="n">
        <v>30674.4994892307</v>
      </c>
      <c r="M656" s="21" t="n">
        <v>30839.5153240701</v>
      </c>
      <c r="N656" s="22" t="n">
        <v>31051.807018808</v>
      </c>
      <c r="O656" s="23" t="n">
        <v>31270.467464388</v>
      </c>
      <c r="P656" s="23" t="n">
        <v>31495.6877233355</v>
      </c>
      <c r="Q656" s="23" t="n">
        <v>31686.5719833976</v>
      </c>
      <c r="R656" s="23" t="n">
        <v>31925.5081561149</v>
      </c>
      <c r="S656" s="23" t="n">
        <v>32171.6124140138</v>
      </c>
      <c r="T656" s="23" t="n">
        <v>32425.0997996496</v>
      </c>
      <c r="U656" s="23" t="n">
        <v>32645.0992002008</v>
      </c>
      <c r="V656" s="23" t="n">
        <v>32914.0239676218</v>
      </c>
      <c r="W656" s="23" t="n">
        <v>33191.0164780655</v>
      </c>
      <c r="X656" s="23" t="n">
        <v>16231.1678342741</v>
      </c>
    </row>
    <row r="657" customFormat="false" ht="11.25" hidden="false" customHeight="false" outlineLevel="0" collapsed="false">
      <c r="A657" s="24" t="s">
        <v>9</v>
      </c>
      <c r="B657" s="19" t="n">
        <f aca="false">NPV(0.1,D657:Y657)</f>
        <v>114631.358577134</v>
      </c>
      <c r="C657" s="19" t="n">
        <f aca="false">B657-B646</f>
        <v>10.8343930289702</v>
      </c>
      <c r="D657" s="20" t="n">
        <v>-2280.30264587883</v>
      </c>
      <c r="E657" s="21" t="n">
        <v>3297.93511803049</v>
      </c>
      <c r="F657" s="21" t="n">
        <v>3553.34085744661</v>
      </c>
      <c r="G657" s="21" t="n">
        <v>10031.3305873022</v>
      </c>
      <c r="H657" s="21" t="n">
        <v>15275.287833196</v>
      </c>
      <c r="I657" s="21" t="n">
        <v>16530.5247047157</v>
      </c>
      <c r="J657" s="21" t="n">
        <v>16774.2833232783</v>
      </c>
      <c r="K657" s="21" t="n">
        <v>17489.9111555852</v>
      </c>
      <c r="L657" s="21" t="n">
        <v>18199.8716229774</v>
      </c>
      <c r="M657" s="21" t="n">
        <v>19177.1400413489</v>
      </c>
      <c r="N657" s="22" t="n">
        <v>20295.3665634879</v>
      </c>
      <c r="O657" s="23" t="n">
        <v>20784.6856152667</v>
      </c>
      <c r="P657" s="23" t="n">
        <v>21314.387860414</v>
      </c>
      <c r="Q657" s="23" t="n">
        <v>21860.0406731723</v>
      </c>
      <c r="R657" s="23" t="n">
        <v>22370.6330541651</v>
      </c>
      <c r="S657" s="23" t="n">
        <v>22870.4207797135</v>
      </c>
      <c r="T657" s="23" t="n">
        <v>23358.5154891838</v>
      </c>
      <c r="U657" s="23" t="n">
        <v>24102.9229249318</v>
      </c>
      <c r="V657" s="23" t="n">
        <v>24906.1599176795</v>
      </c>
      <c r="W657" s="23" t="n">
        <v>25114.3081933287</v>
      </c>
      <c r="X657" s="23" t="n">
        <v>7411.90316756718</v>
      </c>
    </row>
    <row r="658" customFormat="false" ht="11.25" hidden="false" customHeight="false" outlineLevel="0" collapsed="false">
      <c r="A658" s="24" t="s">
        <v>10</v>
      </c>
      <c r="B658" s="19" t="n">
        <f aca="false">NPV(0.1,D658:Y658)</f>
        <v>123259.944079554</v>
      </c>
      <c r="C658" s="19" t="n">
        <f aca="false">B658-B647</f>
        <v>-11.9653731505241</v>
      </c>
      <c r="D658" s="25" t="n">
        <v>-6453.50524962149</v>
      </c>
      <c r="E658" s="26" t="n">
        <v>5576.1156734815</v>
      </c>
      <c r="F658" s="26" t="n">
        <v>3278.9424422749</v>
      </c>
      <c r="G658" s="26" t="n">
        <v>11295.501315289</v>
      </c>
      <c r="H658" s="26" t="n">
        <v>25404.1611796978</v>
      </c>
      <c r="I658" s="26" t="n">
        <v>22739.0363342575</v>
      </c>
      <c r="J658" s="26" t="n">
        <v>18432.4709529884</v>
      </c>
      <c r="K658" s="26" t="n">
        <v>19157.6454203288</v>
      </c>
      <c r="L658" s="26" t="n">
        <v>14417.0592526875</v>
      </c>
      <c r="M658" s="26" t="n">
        <v>11654.1416994387</v>
      </c>
      <c r="N658" s="27" t="n">
        <v>26406.4141931979</v>
      </c>
      <c r="O658" s="23" t="n">
        <v>25917.1398800103</v>
      </c>
      <c r="P658" s="23" t="n">
        <v>26437.2954901241</v>
      </c>
      <c r="Q658" s="23" t="n">
        <v>26951.4023312621</v>
      </c>
      <c r="R658" s="23" t="n">
        <v>27493.5406838751</v>
      </c>
      <c r="S658" s="23" t="n">
        <v>25177.0710745461</v>
      </c>
      <c r="T658" s="23" t="n">
        <v>17908.2084491389</v>
      </c>
      <c r="U658" s="23" t="n">
        <v>16635.2432782331</v>
      </c>
      <c r="V658" s="23" t="n">
        <v>14515.1528776346</v>
      </c>
      <c r="W658" s="23" t="n">
        <v>12747.0211532838</v>
      </c>
      <c r="X658" s="23" t="n">
        <v>11799.2461275223</v>
      </c>
    </row>
    <row r="661" customFormat="false" ht="11.25" hidden="false" customHeight="false" outlineLevel="0" collapsed="false">
      <c r="A661" s="32" t="s">
        <v>75</v>
      </c>
    </row>
    <row r="662" customFormat="false" ht="11.25" hidden="false" customHeight="false" outlineLevel="0" collapsed="false">
      <c r="A662" s="31" t="n">
        <v>36419</v>
      </c>
    </row>
    <row r="663" customFormat="false" ht="11.25" hidden="false" customHeight="false" outlineLevel="0" collapsed="false">
      <c r="A663" s="9" t="s">
        <v>2</v>
      </c>
      <c r="B663" s="10" t="n">
        <v>44742.2703869337</v>
      </c>
      <c r="C663" s="11"/>
      <c r="D663" s="11"/>
      <c r="E663" s="11"/>
      <c r="F663" s="11"/>
      <c r="G663" s="11"/>
      <c r="H663" s="11"/>
      <c r="I663" s="11"/>
      <c r="J663" s="11"/>
      <c r="K663" s="11"/>
      <c r="L663" s="11"/>
      <c r="M663" s="11"/>
      <c r="N663" s="11"/>
      <c r="O663" s="11"/>
      <c r="P663" s="11"/>
      <c r="Q663" s="11"/>
      <c r="R663" s="11"/>
      <c r="S663" s="11"/>
      <c r="T663" s="11"/>
      <c r="U663" s="11"/>
      <c r="V663" s="11"/>
    </row>
    <row r="664" customFormat="false" ht="11.25" hidden="false" customHeight="false" outlineLevel="0" collapsed="false">
      <c r="A664" s="12" t="s">
        <v>3</v>
      </c>
      <c r="B664" s="13" t="n">
        <v>88276.0735536976</v>
      </c>
      <c r="C664" s="11"/>
      <c r="D664" s="11"/>
      <c r="E664" s="11"/>
      <c r="F664" s="11"/>
      <c r="G664" s="11"/>
      <c r="H664" s="11"/>
      <c r="I664" s="11"/>
      <c r="J664" s="11"/>
      <c r="K664" s="11"/>
      <c r="L664" s="11"/>
      <c r="M664" s="11"/>
      <c r="N664" s="11"/>
      <c r="O664" s="11"/>
      <c r="P664" s="11"/>
      <c r="Q664" s="11"/>
      <c r="R664" s="11"/>
      <c r="S664" s="11"/>
      <c r="T664" s="11"/>
      <c r="U664" s="11"/>
      <c r="V664" s="11"/>
    </row>
    <row r="665" customFormat="false" ht="11.25" hidden="false" customHeight="false" outlineLevel="0" collapsed="false">
      <c r="A665" s="14" t="s">
        <v>4</v>
      </c>
      <c r="B665" s="15" t="s">
        <v>5</v>
      </c>
      <c r="C665" s="15" t="s">
        <v>6</v>
      </c>
      <c r="D665" s="16" t="n">
        <v>2000</v>
      </c>
      <c r="E665" s="17" t="n">
        <v>2001</v>
      </c>
      <c r="F665" s="17" t="n">
        <v>2002</v>
      </c>
      <c r="G665" s="17" t="n">
        <v>2003</v>
      </c>
      <c r="H665" s="17" t="n">
        <v>2004</v>
      </c>
      <c r="I665" s="17" t="n">
        <v>2005</v>
      </c>
      <c r="J665" s="17" t="n">
        <v>2006</v>
      </c>
      <c r="K665" s="17" t="n">
        <v>2007</v>
      </c>
      <c r="L665" s="17" t="n">
        <v>2008</v>
      </c>
      <c r="M665" s="17" t="n">
        <v>2009</v>
      </c>
      <c r="N665" s="18" t="n">
        <v>2010</v>
      </c>
      <c r="O665" s="11" t="n">
        <v>2011</v>
      </c>
      <c r="P665" s="11" t="n">
        <v>2012</v>
      </c>
      <c r="Q665" s="11" t="n">
        <v>2013</v>
      </c>
      <c r="R665" s="11" t="n">
        <v>2014</v>
      </c>
      <c r="S665" s="11" t="n">
        <v>2015</v>
      </c>
      <c r="T665" s="11" t="n">
        <v>2016</v>
      </c>
      <c r="U665" s="11" t="n">
        <v>2017</v>
      </c>
      <c r="V665" s="11" t="n">
        <v>2018</v>
      </c>
      <c r="W665" s="11" t="n">
        <v>2019</v>
      </c>
      <c r="X665" s="11" t="n">
        <v>2020</v>
      </c>
    </row>
    <row r="666" customFormat="false" ht="11.25" hidden="false" customHeight="false" outlineLevel="0" collapsed="false">
      <c r="A666" s="14" t="s">
        <v>7</v>
      </c>
      <c r="B666" s="19" t="n">
        <f aca="false">NPV(0.1,D666:Y666)</f>
        <v>587133.411132182</v>
      </c>
      <c r="C666" s="19" t="n">
        <f aca="false">B666-B655</f>
        <v>0</v>
      </c>
      <c r="D666" s="20" t="n">
        <v>41364.1276</v>
      </c>
      <c r="E666" s="21" t="n">
        <v>53599.168868</v>
      </c>
      <c r="F666" s="21" t="n">
        <v>53676.46137404</v>
      </c>
      <c r="G666" s="21" t="n">
        <v>65143.1014397198</v>
      </c>
      <c r="H666" s="21" t="n">
        <v>73806.6892850544</v>
      </c>
      <c r="I666" s="21" t="n">
        <v>75317.217318826</v>
      </c>
      <c r="J666" s="21" t="n">
        <v>75252.7853412367</v>
      </c>
      <c r="K666" s="21" t="n">
        <v>75972.2541927211</v>
      </c>
      <c r="L666" s="21" t="n">
        <v>76688.2738478309</v>
      </c>
      <c r="M666" s="21" t="n">
        <v>77399.9898328172</v>
      </c>
      <c r="N666" s="22" t="n">
        <v>78106.4995097831</v>
      </c>
      <c r="O666" s="23" t="n">
        <v>78806.8499558607</v>
      </c>
      <c r="P666" s="23" t="n">
        <v>79500.0357584877</v>
      </c>
      <c r="Q666" s="23" t="n">
        <v>80184.9967236553</v>
      </c>
      <c r="R666" s="23" t="n">
        <v>80860.6154938938</v>
      </c>
      <c r="S666" s="23" t="n">
        <v>81525.7150726388</v>
      </c>
      <c r="T666" s="23" t="n">
        <v>82179.0562515072</v>
      </c>
      <c r="U666" s="23" t="n">
        <v>82819.3349368859</v>
      </c>
      <c r="V666" s="23" t="n">
        <v>83445.1793721043</v>
      </c>
      <c r="W666" s="23" t="n">
        <v>82865.4323941846</v>
      </c>
      <c r="X666" s="23" t="n">
        <v>35526.3023726024</v>
      </c>
    </row>
    <row r="667" customFormat="false" ht="11.25" hidden="false" customHeight="false" outlineLevel="0" collapsed="false">
      <c r="A667" s="24" t="s">
        <v>8</v>
      </c>
      <c r="B667" s="19" t="n">
        <f aca="false">NPV(0.1,D667:Y667)</f>
        <v>254713.985608495</v>
      </c>
      <c r="C667" s="19" t="n">
        <f aca="false">B667-B656</f>
        <v>-2.11218830515281</v>
      </c>
      <c r="D667" s="20" t="n">
        <v>26188.2136730024</v>
      </c>
      <c r="E667" s="21" t="n">
        <v>27264.2355595491</v>
      </c>
      <c r="F667" s="21" t="n">
        <v>27414.8504914722</v>
      </c>
      <c r="G667" s="21" t="n">
        <v>28971.8102628171</v>
      </c>
      <c r="H667" s="21" t="n">
        <v>29949.2347112047</v>
      </c>
      <c r="I667" s="21" t="n">
        <v>30091.2667852837</v>
      </c>
      <c r="J667" s="21" t="n">
        <v>30279.8852064384</v>
      </c>
      <c r="K667" s="21" t="n">
        <v>30474.1621802277</v>
      </c>
      <c r="L667" s="21" t="n">
        <v>30674.2674632307</v>
      </c>
      <c r="M667" s="21" t="n">
        <v>30839.2832980701</v>
      </c>
      <c r="N667" s="22" t="n">
        <v>31051.574992808</v>
      </c>
      <c r="O667" s="23" t="n">
        <v>31270.235438388</v>
      </c>
      <c r="P667" s="23" t="n">
        <v>31495.4556973355</v>
      </c>
      <c r="Q667" s="23" t="n">
        <v>31686.3399573976</v>
      </c>
      <c r="R667" s="23" t="n">
        <v>31925.2761301149</v>
      </c>
      <c r="S667" s="23" t="n">
        <v>32171.3803880138</v>
      </c>
      <c r="T667" s="23" t="n">
        <v>32424.8677736496</v>
      </c>
      <c r="U667" s="23" t="n">
        <v>32644.8671742008</v>
      </c>
      <c r="V667" s="23" t="n">
        <v>32913.7919416218</v>
      </c>
      <c r="W667" s="23" t="n">
        <v>33190.7844520655</v>
      </c>
      <c r="X667" s="23" t="n">
        <v>16230.9358082741</v>
      </c>
    </row>
    <row r="668" customFormat="false" ht="11.25" hidden="false" customHeight="false" outlineLevel="0" collapsed="false">
      <c r="A668" s="24" t="s">
        <v>9</v>
      </c>
      <c r="B668" s="19" t="n">
        <f aca="false">NPV(0.1,D668:Y668)</f>
        <v>114656.45709525</v>
      </c>
      <c r="C668" s="19" t="n">
        <f aca="false">B668-B657</f>
        <v>25.0985181161232</v>
      </c>
      <c r="D668" s="20" t="n">
        <v>-2278.47323952032</v>
      </c>
      <c r="E668" s="21" t="n">
        <v>3300.84851191705</v>
      </c>
      <c r="F668" s="21" t="n">
        <v>3556.25425133318</v>
      </c>
      <c r="G668" s="21" t="n">
        <v>10034.2439811888</v>
      </c>
      <c r="H668" s="21" t="n">
        <v>15278.2012270825</v>
      </c>
      <c r="I668" s="21" t="n">
        <v>16533.5500163172</v>
      </c>
      <c r="J668" s="21" t="n">
        <v>16777.3885761049</v>
      </c>
      <c r="K668" s="21" t="n">
        <v>17493.0164084118</v>
      </c>
      <c r="L668" s="21" t="n">
        <v>18202.976875804</v>
      </c>
      <c r="M668" s="21" t="n">
        <v>19180.2452941755</v>
      </c>
      <c r="N668" s="22" t="n">
        <v>20298.4718163144</v>
      </c>
      <c r="O668" s="23" t="n">
        <v>20787.7908680933</v>
      </c>
      <c r="P668" s="23" t="n">
        <v>21317.4931132406</v>
      </c>
      <c r="Q668" s="23" t="n">
        <v>21863.1459259989</v>
      </c>
      <c r="R668" s="23" t="n">
        <v>22373.7383069916</v>
      </c>
      <c r="S668" s="23" t="n">
        <v>22873.5260325401</v>
      </c>
      <c r="T668" s="23" t="n">
        <v>23361.6207420103</v>
      </c>
      <c r="U668" s="23" t="n">
        <v>24106.0281777583</v>
      </c>
      <c r="V668" s="23" t="n">
        <v>24909.2651705061</v>
      </c>
      <c r="W668" s="23" t="n">
        <v>25117.4134461553</v>
      </c>
      <c r="X668" s="23" t="n">
        <v>7415.00842039374</v>
      </c>
    </row>
    <row r="669" customFormat="false" ht="11.25" hidden="false" customHeight="false" outlineLevel="0" collapsed="false">
      <c r="A669" s="24" t="s">
        <v>10</v>
      </c>
      <c r="B669" s="19" t="n">
        <f aca="false">NPV(0.1,D669:Y669)</f>
        <v>123232.715797949</v>
      </c>
      <c r="C669" s="19" t="n">
        <f aca="false">B669-B658</f>
        <v>-27.2282816048828</v>
      </c>
      <c r="D669" s="25" t="n">
        <v>-6453.15286013399</v>
      </c>
      <c r="E669" s="26" t="n">
        <v>5576.3505998065</v>
      </c>
      <c r="F669" s="26" t="n">
        <v>3279.1773685999</v>
      </c>
      <c r="G669" s="26" t="n">
        <v>11295.736241614</v>
      </c>
      <c r="H669" s="26" t="n">
        <v>25404.3961060228</v>
      </c>
      <c r="I669" s="26" t="n">
        <v>22710.7779375372</v>
      </c>
      <c r="J669" s="26" t="n">
        <v>18428.7808077176</v>
      </c>
      <c r="K669" s="26" t="n">
        <v>19153.9487803404</v>
      </c>
      <c r="L669" s="26" t="n">
        <v>14413.3691074167</v>
      </c>
      <c r="M669" s="26" t="n">
        <v>11650.4450594504</v>
      </c>
      <c r="N669" s="27" t="n">
        <v>26402.7240479272</v>
      </c>
      <c r="O669" s="23" t="n">
        <v>25913.4432400219</v>
      </c>
      <c r="P669" s="23" t="n">
        <v>26433.6053448533</v>
      </c>
      <c r="Q669" s="23" t="n">
        <v>26947.7056912738</v>
      </c>
      <c r="R669" s="23" t="n">
        <v>27489.8505386044</v>
      </c>
      <c r="S669" s="23" t="n">
        <v>25175.2968709605</v>
      </c>
      <c r="T669" s="23" t="n">
        <v>17908.3501872385</v>
      </c>
      <c r="U669" s="23" t="n">
        <v>16635.3850163328</v>
      </c>
      <c r="V669" s="23" t="n">
        <v>14515.2946157343</v>
      </c>
      <c r="W669" s="23" t="n">
        <v>12747.1628913835</v>
      </c>
      <c r="X669" s="23" t="n">
        <v>11799.3878656219</v>
      </c>
    </row>
    <row r="672" customFormat="false" ht="11.25" hidden="false" customHeight="false" outlineLevel="0" collapsed="false">
      <c r="A672" s="32" t="s">
        <v>76</v>
      </c>
    </row>
    <row r="673" customFormat="false" ht="11.25" hidden="false" customHeight="false" outlineLevel="0" collapsed="false">
      <c r="A673" s="31" t="n">
        <v>36427</v>
      </c>
    </row>
    <row r="674" customFormat="false" ht="11.25" hidden="false" customHeight="false" outlineLevel="0" collapsed="false">
      <c r="A674" s="9" t="s">
        <v>2</v>
      </c>
      <c r="B674" s="10" t="n">
        <v>44745.100071232</v>
      </c>
      <c r="C674" s="11"/>
      <c r="D674" s="11"/>
      <c r="E674" s="11"/>
      <c r="F674" s="11"/>
      <c r="G674" s="11"/>
      <c r="H674" s="11"/>
      <c r="I674" s="11"/>
      <c r="J674" s="11"/>
      <c r="K674" s="11"/>
      <c r="L674" s="11"/>
      <c r="M674" s="11"/>
      <c r="N674" s="11"/>
      <c r="O674" s="11"/>
      <c r="P674" s="11"/>
      <c r="Q674" s="11"/>
      <c r="R674" s="11"/>
      <c r="S674" s="11"/>
      <c r="T674" s="11"/>
      <c r="U674" s="11"/>
      <c r="V674" s="11"/>
    </row>
    <row r="675" customFormat="false" ht="11.25" hidden="false" customHeight="false" outlineLevel="0" collapsed="false">
      <c r="A675" s="12" t="s">
        <v>3</v>
      </c>
      <c r="B675" s="13" t="n">
        <v>88279.3389224826</v>
      </c>
      <c r="C675" s="11"/>
      <c r="D675" s="11"/>
      <c r="E675" s="11"/>
      <c r="F675" s="11"/>
      <c r="G675" s="11"/>
      <c r="H675" s="11"/>
      <c r="I675" s="11"/>
      <c r="J675" s="11"/>
      <c r="K675" s="11"/>
      <c r="L675" s="11"/>
      <c r="M675" s="11"/>
      <c r="N675" s="11"/>
      <c r="O675" s="11"/>
      <c r="P675" s="11"/>
      <c r="Q675" s="11"/>
      <c r="R675" s="11"/>
      <c r="S675" s="11"/>
      <c r="T675" s="11"/>
      <c r="U675" s="11"/>
      <c r="V675" s="11"/>
    </row>
    <row r="676" customFormat="false" ht="11.25" hidden="false" customHeight="false" outlineLevel="0" collapsed="false">
      <c r="A676" s="14" t="s">
        <v>4</v>
      </c>
      <c r="B676" s="15" t="s">
        <v>5</v>
      </c>
      <c r="C676" s="15" t="s">
        <v>6</v>
      </c>
      <c r="D676" s="16" t="n">
        <v>2000</v>
      </c>
      <c r="E676" s="17" t="n">
        <v>2001</v>
      </c>
      <c r="F676" s="17" t="n">
        <v>2002</v>
      </c>
      <c r="G676" s="17" t="n">
        <v>2003</v>
      </c>
      <c r="H676" s="17" t="n">
        <v>2004</v>
      </c>
      <c r="I676" s="17" t="n">
        <v>2005</v>
      </c>
      <c r="J676" s="17" t="n">
        <v>2006</v>
      </c>
      <c r="K676" s="17" t="n">
        <v>2007</v>
      </c>
      <c r="L676" s="17" t="n">
        <v>2008</v>
      </c>
      <c r="M676" s="17" t="n">
        <v>2009</v>
      </c>
      <c r="N676" s="18" t="n">
        <v>2010</v>
      </c>
      <c r="O676" s="11" t="n">
        <v>2011</v>
      </c>
      <c r="P676" s="11" t="n">
        <v>2012</v>
      </c>
      <c r="Q676" s="11" t="n">
        <v>2013</v>
      </c>
      <c r="R676" s="11" t="n">
        <v>2014</v>
      </c>
      <c r="S676" s="11" t="n">
        <v>2015</v>
      </c>
      <c r="T676" s="11" t="n">
        <v>2016</v>
      </c>
      <c r="U676" s="11" t="n">
        <v>2017</v>
      </c>
      <c r="V676" s="11" t="n">
        <v>2018</v>
      </c>
      <c r="W676" s="11" t="n">
        <v>2019</v>
      </c>
      <c r="X676" s="11" t="n">
        <v>2020</v>
      </c>
    </row>
    <row r="677" customFormat="false" ht="11.25" hidden="false" customHeight="false" outlineLevel="0" collapsed="false">
      <c r="A677" s="14" t="s">
        <v>7</v>
      </c>
      <c r="B677" s="19" t="n">
        <f aca="false">NPV(0.1,D677:Y677)</f>
        <v>587133.411132182</v>
      </c>
      <c r="C677" s="19" t="n">
        <f aca="false">B677-B666</f>
        <v>0</v>
      </c>
      <c r="D677" s="20" t="n">
        <v>41364.1276</v>
      </c>
      <c r="E677" s="21" t="n">
        <v>53599.168868</v>
      </c>
      <c r="F677" s="21" t="n">
        <v>53676.46137404</v>
      </c>
      <c r="G677" s="21" t="n">
        <v>65143.1014397198</v>
      </c>
      <c r="H677" s="21" t="n">
        <v>73806.6892850544</v>
      </c>
      <c r="I677" s="21" t="n">
        <v>75317.217318826</v>
      </c>
      <c r="J677" s="21" t="n">
        <v>75252.7853412367</v>
      </c>
      <c r="K677" s="21" t="n">
        <v>75972.2541927211</v>
      </c>
      <c r="L677" s="21" t="n">
        <v>76688.2738478309</v>
      </c>
      <c r="M677" s="21" t="n">
        <v>77399.9898328172</v>
      </c>
      <c r="N677" s="22" t="n">
        <v>78106.4995097831</v>
      </c>
      <c r="O677" s="23" t="n">
        <v>78806.8499558607</v>
      </c>
      <c r="P677" s="23" t="n">
        <v>79500.0357584877</v>
      </c>
      <c r="Q677" s="23" t="n">
        <v>80184.9967236553</v>
      </c>
      <c r="R677" s="23" t="n">
        <v>80860.6154938938</v>
      </c>
      <c r="S677" s="23" t="n">
        <v>81525.7150726388</v>
      </c>
      <c r="T677" s="23" t="n">
        <v>82179.0562515072</v>
      </c>
      <c r="U677" s="23" t="n">
        <v>82819.3349368859</v>
      </c>
      <c r="V677" s="23" t="n">
        <v>83445.1793721043</v>
      </c>
      <c r="W677" s="23" t="n">
        <v>82865.4323941846</v>
      </c>
      <c r="X677" s="23" t="n">
        <v>35526.3023726024</v>
      </c>
    </row>
    <row r="678" customFormat="false" ht="11.25" hidden="false" customHeight="false" outlineLevel="0" collapsed="false">
      <c r="A678" s="24" t="s">
        <v>8</v>
      </c>
      <c r="B678" s="19" t="n">
        <f aca="false">NPV(0.1,D678:Y678)</f>
        <v>254713.97117986</v>
      </c>
      <c r="C678" s="19" t="n">
        <f aca="false">B678-B667</f>
        <v>-0.0144286349823233</v>
      </c>
      <c r="D678" s="20" t="n">
        <v>26188.2112955024</v>
      </c>
      <c r="E678" s="21" t="n">
        <v>27264.2339745491</v>
      </c>
      <c r="F678" s="21" t="n">
        <v>27414.8489064722</v>
      </c>
      <c r="G678" s="21" t="n">
        <v>28971.8086778171</v>
      </c>
      <c r="H678" s="21" t="n">
        <v>29949.2331262047</v>
      </c>
      <c r="I678" s="21" t="n">
        <v>30091.2652002837</v>
      </c>
      <c r="J678" s="21" t="n">
        <v>30279.8836214384</v>
      </c>
      <c r="K678" s="21" t="n">
        <v>30474.1605952277</v>
      </c>
      <c r="L678" s="21" t="n">
        <v>30674.2658782307</v>
      </c>
      <c r="M678" s="21" t="n">
        <v>30839.2817130701</v>
      </c>
      <c r="N678" s="22" t="n">
        <v>31051.573407808</v>
      </c>
      <c r="O678" s="23" t="n">
        <v>31270.233853388</v>
      </c>
      <c r="P678" s="23" t="n">
        <v>31495.4541123355</v>
      </c>
      <c r="Q678" s="23" t="n">
        <v>31686.3383723976</v>
      </c>
      <c r="R678" s="23" t="n">
        <v>31925.2745451149</v>
      </c>
      <c r="S678" s="23" t="n">
        <v>32171.3788030138</v>
      </c>
      <c r="T678" s="23" t="n">
        <v>32424.8661886496</v>
      </c>
      <c r="U678" s="23" t="n">
        <v>32644.8655892008</v>
      </c>
      <c r="V678" s="23" t="n">
        <v>32913.7903566218</v>
      </c>
      <c r="W678" s="23" t="n">
        <v>33190.7828670655</v>
      </c>
      <c r="X678" s="23" t="n">
        <v>16230.9342232741</v>
      </c>
    </row>
    <row r="679" customFormat="false" ht="11.25" hidden="false" customHeight="false" outlineLevel="0" collapsed="false">
      <c r="A679" s="24" t="s">
        <v>9</v>
      </c>
      <c r="B679" s="19" t="n">
        <f aca="false">NPV(0.1,D679:Y679)</f>
        <v>114657.146942043</v>
      </c>
      <c r="C679" s="19" t="n">
        <f aca="false">B679-B668</f>
        <v>0.68984679300047</v>
      </c>
      <c r="D679" s="20" t="n">
        <v>-2277.9414485392</v>
      </c>
      <c r="E679" s="21" t="n">
        <v>3300.86811701228</v>
      </c>
      <c r="F679" s="21" t="n">
        <v>3556.2738564284</v>
      </c>
      <c r="G679" s="21" t="n">
        <v>10034.263586284</v>
      </c>
      <c r="H679" s="21" t="n">
        <v>15278.2208321778</v>
      </c>
      <c r="I679" s="21" t="n">
        <v>16533.5765194854</v>
      </c>
      <c r="J679" s="21" t="n">
        <v>16777.4200064681</v>
      </c>
      <c r="K679" s="21" t="n">
        <v>17493.047838775</v>
      </c>
      <c r="L679" s="21" t="n">
        <v>18203.0083061672</v>
      </c>
      <c r="M679" s="21" t="n">
        <v>19180.2767245387</v>
      </c>
      <c r="N679" s="22" t="n">
        <v>20298.5032466776</v>
      </c>
      <c r="O679" s="23" t="n">
        <v>20787.8222984565</v>
      </c>
      <c r="P679" s="23" t="n">
        <v>21317.5245436038</v>
      </c>
      <c r="Q679" s="23" t="n">
        <v>21863.1773563621</v>
      </c>
      <c r="R679" s="23" t="n">
        <v>22373.7697373549</v>
      </c>
      <c r="S679" s="23" t="n">
        <v>22873.5574629033</v>
      </c>
      <c r="T679" s="23" t="n">
        <v>23361.6521723736</v>
      </c>
      <c r="U679" s="23" t="n">
        <v>24106.0596081215</v>
      </c>
      <c r="V679" s="23" t="n">
        <v>24909.2966008693</v>
      </c>
      <c r="W679" s="23" t="n">
        <v>25117.4448765185</v>
      </c>
      <c r="X679" s="23" t="n">
        <v>7415.03985075697</v>
      </c>
    </row>
    <row r="680" customFormat="false" ht="11.25" hidden="false" customHeight="false" outlineLevel="0" collapsed="false">
      <c r="A680" s="24" t="s">
        <v>10</v>
      </c>
      <c r="B680" s="19" t="n">
        <f aca="false">NPV(0.1,D680:Y680)</f>
        <v>123233.039326165</v>
      </c>
      <c r="C680" s="19" t="n">
        <f aca="false">B680-B669</f>
        <v>0.323528216336854</v>
      </c>
      <c r="D680" s="25" t="n">
        <v>-6452.28945291524</v>
      </c>
      <c r="E680" s="26" t="n">
        <v>5576.352204619</v>
      </c>
      <c r="F680" s="26" t="n">
        <v>3279.1789734124</v>
      </c>
      <c r="G680" s="26" t="n">
        <v>11295.7378464265</v>
      </c>
      <c r="H680" s="26" t="n">
        <v>25404.3977108353</v>
      </c>
      <c r="I680" s="26" t="n">
        <v>22710.179604131</v>
      </c>
      <c r="J680" s="26" t="n">
        <v>18428.7423878082</v>
      </c>
      <c r="K680" s="26" t="n">
        <v>19153.9102936714</v>
      </c>
      <c r="L680" s="26" t="n">
        <v>14413.3306875073</v>
      </c>
      <c r="M680" s="26" t="n">
        <v>11650.4065727814</v>
      </c>
      <c r="N680" s="27" t="n">
        <v>26402.6856280177</v>
      </c>
      <c r="O680" s="23" t="n">
        <v>25913.4047533529</v>
      </c>
      <c r="P680" s="23" t="n">
        <v>26433.5669249439</v>
      </c>
      <c r="Q680" s="23" t="n">
        <v>26947.6672046048</v>
      </c>
      <c r="R680" s="23" t="n">
        <v>27489.8121186949</v>
      </c>
      <c r="S680" s="23" t="n">
        <v>25175.2781451216</v>
      </c>
      <c r="T680" s="23" t="n">
        <v>17908.35115547</v>
      </c>
      <c r="U680" s="23" t="n">
        <v>16635.3859845643</v>
      </c>
      <c r="V680" s="23" t="n">
        <v>14515.2955839658</v>
      </c>
      <c r="W680" s="23" t="n">
        <v>12747.163859615</v>
      </c>
      <c r="X680" s="23" t="n">
        <v>11799.3888338535</v>
      </c>
    </row>
    <row r="683" customFormat="false" ht="11.25" hidden="false" customHeight="false" outlineLevel="0" collapsed="false">
      <c r="A683" s="32" t="s">
        <v>77</v>
      </c>
    </row>
    <row r="684" customFormat="false" ht="11.25" hidden="false" customHeight="false" outlineLevel="0" collapsed="false">
      <c r="A684" s="31" t="n">
        <v>36433</v>
      </c>
    </row>
    <row r="685" customFormat="false" ht="11.25" hidden="false" customHeight="false" outlineLevel="0" collapsed="false">
      <c r="A685" s="9" t="s">
        <v>2</v>
      </c>
      <c r="B685" s="10" t="n">
        <v>46413.0516866403</v>
      </c>
      <c r="C685" s="11"/>
      <c r="D685" s="11"/>
      <c r="E685" s="11"/>
      <c r="F685" s="11"/>
      <c r="G685" s="11"/>
      <c r="H685" s="11"/>
      <c r="I685" s="11"/>
      <c r="J685" s="11"/>
      <c r="K685" s="11"/>
      <c r="L685" s="11"/>
      <c r="M685" s="11"/>
      <c r="N685" s="11"/>
      <c r="O685" s="11"/>
      <c r="P685" s="11"/>
      <c r="Q685" s="11"/>
      <c r="R685" s="11"/>
      <c r="S685" s="11"/>
      <c r="T685" s="11"/>
      <c r="U685" s="11"/>
      <c r="V685" s="11"/>
    </row>
    <row r="686" customFormat="false" ht="11.25" hidden="false" customHeight="false" outlineLevel="0" collapsed="false">
      <c r="A686" s="12" t="s">
        <v>3</v>
      </c>
      <c r="B686" s="13" t="n">
        <v>90212.8663838013</v>
      </c>
      <c r="C686" s="11"/>
      <c r="D686" s="11"/>
      <c r="E686" s="11"/>
      <c r="F686" s="11"/>
      <c r="G686" s="11"/>
      <c r="H686" s="11"/>
      <c r="I686" s="11"/>
      <c r="J686" s="11"/>
      <c r="K686" s="11"/>
      <c r="L686" s="11"/>
      <c r="M686" s="11"/>
      <c r="N686" s="11"/>
      <c r="O686" s="11"/>
      <c r="P686" s="11"/>
      <c r="Q686" s="11"/>
      <c r="R686" s="11"/>
      <c r="S686" s="11"/>
      <c r="T686" s="11"/>
      <c r="U686" s="11"/>
      <c r="V686" s="11"/>
    </row>
    <row r="687" customFormat="false" ht="11.25" hidden="false" customHeight="false" outlineLevel="0" collapsed="false">
      <c r="A687" s="14" t="s">
        <v>4</v>
      </c>
      <c r="B687" s="15" t="s">
        <v>5</v>
      </c>
      <c r="C687" s="15" t="s">
        <v>6</v>
      </c>
      <c r="D687" s="16" t="n">
        <v>2000</v>
      </c>
      <c r="E687" s="17" t="n">
        <v>2001</v>
      </c>
      <c r="F687" s="17" t="n">
        <v>2002</v>
      </c>
      <c r="G687" s="17" t="n">
        <v>2003</v>
      </c>
      <c r="H687" s="17" t="n">
        <v>2004</v>
      </c>
      <c r="I687" s="17" t="n">
        <v>2005</v>
      </c>
      <c r="J687" s="17" t="n">
        <v>2006</v>
      </c>
      <c r="K687" s="17" t="n">
        <v>2007</v>
      </c>
      <c r="L687" s="17" t="n">
        <v>2008</v>
      </c>
      <c r="M687" s="17" t="n">
        <v>2009</v>
      </c>
      <c r="N687" s="18" t="n">
        <v>2010</v>
      </c>
      <c r="O687" s="11" t="n">
        <v>2011</v>
      </c>
      <c r="P687" s="11" t="n">
        <v>2012</v>
      </c>
      <c r="Q687" s="11" t="n">
        <v>2013</v>
      </c>
      <c r="R687" s="11" t="n">
        <v>2014</v>
      </c>
      <c r="S687" s="11" t="n">
        <v>2015</v>
      </c>
      <c r="T687" s="11" t="n">
        <v>2016</v>
      </c>
      <c r="U687" s="11" t="n">
        <v>2017</v>
      </c>
      <c r="V687" s="11" t="n">
        <v>2018</v>
      </c>
      <c r="W687" s="11" t="n">
        <v>2019</v>
      </c>
      <c r="X687" s="11" t="n">
        <v>2020</v>
      </c>
    </row>
    <row r="688" customFormat="false" ht="11.25" hidden="false" customHeight="false" outlineLevel="0" collapsed="false">
      <c r="A688" s="14" t="s">
        <v>7</v>
      </c>
      <c r="B688" s="19" t="n">
        <f aca="false">NPV(0.1,D688:Y688)</f>
        <v>587133.411132182</v>
      </c>
      <c r="C688" s="19" t="n">
        <f aca="false">B688-B677</f>
        <v>0</v>
      </c>
      <c r="D688" s="20" t="n">
        <v>41364.1276</v>
      </c>
      <c r="E688" s="21" t="n">
        <v>53599.168868</v>
      </c>
      <c r="F688" s="21" t="n">
        <v>53676.46137404</v>
      </c>
      <c r="G688" s="21" t="n">
        <v>65143.1014397198</v>
      </c>
      <c r="H688" s="21" t="n">
        <v>73806.6892850544</v>
      </c>
      <c r="I688" s="21" t="n">
        <v>75317.217318826</v>
      </c>
      <c r="J688" s="21" t="n">
        <v>75252.7853412367</v>
      </c>
      <c r="K688" s="21" t="n">
        <v>75972.2541927211</v>
      </c>
      <c r="L688" s="21" t="n">
        <v>76688.2738478309</v>
      </c>
      <c r="M688" s="21" t="n">
        <v>77399.9898328172</v>
      </c>
      <c r="N688" s="22" t="n">
        <v>78106.4995097831</v>
      </c>
      <c r="O688" s="23" t="n">
        <v>78806.8499558607</v>
      </c>
      <c r="P688" s="23" t="n">
        <v>79500.0357584877</v>
      </c>
      <c r="Q688" s="23" t="n">
        <v>80184.9967236553</v>
      </c>
      <c r="R688" s="23" t="n">
        <v>80860.6154938938</v>
      </c>
      <c r="S688" s="23" t="n">
        <v>81525.7150726388</v>
      </c>
      <c r="T688" s="23" t="n">
        <v>82179.0562515072</v>
      </c>
      <c r="U688" s="23" t="n">
        <v>82819.3349368859</v>
      </c>
      <c r="V688" s="23" t="n">
        <v>83445.1793721043</v>
      </c>
      <c r="W688" s="23" t="n">
        <v>82865.4323941846</v>
      </c>
      <c r="X688" s="23" t="n">
        <v>35526.3023726024</v>
      </c>
    </row>
    <row r="689" customFormat="false" ht="11.25" hidden="false" customHeight="false" outlineLevel="0" collapsed="false">
      <c r="A689" s="24" t="s">
        <v>8</v>
      </c>
      <c r="B689" s="19" t="n">
        <f aca="false">NPV(0.1,D689:Y689)</f>
        <v>254696.518120904</v>
      </c>
      <c r="C689" s="19" t="n">
        <f aca="false">B689-B678</f>
        <v>-17.4530589561909</v>
      </c>
      <c r="D689" s="20" t="n">
        <v>26185.3354415024</v>
      </c>
      <c r="E689" s="21" t="n">
        <v>27262.3167385491</v>
      </c>
      <c r="F689" s="21" t="n">
        <v>27412.9316704722</v>
      </c>
      <c r="G689" s="21" t="n">
        <v>28969.8914418171</v>
      </c>
      <c r="H689" s="21" t="n">
        <v>29947.3158902047</v>
      </c>
      <c r="I689" s="21" t="n">
        <v>30089.3479642837</v>
      </c>
      <c r="J689" s="21" t="n">
        <v>30277.9663854384</v>
      </c>
      <c r="K689" s="21" t="n">
        <v>30472.2433592277</v>
      </c>
      <c r="L689" s="21" t="n">
        <v>30672.3486422307</v>
      </c>
      <c r="M689" s="21" t="n">
        <v>30837.3644770701</v>
      </c>
      <c r="N689" s="22" t="n">
        <v>31049.656171808</v>
      </c>
      <c r="O689" s="23" t="n">
        <v>31268.316617388</v>
      </c>
      <c r="P689" s="23" t="n">
        <v>31493.5368763355</v>
      </c>
      <c r="Q689" s="23" t="n">
        <v>31684.4211363976</v>
      </c>
      <c r="R689" s="23" t="n">
        <v>31923.3573091149</v>
      </c>
      <c r="S689" s="23" t="n">
        <v>32169.4615670138</v>
      </c>
      <c r="T689" s="23" t="n">
        <v>32422.9489526496</v>
      </c>
      <c r="U689" s="23" t="n">
        <v>32642.9483532008</v>
      </c>
      <c r="V689" s="23" t="n">
        <v>32911.8731206218</v>
      </c>
      <c r="W689" s="23" t="n">
        <v>33188.8656310655</v>
      </c>
      <c r="X689" s="23" t="n">
        <v>16229.0169872741</v>
      </c>
    </row>
    <row r="690" customFormat="false" ht="11.25" hidden="false" customHeight="false" outlineLevel="0" collapsed="false">
      <c r="A690" s="24" t="s">
        <v>9</v>
      </c>
      <c r="B690" s="19" t="n">
        <f aca="false">NPV(0.1,D690:Y690)</f>
        <v>115095.239002363</v>
      </c>
      <c r="C690" s="19" t="n">
        <f aca="false">B690-B679</f>
        <v>438.092060319716</v>
      </c>
      <c r="D690" s="20" t="n">
        <v>-2246.55133767616</v>
      </c>
      <c r="E690" s="21" t="n">
        <v>3352.83930195191</v>
      </c>
      <c r="F690" s="21" t="n">
        <v>3608.24504136803</v>
      </c>
      <c r="G690" s="21" t="n">
        <v>10086.2347712236</v>
      </c>
      <c r="H690" s="21" t="n">
        <v>15330.1920171174</v>
      </c>
      <c r="I690" s="21" t="n">
        <v>16586.9214063911</v>
      </c>
      <c r="J690" s="21" t="n">
        <v>16831.7461090637</v>
      </c>
      <c r="K690" s="21" t="n">
        <v>17547.3739413706</v>
      </c>
      <c r="L690" s="21" t="n">
        <v>18257.3344087628</v>
      </c>
      <c r="M690" s="21" t="n">
        <v>19234.6028271343</v>
      </c>
      <c r="N690" s="22" t="n">
        <v>20352.8293492733</v>
      </c>
      <c r="O690" s="23" t="n">
        <v>20842.1484010522</v>
      </c>
      <c r="P690" s="23" t="n">
        <v>21371.8506461994</v>
      </c>
      <c r="Q690" s="23" t="n">
        <v>21917.5034589577</v>
      </c>
      <c r="R690" s="23" t="n">
        <v>22428.0958399505</v>
      </c>
      <c r="S690" s="23" t="n">
        <v>22927.8835654989</v>
      </c>
      <c r="T690" s="23" t="n">
        <v>23415.9782749692</v>
      </c>
      <c r="U690" s="23" t="n">
        <v>24160.3857107172</v>
      </c>
      <c r="V690" s="23" t="n">
        <v>24963.6227034649</v>
      </c>
      <c r="W690" s="23" t="n">
        <v>25171.7709791141</v>
      </c>
      <c r="X690" s="23" t="n">
        <v>7442.9702658526</v>
      </c>
    </row>
    <row r="691" customFormat="false" ht="11.25" hidden="false" customHeight="false" outlineLevel="0" collapsed="false">
      <c r="A691" s="24" t="s">
        <v>10</v>
      </c>
      <c r="B691" s="19" t="n">
        <f aca="false">NPV(0.1,D691:Y691)</f>
        <v>122952.494813465</v>
      </c>
      <c r="C691" s="19" t="n">
        <f aca="false">B691-B680</f>
        <v>-280.544512700435</v>
      </c>
      <c r="D691" s="25" t="n">
        <v>-6449.37765074024</v>
      </c>
      <c r="E691" s="26" t="n">
        <v>5578.293406069</v>
      </c>
      <c r="F691" s="26" t="n">
        <v>3281.1201748624</v>
      </c>
      <c r="G691" s="26" t="n">
        <v>11297.6790478765</v>
      </c>
      <c r="H691" s="26" t="n">
        <v>25406.3389122853</v>
      </c>
      <c r="I691" s="26" t="n">
        <v>22472.6790471411</v>
      </c>
      <c r="J691" s="26" t="n">
        <v>18389.9417843444</v>
      </c>
      <c r="K691" s="26" t="n">
        <v>19115.0923655661</v>
      </c>
      <c r="L691" s="26" t="n">
        <v>14374.5300840435</v>
      </c>
      <c r="M691" s="26" t="n">
        <v>11611.588644676</v>
      </c>
      <c r="N691" s="27" t="n">
        <v>26363.885024554</v>
      </c>
      <c r="O691" s="23" t="n">
        <v>25874.5868252476</v>
      </c>
      <c r="P691" s="23" t="n">
        <v>26394.7663214801</v>
      </c>
      <c r="Q691" s="23" t="n">
        <v>26908.8492764995</v>
      </c>
      <c r="R691" s="23" t="n">
        <v>27451.0115152312</v>
      </c>
      <c r="S691" s="23" t="n">
        <v>25141.5883109251</v>
      </c>
      <c r="T691" s="23" t="n">
        <v>17879.7720905409</v>
      </c>
      <c r="U691" s="23" t="n">
        <v>16606.8069196352</v>
      </c>
      <c r="V691" s="23" t="n">
        <v>14486.7165190366</v>
      </c>
      <c r="W691" s="23" t="n">
        <v>12718.5847946858</v>
      </c>
      <c r="X691" s="23" t="n">
        <v>11788.1640814243</v>
      </c>
    </row>
    <row r="694" customFormat="false" ht="11.25" hidden="false" customHeight="false" outlineLevel="0" collapsed="false">
      <c r="A694" s="32" t="s">
        <v>77</v>
      </c>
    </row>
    <row r="695" customFormat="false" ht="11.25" hidden="false" customHeight="false" outlineLevel="0" collapsed="false">
      <c r="A695" s="31" t="n">
        <v>36452</v>
      </c>
    </row>
    <row r="696" customFormat="false" ht="11.25" hidden="false" customHeight="false" outlineLevel="0" collapsed="false">
      <c r="A696" s="9" t="s">
        <v>2</v>
      </c>
      <c r="B696" s="10" t="n">
        <v>46615.7537664224</v>
      </c>
      <c r="C696" s="11"/>
      <c r="D696" s="11"/>
      <c r="E696" s="11"/>
      <c r="F696" s="11"/>
      <c r="G696" s="11"/>
      <c r="H696" s="11"/>
      <c r="I696" s="11"/>
      <c r="J696" s="11"/>
      <c r="K696" s="11"/>
      <c r="L696" s="11"/>
      <c r="M696" s="11"/>
      <c r="N696" s="11"/>
      <c r="O696" s="11"/>
      <c r="P696" s="11"/>
      <c r="Q696" s="11"/>
      <c r="R696" s="11"/>
      <c r="S696" s="11"/>
      <c r="T696" s="11"/>
      <c r="U696" s="11"/>
      <c r="V696" s="11"/>
    </row>
    <row r="697" customFormat="false" ht="11.25" hidden="false" customHeight="false" outlineLevel="0" collapsed="false">
      <c r="A697" s="12" t="s">
        <v>3</v>
      </c>
      <c r="B697" s="13" t="n">
        <v>90454.47915792</v>
      </c>
      <c r="C697" s="11"/>
      <c r="D697" s="11"/>
      <c r="E697" s="11"/>
      <c r="F697" s="11"/>
      <c r="G697" s="11"/>
      <c r="H697" s="11"/>
      <c r="I697" s="11"/>
      <c r="J697" s="11"/>
      <c r="K697" s="11"/>
      <c r="L697" s="11"/>
      <c r="M697" s="11"/>
      <c r="N697" s="11"/>
      <c r="O697" s="11"/>
      <c r="P697" s="11"/>
      <c r="Q697" s="11"/>
      <c r="R697" s="11"/>
      <c r="S697" s="11"/>
      <c r="T697" s="11"/>
      <c r="U697" s="11"/>
      <c r="V697" s="11"/>
    </row>
    <row r="698" customFormat="false" ht="11.25" hidden="false" customHeight="false" outlineLevel="0" collapsed="false">
      <c r="A698" s="14" t="s">
        <v>4</v>
      </c>
      <c r="B698" s="15" t="s">
        <v>5</v>
      </c>
      <c r="C698" s="15" t="s">
        <v>6</v>
      </c>
      <c r="D698" s="16" t="n">
        <v>2000</v>
      </c>
      <c r="E698" s="17" t="n">
        <v>2001</v>
      </c>
      <c r="F698" s="17" t="n">
        <v>2002</v>
      </c>
      <c r="G698" s="17" t="n">
        <v>2003</v>
      </c>
      <c r="H698" s="17" t="n">
        <v>2004</v>
      </c>
      <c r="I698" s="17" t="n">
        <v>2005</v>
      </c>
      <c r="J698" s="17" t="n">
        <v>2006</v>
      </c>
      <c r="K698" s="17" t="n">
        <v>2007</v>
      </c>
      <c r="L698" s="17" t="n">
        <v>2008</v>
      </c>
      <c r="M698" s="17" t="n">
        <v>2009</v>
      </c>
      <c r="N698" s="18" t="n">
        <v>2010</v>
      </c>
      <c r="O698" s="11" t="n">
        <v>2011</v>
      </c>
      <c r="P698" s="11" t="n">
        <v>2012</v>
      </c>
      <c r="Q698" s="11" t="n">
        <v>2013</v>
      </c>
      <c r="R698" s="11" t="n">
        <v>2014</v>
      </c>
      <c r="S698" s="11" t="n">
        <v>2015</v>
      </c>
      <c r="T698" s="11" t="n">
        <v>2016</v>
      </c>
      <c r="U698" s="11" t="n">
        <v>2017</v>
      </c>
      <c r="V698" s="11" t="n">
        <v>2018</v>
      </c>
      <c r="W698" s="11" t="n">
        <v>2019</v>
      </c>
      <c r="X698" s="11" t="n">
        <v>2020</v>
      </c>
    </row>
    <row r="699" customFormat="false" ht="11.25" hidden="false" customHeight="false" outlineLevel="0" collapsed="false">
      <c r="A699" s="14" t="s">
        <v>7</v>
      </c>
      <c r="B699" s="19" t="n">
        <f aca="false">NPV(0.1,D699:Y699)</f>
        <v>587133.411132182</v>
      </c>
      <c r="C699" s="19" t="n">
        <f aca="false">B699-B688</f>
        <v>0</v>
      </c>
      <c r="D699" s="20" t="n">
        <v>41364.1276</v>
      </c>
      <c r="E699" s="21" t="n">
        <v>53599.168868</v>
      </c>
      <c r="F699" s="21" t="n">
        <v>53676.46137404</v>
      </c>
      <c r="G699" s="21" t="n">
        <v>65143.1014397198</v>
      </c>
      <c r="H699" s="21" t="n">
        <v>73806.6892850544</v>
      </c>
      <c r="I699" s="21" t="n">
        <v>75317.217318826</v>
      </c>
      <c r="J699" s="21" t="n">
        <v>75252.7853412367</v>
      </c>
      <c r="K699" s="21" t="n">
        <v>75972.2541927211</v>
      </c>
      <c r="L699" s="21" t="n">
        <v>76688.2738478309</v>
      </c>
      <c r="M699" s="21" t="n">
        <v>77399.9898328172</v>
      </c>
      <c r="N699" s="22" t="n">
        <v>78106.4995097831</v>
      </c>
      <c r="O699" s="23" t="n">
        <v>78806.8499558607</v>
      </c>
      <c r="P699" s="23" t="n">
        <v>79500.0357584877</v>
      </c>
      <c r="Q699" s="23" t="n">
        <v>80184.9967236553</v>
      </c>
      <c r="R699" s="23" t="n">
        <v>80860.6154938938</v>
      </c>
      <c r="S699" s="23" t="n">
        <v>81525.7150726388</v>
      </c>
      <c r="T699" s="23" t="n">
        <v>82179.0562515072</v>
      </c>
      <c r="U699" s="23" t="n">
        <v>82819.3349368859</v>
      </c>
      <c r="V699" s="23" t="n">
        <v>83445.1793721043</v>
      </c>
      <c r="W699" s="23" t="n">
        <v>82865.4323941846</v>
      </c>
      <c r="X699" s="23" t="n">
        <v>35526.3023726024</v>
      </c>
    </row>
    <row r="700" customFormat="false" ht="11.25" hidden="false" customHeight="false" outlineLevel="0" collapsed="false">
      <c r="A700" s="24" t="s">
        <v>8</v>
      </c>
      <c r="B700" s="19" t="n">
        <f aca="false">NPV(0.1,D700:Y700)</f>
        <v>254694.337194036</v>
      </c>
      <c r="C700" s="19" t="n">
        <f aca="false">B700-B689</f>
        <v>-2.18092686845921</v>
      </c>
      <c r="D700" s="20" t="n">
        <v>26184.9760760024</v>
      </c>
      <c r="E700" s="21" t="n">
        <v>27262.0771615491</v>
      </c>
      <c r="F700" s="21" t="n">
        <v>27412.6920934722</v>
      </c>
      <c r="G700" s="21" t="n">
        <v>28969.6518648171</v>
      </c>
      <c r="H700" s="21" t="n">
        <v>29947.0763132047</v>
      </c>
      <c r="I700" s="21" t="n">
        <v>30089.1083872837</v>
      </c>
      <c r="J700" s="21" t="n">
        <v>30277.7268084384</v>
      </c>
      <c r="K700" s="21" t="n">
        <v>30472.0037822277</v>
      </c>
      <c r="L700" s="21" t="n">
        <v>30672.1090652307</v>
      </c>
      <c r="M700" s="21" t="n">
        <v>30837.1249000701</v>
      </c>
      <c r="N700" s="22" t="n">
        <v>31049.416594808</v>
      </c>
      <c r="O700" s="23" t="n">
        <v>31268.077040388</v>
      </c>
      <c r="P700" s="23" t="n">
        <v>31493.2972993355</v>
      </c>
      <c r="Q700" s="23" t="n">
        <v>31684.1815593976</v>
      </c>
      <c r="R700" s="23" t="n">
        <v>31923.1177321149</v>
      </c>
      <c r="S700" s="23" t="n">
        <v>32169.2219900138</v>
      </c>
      <c r="T700" s="23" t="n">
        <v>32422.7093756496</v>
      </c>
      <c r="U700" s="23" t="n">
        <v>32642.7087762008</v>
      </c>
      <c r="V700" s="23" t="n">
        <v>32911.6335436218</v>
      </c>
      <c r="W700" s="23" t="n">
        <v>33188.6260540655</v>
      </c>
      <c r="X700" s="23" t="n">
        <v>16228.7774102741</v>
      </c>
    </row>
    <row r="701" customFormat="false" ht="11.25" hidden="false" customHeight="false" outlineLevel="0" collapsed="false">
      <c r="A701" s="24" t="s">
        <v>9</v>
      </c>
      <c r="B701" s="19" t="n">
        <f aca="false">NPV(0.1,D701:Y701)</f>
        <v>115130.839048214</v>
      </c>
      <c r="C701" s="19" t="n">
        <f aca="false">B701-B690</f>
        <v>35.6000458506751</v>
      </c>
      <c r="D701" s="20" t="n">
        <v>-2244.13052025388</v>
      </c>
      <c r="E701" s="21" t="n">
        <v>3356.75929486091</v>
      </c>
      <c r="F701" s="21" t="n">
        <v>3612.16503427703</v>
      </c>
      <c r="G701" s="21" t="n">
        <v>10090.1547641326</v>
      </c>
      <c r="H701" s="21" t="n">
        <v>15334.1120100264</v>
      </c>
      <c r="I701" s="21" t="n">
        <v>16591.2275506111</v>
      </c>
      <c r="J701" s="21" t="n">
        <v>16836.3280756487</v>
      </c>
      <c r="K701" s="21" t="n">
        <v>17551.9559079556</v>
      </c>
      <c r="L701" s="21" t="n">
        <v>18261.9163753478</v>
      </c>
      <c r="M701" s="21" t="n">
        <v>19239.1847937193</v>
      </c>
      <c r="N701" s="22" t="n">
        <v>20357.4113158583</v>
      </c>
      <c r="O701" s="23" t="n">
        <v>20846.7303676372</v>
      </c>
      <c r="P701" s="23" t="n">
        <v>21376.4326127845</v>
      </c>
      <c r="Q701" s="23" t="n">
        <v>21922.0854255427</v>
      </c>
      <c r="R701" s="23" t="n">
        <v>22432.6778065355</v>
      </c>
      <c r="S701" s="23" t="n">
        <v>22932.4655320839</v>
      </c>
      <c r="T701" s="23" t="n">
        <v>23420.5602415542</v>
      </c>
      <c r="U701" s="23" t="n">
        <v>24164.9676773022</v>
      </c>
      <c r="V701" s="23" t="n">
        <v>24968.2046700499</v>
      </c>
      <c r="W701" s="23" t="n">
        <v>25176.3529456991</v>
      </c>
      <c r="X701" s="23" t="n">
        <v>7447.5522324376</v>
      </c>
    </row>
    <row r="702" customFormat="false" ht="11.25" hidden="false" customHeight="false" outlineLevel="0" collapsed="false">
      <c r="A702" s="24" t="s">
        <v>10</v>
      </c>
      <c r="B702" s="19" t="n">
        <f aca="false">NPV(0.1,D702:Y702)</f>
        <v>122911.788327534</v>
      </c>
      <c r="C702" s="19" t="n">
        <f aca="false">B702-B691</f>
        <v>-40.7064859308448</v>
      </c>
      <c r="D702" s="25" t="n">
        <v>-6449.01379317149</v>
      </c>
      <c r="E702" s="26" t="n">
        <v>5578.5359777815</v>
      </c>
      <c r="F702" s="26" t="n">
        <v>3281.3627465749</v>
      </c>
      <c r="G702" s="26" t="n">
        <v>11297.921619589</v>
      </c>
      <c r="H702" s="26" t="n">
        <v>25406.5814839978</v>
      </c>
      <c r="I702" s="26" t="n">
        <v>22431.7877810196</v>
      </c>
      <c r="J702" s="26" t="n">
        <v>18384.3527958633</v>
      </c>
      <c r="K702" s="26" t="n">
        <v>19109.493656171</v>
      </c>
      <c r="L702" s="26" t="n">
        <v>14368.9410955624</v>
      </c>
      <c r="M702" s="26" t="n">
        <v>11605.9899352809</v>
      </c>
      <c r="N702" s="27" t="n">
        <v>26358.2960360729</v>
      </c>
      <c r="O702" s="23" t="n">
        <v>25868.9881158525</v>
      </c>
      <c r="P702" s="23" t="n">
        <v>26389.1773329991</v>
      </c>
      <c r="Q702" s="23" t="n">
        <v>26903.2505671043</v>
      </c>
      <c r="R702" s="23" t="n">
        <v>27445.4225267501</v>
      </c>
      <c r="S702" s="23" t="n">
        <v>25138.8669920802</v>
      </c>
      <c r="T702" s="23" t="n">
        <v>17879.9184413322</v>
      </c>
      <c r="U702" s="23" t="n">
        <v>16606.9532704265</v>
      </c>
      <c r="V702" s="23" t="n">
        <v>14486.8628698279</v>
      </c>
      <c r="W702" s="23" t="n">
        <v>12718.7311454771</v>
      </c>
      <c r="X702" s="23" t="n">
        <v>11788.3104322156</v>
      </c>
    </row>
    <row r="705" customFormat="false" ht="11.25" hidden="false" customHeight="false" outlineLevel="0" collapsed="false">
      <c r="A705" s="32" t="s">
        <v>78</v>
      </c>
    </row>
    <row r="706" customFormat="false" ht="11.25" hidden="false" customHeight="false" outlineLevel="0" collapsed="false">
      <c r="A706" s="31" t="n">
        <v>36465</v>
      </c>
    </row>
    <row r="707" customFormat="false" ht="11.25" hidden="false" customHeight="false" outlineLevel="0" collapsed="false">
      <c r="A707" s="9" t="s">
        <v>2</v>
      </c>
      <c r="B707" s="10" t="n">
        <v>48033.9487518214</v>
      </c>
      <c r="C707" s="11"/>
      <c r="D707" s="11"/>
      <c r="E707" s="11"/>
      <c r="F707" s="11"/>
      <c r="G707" s="11"/>
      <c r="H707" s="11"/>
      <c r="I707" s="11"/>
      <c r="J707" s="11"/>
      <c r="K707" s="11"/>
      <c r="L707" s="11"/>
      <c r="M707" s="11"/>
      <c r="N707" s="11"/>
      <c r="O707" s="11"/>
      <c r="P707" s="11"/>
      <c r="Q707" s="11"/>
      <c r="R707" s="11"/>
      <c r="S707" s="11"/>
      <c r="T707" s="11"/>
      <c r="U707" s="11"/>
      <c r="V707" s="11"/>
    </row>
    <row r="708" customFormat="false" ht="11.25" hidden="false" customHeight="false" outlineLevel="0" collapsed="false">
      <c r="A708" s="12" t="s">
        <v>3</v>
      </c>
      <c r="B708" s="13" t="n">
        <v>92132.0180603729</v>
      </c>
      <c r="C708" s="11"/>
      <c r="D708" s="11"/>
      <c r="E708" s="11"/>
      <c r="F708" s="11"/>
      <c r="G708" s="11"/>
      <c r="H708" s="11"/>
      <c r="I708" s="11"/>
      <c r="J708" s="11"/>
      <c r="K708" s="11"/>
      <c r="L708" s="11"/>
      <c r="M708" s="11"/>
      <c r="N708" s="11"/>
      <c r="O708" s="11"/>
      <c r="P708" s="11"/>
      <c r="Q708" s="11"/>
      <c r="R708" s="11"/>
      <c r="S708" s="11"/>
      <c r="T708" s="11"/>
      <c r="U708" s="11"/>
      <c r="V708" s="11"/>
    </row>
    <row r="709" customFormat="false" ht="11.25" hidden="false" customHeight="false" outlineLevel="0" collapsed="false">
      <c r="A709" s="14" t="s">
        <v>4</v>
      </c>
      <c r="B709" s="15" t="s">
        <v>5</v>
      </c>
      <c r="C709" s="15" t="s">
        <v>6</v>
      </c>
      <c r="D709" s="16" t="n">
        <v>2000</v>
      </c>
      <c r="E709" s="17" t="n">
        <v>2001</v>
      </c>
      <c r="F709" s="17" t="n">
        <v>2002</v>
      </c>
      <c r="G709" s="17" t="n">
        <v>2003</v>
      </c>
      <c r="H709" s="17" t="n">
        <v>2004</v>
      </c>
      <c r="I709" s="17" t="n">
        <v>2005</v>
      </c>
      <c r="J709" s="17" t="n">
        <v>2006</v>
      </c>
      <c r="K709" s="17" t="n">
        <v>2007</v>
      </c>
      <c r="L709" s="17" t="n">
        <v>2008</v>
      </c>
      <c r="M709" s="17" t="n">
        <v>2009</v>
      </c>
      <c r="N709" s="18" t="n">
        <v>2010</v>
      </c>
      <c r="O709" s="11" t="n">
        <v>2011</v>
      </c>
      <c r="P709" s="11" t="n">
        <v>2012</v>
      </c>
      <c r="Q709" s="11" t="n">
        <v>2013</v>
      </c>
      <c r="R709" s="11" t="n">
        <v>2014</v>
      </c>
      <c r="S709" s="11" t="n">
        <v>2015</v>
      </c>
      <c r="T709" s="11" t="n">
        <v>2016</v>
      </c>
      <c r="U709" s="11" t="n">
        <v>2017</v>
      </c>
      <c r="V709" s="11" t="n">
        <v>2018</v>
      </c>
      <c r="W709" s="11" t="n">
        <v>2019</v>
      </c>
      <c r="X709" s="11" t="n">
        <v>2020</v>
      </c>
    </row>
    <row r="710" customFormat="false" ht="11.25" hidden="false" customHeight="false" outlineLevel="0" collapsed="false">
      <c r="A710" s="14" t="s">
        <v>7</v>
      </c>
      <c r="B710" s="19" t="n">
        <f aca="false">NPV(0.1,D710:Y710)</f>
        <v>587133.411132182</v>
      </c>
      <c r="C710" s="19" t="n">
        <f aca="false">B710-B699</f>
        <v>0</v>
      </c>
      <c r="D710" s="20" t="n">
        <v>41364.1276</v>
      </c>
      <c r="E710" s="21" t="n">
        <v>53599.168868</v>
      </c>
      <c r="F710" s="21" t="n">
        <v>53676.46137404</v>
      </c>
      <c r="G710" s="21" t="n">
        <v>65143.1014397198</v>
      </c>
      <c r="H710" s="21" t="n">
        <v>73806.6892850544</v>
      </c>
      <c r="I710" s="21" t="n">
        <v>75317.217318826</v>
      </c>
      <c r="J710" s="21" t="n">
        <v>75252.7853412367</v>
      </c>
      <c r="K710" s="21" t="n">
        <v>75972.2541927211</v>
      </c>
      <c r="L710" s="21" t="n">
        <v>76688.2738478309</v>
      </c>
      <c r="M710" s="21" t="n">
        <v>77399.9898328172</v>
      </c>
      <c r="N710" s="22" t="n">
        <v>78106.4995097831</v>
      </c>
      <c r="O710" s="23" t="n">
        <v>78806.8499558607</v>
      </c>
      <c r="P710" s="23" t="n">
        <v>79500.0357584877</v>
      </c>
      <c r="Q710" s="23" t="n">
        <v>80184.9967236553</v>
      </c>
      <c r="R710" s="23" t="n">
        <v>80860.6154938938</v>
      </c>
      <c r="S710" s="23" t="n">
        <v>81525.7150726388</v>
      </c>
      <c r="T710" s="23" t="n">
        <v>82179.0562515072</v>
      </c>
      <c r="U710" s="23" t="n">
        <v>82819.3349368859</v>
      </c>
      <c r="V710" s="23" t="n">
        <v>83445.1793721043</v>
      </c>
      <c r="W710" s="23" t="n">
        <v>82865.4323941846</v>
      </c>
      <c r="X710" s="23" t="n">
        <v>35526.3023726024</v>
      </c>
    </row>
    <row r="711" customFormat="false" ht="11.25" hidden="false" customHeight="false" outlineLevel="0" collapsed="false">
      <c r="A711" s="24" t="s">
        <v>8</v>
      </c>
      <c r="B711" s="19" t="n">
        <f aca="false">NPV(0.1,D711:Y711)</f>
        <v>254736.845551128</v>
      </c>
      <c r="C711" s="19" t="n">
        <f aca="false">B711-B700</f>
        <v>42.5083570920106</v>
      </c>
      <c r="D711" s="20" t="n">
        <v>26190.1972462324</v>
      </c>
      <c r="E711" s="21" t="n">
        <v>27268.1541477791</v>
      </c>
      <c r="F711" s="21" t="n">
        <v>27418.7690797022</v>
      </c>
      <c r="G711" s="21" t="n">
        <v>28975.7288510471</v>
      </c>
      <c r="H711" s="21" t="n">
        <v>29953.1532994347</v>
      </c>
      <c r="I711" s="21" t="n">
        <v>30094.2507393261</v>
      </c>
      <c r="J711" s="21" t="n">
        <v>30282.8691604808</v>
      </c>
      <c r="K711" s="21" t="n">
        <v>30477.1461342701</v>
      </c>
      <c r="L711" s="21" t="n">
        <v>30677.2514172731</v>
      </c>
      <c r="M711" s="21" t="n">
        <v>30841.3326179249</v>
      </c>
      <c r="N711" s="22" t="n">
        <v>31053.6243126628</v>
      </c>
      <c r="O711" s="23" t="n">
        <v>31272.2847582428</v>
      </c>
      <c r="P711" s="23" t="n">
        <v>31497.5050171903</v>
      </c>
      <c r="Q711" s="23" t="n">
        <v>31687.4546430648</v>
      </c>
      <c r="R711" s="23" t="n">
        <v>31926.3908157821</v>
      </c>
      <c r="S711" s="23" t="n">
        <v>32172.495073681</v>
      </c>
      <c r="T711" s="23" t="n">
        <v>32425.9824593168</v>
      </c>
      <c r="U711" s="23" t="n">
        <v>32645.0472256804</v>
      </c>
      <c r="V711" s="23" t="n">
        <v>32913.9719931014</v>
      </c>
      <c r="W711" s="23" t="n">
        <v>33190.9645035451</v>
      </c>
      <c r="X711" s="23" t="n">
        <v>16231.1158597537</v>
      </c>
    </row>
    <row r="712" customFormat="false" ht="11.25" hidden="false" customHeight="false" outlineLevel="0" collapsed="false">
      <c r="A712" s="24" t="s">
        <v>9</v>
      </c>
      <c r="B712" s="19" t="n">
        <f aca="false">NPV(0.1,D712:Y712)</f>
        <v>115347.176839603</v>
      </c>
      <c r="C712" s="19" t="n">
        <f aca="false">B712-B701</f>
        <v>216.337791389509</v>
      </c>
      <c r="D712" s="20" t="n">
        <v>-2232.11175770105</v>
      </c>
      <c r="E712" s="21" t="n">
        <v>3379.1182832</v>
      </c>
      <c r="F712" s="21" t="n">
        <v>3634.52402261612</v>
      </c>
      <c r="G712" s="21" t="n">
        <v>10112.5137524717</v>
      </c>
      <c r="H712" s="21" t="n">
        <v>15356.4709983655</v>
      </c>
      <c r="I712" s="21" t="n">
        <v>16617.5264852306</v>
      </c>
      <c r="J712" s="21" t="n">
        <v>16865.0334422508</v>
      </c>
      <c r="K712" s="21" t="n">
        <v>17580.6612745577</v>
      </c>
      <c r="L712" s="21" t="n">
        <v>18290.6217419499</v>
      </c>
      <c r="M712" s="21" t="n">
        <v>19268.4611018263</v>
      </c>
      <c r="N712" s="22" t="n">
        <v>20386.6876239653</v>
      </c>
      <c r="O712" s="23" t="n">
        <v>20876.0066757442</v>
      </c>
      <c r="P712" s="23" t="n">
        <v>21405.7089208915</v>
      </c>
      <c r="Q712" s="23" t="n">
        <v>21951.9326751547</v>
      </c>
      <c r="R712" s="23" t="n">
        <v>22462.5250561475</v>
      </c>
      <c r="S712" s="23" t="n">
        <v>22962.3127816959</v>
      </c>
      <c r="T712" s="23" t="n">
        <v>23450.4074911661</v>
      </c>
      <c r="U712" s="23" t="n">
        <v>24195.3858684191</v>
      </c>
      <c r="V712" s="23" t="n">
        <v>24998.6228611669</v>
      </c>
      <c r="W712" s="23" t="n">
        <v>25206.771136816</v>
      </c>
      <c r="X712" s="23" t="n">
        <v>7477.97042355452</v>
      </c>
    </row>
    <row r="713" customFormat="false" ht="11.25" hidden="false" customHeight="false" outlineLevel="0" collapsed="false">
      <c r="A713" s="24" t="s">
        <v>10</v>
      </c>
      <c r="B713" s="19" t="n">
        <f aca="false">NPV(0.1,D713:Y713)</f>
        <v>122588.635570971</v>
      </c>
      <c r="C713" s="19" t="n">
        <f aca="false">B713-B702</f>
        <v>-323.152756562791</v>
      </c>
      <c r="D713" s="25" t="n">
        <v>-6446.51160979936</v>
      </c>
      <c r="E713" s="26" t="n">
        <v>5572.38302922364</v>
      </c>
      <c r="F713" s="26" t="n">
        <v>3275.20979801704</v>
      </c>
      <c r="G713" s="26" t="n">
        <v>11291.7686710311</v>
      </c>
      <c r="H713" s="26" t="n">
        <v>25400.4285354399</v>
      </c>
      <c r="I713" s="26" t="n">
        <v>22152.0924136939</v>
      </c>
      <c r="J713" s="26" t="n">
        <v>18340.0330848975</v>
      </c>
      <c r="K713" s="26" t="n">
        <v>19065.104151317</v>
      </c>
      <c r="L713" s="26" t="n">
        <v>14324.6213845966</v>
      </c>
      <c r="M713" s="26" t="n">
        <v>11561.2367377443</v>
      </c>
      <c r="N713" s="27" t="n">
        <v>26314.547266612</v>
      </c>
      <c r="O713" s="23" t="n">
        <v>25825.1695525035</v>
      </c>
      <c r="P713" s="23" t="n">
        <v>26345.4285635382</v>
      </c>
      <c r="Q713" s="23" t="n">
        <v>26859.0683110727</v>
      </c>
      <c r="R713" s="23" t="n">
        <v>27402.2446987942</v>
      </c>
      <c r="S713" s="23" t="n">
        <v>25116.278361133</v>
      </c>
      <c r="T713" s="23" t="n">
        <v>17877.9190073936</v>
      </c>
      <c r="U713" s="23" t="n">
        <v>16604.5901438053</v>
      </c>
      <c r="V713" s="23" t="n">
        <v>14485.4343773944</v>
      </c>
      <c r="W713" s="23" t="n">
        <v>12717.3026530435</v>
      </c>
      <c r="X713" s="23" t="n">
        <v>11786.881939782</v>
      </c>
    </row>
    <row r="716" customFormat="false" ht="11.25" hidden="false" customHeight="false" outlineLevel="0" collapsed="false">
      <c r="A716" s="32" t="s">
        <v>79</v>
      </c>
    </row>
    <row r="717" customFormat="false" ht="11.25" hidden="false" customHeight="false" outlineLevel="0" collapsed="false">
      <c r="A717" s="31" t="n">
        <v>36467</v>
      </c>
    </row>
    <row r="718" customFormat="false" ht="11.25" hidden="false" customHeight="false" outlineLevel="0" collapsed="false">
      <c r="A718" s="9" t="s">
        <v>2</v>
      </c>
      <c r="B718" s="10" t="n">
        <v>48096.3593004164</v>
      </c>
      <c r="C718" s="11"/>
      <c r="D718" s="11"/>
      <c r="E718" s="11"/>
      <c r="F718" s="11"/>
      <c r="G718" s="11"/>
      <c r="H718" s="11"/>
      <c r="I718" s="11"/>
      <c r="J718" s="11"/>
      <c r="K718" s="11"/>
      <c r="L718" s="11"/>
      <c r="M718" s="11"/>
      <c r="N718" s="11"/>
      <c r="O718" s="11"/>
      <c r="P718" s="11"/>
      <c r="Q718" s="11"/>
      <c r="R718" s="11"/>
      <c r="S718" s="11"/>
      <c r="T718" s="11"/>
      <c r="U718" s="11"/>
      <c r="V718" s="11"/>
    </row>
    <row r="719" customFormat="false" ht="11.25" hidden="false" customHeight="false" outlineLevel="0" collapsed="false">
      <c r="A719" s="12" t="s">
        <v>3</v>
      </c>
      <c r="B719" s="13" t="n">
        <v>92206.5657217211</v>
      </c>
      <c r="C719" s="11"/>
      <c r="D719" s="11"/>
      <c r="E719" s="11"/>
      <c r="F719" s="11"/>
      <c r="G719" s="11"/>
      <c r="H719" s="11"/>
      <c r="I719" s="11"/>
      <c r="J719" s="11"/>
      <c r="K719" s="11"/>
      <c r="L719" s="11"/>
      <c r="M719" s="11"/>
      <c r="N719" s="11"/>
      <c r="O719" s="11"/>
      <c r="P719" s="11"/>
      <c r="Q719" s="11"/>
      <c r="R719" s="11"/>
      <c r="S719" s="11"/>
      <c r="T719" s="11"/>
      <c r="U719" s="11"/>
      <c r="V719" s="11"/>
    </row>
    <row r="720" customFormat="false" ht="11.25" hidden="false" customHeight="false" outlineLevel="0" collapsed="false">
      <c r="A720" s="14" t="s">
        <v>4</v>
      </c>
      <c r="B720" s="15" t="s">
        <v>5</v>
      </c>
      <c r="C720" s="15" t="s">
        <v>6</v>
      </c>
      <c r="D720" s="16" t="n">
        <v>2000</v>
      </c>
      <c r="E720" s="17" t="n">
        <v>2001</v>
      </c>
      <c r="F720" s="17" t="n">
        <v>2002</v>
      </c>
      <c r="G720" s="17" t="n">
        <v>2003</v>
      </c>
      <c r="H720" s="17" t="n">
        <v>2004</v>
      </c>
      <c r="I720" s="17" t="n">
        <v>2005</v>
      </c>
      <c r="J720" s="17" t="n">
        <v>2006</v>
      </c>
      <c r="K720" s="17" t="n">
        <v>2007</v>
      </c>
      <c r="L720" s="17" t="n">
        <v>2008</v>
      </c>
      <c r="M720" s="17" t="n">
        <v>2009</v>
      </c>
      <c r="N720" s="18" t="n">
        <v>2010</v>
      </c>
      <c r="O720" s="11" t="n">
        <v>2011</v>
      </c>
      <c r="P720" s="11" t="n">
        <v>2012</v>
      </c>
      <c r="Q720" s="11" t="n">
        <v>2013</v>
      </c>
      <c r="R720" s="11" t="n">
        <v>2014</v>
      </c>
      <c r="S720" s="11" t="n">
        <v>2015</v>
      </c>
      <c r="T720" s="11" t="n">
        <v>2016</v>
      </c>
      <c r="U720" s="11" t="n">
        <v>2017</v>
      </c>
      <c r="V720" s="11" t="n">
        <v>2018</v>
      </c>
      <c r="W720" s="11" t="n">
        <v>2019</v>
      </c>
      <c r="X720" s="11" t="n">
        <v>2020</v>
      </c>
    </row>
    <row r="721" customFormat="false" ht="11.25" hidden="false" customHeight="false" outlineLevel="0" collapsed="false">
      <c r="A721" s="14" t="s">
        <v>7</v>
      </c>
      <c r="B721" s="19" t="n">
        <f aca="false">NPV(0.1,D721:Y721)</f>
        <v>587133.411132182</v>
      </c>
      <c r="C721" s="19" t="n">
        <f aca="false">B721-B710</f>
        <v>0</v>
      </c>
      <c r="D721" s="20" t="n">
        <v>41364.1276</v>
      </c>
      <c r="E721" s="21" t="n">
        <v>53599.168868</v>
      </c>
      <c r="F721" s="21" t="n">
        <v>53676.46137404</v>
      </c>
      <c r="G721" s="21" t="n">
        <v>65143.1014397198</v>
      </c>
      <c r="H721" s="21" t="n">
        <v>73806.6892850544</v>
      </c>
      <c r="I721" s="21" t="n">
        <v>75317.217318826</v>
      </c>
      <c r="J721" s="21" t="n">
        <v>75252.7853412367</v>
      </c>
      <c r="K721" s="21" t="n">
        <v>75972.2541927211</v>
      </c>
      <c r="L721" s="21" t="n">
        <v>76688.2738478309</v>
      </c>
      <c r="M721" s="21" t="n">
        <v>77399.9898328172</v>
      </c>
      <c r="N721" s="22" t="n">
        <v>78106.4995097831</v>
      </c>
      <c r="O721" s="23" t="n">
        <v>78806.8499558607</v>
      </c>
      <c r="P721" s="23" t="n">
        <v>79500.0357584877</v>
      </c>
      <c r="Q721" s="23" t="n">
        <v>80184.9967236553</v>
      </c>
      <c r="R721" s="23" t="n">
        <v>80860.6154938938</v>
      </c>
      <c r="S721" s="23" t="n">
        <v>81525.7150726388</v>
      </c>
      <c r="T721" s="23" t="n">
        <v>82179.0562515072</v>
      </c>
      <c r="U721" s="23" t="n">
        <v>82819.3349368859</v>
      </c>
      <c r="V721" s="23" t="n">
        <v>83445.1793721043</v>
      </c>
      <c r="W721" s="23" t="n">
        <v>82865.4323941846</v>
      </c>
      <c r="X721" s="23" t="n">
        <v>35526.3023726024</v>
      </c>
    </row>
    <row r="722" customFormat="false" ht="11.25" hidden="false" customHeight="false" outlineLevel="0" collapsed="false">
      <c r="A722" s="24" t="s">
        <v>8</v>
      </c>
      <c r="B722" s="19" t="n">
        <f aca="false">NPV(0.1,D722:Y722)</f>
        <v>254736.159239677</v>
      </c>
      <c r="C722" s="19" t="n">
        <f aca="false">B722-B711</f>
        <v>-0.6863114508742</v>
      </c>
      <c r="D722" s="20" t="n">
        <v>26190.0841582324</v>
      </c>
      <c r="E722" s="21" t="n">
        <v>27268.0787557791</v>
      </c>
      <c r="F722" s="21" t="n">
        <v>27418.6936877022</v>
      </c>
      <c r="G722" s="21" t="n">
        <v>28975.6534590471</v>
      </c>
      <c r="H722" s="21" t="n">
        <v>29953.0779074347</v>
      </c>
      <c r="I722" s="21" t="n">
        <v>30094.1753473261</v>
      </c>
      <c r="J722" s="21" t="n">
        <v>30282.7937684808</v>
      </c>
      <c r="K722" s="21" t="n">
        <v>30477.0707422701</v>
      </c>
      <c r="L722" s="21" t="n">
        <v>30677.1760252731</v>
      </c>
      <c r="M722" s="21" t="n">
        <v>30841.2572259249</v>
      </c>
      <c r="N722" s="22" t="n">
        <v>31053.5489206628</v>
      </c>
      <c r="O722" s="23" t="n">
        <v>31272.2093662428</v>
      </c>
      <c r="P722" s="23" t="n">
        <v>31497.4296251903</v>
      </c>
      <c r="Q722" s="23" t="n">
        <v>31687.3792510648</v>
      </c>
      <c r="R722" s="23" t="n">
        <v>31926.3154237821</v>
      </c>
      <c r="S722" s="23" t="n">
        <v>32172.419681681</v>
      </c>
      <c r="T722" s="23" t="n">
        <v>32425.9070673168</v>
      </c>
      <c r="U722" s="23" t="n">
        <v>32644.9718336804</v>
      </c>
      <c r="V722" s="23" t="n">
        <v>32913.8966011014</v>
      </c>
      <c r="W722" s="23" t="n">
        <v>33190.8891115451</v>
      </c>
      <c r="X722" s="23" t="n">
        <v>16231.0404677537</v>
      </c>
    </row>
    <row r="723" customFormat="false" ht="11.25" hidden="false" customHeight="false" outlineLevel="0" collapsed="false">
      <c r="A723" s="24" t="s">
        <v>9</v>
      </c>
      <c r="B723" s="19" t="n">
        <f aca="false">NPV(0.1,D723:Y723)</f>
        <v>115358.631540813</v>
      </c>
      <c r="C723" s="19" t="n">
        <f aca="false">B723-B712</f>
        <v>11.45470120963</v>
      </c>
      <c r="D723" s="20" t="n">
        <v>-2231.52118113192</v>
      </c>
      <c r="E723" s="21" t="n">
        <v>3380.52892569435</v>
      </c>
      <c r="F723" s="21" t="n">
        <v>3635.93466511047</v>
      </c>
      <c r="G723" s="21" t="n">
        <v>10113.9243949661</v>
      </c>
      <c r="H723" s="21" t="n">
        <v>15357.8816408598</v>
      </c>
      <c r="I723" s="21" t="n">
        <v>16618.937127725</v>
      </c>
      <c r="J723" s="21" t="n">
        <v>16866.4440847451</v>
      </c>
      <c r="K723" s="21" t="n">
        <v>17582.071917052</v>
      </c>
      <c r="L723" s="21" t="n">
        <v>18292.0323844442</v>
      </c>
      <c r="M723" s="21" t="n">
        <v>19269.8717443207</v>
      </c>
      <c r="N723" s="22" t="n">
        <v>20388.0982664596</v>
      </c>
      <c r="O723" s="23" t="n">
        <v>20877.4173182385</v>
      </c>
      <c r="P723" s="23" t="n">
        <v>21407.1195633858</v>
      </c>
      <c r="Q723" s="23" t="n">
        <v>21953.343317649</v>
      </c>
      <c r="R723" s="23" t="n">
        <v>22463.9356986418</v>
      </c>
      <c r="S723" s="23" t="n">
        <v>22963.7234241902</v>
      </c>
      <c r="T723" s="23" t="n">
        <v>23451.8181336605</v>
      </c>
      <c r="U723" s="23" t="n">
        <v>24196.7965109134</v>
      </c>
      <c r="V723" s="23" t="n">
        <v>25000.0335036612</v>
      </c>
      <c r="W723" s="23" t="n">
        <v>25208.1817793104</v>
      </c>
      <c r="X723" s="23" t="n">
        <v>7479.38106604887</v>
      </c>
    </row>
    <row r="724" customFormat="false" ht="11.25" hidden="false" customHeight="false" outlineLevel="0" collapsed="false">
      <c r="A724" s="24" t="s">
        <v>10</v>
      </c>
      <c r="B724" s="19" t="n">
        <f aca="false">NPV(0.1,D724:Y724)</f>
        <v>122575.432993117</v>
      </c>
      <c r="C724" s="19" t="n">
        <f aca="false">B724-B713</f>
        <v>-13.202577854041</v>
      </c>
      <c r="D724" s="25" t="n">
        <v>-6446.85210819936</v>
      </c>
      <c r="E724" s="26" t="n">
        <v>5572.45936362364</v>
      </c>
      <c r="F724" s="26" t="n">
        <v>3275.28613241704</v>
      </c>
      <c r="G724" s="26" t="n">
        <v>11291.8450054311</v>
      </c>
      <c r="H724" s="26" t="n">
        <v>25400.5048698399</v>
      </c>
      <c r="I724" s="26" t="n">
        <v>22139.0208032905</v>
      </c>
      <c r="J724" s="26" t="n">
        <v>18338.3147007973</v>
      </c>
      <c r="K724" s="26" t="n">
        <v>19063.3827766423</v>
      </c>
      <c r="L724" s="26" t="n">
        <v>14322.9030004964</v>
      </c>
      <c r="M724" s="26" t="n">
        <v>11559.5153630696</v>
      </c>
      <c r="N724" s="27" t="n">
        <v>26312.8288825118</v>
      </c>
      <c r="O724" s="23" t="n">
        <v>25823.4481778288</v>
      </c>
      <c r="P724" s="23" t="n">
        <v>26343.710179438</v>
      </c>
      <c r="Q724" s="23" t="n">
        <v>26857.346936398</v>
      </c>
      <c r="R724" s="23" t="n">
        <v>27400.526314694</v>
      </c>
      <c r="S724" s="23" t="n">
        <v>25115.4421964997</v>
      </c>
      <c r="T724" s="23" t="n">
        <v>17877.9650622272</v>
      </c>
      <c r="U724" s="23" t="n">
        <v>16604.6361986388</v>
      </c>
      <c r="V724" s="23" t="n">
        <v>14485.4804322279</v>
      </c>
      <c r="W724" s="23" t="n">
        <v>12717.3487078771</v>
      </c>
      <c r="X724" s="23" t="n">
        <v>11786.9279946156</v>
      </c>
    </row>
    <row r="727" customFormat="false" ht="11.25" hidden="false" customHeight="false" outlineLevel="0" collapsed="false">
      <c r="A727" s="32" t="s">
        <v>80</v>
      </c>
    </row>
    <row r="728" customFormat="false" ht="11.25" hidden="false" customHeight="false" outlineLevel="0" collapsed="false">
      <c r="A728" s="31" t="n">
        <v>36481</v>
      </c>
    </row>
    <row r="729" customFormat="false" ht="11.25" hidden="false" customHeight="false" outlineLevel="0" collapsed="false">
      <c r="A729" s="9" t="s">
        <v>2</v>
      </c>
      <c r="B729" s="10" t="n">
        <v>48004.5522424041</v>
      </c>
      <c r="C729" s="11"/>
      <c r="D729" s="11"/>
      <c r="E729" s="11"/>
      <c r="F729" s="11"/>
      <c r="G729" s="11"/>
      <c r="H729" s="11"/>
      <c r="I729" s="11"/>
      <c r="J729" s="11"/>
      <c r="K729" s="11"/>
      <c r="L729" s="11"/>
      <c r="M729" s="11"/>
      <c r="N729" s="11"/>
      <c r="O729" s="11"/>
      <c r="P729" s="11"/>
      <c r="Q729" s="11"/>
      <c r="R729" s="11"/>
      <c r="S729" s="11"/>
      <c r="T729" s="11"/>
      <c r="U729" s="11"/>
      <c r="V729" s="11"/>
    </row>
    <row r="730" customFormat="false" ht="11.25" hidden="false" customHeight="false" outlineLevel="0" collapsed="false">
      <c r="A730" s="12" t="s">
        <v>3</v>
      </c>
      <c r="B730" s="13" t="n">
        <v>92105.0013627402</v>
      </c>
      <c r="C730" s="11"/>
      <c r="D730" s="11"/>
      <c r="E730" s="11"/>
      <c r="F730" s="11"/>
      <c r="G730" s="11"/>
      <c r="H730" s="11"/>
      <c r="I730" s="11"/>
      <c r="J730" s="11"/>
      <c r="K730" s="11"/>
      <c r="L730" s="11"/>
      <c r="M730" s="11"/>
      <c r="N730" s="11"/>
      <c r="O730" s="11"/>
      <c r="P730" s="11"/>
      <c r="Q730" s="11"/>
      <c r="R730" s="11"/>
      <c r="S730" s="11"/>
      <c r="T730" s="11"/>
      <c r="U730" s="11"/>
      <c r="V730" s="11"/>
    </row>
    <row r="731" customFormat="false" ht="11.25" hidden="false" customHeight="false" outlineLevel="0" collapsed="false">
      <c r="A731" s="14" t="s">
        <v>4</v>
      </c>
      <c r="B731" s="15" t="s">
        <v>5</v>
      </c>
      <c r="C731" s="15" t="s">
        <v>6</v>
      </c>
      <c r="D731" s="16" t="n">
        <v>2000</v>
      </c>
      <c r="E731" s="17" t="n">
        <v>2001</v>
      </c>
      <c r="F731" s="17" t="n">
        <v>2002</v>
      </c>
      <c r="G731" s="17" t="n">
        <v>2003</v>
      </c>
      <c r="H731" s="17" t="n">
        <v>2004</v>
      </c>
      <c r="I731" s="17" t="n">
        <v>2005</v>
      </c>
      <c r="J731" s="17" t="n">
        <v>2006</v>
      </c>
      <c r="K731" s="17" t="n">
        <v>2007</v>
      </c>
      <c r="L731" s="17" t="n">
        <v>2008</v>
      </c>
      <c r="M731" s="17" t="n">
        <v>2009</v>
      </c>
      <c r="N731" s="18" t="n">
        <v>2010</v>
      </c>
      <c r="O731" s="11" t="n">
        <v>2011</v>
      </c>
      <c r="P731" s="11" t="n">
        <v>2012</v>
      </c>
      <c r="Q731" s="11" t="n">
        <v>2013</v>
      </c>
      <c r="R731" s="11" t="n">
        <v>2014</v>
      </c>
      <c r="S731" s="11" t="n">
        <v>2015</v>
      </c>
      <c r="T731" s="11" t="n">
        <v>2016</v>
      </c>
      <c r="U731" s="11" t="n">
        <v>2017</v>
      </c>
      <c r="V731" s="11" t="n">
        <v>2018</v>
      </c>
      <c r="W731" s="11" t="n">
        <v>2019</v>
      </c>
      <c r="X731" s="11" t="n">
        <v>2020</v>
      </c>
    </row>
    <row r="732" customFormat="false" ht="11.25" hidden="false" customHeight="false" outlineLevel="0" collapsed="false">
      <c r="A732" s="14" t="s">
        <v>7</v>
      </c>
      <c r="B732" s="19" t="n">
        <f aca="false">NPV(0.1,D732:Y732)</f>
        <v>587133.411132182</v>
      </c>
      <c r="C732" s="19" t="n">
        <f aca="false">B732-B721</f>
        <v>0</v>
      </c>
      <c r="D732" s="20" t="n">
        <v>41364.1276</v>
      </c>
      <c r="E732" s="21" t="n">
        <v>53599.168868</v>
      </c>
      <c r="F732" s="21" t="n">
        <v>53676.46137404</v>
      </c>
      <c r="G732" s="21" t="n">
        <v>65143.1014397198</v>
      </c>
      <c r="H732" s="21" t="n">
        <v>73806.6892850544</v>
      </c>
      <c r="I732" s="21" t="n">
        <v>75317.217318826</v>
      </c>
      <c r="J732" s="21" t="n">
        <v>75252.7853412367</v>
      </c>
      <c r="K732" s="21" t="n">
        <v>75972.2541927211</v>
      </c>
      <c r="L732" s="21" t="n">
        <v>76688.2738478309</v>
      </c>
      <c r="M732" s="21" t="n">
        <v>77399.9898328172</v>
      </c>
      <c r="N732" s="22" t="n">
        <v>78106.4995097831</v>
      </c>
      <c r="O732" s="23" t="n">
        <v>78806.8499558607</v>
      </c>
      <c r="P732" s="23" t="n">
        <v>79500.0357584877</v>
      </c>
      <c r="Q732" s="23" t="n">
        <v>80184.9967236553</v>
      </c>
      <c r="R732" s="23" t="n">
        <v>80860.6154938938</v>
      </c>
      <c r="S732" s="23" t="n">
        <v>81525.7150726388</v>
      </c>
      <c r="T732" s="23" t="n">
        <v>82179.0562515072</v>
      </c>
      <c r="U732" s="23" t="n">
        <v>82819.3349368859</v>
      </c>
      <c r="V732" s="23" t="n">
        <v>83445.1793721043</v>
      </c>
      <c r="W732" s="23" t="n">
        <v>82865.4323941846</v>
      </c>
      <c r="X732" s="23" t="n">
        <v>35526.3023726024</v>
      </c>
    </row>
    <row r="733" customFormat="false" ht="11.25" hidden="false" customHeight="false" outlineLevel="0" collapsed="false">
      <c r="A733" s="24" t="s">
        <v>8</v>
      </c>
      <c r="B733" s="19" t="n">
        <f aca="false">NPV(0.1,D733:Y733)</f>
        <v>254736.168952833</v>
      </c>
      <c r="C733" s="19" t="n">
        <f aca="false">B733-B722</f>
        <v>0.00971315678907558</v>
      </c>
      <c r="D733" s="20" t="n">
        <v>26190.0857587324</v>
      </c>
      <c r="E733" s="21" t="n">
        <v>27268.0798227791</v>
      </c>
      <c r="F733" s="21" t="n">
        <v>27418.6947547022</v>
      </c>
      <c r="G733" s="21" t="n">
        <v>28975.6545260471</v>
      </c>
      <c r="H733" s="21" t="n">
        <v>29953.0789744347</v>
      </c>
      <c r="I733" s="21" t="n">
        <v>30094.1764143261</v>
      </c>
      <c r="J733" s="21" t="n">
        <v>30282.7948354808</v>
      </c>
      <c r="K733" s="21" t="n">
        <v>30477.0718092701</v>
      </c>
      <c r="L733" s="21" t="n">
        <v>30677.1770922731</v>
      </c>
      <c r="M733" s="21" t="n">
        <v>30841.2582929249</v>
      </c>
      <c r="N733" s="22" t="n">
        <v>31053.5499876628</v>
      </c>
      <c r="O733" s="23" t="n">
        <v>31272.2104332428</v>
      </c>
      <c r="P733" s="23" t="n">
        <v>31497.4306921903</v>
      </c>
      <c r="Q733" s="23" t="n">
        <v>31687.3803180648</v>
      </c>
      <c r="R733" s="23" t="n">
        <v>31926.3164907821</v>
      </c>
      <c r="S733" s="23" t="n">
        <v>32172.420748681</v>
      </c>
      <c r="T733" s="23" t="n">
        <v>32425.9081343168</v>
      </c>
      <c r="U733" s="23" t="n">
        <v>32644.9729006804</v>
      </c>
      <c r="V733" s="23" t="n">
        <v>32913.8976681014</v>
      </c>
      <c r="W733" s="23" t="n">
        <v>33190.8901785451</v>
      </c>
      <c r="X733" s="23" t="n">
        <v>16231.0415347537</v>
      </c>
    </row>
    <row r="734" customFormat="false" ht="11.25" hidden="false" customHeight="false" outlineLevel="0" collapsed="false">
      <c r="A734" s="24" t="s">
        <v>9</v>
      </c>
      <c r="B734" s="19" t="n">
        <f aca="false">NPV(0.1,D734:Y734)</f>
        <v>115330.424561632</v>
      </c>
      <c r="C734" s="19" t="n">
        <f aca="false">B734-B723</f>
        <v>-28.2069791805552</v>
      </c>
      <c r="D734" s="20" t="n">
        <v>-2263.09651028151</v>
      </c>
      <c r="E734" s="21" t="n">
        <v>3380.40781302653</v>
      </c>
      <c r="F734" s="21" t="n">
        <v>3635.81355244265</v>
      </c>
      <c r="G734" s="21" t="n">
        <v>10113.8032822982</v>
      </c>
      <c r="H734" s="21" t="n">
        <v>15357.760528192</v>
      </c>
      <c r="I734" s="21" t="n">
        <v>16618.9971246677</v>
      </c>
      <c r="J734" s="21" t="n">
        <v>16866.6334456953</v>
      </c>
      <c r="K734" s="21" t="n">
        <v>17582.2612780022</v>
      </c>
      <c r="L734" s="21" t="n">
        <v>18292.2217453944</v>
      </c>
      <c r="M734" s="21" t="n">
        <v>19270.0611052709</v>
      </c>
      <c r="N734" s="22" t="n">
        <v>20388.2876274098</v>
      </c>
      <c r="O734" s="23" t="n">
        <v>20877.6066791887</v>
      </c>
      <c r="P734" s="23" t="n">
        <v>21407.308924336</v>
      </c>
      <c r="Q734" s="23" t="n">
        <v>21953.5326785992</v>
      </c>
      <c r="R734" s="23" t="n">
        <v>22464.125059592</v>
      </c>
      <c r="S734" s="23" t="n">
        <v>22963.9127851404</v>
      </c>
      <c r="T734" s="23" t="n">
        <v>23452.0074946107</v>
      </c>
      <c r="U734" s="23" t="n">
        <v>24196.9858718636</v>
      </c>
      <c r="V734" s="23" t="n">
        <v>25000.2228646114</v>
      </c>
      <c r="W734" s="23" t="n">
        <v>25208.3711402606</v>
      </c>
      <c r="X734" s="23" t="n">
        <v>7479.57042699905</v>
      </c>
    </row>
    <row r="735" customFormat="false" ht="11.25" hidden="false" customHeight="false" outlineLevel="0" collapsed="false">
      <c r="A735" s="24" t="s">
        <v>10</v>
      </c>
      <c r="B735" s="19" t="n">
        <f aca="false">NPV(0.1,D735:Y735)</f>
        <v>122538.36641539</v>
      </c>
      <c r="C735" s="19" t="n">
        <f aca="false">B735-B724</f>
        <v>-37.0665777273243</v>
      </c>
      <c r="D735" s="25" t="n">
        <v>-6499.07072870561</v>
      </c>
      <c r="E735" s="26" t="n">
        <v>5572.45828328614</v>
      </c>
      <c r="F735" s="26" t="n">
        <v>3275.28505207954</v>
      </c>
      <c r="G735" s="26" t="n">
        <v>11291.8439250936</v>
      </c>
      <c r="H735" s="26" t="n">
        <v>25400.5037895024</v>
      </c>
      <c r="I735" s="26" t="n">
        <v>22158.9275392337</v>
      </c>
      <c r="J735" s="26" t="n">
        <v>18338.0683587394</v>
      </c>
      <c r="K735" s="26" t="n">
        <v>19063.1360181602</v>
      </c>
      <c r="L735" s="26" t="n">
        <v>14322.6566584385</v>
      </c>
      <c r="M735" s="26" t="n">
        <v>11559.2686045875</v>
      </c>
      <c r="N735" s="27" t="n">
        <v>26312.5825404539</v>
      </c>
      <c r="O735" s="23" t="n">
        <v>25823.2014193467</v>
      </c>
      <c r="P735" s="23" t="n">
        <v>26343.46383738</v>
      </c>
      <c r="Q735" s="23" t="n">
        <v>26857.1001779159</v>
      </c>
      <c r="R735" s="23" t="n">
        <v>27400.279972636</v>
      </c>
      <c r="S735" s="23" t="n">
        <v>25115.3186995707</v>
      </c>
      <c r="T735" s="23" t="n">
        <v>17877.9644104272</v>
      </c>
      <c r="U735" s="23" t="n">
        <v>16604.6355468388</v>
      </c>
      <c r="V735" s="23" t="n">
        <v>14485.4797804279</v>
      </c>
      <c r="W735" s="23" t="n">
        <v>12717.3480560771</v>
      </c>
      <c r="X735" s="23" t="n">
        <v>11786.9273428155</v>
      </c>
    </row>
    <row r="738" customFormat="false" ht="11.25" hidden="false" customHeight="false" outlineLevel="0" collapsed="false">
      <c r="A738" s="32" t="s">
        <v>80</v>
      </c>
    </row>
    <row r="739" customFormat="false" ht="11.25" hidden="false" customHeight="false" outlineLevel="0" collapsed="false">
      <c r="A739" s="31" t="n">
        <v>36494</v>
      </c>
    </row>
    <row r="740" customFormat="false" ht="11.25" hidden="false" customHeight="false" outlineLevel="0" collapsed="false">
      <c r="A740" s="9" t="s">
        <v>2</v>
      </c>
      <c r="B740" s="10" t="n">
        <v>40291.3215831806</v>
      </c>
      <c r="C740" s="11"/>
      <c r="D740" s="11"/>
      <c r="E740" s="11"/>
      <c r="F740" s="11"/>
      <c r="G740" s="11"/>
      <c r="H740" s="11"/>
      <c r="I740" s="11"/>
      <c r="J740" s="11"/>
      <c r="K740" s="11"/>
      <c r="L740" s="11"/>
      <c r="M740" s="11"/>
      <c r="N740" s="11"/>
      <c r="O740" s="11"/>
      <c r="P740" s="11"/>
      <c r="Q740" s="11"/>
      <c r="R740" s="11"/>
      <c r="S740" s="11"/>
      <c r="T740" s="11"/>
      <c r="U740" s="11"/>
      <c r="V740" s="11"/>
    </row>
    <row r="741" customFormat="false" ht="11.25" hidden="false" customHeight="false" outlineLevel="0" collapsed="false">
      <c r="A741" s="12" t="s">
        <v>3</v>
      </c>
      <c r="B741" s="13" t="n">
        <v>82894.5125589565</v>
      </c>
      <c r="C741" s="11"/>
      <c r="D741" s="11"/>
      <c r="E741" s="11"/>
      <c r="F741" s="11"/>
      <c r="G741" s="11"/>
      <c r="H741" s="11"/>
      <c r="I741" s="11"/>
      <c r="J741" s="11"/>
      <c r="K741" s="11"/>
      <c r="L741" s="11"/>
      <c r="M741" s="11"/>
      <c r="N741" s="11"/>
      <c r="O741" s="11"/>
      <c r="P741" s="11"/>
      <c r="Q741" s="11"/>
      <c r="R741" s="11"/>
      <c r="S741" s="11"/>
      <c r="T741" s="11"/>
      <c r="U741" s="11"/>
      <c r="V741" s="11"/>
    </row>
    <row r="742" customFormat="false" ht="11.25" hidden="false" customHeight="false" outlineLevel="0" collapsed="false">
      <c r="A742" s="14" t="s">
        <v>4</v>
      </c>
      <c r="B742" s="15" t="s">
        <v>5</v>
      </c>
      <c r="C742" s="15" t="s">
        <v>6</v>
      </c>
      <c r="D742" s="16" t="n">
        <v>2000</v>
      </c>
      <c r="E742" s="17" t="n">
        <v>2001</v>
      </c>
      <c r="F742" s="17" t="n">
        <v>2002</v>
      </c>
      <c r="G742" s="17" t="n">
        <v>2003</v>
      </c>
      <c r="H742" s="17" t="n">
        <v>2004</v>
      </c>
      <c r="I742" s="17" t="n">
        <v>2005</v>
      </c>
      <c r="J742" s="17" t="n">
        <v>2006</v>
      </c>
      <c r="K742" s="17" t="n">
        <v>2007</v>
      </c>
      <c r="L742" s="17" t="n">
        <v>2008</v>
      </c>
      <c r="M742" s="17" t="n">
        <v>2009</v>
      </c>
      <c r="N742" s="18" t="n">
        <v>2010</v>
      </c>
      <c r="O742" s="11" t="n">
        <v>2011</v>
      </c>
      <c r="P742" s="11" t="n">
        <v>2012</v>
      </c>
      <c r="Q742" s="11" t="n">
        <v>2013</v>
      </c>
      <c r="R742" s="11" t="n">
        <v>2014</v>
      </c>
      <c r="S742" s="11" t="n">
        <v>2015</v>
      </c>
      <c r="T742" s="11" t="n">
        <v>2016</v>
      </c>
      <c r="U742" s="11" t="n">
        <v>2017</v>
      </c>
      <c r="V742" s="11" t="n">
        <v>2018</v>
      </c>
      <c r="W742" s="11" t="n">
        <v>2019</v>
      </c>
      <c r="X742" s="11" t="n">
        <v>2020</v>
      </c>
    </row>
    <row r="743" customFormat="false" ht="11.25" hidden="false" customHeight="false" outlineLevel="0" collapsed="false">
      <c r="A743" s="14" t="s">
        <v>7</v>
      </c>
      <c r="B743" s="19" t="n">
        <f aca="false">NPV(0.1,D743:Y743)</f>
        <v>587133.411132182</v>
      </c>
      <c r="C743" s="19" t="n">
        <f aca="false">B743-B732</f>
        <v>0</v>
      </c>
      <c r="D743" s="20" t="n">
        <v>41364.1276</v>
      </c>
      <c r="E743" s="21" t="n">
        <v>53599.168868</v>
      </c>
      <c r="F743" s="21" t="n">
        <v>53676.46137404</v>
      </c>
      <c r="G743" s="21" t="n">
        <v>65143.1014397198</v>
      </c>
      <c r="H743" s="21" t="n">
        <v>73806.6892850544</v>
      </c>
      <c r="I743" s="21" t="n">
        <v>75317.217318826</v>
      </c>
      <c r="J743" s="21" t="n">
        <v>75252.7853412367</v>
      </c>
      <c r="K743" s="21" t="n">
        <v>75972.2541927211</v>
      </c>
      <c r="L743" s="21" t="n">
        <v>76688.2738478309</v>
      </c>
      <c r="M743" s="21" t="n">
        <v>77399.9898328172</v>
      </c>
      <c r="N743" s="22" t="n">
        <v>78106.4995097831</v>
      </c>
      <c r="O743" s="23" t="n">
        <v>78806.8499558607</v>
      </c>
      <c r="P743" s="23" t="n">
        <v>79500.0357584877</v>
      </c>
      <c r="Q743" s="23" t="n">
        <v>80184.9967236553</v>
      </c>
      <c r="R743" s="23" t="n">
        <v>80860.6154938938</v>
      </c>
      <c r="S743" s="23" t="n">
        <v>81525.7150726388</v>
      </c>
      <c r="T743" s="23" t="n">
        <v>82179.0562515072</v>
      </c>
      <c r="U743" s="23" t="n">
        <v>82819.3349368859</v>
      </c>
      <c r="V743" s="23" t="n">
        <v>83445.1793721043</v>
      </c>
      <c r="W743" s="23" t="n">
        <v>82865.4323941846</v>
      </c>
      <c r="X743" s="23" t="n">
        <v>35526.3023726024</v>
      </c>
    </row>
    <row r="744" customFormat="false" ht="11.25" hidden="false" customHeight="false" outlineLevel="0" collapsed="false">
      <c r="A744" s="24" t="s">
        <v>8</v>
      </c>
      <c r="B744" s="19" t="n">
        <f aca="false">NPV(0.1,D744:Y744)</f>
        <v>254816.657995776</v>
      </c>
      <c r="C744" s="19" t="n">
        <f aca="false">B744-B733</f>
        <v>80.4890429427032</v>
      </c>
      <c r="D744" s="20" t="n">
        <v>26203.4304227371</v>
      </c>
      <c r="E744" s="21" t="n">
        <v>27276.8569367838</v>
      </c>
      <c r="F744" s="21" t="n">
        <v>27427.4718687068</v>
      </c>
      <c r="G744" s="21" t="n">
        <v>28984.4316400517</v>
      </c>
      <c r="H744" s="21" t="n">
        <v>29961.8560884393</v>
      </c>
      <c r="I744" s="21" t="n">
        <v>30102.9964866501</v>
      </c>
      <c r="J744" s="21" t="n">
        <v>30291.6149078048</v>
      </c>
      <c r="K744" s="21" t="n">
        <v>30485.8918815942</v>
      </c>
      <c r="L744" s="21" t="n">
        <v>30685.9971645972</v>
      </c>
      <c r="M744" s="21" t="n">
        <v>30850.1213235684</v>
      </c>
      <c r="N744" s="22" t="n">
        <v>31062.4130183063</v>
      </c>
      <c r="O744" s="23" t="n">
        <v>31281.0734638863</v>
      </c>
      <c r="P744" s="23" t="n">
        <v>31506.2937228338</v>
      </c>
      <c r="Q744" s="23" t="n">
        <v>31696.2863070278</v>
      </c>
      <c r="R744" s="23" t="n">
        <v>31935.2224797451</v>
      </c>
      <c r="S744" s="23" t="n">
        <v>32181.3267376439</v>
      </c>
      <c r="T744" s="23" t="n">
        <v>32434.8141232798</v>
      </c>
      <c r="U744" s="23" t="n">
        <v>32653.9218479628</v>
      </c>
      <c r="V744" s="23" t="n">
        <v>32922.8466153838</v>
      </c>
      <c r="W744" s="23" t="n">
        <v>33199.8391258275</v>
      </c>
      <c r="X744" s="23" t="n">
        <v>16239.9904820361</v>
      </c>
    </row>
    <row r="745" customFormat="false" ht="11.25" hidden="false" customHeight="false" outlineLevel="0" collapsed="false">
      <c r="A745" s="24" t="s">
        <v>9</v>
      </c>
      <c r="B745" s="19" t="n">
        <f aca="false">NPV(0.1,D745:Y745)</f>
        <v>113890.65353306</v>
      </c>
      <c r="C745" s="19" t="n">
        <f aca="false">B745-B734</f>
        <v>-1439.77102857173</v>
      </c>
      <c r="D745" s="20" t="n">
        <v>-2372.4830702897</v>
      </c>
      <c r="E745" s="21" t="n">
        <v>3201.5009515501</v>
      </c>
      <c r="F745" s="21" t="n">
        <v>3456.90669096622</v>
      </c>
      <c r="G745" s="21" t="n">
        <v>9934.89642082181</v>
      </c>
      <c r="H745" s="21" t="n">
        <v>15178.8536667156</v>
      </c>
      <c r="I745" s="21" t="n">
        <v>16445.6920040788</v>
      </c>
      <c r="J745" s="21" t="n">
        <v>16697.3483128965</v>
      </c>
      <c r="K745" s="21" t="n">
        <v>17412.9761452034</v>
      </c>
      <c r="L745" s="21" t="n">
        <v>18122.9366125956</v>
      </c>
      <c r="M745" s="21" t="n">
        <v>19100.7497304536</v>
      </c>
      <c r="N745" s="22" t="n">
        <v>20218.9762525926</v>
      </c>
      <c r="O745" s="23" t="n">
        <v>20708.2953043715</v>
      </c>
      <c r="P745" s="23" t="n">
        <v>21237.9975495188</v>
      </c>
      <c r="Q745" s="23" t="n">
        <v>21784.1950617636</v>
      </c>
      <c r="R745" s="23" t="n">
        <v>22294.7874427564</v>
      </c>
      <c r="S745" s="23" t="n">
        <v>22794.5751683048</v>
      </c>
      <c r="T745" s="23" t="n">
        <v>23282.669877775</v>
      </c>
      <c r="U745" s="23" t="n">
        <v>24027.6220130096</v>
      </c>
      <c r="V745" s="23" t="n">
        <v>24830.8590057573</v>
      </c>
      <c r="W745" s="23" t="n">
        <v>25039.0072814065</v>
      </c>
      <c r="X745" s="23" t="n">
        <v>7310.206568145</v>
      </c>
    </row>
    <row r="746" customFormat="false" ht="11.25" hidden="false" customHeight="false" outlineLevel="0" collapsed="false">
      <c r="A746" s="24" t="s">
        <v>10</v>
      </c>
      <c r="B746" s="19" t="n">
        <f aca="false">NPV(0.1,D746:Y746)</f>
        <v>124105.576853906</v>
      </c>
      <c r="C746" s="19" t="n">
        <f aca="false">B746-B735</f>
        <v>1567.21043851692</v>
      </c>
      <c r="D746" s="25" t="n">
        <v>-6512.94018700567</v>
      </c>
      <c r="E746" s="26" t="n">
        <v>5563.57145535644</v>
      </c>
      <c r="F746" s="26" t="n">
        <v>3266.39822414984</v>
      </c>
      <c r="G746" s="26" t="n">
        <v>11282.9570971639</v>
      </c>
      <c r="H746" s="26" t="n">
        <v>25391.6169615727</v>
      </c>
      <c r="I746" s="26" t="n">
        <v>23781.9638934563</v>
      </c>
      <c r="J746" s="26" t="n">
        <v>18544.6027610845</v>
      </c>
      <c r="K746" s="26" t="n">
        <v>19270.0296109023</v>
      </c>
      <c r="L746" s="26" t="n">
        <v>14529.1910607835</v>
      </c>
      <c r="M746" s="26" t="n">
        <v>11766.1789136307</v>
      </c>
      <c r="N746" s="27" t="n">
        <v>26519.0907007805</v>
      </c>
      <c r="O746" s="23" t="n">
        <v>26030.0687700704</v>
      </c>
      <c r="P746" s="23" t="n">
        <v>26549.9719977067</v>
      </c>
      <c r="Q746" s="23" t="n">
        <v>27063.9842449407</v>
      </c>
      <c r="R746" s="23" t="n">
        <v>27606.7618909443</v>
      </c>
      <c r="S746" s="23" t="n">
        <v>25215.8394507498</v>
      </c>
      <c r="T746" s="23" t="n">
        <v>17872.5239944771</v>
      </c>
      <c r="U746" s="23" t="n">
        <v>16599.2118471898</v>
      </c>
      <c r="V746" s="23" t="n">
        <v>14480.0131224594</v>
      </c>
      <c r="W746" s="23" t="n">
        <v>12711.8813981086</v>
      </c>
      <c r="X746" s="23" t="n">
        <v>11781.4606848471</v>
      </c>
    </row>
    <row r="749" customFormat="false" ht="11.25" hidden="false" customHeight="false" outlineLevel="0" collapsed="false">
      <c r="A749" s="32" t="s">
        <v>81</v>
      </c>
    </row>
    <row r="750" customFormat="false" ht="11.25" hidden="false" customHeight="false" outlineLevel="0" collapsed="false">
      <c r="A750" s="31" t="n">
        <v>36509</v>
      </c>
    </row>
    <row r="751" customFormat="false" ht="11.25" hidden="false" customHeight="false" outlineLevel="0" collapsed="false">
      <c r="A751" s="9" t="s">
        <v>2</v>
      </c>
      <c r="B751" s="10" t="n">
        <v>39929.891931405</v>
      </c>
      <c r="C751" s="11"/>
      <c r="D751" s="11"/>
      <c r="E751" s="11"/>
      <c r="F751" s="11"/>
      <c r="G751" s="11"/>
      <c r="H751" s="11"/>
      <c r="I751" s="11"/>
      <c r="J751" s="11"/>
      <c r="K751" s="11"/>
      <c r="L751" s="11"/>
      <c r="M751" s="11"/>
      <c r="N751" s="11"/>
      <c r="O751" s="11"/>
      <c r="P751" s="11"/>
      <c r="Q751" s="11"/>
      <c r="R751" s="11"/>
      <c r="S751" s="11"/>
      <c r="T751" s="11"/>
      <c r="U751" s="11"/>
      <c r="V751" s="11"/>
    </row>
    <row r="752" customFormat="false" ht="11.25" hidden="false" customHeight="false" outlineLevel="0" collapsed="false">
      <c r="A752" s="12" t="s">
        <v>3</v>
      </c>
      <c r="B752" s="13" t="n">
        <v>82442.4798343351</v>
      </c>
      <c r="C752" s="11"/>
      <c r="D752" s="11"/>
      <c r="E752" s="11"/>
      <c r="F752" s="11"/>
      <c r="G752" s="11"/>
      <c r="H752" s="11"/>
      <c r="I752" s="11"/>
      <c r="J752" s="11"/>
      <c r="K752" s="11"/>
      <c r="L752" s="11"/>
      <c r="M752" s="11"/>
      <c r="N752" s="11"/>
      <c r="O752" s="11"/>
      <c r="P752" s="11"/>
      <c r="Q752" s="11"/>
      <c r="R752" s="11"/>
      <c r="S752" s="11"/>
      <c r="T752" s="11"/>
      <c r="U752" s="11"/>
      <c r="V752" s="11"/>
    </row>
    <row r="753" customFormat="false" ht="11.25" hidden="false" customHeight="false" outlineLevel="0" collapsed="false">
      <c r="A753" s="14" t="s">
        <v>4</v>
      </c>
      <c r="B753" s="15" t="s">
        <v>5</v>
      </c>
      <c r="C753" s="15" t="s">
        <v>6</v>
      </c>
      <c r="D753" s="16" t="n">
        <v>2000</v>
      </c>
      <c r="E753" s="17" t="n">
        <v>2001</v>
      </c>
      <c r="F753" s="17" t="n">
        <v>2002</v>
      </c>
      <c r="G753" s="17" t="n">
        <v>2003</v>
      </c>
      <c r="H753" s="17" t="n">
        <v>2004</v>
      </c>
      <c r="I753" s="17" t="n">
        <v>2005</v>
      </c>
      <c r="J753" s="17" t="n">
        <v>2006</v>
      </c>
      <c r="K753" s="17" t="n">
        <v>2007</v>
      </c>
      <c r="L753" s="17" t="n">
        <v>2008</v>
      </c>
      <c r="M753" s="17" t="n">
        <v>2009</v>
      </c>
      <c r="N753" s="18" t="n">
        <v>2010</v>
      </c>
      <c r="O753" s="11" t="n">
        <v>2011</v>
      </c>
      <c r="P753" s="11" t="n">
        <v>2012</v>
      </c>
      <c r="Q753" s="11" t="n">
        <v>2013</v>
      </c>
      <c r="R753" s="11" t="n">
        <v>2014</v>
      </c>
      <c r="S753" s="11" t="n">
        <v>2015</v>
      </c>
      <c r="T753" s="11" t="n">
        <v>2016</v>
      </c>
      <c r="U753" s="11" t="n">
        <v>2017</v>
      </c>
      <c r="V753" s="11" t="n">
        <v>2018</v>
      </c>
      <c r="W753" s="11" t="n">
        <v>2019</v>
      </c>
      <c r="X753" s="11" t="n">
        <v>2020</v>
      </c>
    </row>
    <row r="754" customFormat="false" ht="11.25" hidden="false" customHeight="false" outlineLevel="0" collapsed="false">
      <c r="A754" s="14" t="s">
        <v>7</v>
      </c>
      <c r="B754" s="19" t="n">
        <f aca="false">NPV(0.1,D754:Y754)</f>
        <v>587133.411132182</v>
      </c>
      <c r="C754" s="19" t="n">
        <f aca="false">B754-B743</f>
        <v>0</v>
      </c>
      <c r="D754" s="20" t="n">
        <v>41364.1276</v>
      </c>
      <c r="E754" s="21" t="n">
        <v>53599.168868</v>
      </c>
      <c r="F754" s="21" t="n">
        <v>53676.46137404</v>
      </c>
      <c r="G754" s="21" t="n">
        <v>65143.1014397198</v>
      </c>
      <c r="H754" s="21" t="n">
        <v>73806.6892850544</v>
      </c>
      <c r="I754" s="21" t="n">
        <v>75317.217318826</v>
      </c>
      <c r="J754" s="21" t="n">
        <v>75252.7853412367</v>
      </c>
      <c r="K754" s="21" t="n">
        <v>75972.2541927211</v>
      </c>
      <c r="L754" s="21" t="n">
        <v>76688.2738478309</v>
      </c>
      <c r="M754" s="21" t="n">
        <v>77399.9898328172</v>
      </c>
      <c r="N754" s="22" t="n">
        <v>78106.4995097831</v>
      </c>
      <c r="O754" s="23" t="n">
        <v>78806.8499558607</v>
      </c>
      <c r="P754" s="23" t="n">
        <v>79500.0357584877</v>
      </c>
      <c r="Q754" s="23" t="n">
        <v>80184.9967236553</v>
      </c>
      <c r="R754" s="23" t="n">
        <v>80860.6154938938</v>
      </c>
      <c r="S754" s="23" t="n">
        <v>81525.7150726388</v>
      </c>
      <c r="T754" s="23" t="n">
        <v>82179.0562515072</v>
      </c>
      <c r="U754" s="23" t="n">
        <v>82819.3349368859</v>
      </c>
      <c r="V754" s="23" t="n">
        <v>83445.1793721043</v>
      </c>
      <c r="W754" s="23" t="n">
        <v>82865.4323941846</v>
      </c>
      <c r="X754" s="23" t="n">
        <v>35526.3023726024</v>
      </c>
    </row>
    <row r="755" customFormat="false" ht="11.25" hidden="false" customHeight="false" outlineLevel="0" collapsed="false">
      <c r="A755" s="24" t="s">
        <v>8</v>
      </c>
      <c r="B755" s="19" t="n">
        <f aca="false">NPV(0.1,D755:Y755)</f>
        <v>254820.738286308</v>
      </c>
      <c r="C755" s="19" t="n">
        <f aca="false">B755-B744</f>
        <v>4.08029053159407</v>
      </c>
      <c r="D755" s="20" t="n">
        <v>26204.1027587371</v>
      </c>
      <c r="E755" s="21" t="n">
        <v>27277.3051607838</v>
      </c>
      <c r="F755" s="21" t="n">
        <v>27427.9200927068</v>
      </c>
      <c r="G755" s="21" t="n">
        <v>28984.8798640517</v>
      </c>
      <c r="H755" s="21" t="n">
        <v>29962.3043124393</v>
      </c>
      <c r="I755" s="21" t="n">
        <v>30103.4447106501</v>
      </c>
      <c r="J755" s="21" t="n">
        <v>30292.0631318048</v>
      </c>
      <c r="K755" s="21" t="n">
        <v>30486.3401055942</v>
      </c>
      <c r="L755" s="21" t="n">
        <v>30686.4453885972</v>
      </c>
      <c r="M755" s="21" t="n">
        <v>30850.5695475684</v>
      </c>
      <c r="N755" s="22" t="n">
        <v>31062.8612423063</v>
      </c>
      <c r="O755" s="23" t="n">
        <v>31281.5216878863</v>
      </c>
      <c r="P755" s="23" t="n">
        <v>31506.7419468338</v>
      </c>
      <c r="Q755" s="23" t="n">
        <v>31696.7345310278</v>
      </c>
      <c r="R755" s="23" t="n">
        <v>31935.6707037451</v>
      </c>
      <c r="S755" s="23" t="n">
        <v>32181.7749616439</v>
      </c>
      <c r="T755" s="23" t="n">
        <v>32435.2623472798</v>
      </c>
      <c r="U755" s="23" t="n">
        <v>32654.3700719628</v>
      </c>
      <c r="V755" s="23" t="n">
        <v>32923.2948393838</v>
      </c>
      <c r="W755" s="23" t="n">
        <v>33200.2873498275</v>
      </c>
      <c r="X755" s="23" t="n">
        <v>16240.4387060361</v>
      </c>
    </row>
    <row r="756" customFormat="false" ht="11.25" hidden="false" customHeight="false" outlineLevel="0" collapsed="false">
      <c r="A756" s="24" t="s">
        <v>9</v>
      </c>
      <c r="B756" s="19" t="n">
        <f aca="false">NPV(0.1,D756:Y756)</f>
        <v>113720.412498801</v>
      </c>
      <c r="C756" s="19" t="n">
        <f aca="false">B756-B745</f>
        <v>-170.241034259292</v>
      </c>
      <c r="D756" s="20" t="n">
        <v>-2398.36358900384</v>
      </c>
      <c r="E756" s="21" t="n">
        <v>3157.56461669096</v>
      </c>
      <c r="F756" s="21" t="n">
        <v>3412.97035610708</v>
      </c>
      <c r="G756" s="21" t="n">
        <v>9890.96008596266</v>
      </c>
      <c r="H756" s="21" t="n">
        <v>15134.9173318564</v>
      </c>
      <c r="I756" s="21" t="n">
        <v>16426.1525344852</v>
      </c>
      <c r="J756" s="21" t="n">
        <v>16695.2351756353</v>
      </c>
      <c r="K756" s="21" t="n">
        <v>17410.8630079422</v>
      </c>
      <c r="L756" s="21" t="n">
        <v>18120.8234753344</v>
      </c>
      <c r="M756" s="21" t="n">
        <v>19098.6365931925</v>
      </c>
      <c r="N756" s="22" t="n">
        <v>20216.8631153314</v>
      </c>
      <c r="O756" s="23" t="n">
        <v>20706.1821671103</v>
      </c>
      <c r="P756" s="23" t="n">
        <v>21235.8844122576</v>
      </c>
      <c r="Q756" s="23" t="n">
        <v>21782.0819245024</v>
      </c>
      <c r="R756" s="23" t="n">
        <v>22292.6743054952</v>
      </c>
      <c r="S756" s="23" t="n">
        <v>22792.4620310436</v>
      </c>
      <c r="T756" s="23" t="n">
        <v>23280.5567405139</v>
      </c>
      <c r="U756" s="23" t="n">
        <v>24025.5088757484</v>
      </c>
      <c r="V756" s="23" t="n">
        <v>24828.7458684962</v>
      </c>
      <c r="W756" s="23" t="n">
        <v>25036.8941441454</v>
      </c>
      <c r="X756" s="23" t="n">
        <v>7308.09343088386</v>
      </c>
    </row>
    <row r="757" customFormat="false" ht="11.25" hidden="false" customHeight="false" outlineLevel="0" collapsed="false">
      <c r="A757" s="24" t="s">
        <v>10</v>
      </c>
      <c r="B757" s="19" t="n">
        <f aca="false">NPV(0.1,D757:Y757)</f>
        <v>124198.474022124</v>
      </c>
      <c r="C757" s="19" t="n">
        <f aca="false">B757-B746</f>
        <v>92.8971682170668</v>
      </c>
      <c r="D757" s="25" t="n">
        <v>-6513.62092720567</v>
      </c>
      <c r="E757" s="26" t="n">
        <v>5563.11762855644</v>
      </c>
      <c r="F757" s="26" t="n">
        <v>3265.94439734984</v>
      </c>
      <c r="G757" s="26" t="n">
        <v>11282.5032703639</v>
      </c>
      <c r="H757" s="26" t="n">
        <v>25391.1631347727</v>
      </c>
      <c r="I757" s="26" t="n">
        <v>23937.8673271741</v>
      </c>
      <c r="J757" s="26" t="n">
        <v>18546.7072438833</v>
      </c>
      <c r="K757" s="26" t="n">
        <v>19272.1381247014</v>
      </c>
      <c r="L757" s="26" t="n">
        <v>14531.2955435824</v>
      </c>
      <c r="M757" s="26" t="n">
        <v>11768.2874274298</v>
      </c>
      <c r="N757" s="27" t="n">
        <v>26521.1951835794</v>
      </c>
      <c r="O757" s="23" t="n">
        <v>26032.1772838695</v>
      </c>
      <c r="P757" s="23" t="n">
        <v>26552.0764805056</v>
      </c>
      <c r="Q757" s="23" t="n">
        <v>27066.0927587398</v>
      </c>
      <c r="R757" s="23" t="n">
        <v>27608.8663737432</v>
      </c>
      <c r="S757" s="23" t="n">
        <v>25216.7547884876</v>
      </c>
      <c r="T757" s="23" t="n">
        <v>17872.2501871539</v>
      </c>
      <c r="U757" s="23" t="n">
        <v>16598.9380398666</v>
      </c>
      <c r="V757" s="23" t="n">
        <v>14479.7393151362</v>
      </c>
      <c r="W757" s="23" t="n">
        <v>12711.6075907854</v>
      </c>
      <c r="X757" s="23" t="n">
        <v>11781.1868775239</v>
      </c>
    </row>
    <row r="760" customFormat="false" ht="11.25" hidden="false" customHeight="false" outlineLevel="0" collapsed="false">
      <c r="A760" s="32" t="s">
        <v>82</v>
      </c>
    </row>
    <row r="761" customFormat="false" ht="11.25" hidden="false" customHeight="false" outlineLevel="0" collapsed="false">
      <c r="A761" s="31" t="n">
        <v>36529</v>
      </c>
    </row>
    <row r="762" customFormat="false" ht="11.25" hidden="false" customHeight="false" outlineLevel="0" collapsed="false">
      <c r="A762" s="9" t="s">
        <v>2</v>
      </c>
      <c r="B762" s="10" t="n">
        <v>36647.8955151644</v>
      </c>
      <c r="C762" s="11"/>
      <c r="D762" s="11"/>
      <c r="E762" s="11"/>
      <c r="F762" s="11"/>
      <c r="G762" s="11"/>
      <c r="H762" s="11"/>
      <c r="I762" s="11"/>
      <c r="J762" s="11"/>
      <c r="K762" s="11"/>
      <c r="L762" s="11"/>
      <c r="M762" s="11"/>
      <c r="N762" s="11"/>
      <c r="O762" s="11"/>
      <c r="P762" s="11"/>
      <c r="Q762" s="11"/>
      <c r="R762" s="11"/>
      <c r="S762" s="11"/>
      <c r="T762" s="11"/>
      <c r="U762" s="11"/>
      <c r="V762" s="11"/>
    </row>
    <row r="763" customFormat="false" ht="11.25" hidden="false" customHeight="false" outlineLevel="0" collapsed="false">
      <c r="A763" s="12" t="s">
        <v>3</v>
      </c>
      <c r="B763" s="13" t="n">
        <v>78518.8582304039</v>
      </c>
      <c r="C763" s="11"/>
      <c r="D763" s="11"/>
      <c r="E763" s="11"/>
      <c r="F763" s="11"/>
      <c r="G763" s="11"/>
      <c r="H763" s="11"/>
      <c r="I763" s="11"/>
      <c r="J763" s="11"/>
      <c r="K763" s="11"/>
      <c r="L763" s="11"/>
      <c r="M763" s="11"/>
      <c r="N763" s="11"/>
      <c r="O763" s="11"/>
      <c r="P763" s="11"/>
      <c r="Q763" s="11"/>
      <c r="R763" s="11"/>
      <c r="S763" s="11"/>
      <c r="T763" s="11"/>
      <c r="U763" s="11"/>
      <c r="V763" s="11"/>
    </row>
    <row r="764" customFormat="false" ht="11.25" hidden="false" customHeight="false" outlineLevel="0" collapsed="false">
      <c r="A764" s="14" t="s">
        <v>4</v>
      </c>
      <c r="B764" s="15" t="s">
        <v>5</v>
      </c>
      <c r="C764" s="15" t="s">
        <v>6</v>
      </c>
      <c r="D764" s="16" t="n">
        <v>2000</v>
      </c>
      <c r="E764" s="17" t="n">
        <v>2001</v>
      </c>
      <c r="F764" s="17" t="n">
        <v>2002</v>
      </c>
      <c r="G764" s="17" t="n">
        <v>2003</v>
      </c>
      <c r="H764" s="17" t="n">
        <v>2004</v>
      </c>
      <c r="I764" s="17" t="n">
        <v>2005</v>
      </c>
      <c r="J764" s="17" t="n">
        <v>2006</v>
      </c>
      <c r="K764" s="17" t="n">
        <v>2007</v>
      </c>
      <c r="L764" s="17" t="n">
        <v>2008</v>
      </c>
      <c r="M764" s="17" t="n">
        <v>2009</v>
      </c>
      <c r="N764" s="18" t="n">
        <v>2010</v>
      </c>
      <c r="O764" s="11" t="n">
        <v>2011</v>
      </c>
      <c r="P764" s="11" t="n">
        <v>2012</v>
      </c>
      <c r="Q764" s="11" t="n">
        <v>2013</v>
      </c>
      <c r="R764" s="11" t="n">
        <v>2014</v>
      </c>
      <c r="S764" s="11" t="n">
        <v>2015</v>
      </c>
      <c r="T764" s="11" t="n">
        <v>2016</v>
      </c>
      <c r="U764" s="11" t="n">
        <v>2017</v>
      </c>
      <c r="V764" s="11" t="n">
        <v>2018</v>
      </c>
      <c r="W764" s="11" t="n">
        <v>2019</v>
      </c>
      <c r="X764" s="11" t="n">
        <v>2020</v>
      </c>
    </row>
    <row r="765" customFormat="false" ht="11.25" hidden="false" customHeight="false" outlineLevel="0" collapsed="false">
      <c r="A765" s="14" t="s">
        <v>7</v>
      </c>
      <c r="B765" s="19" t="n">
        <f aca="false">NPV(0.1,D765:Y765)</f>
        <v>587133.411132182</v>
      </c>
      <c r="C765" s="19" t="n">
        <f aca="false">B765-B754</f>
        <v>0</v>
      </c>
      <c r="D765" s="20" t="n">
        <v>41364.1276</v>
      </c>
      <c r="E765" s="21" t="n">
        <v>53599.168868</v>
      </c>
      <c r="F765" s="21" t="n">
        <v>53676.46137404</v>
      </c>
      <c r="G765" s="21" t="n">
        <v>65143.1014397198</v>
      </c>
      <c r="H765" s="21" t="n">
        <v>73806.6892850544</v>
      </c>
      <c r="I765" s="21" t="n">
        <v>75317.217318826</v>
      </c>
      <c r="J765" s="21" t="n">
        <v>75252.7853412367</v>
      </c>
      <c r="K765" s="21" t="n">
        <v>75972.2541927211</v>
      </c>
      <c r="L765" s="21" t="n">
        <v>76688.2738478309</v>
      </c>
      <c r="M765" s="21" t="n">
        <v>77399.9898328172</v>
      </c>
      <c r="N765" s="22" t="n">
        <v>78106.4995097831</v>
      </c>
      <c r="O765" s="23" t="n">
        <v>78806.8499558607</v>
      </c>
      <c r="P765" s="23" t="n">
        <v>79500.0357584877</v>
      </c>
      <c r="Q765" s="23" t="n">
        <v>80184.9967236553</v>
      </c>
      <c r="R765" s="23" t="n">
        <v>80860.6154938938</v>
      </c>
      <c r="S765" s="23" t="n">
        <v>81525.7150726388</v>
      </c>
      <c r="T765" s="23" t="n">
        <v>82179.0562515072</v>
      </c>
      <c r="U765" s="23" t="n">
        <v>82819.3349368859</v>
      </c>
      <c r="V765" s="23" t="n">
        <v>83445.1793721043</v>
      </c>
      <c r="W765" s="23" t="n">
        <v>82865.4323941846</v>
      </c>
      <c r="X765" s="23" t="n">
        <v>35526.3023726024</v>
      </c>
    </row>
    <row r="766" customFormat="false" ht="11.25" hidden="false" customHeight="false" outlineLevel="0" collapsed="false">
      <c r="A766" s="24" t="s">
        <v>8</v>
      </c>
      <c r="B766" s="19" t="n">
        <f aca="false">NPV(0.1,D766:Y766)</f>
        <v>254857.050690902</v>
      </c>
      <c r="C766" s="19" t="n">
        <f aca="false">B766-B755</f>
        <v>36.3124045946752</v>
      </c>
      <c r="D766" s="20" t="n">
        <v>26210.0861897371</v>
      </c>
      <c r="E766" s="21" t="n">
        <v>27281.2941147838</v>
      </c>
      <c r="F766" s="21" t="n">
        <v>27431.9090467068</v>
      </c>
      <c r="G766" s="21" t="n">
        <v>28988.8688180517</v>
      </c>
      <c r="H766" s="21" t="n">
        <v>29966.2932664393</v>
      </c>
      <c r="I766" s="21" t="n">
        <v>30107.4336646501</v>
      </c>
      <c r="J766" s="21" t="n">
        <v>30296.0520858048</v>
      </c>
      <c r="K766" s="21" t="n">
        <v>30490.3290595942</v>
      </c>
      <c r="L766" s="21" t="n">
        <v>30690.4343425972</v>
      </c>
      <c r="M766" s="21" t="n">
        <v>30854.5585015684</v>
      </c>
      <c r="N766" s="22" t="n">
        <v>31066.8501963063</v>
      </c>
      <c r="O766" s="23" t="n">
        <v>31285.5106418863</v>
      </c>
      <c r="P766" s="23" t="n">
        <v>31510.7309008338</v>
      </c>
      <c r="Q766" s="23" t="n">
        <v>31700.7234850278</v>
      </c>
      <c r="R766" s="23" t="n">
        <v>31939.6596577451</v>
      </c>
      <c r="S766" s="23" t="n">
        <v>32185.7639156439</v>
      </c>
      <c r="T766" s="23" t="n">
        <v>32439.2513012798</v>
      </c>
      <c r="U766" s="23" t="n">
        <v>32658.3590259628</v>
      </c>
      <c r="V766" s="23" t="n">
        <v>32927.2837933838</v>
      </c>
      <c r="W766" s="23" t="n">
        <v>33204.2763038275</v>
      </c>
      <c r="X766" s="23" t="n">
        <v>16244.4276600361</v>
      </c>
    </row>
    <row r="767" customFormat="false" ht="11.25" hidden="false" customHeight="false" outlineLevel="0" collapsed="false">
      <c r="A767" s="24" t="s">
        <v>9</v>
      </c>
      <c r="B767" s="19" t="n">
        <f aca="false">NPV(0.1,D767:Y767)</f>
        <v>113129.257666805</v>
      </c>
      <c r="C767" s="19" t="n">
        <f aca="false">B767-B756</f>
        <v>-591.154831996697</v>
      </c>
      <c r="D767" s="20" t="n">
        <v>-2413.21209469624</v>
      </c>
      <c r="E767" s="21" t="n">
        <v>3082.92820937433</v>
      </c>
      <c r="F767" s="21" t="n">
        <v>3338.33394879045</v>
      </c>
      <c r="G767" s="21" t="n">
        <v>9816.32367864604</v>
      </c>
      <c r="H767" s="21" t="n">
        <v>15060.2809245398</v>
      </c>
      <c r="I767" s="21" t="n">
        <v>16351.5161271685</v>
      </c>
      <c r="J767" s="21" t="n">
        <v>16620.5987683187</v>
      </c>
      <c r="K767" s="21" t="n">
        <v>17336.2266006256</v>
      </c>
      <c r="L767" s="21" t="n">
        <v>18046.1870680178</v>
      </c>
      <c r="M767" s="21" t="n">
        <v>19024.0001858758</v>
      </c>
      <c r="N767" s="22" t="n">
        <v>20142.2267080148</v>
      </c>
      <c r="O767" s="23" t="n">
        <v>20631.5457597937</v>
      </c>
      <c r="P767" s="23" t="n">
        <v>21161.248004941</v>
      </c>
      <c r="Q767" s="23" t="n">
        <v>21707.4455171858</v>
      </c>
      <c r="R767" s="23" t="n">
        <v>22218.0378981786</v>
      </c>
      <c r="S767" s="23" t="n">
        <v>22717.825623727</v>
      </c>
      <c r="T767" s="23" t="n">
        <v>23205.9203331973</v>
      </c>
      <c r="U767" s="23" t="n">
        <v>23950.8724684318</v>
      </c>
      <c r="V767" s="23" t="n">
        <v>24754.1094611796</v>
      </c>
      <c r="W767" s="23" t="n">
        <v>24962.2577368287</v>
      </c>
      <c r="X767" s="23" t="n">
        <v>7233.45702356723</v>
      </c>
    </row>
    <row r="768" customFormat="false" ht="11.25" hidden="false" customHeight="false" outlineLevel="0" collapsed="false">
      <c r="A768" s="24" t="s">
        <v>10</v>
      </c>
      <c r="B768" s="19" t="n">
        <f aca="false">NPV(0.1,D768:Y768)</f>
        <v>124915.639324131</v>
      </c>
      <c r="C768" s="19" t="n">
        <f aca="false">B768-B757</f>
        <v>717.165302007197</v>
      </c>
      <c r="D768" s="25" t="n">
        <v>-6468.42515109317</v>
      </c>
      <c r="E768" s="26" t="n">
        <v>5559.07881263144</v>
      </c>
      <c r="F768" s="26" t="n">
        <v>3261.90558142484</v>
      </c>
      <c r="G768" s="26" t="n">
        <v>11278.4644544389</v>
      </c>
      <c r="H768" s="26" t="n">
        <v>25387.1243188477</v>
      </c>
      <c r="I768" s="26" t="n">
        <v>24618.6983083578</v>
      </c>
      <c r="J768" s="26" t="n">
        <v>18637.6261096789</v>
      </c>
      <c r="K768" s="26" t="n">
        <v>19363.2152203353</v>
      </c>
      <c r="L768" s="26" t="n">
        <v>14622.214409378</v>
      </c>
      <c r="M768" s="26" t="n">
        <v>11859.3645230637</v>
      </c>
      <c r="N768" s="27" t="n">
        <v>26612.114049375</v>
      </c>
      <c r="O768" s="23" t="n">
        <v>26123.2543795034</v>
      </c>
      <c r="P768" s="23" t="n">
        <v>26642.9953463012</v>
      </c>
      <c r="Q768" s="23" t="n">
        <v>27157.1698543737</v>
      </c>
      <c r="R768" s="23" t="n">
        <v>27699.7852395388</v>
      </c>
      <c r="S768" s="23" t="n">
        <v>25260.9958519794</v>
      </c>
      <c r="T768" s="23" t="n">
        <v>17869.8134483419</v>
      </c>
      <c r="U768" s="23" t="n">
        <v>16596.5013010545</v>
      </c>
      <c r="V768" s="23" t="n">
        <v>14477.3025763242</v>
      </c>
      <c r="W768" s="23" t="n">
        <v>12709.1708519733</v>
      </c>
      <c r="X768" s="23" t="n">
        <v>11778.7501387118</v>
      </c>
    </row>
  </sheetData>
  <printOptions headings="false" gridLines="false" gridLinesSet="true" horizontalCentered="false" verticalCentered="false"/>
  <pageMargins left="0.5" right="0.5" top="0.75" bottom="0.75" header="0.511811023622047" footer="0"/>
  <pageSetup paperSize="1" scale="65"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4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4.56"/>
  </cols>
  <sheetData>
    <row r="1" customFormat="false" ht="12.75" hidden="false" customHeight="false" outlineLevel="0" collapsed="false">
      <c r="A1" s="33" t="str">
        <f aca="false">'PPA Assumptions &amp;Summary'!A1</f>
        <v>WILTON CENTER, Will County, IL</v>
      </c>
    </row>
    <row r="2" customFormat="false" ht="12.75" hidden="false" customHeight="false" outlineLevel="0" collapsed="false">
      <c r="A2" s="34" t="s">
        <v>83</v>
      </c>
    </row>
    <row r="5" customFormat="false" ht="12.75" hidden="false" customHeight="false" outlineLevel="0" collapsed="false">
      <c r="A5" s="35" t="s">
        <v>84</v>
      </c>
    </row>
    <row r="7" customFormat="false" ht="12.75" hidden="false" customHeight="false" outlineLevel="0" collapsed="false">
      <c r="A7" s="0" t="s">
        <v>85</v>
      </c>
      <c r="C7" s="0" t="n">
        <f aca="false">NetMW</f>
        <v>608</v>
      </c>
    </row>
    <row r="8" customFormat="false" ht="12.75" hidden="false" customHeight="false" outlineLevel="0" collapsed="false">
      <c r="A8" s="0" t="s">
        <v>86</v>
      </c>
      <c r="C8" s="36" t="n">
        <f aca="false">HeatRate</f>
        <v>11973</v>
      </c>
    </row>
    <row r="9" customFormat="false" ht="12.75" hidden="false" customHeight="false" outlineLevel="0" collapsed="false">
      <c r="A9" s="0" t="s">
        <v>87</v>
      </c>
      <c r="C9" s="0" t="n">
        <f aca="false">'Project Assumptions'!I8</f>
        <v>8</v>
      </c>
    </row>
    <row r="10" customFormat="false" ht="12.75" hidden="false" customHeight="false" outlineLevel="0" collapsed="false">
      <c r="A10" s="0" t="s">
        <v>88</v>
      </c>
      <c r="C10" s="0" t="n">
        <f aca="false">AnnualHours</f>
        <v>1200</v>
      </c>
    </row>
    <row r="11" customFormat="false" ht="12.75" hidden="false" customHeight="false" outlineLevel="0" collapsed="false">
      <c r="A11" s="0" t="s">
        <v>89</v>
      </c>
      <c r="C11" s="0" t="n">
        <f aca="false">'Project Assumptions'!N60</f>
        <v>0</v>
      </c>
    </row>
    <row r="13" customFormat="false" ht="12.75" hidden="false" customHeight="false" outlineLevel="0" collapsed="false">
      <c r="A13" s="35" t="s">
        <v>90</v>
      </c>
    </row>
    <row r="14" customFormat="false" ht="12.75" hidden="false" customHeight="false" outlineLevel="0" collapsed="false">
      <c r="C14" s="37" t="n">
        <v>1999</v>
      </c>
    </row>
    <row r="15" customFormat="false" ht="12.75" hidden="false" customHeight="false" outlineLevel="0" collapsed="false">
      <c r="A15" s="0" t="s">
        <v>91</v>
      </c>
      <c r="C15" s="36" t="n">
        <f aca="false">Labor+Fixed</f>
        <v>997</v>
      </c>
    </row>
    <row r="16" customFormat="false" ht="12.75" hidden="false" customHeight="false" outlineLevel="0" collapsed="false">
      <c r="A16" s="0" t="s">
        <v>92</v>
      </c>
      <c r="C16" s="36" t="n">
        <f aca="false">'Project Assumptions'!L11</f>
        <v>629.48</v>
      </c>
    </row>
    <row r="17" customFormat="false" ht="12.75" hidden="false" customHeight="false" outlineLevel="0" collapsed="false">
      <c r="A17" s="0" t="s">
        <v>93</v>
      </c>
      <c r="C17" s="36" t="n">
        <f aca="false">'Project Assumptions'!O16</f>
        <v>0</v>
      </c>
    </row>
    <row r="18" customFormat="false" ht="12.75" hidden="false" customHeight="false" outlineLevel="0" collapsed="false">
      <c r="A18" s="0" t="s">
        <v>94</v>
      </c>
      <c r="C18" s="36" t="n">
        <f aca="false">'Project Assumptions'!O15</f>
        <v>1799.04</v>
      </c>
    </row>
    <row r="19" customFormat="false" ht="12.75" hidden="false" customHeight="false" outlineLevel="0" collapsed="false">
      <c r="A19" s="0" t="s">
        <v>95</v>
      </c>
      <c r="C19" s="36" t="n">
        <f aca="false">'Project Assumptions'!N33</f>
        <v>291</v>
      </c>
    </row>
    <row r="20" customFormat="false" ht="12.75" hidden="false" customHeight="false" outlineLevel="0" collapsed="false">
      <c r="A20" s="0" t="s">
        <v>96</v>
      </c>
      <c r="C20" s="36" t="n">
        <f aca="false">'Project Assumptions'!N35+'Project Assumptions'!N36+'Project Assumptions'!N37+'Project Assumptions'!N38</f>
        <v>491</v>
      </c>
    </row>
    <row r="21" customFormat="false" ht="12.75" hidden="false" customHeight="false" outlineLevel="0" collapsed="false">
      <c r="A21" s="0" t="s">
        <v>97</v>
      </c>
      <c r="C21" s="36" t="n">
        <f aca="false">'Project Assumptions'!N34</f>
        <v>64.4</v>
      </c>
    </row>
    <row r="22" customFormat="false" ht="12.75" hidden="false" customHeight="false" outlineLevel="0" collapsed="false">
      <c r="A22" s="0" t="s">
        <v>98</v>
      </c>
      <c r="C22" s="36" t="n">
        <v>0</v>
      </c>
      <c r="D22" s="36" t="n">
        <f aca="false">'Book Income Statement'!D55+'Book Income Statement'!D60</f>
        <v>458.1320655156</v>
      </c>
      <c r="E22" s="36" t="n">
        <f aca="false">'Book Income Statement'!E55+'Book Income Statement'!E60</f>
        <v>422.0443840156</v>
      </c>
      <c r="F22" s="36" t="n">
        <f aca="false">'Book Income Statement'!F55+'Book Income Statement'!F60</f>
        <v>422.0443840156</v>
      </c>
      <c r="G22" s="36" t="n">
        <f aca="false">'Book Income Statement'!G55+'Book Income Statement'!G60</f>
        <v>422.0443840156</v>
      </c>
      <c r="H22" s="36" t="n">
        <f aca="false">'Book Income Statement'!H55+'Book Income Statement'!H60</f>
        <v>422.0443840156</v>
      </c>
      <c r="I22" s="36" t="n">
        <f aca="false">'Book Income Statement'!I55+'Book Income Statement'!I60</f>
        <v>380.060101493728</v>
      </c>
      <c r="J22" s="36" t="n">
        <f aca="false">'Book Income Statement'!J55+'Book Income Statement'!J60</f>
        <v>380.060101493728</v>
      </c>
      <c r="K22" s="36" t="n">
        <f aca="false">'Book Income Statement'!K55+'Book Income Statement'!K60</f>
        <v>380.060101493728</v>
      </c>
      <c r="L22" s="36" t="n">
        <f aca="false">'Book Income Statement'!L55+'Book Income Statement'!L60</f>
        <v>380.060101493728</v>
      </c>
      <c r="M22" s="36" t="n">
        <f aca="false">'Book Income Statement'!M55+'Book Income Statement'!M60</f>
        <v>338.075818971856</v>
      </c>
      <c r="N22" s="36" t="n">
        <f aca="false">'Book Income Statement'!N55+'Book Income Statement'!N60</f>
        <v>338.075818971856</v>
      </c>
      <c r="O22" s="36" t="n">
        <f aca="false">'Book Income Statement'!O55+'Book Income Statement'!O60</f>
        <v>338.075818971856</v>
      </c>
      <c r="P22" s="36" t="n">
        <f aca="false">'Book Income Statement'!P55+'Book Income Statement'!P60</f>
        <v>338.075818971856</v>
      </c>
      <c r="Q22" s="36" t="n">
        <f aca="false">'Book Income Statement'!Q55+'Book Income Statement'!Q60</f>
        <v>296.091536449984</v>
      </c>
      <c r="R22" s="36" t="n">
        <f aca="false">'Book Income Statement'!R55+'Book Income Statement'!R60</f>
        <v>296.091536449984</v>
      </c>
      <c r="S22" s="36" t="n">
        <f aca="false">'Book Income Statement'!S55+'Book Income Statement'!S60</f>
        <v>296.091536449984</v>
      </c>
      <c r="T22" s="36" t="n">
        <f aca="false">'Book Income Statement'!T55+'Book Income Statement'!T60</f>
        <v>296.091536449984</v>
      </c>
      <c r="U22" s="36" t="n">
        <f aca="false">'Book Income Statement'!U55+'Book Income Statement'!U60</f>
        <v>254.107253928112</v>
      </c>
      <c r="V22" s="36" t="n">
        <f aca="false">'Book Income Statement'!V55+'Book Income Statement'!V60</f>
        <v>254.107253928112</v>
      </c>
      <c r="W22" s="36" t="n">
        <f aca="false">'Book Income Statement'!W55+'Book Income Statement'!W60</f>
        <v>254.107253928112</v>
      </c>
      <c r="X22" s="36"/>
    </row>
    <row r="23" customFormat="false" ht="12.75" hidden="false" customHeight="false" outlineLevel="0" collapsed="false">
      <c r="A23" s="0" t="s">
        <v>99</v>
      </c>
      <c r="C23" s="36"/>
    </row>
    <row r="24" customFormat="false" ht="12.75" hidden="false" customHeight="false" outlineLevel="0" collapsed="false">
      <c r="A24" s="0" t="s">
        <v>100</v>
      </c>
      <c r="C24" s="36" t="n">
        <f aca="false">'Project Assumptions'!N22</f>
        <v>210.38062283737</v>
      </c>
    </row>
    <row r="25" customFormat="false" ht="12.75" hidden="false" customHeight="false" outlineLevel="0" collapsed="false">
      <c r="A25" s="0" t="s">
        <v>101</v>
      </c>
      <c r="C25" s="36" t="n">
        <f aca="false">'Project Assumptions'!N24</f>
        <v>250</v>
      </c>
    </row>
    <row r="27" customFormat="false" ht="12.75" hidden="false" customHeight="false" outlineLevel="0" collapsed="false">
      <c r="A27" s="34" t="s">
        <v>102</v>
      </c>
    </row>
    <row r="29" customFormat="false" ht="12.75" hidden="false" customHeight="false" outlineLevel="0" collapsed="false">
      <c r="A29" s="0" t="s">
        <v>103</v>
      </c>
      <c r="C29" s="38" t="n">
        <f aca="false">VEP</f>
        <v>0.862774122807018</v>
      </c>
    </row>
    <row r="30" customFormat="false" ht="12.75" hidden="false" customHeight="false" outlineLevel="0" collapsed="false">
      <c r="A30" s="0" t="s">
        <v>104</v>
      </c>
      <c r="C30" s="36" t="n">
        <f aca="false">START_PAY</f>
        <v>1874</v>
      </c>
    </row>
    <row r="34" customFormat="false" ht="12.75" hidden="false" customHeight="false" outlineLevel="0" collapsed="false">
      <c r="A34" s="39" t="s">
        <v>105</v>
      </c>
      <c r="B34" s="40"/>
      <c r="C34" s="40"/>
      <c r="D34" s="40"/>
      <c r="E34" s="40"/>
      <c r="F34" s="40"/>
      <c r="G34" s="40"/>
      <c r="H34" s="40"/>
      <c r="I34" s="40"/>
      <c r="J34" s="40"/>
      <c r="K34" s="40"/>
      <c r="L34" s="40"/>
      <c r="M34" s="40"/>
      <c r="N34" s="40"/>
      <c r="O34" s="40"/>
      <c r="P34" s="40"/>
      <c r="Q34" s="40"/>
      <c r="R34" s="40"/>
      <c r="S34" s="40"/>
      <c r="T34" s="40"/>
      <c r="U34" s="40"/>
      <c r="V34" s="40"/>
      <c r="W34" s="40"/>
      <c r="X34" s="40"/>
      <c r="Y34" s="41"/>
    </row>
    <row r="35" customFormat="false" ht="12.75" hidden="false" customHeight="false" outlineLevel="0" collapsed="false">
      <c r="A35" s="42"/>
      <c r="B35" s="43"/>
      <c r="C35" s="44" t="n">
        <v>2000</v>
      </c>
      <c r="D35" s="44" t="n">
        <f aca="false">C35+1</f>
        <v>2001</v>
      </c>
      <c r="E35" s="44" t="n">
        <f aca="false">D35+1</f>
        <v>2002</v>
      </c>
      <c r="F35" s="44" t="n">
        <f aca="false">E35+1</f>
        <v>2003</v>
      </c>
      <c r="G35" s="44" t="n">
        <f aca="false">F35+1</f>
        <v>2004</v>
      </c>
      <c r="H35" s="44" t="n">
        <f aca="false">G35+1</f>
        <v>2005</v>
      </c>
      <c r="I35" s="44" t="n">
        <f aca="false">H35+1</f>
        <v>2006</v>
      </c>
      <c r="J35" s="44" t="n">
        <f aca="false">I35+1</f>
        <v>2007</v>
      </c>
      <c r="K35" s="44" t="n">
        <f aca="false">J35+1</f>
        <v>2008</v>
      </c>
      <c r="L35" s="44" t="n">
        <f aca="false">K35+1</f>
        <v>2009</v>
      </c>
      <c r="M35" s="44" t="n">
        <f aca="false">L35+1</f>
        <v>2010</v>
      </c>
      <c r="N35" s="44" t="n">
        <f aca="false">M35+1</f>
        <v>2011</v>
      </c>
      <c r="O35" s="44" t="n">
        <f aca="false">N35+1</f>
        <v>2012</v>
      </c>
      <c r="P35" s="44" t="n">
        <f aca="false">O35+1</f>
        <v>2013</v>
      </c>
      <c r="Q35" s="44" t="n">
        <f aca="false">P35+1</f>
        <v>2014</v>
      </c>
      <c r="R35" s="44" t="n">
        <f aca="false">Q35+1</f>
        <v>2015</v>
      </c>
      <c r="S35" s="44" t="n">
        <f aca="false">R35+1</f>
        <v>2016</v>
      </c>
      <c r="T35" s="44" t="n">
        <f aca="false">S35+1</f>
        <v>2017</v>
      </c>
      <c r="U35" s="44" t="n">
        <f aca="false">T35+1</f>
        <v>2018</v>
      </c>
      <c r="V35" s="44" t="n">
        <f aca="false">U35+1</f>
        <v>2019</v>
      </c>
      <c r="W35" s="44" t="n">
        <f aca="false">V35+1</f>
        <v>2020</v>
      </c>
      <c r="X35" s="44" t="n">
        <f aca="false">W35+1</f>
        <v>2021</v>
      </c>
      <c r="Y35" s="45" t="n">
        <f aca="false">X35+1</f>
        <v>2022</v>
      </c>
    </row>
    <row r="36" customFormat="false" ht="12.75" hidden="false" customHeight="false" outlineLevel="0" collapsed="false">
      <c r="A36" s="42" t="s">
        <v>106</v>
      </c>
      <c r="B36" s="43"/>
      <c r="C36" s="46" t="n">
        <f aca="false">[3]Wilton!F39</f>
        <v>15633.2888106174</v>
      </c>
      <c r="D36" s="46" t="n">
        <f aca="false">[3]Wilton!G39</f>
        <v>26504.4689330246</v>
      </c>
      <c r="E36" s="46" t="n">
        <f aca="false">[3]Wilton!H39</f>
        <v>26430.229976818</v>
      </c>
      <c r="F36" s="46" t="n">
        <f aca="false">[3]Wilton!I39</f>
        <v>36506.6876268643</v>
      </c>
      <c r="G36" s="46" t="n">
        <f aca="false">[3]Wilton!J39</f>
        <v>44254.5726233615</v>
      </c>
      <c r="H36" s="46" t="n">
        <f aca="false">[3]Wilton!K39</f>
        <v>45641.1083135357</v>
      </c>
      <c r="I36" s="46" t="n">
        <f aca="false">[3]Wilton!L39</f>
        <v>45384.8947848074</v>
      </c>
      <c r="J36" s="46" t="n">
        <f aca="false">[3]Wilton!M39</f>
        <v>45916.6515609737</v>
      </c>
      <c r="K36" s="46" t="n">
        <f aca="false">[3]Wilton!N39</f>
        <v>46439.0148627318</v>
      </c>
      <c r="L36" s="46" t="n">
        <f aca="false">[3]Wilton!O39</f>
        <v>46993.482295741</v>
      </c>
      <c r="M36" s="46" t="n">
        <f aca="false">[3]Wilton!P39</f>
        <v>47509.3951870657</v>
      </c>
      <c r="N36" s="46" t="n">
        <f aca="false">[3]Wilton!Q39</f>
        <v>48003.5956683016</v>
      </c>
      <c r="O36" s="46" t="n">
        <f aca="false">[3]Wilton!R39</f>
        <v>48483.7506359658</v>
      </c>
      <c r="P36" s="46" t="n">
        <f aca="false">[3]Wilton!S39</f>
        <v>48991.2674890926</v>
      </c>
      <c r="Q36" s="46" t="n">
        <f aca="false">[3]Wilton!T39</f>
        <v>49435.8816594907</v>
      </c>
      <c r="R36" s="46" t="n">
        <f aca="false">[3]Wilton!U39</f>
        <v>49862.9714496438</v>
      </c>
      <c r="S36" s="46" t="n">
        <f aca="false">[3]Wilton!V39</f>
        <v>50274.7824889879</v>
      </c>
      <c r="T36" s="46" t="n">
        <f aca="false">[3]Wilton!W39</f>
        <v>50723.3727034408</v>
      </c>
      <c r="U36" s="46" t="n">
        <f aca="false">[3]Wilton!X39</f>
        <v>51090.4412944025</v>
      </c>
      <c r="V36" s="46" t="n">
        <f aca="false">[3]Wilton!Y39</f>
        <v>50238.2248690429</v>
      </c>
      <c r="W36" s="46" t="n">
        <f aca="false">[3]Wilton!Z39</f>
        <v>50445.0855320284</v>
      </c>
      <c r="X36" s="46" t="n">
        <f aca="false">[3]Wilton!AA39</f>
        <v>0</v>
      </c>
      <c r="Y36" s="47"/>
    </row>
    <row r="37" customFormat="false" ht="12.75" hidden="false" customHeight="false" outlineLevel="0" collapsed="false">
      <c r="A37" s="42" t="s">
        <v>107</v>
      </c>
      <c r="B37" s="43"/>
      <c r="C37" s="48" t="n">
        <f aca="false">'Book Income Statement'!D65</f>
        <v>15154.0414102629</v>
      </c>
      <c r="D37" s="48" t="n">
        <f aca="false">'Book Income Statement'!E65</f>
        <v>26317.8747532162</v>
      </c>
      <c r="E37" s="48" t="n">
        <f aca="false">'Book Income Statement'!F65</f>
        <v>26244.5523273332</v>
      </c>
      <c r="F37" s="48" t="n">
        <f aca="false">'Book Income Statement'!G65</f>
        <v>36154.2326216681</v>
      </c>
      <c r="G37" s="48" t="n">
        <f aca="false">'Book Income Statement'!H65</f>
        <v>43840.3960186151</v>
      </c>
      <c r="H37" s="48" t="n">
        <f aca="false">'Book Income Statement'!I65</f>
        <v>45209.7836541758</v>
      </c>
      <c r="I37" s="48" t="n">
        <f aca="false">'Book Income Statement'!J65</f>
        <v>44956.7332554318</v>
      </c>
      <c r="J37" s="48" t="n">
        <f aca="false">'Book Income Statement'!K65</f>
        <v>45481.9251331269</v>
      </c>
      <c r="K37" s="48" t="n">
        <f aca="false">'Book Income Statement'!L65</f>
        <v>45997.8395052337</v>
      </c>
      <c r="L37" s="48" t="n">
        <f aca="false">'Book Income Statement'!M65</f>
        <v>46545.4313312488</v>
      </c>
      <c r="M37" s="48" t="n">
        <f aca="false">'Book Income Statement'!N65</f>
        <v>47039.6493134768</v>
      </c>
      <c r="N37" s="48" t="n">
        <f aca="false">'Book Income Statement'!O65</f>
        <v>47521.3393139744</v>
      </c>
      <c r="O37" s="48" t="n">
        <f aca="false">'Book Income Statement'!P65</f>
        <v>47989.3048576539</v>
      </c>
      <c r="P37" s="48" t="n">
        <f aca="false">'Book Income Statement'!Q65</f>
        <v>48484.2732386276</v>
      </c>
      <c r="Q37" s="48" t="n">
        <f aca="false">'Book Income Statement'!R65</f>
        <v>48920.9558361488</v>
      </c>
      <c r="R37" s="48" t="n">
        <f aca="false">'Book Income Statement'!S65</f>
        <v>49339.9511569948</v>
      </c>
      <c r="S37" s="48" t="n">
        <f aca="false">'Book Income Statement'!T65</f>
        <v>49739.8049502275</v>
      </c>
      <c r="T37" s="48" t="n">
        <f aca="false">'Book Income Statement'!U65</f>
        <v>50160.9759109231</v>
      </c>
      <c r="U37" s="48" t="n">
        <f aca="false">'Book Income Statement'!V65</f>
        <v>50517.8955787205</v>
      </c>
      <c r="V37" s="48" t="n">
        <f aca="false">'Book Income Statement'!W65</f>
        <v>49661.1560903571</v>
      </c>
      <c r="W37" s="48" t="n">
        <f aca="false">'Book Income Statement'!X65</f>
        <v>19281.8747125664</v>
      </c>
      <c r="X37" s="48" t="n">
        <f aca="false">'Book Income Statement'!Y65</f>
        <v>0</v>
      </c>
      <c r="Y37" s="47"/>
    </row>
    <row r="38" customFormat="false" ht="12.75" hidden="false" customHeight="false" outlineLevel="0" collapsed="false">
      <c r="A38" s="42"/>
      <c r="B38" s="43"/>
      <c r="C38" s="46" t="n">
        <f aca="false">C36-C37</f>
        <v>479.247400354498</v>
      </c>
      <c r="D38" s="46" t="n">
        <f aca="false">D36-D37</f>
        <v>186.594179808373</v>
      </c>
      <c r="E38" s="46" t="n">
        <f aca="false">E36-E37</f>
        <v>185.677649484856</v>
      </c>
      <c r="F38" s="46" t="n">
        <f aca="false">F36-F37</f>
        <v>352.455005196229</v>
      </c>
      <c r="G38" s="46" t="n">
        <f aca="false">G36-G37</f>
        <v>414.176604746477</v>
      </c>
      <c r="H38" s="46" t="n">
        <f aca="false">H36-H37</f>
        <v>431.324659359882</v>
      </c>
      <c r="I38" s="46" t="n">
        <f aca="false">I36-I37</f>
        <v>428.161529375604</v>
      </c>
      <c r="J38" s="46" t="n">
        <f aca="false">J36-J37</f>
        <v>434.726427846777</v>
      </c>
      <c r="K38" s="46" t="n">
        <f aca="false">K36-K37</f>
        <v>441.175357498105</v>
      </c>
      <c r="L38" s="46" t="n">
        <f aca="false">L36-L37</f>
        <v>448.050964492191</v>
      </c>
      <c r="M38" s="46" t="n">
        <f aca="false">M36-M37</f>
        <v>469.745873588909</v>
      </c>
      <c r="N38" s="46" t="n">
        <f aca="false">N36-N37</f>
        <v>482.25635432719</v>
      </c>
      <c r="O38" s="46" t="n">
        <f aca="false">O36-O37</f>
        <v>494.445778311871</v>
      </c>
      <c r="P38" s="46" t="n">
        <f aca="false">P36-P37</f>
        <v>506.994250465032</v>
      </c>
      <c r="Q38" s="46" t="n">
        <f aca="false">Q36-Q37</f>
        <v>514.925823341939</v>
      </c>
      <c r="R38" s="46" t="n">
        <f aca="false">R36-R37</f>
        <v>523.020292648958</v>
      </c>
      <c r="S38" s="46" t="n">
        <f aca="false">S36-S37</f>
        <v>534.97753876038</v>
      </c>
      <c r="T38" s="46" t="n">
        <f aca="false">T36-T37</f>
        <v>562.396792517699</v>
      </c>
      <c r="U38" s="46" t="n">
        <f aca="false">U36-U37</f>
        <v>572.545715682034</v>
      </c>
      <c r="V38" s="46" t="n">
        <f aca="false">V36-V37</f>
        <v>577.068778685825</v>
      </c>
      <c r="W38" s="46" t="n">
        <f aca="false">W36-W37</f>
        <v>31163.210819462</v>
      </c>
      <c r="X38" s="46" t="n">
        <f aca="false">X36-X37</f>
        <v>0</v>
      </c>
      <c r="Y38" s="49" t="n">
        <f aca="false">Y36-Y37</f>
        <v>0</v>
      </c>
    </row>
    <row r="39" customFormat="false" ht="12.75" hidden="false" customHeight="false" outlineLevel="0" collapsed="false">
      <c r="A39" s="42"/>
      <c r="B39" s="43"/>
      <c r="C39" s="43"/>
      <c r="D39" s="43"/>
      <c r="E39" s="43"/>
      <c r="F39" s="43"/>
      <c r="G39" s="43"/>
      <c r="H39" s="43"/>
      <c r="I39" s="43"/>
      <c r="J39" s="43"/>
      <c r="K39" s="43"/>
      <c r="L39" s="43"/>
      <c r="M39" s="43"/>
      <c r="N39" s="43"/>
      <c r="O39" s="43"/>
      <c r="P39" s="43"/>
      <c r="Q39" s="43"/>
      <c r="R39" s="43"/>
      <c r="S39" s="43"/>
      <c r="T39" s="43"/>
      <c r="U39" s="43"/>
      <c r="V39" s="43"/>
      <c r="W39" s="43"/>
      <c r="X39" s="43"/>
      <c r="Y39" s="47"/>
    </row>
    <row r="40" customFormat="false" ht="12.75" hidden="false" customHeight="false" outlineLevel="0" collapsed="false">
      <c r="A40" s="42" t="s">
        <v>108</v>
      </c>
      <c r="B40" s="43"/>
      <c r="C40" s="46" t="n">
        <f aca="false">[3]Calvert!F32</f>
        <v>94.8971403274245</v>
      </c>
      <c r="D40" s="46" t="n">
        <f aca="false">[3]Calvert!G32</f>
        <v>162.680811989871</v>
      </c>
      <c r="E40" s="46" t="n">
        <f aca="false">[3]Calvert!H32</f>
        <v>162.680811989871</v>
      </c>
      <c r="F40" s="46" t="n">
        <f aca="false">[3]Calvert!I32</f>
        <v>162.680811989871</v>
      </c>
      <c r="G40" s="46" t="n">
        <f aca="false">[3]Calvert!J32</f>
        <v>154.109235461302</v>
      </c>
      <c r="H40" s="46" t="n">
        <f aca="false">[3]Calvert!K32</f>
        <v>154.109235461302</v>
      </c>
      <c r="I40" s="46" t="n">
        <f aca="false">[3]Calvert!L32</f>
        <v>154.109235461302</v>
      </c>
      <c r="J40" s="46" t="n">
        <f aca="false">[3]Calvert!M32</f>
        <v>154.109235461302</v>
      </c>
      <c r="K40" s="46" t="n">
        <f aca="false">[3]Calvert!N32</f>
        <v>154.109235461302</v>
      </c>
      <c r="L40" s="46" t="n">
        <f aca="false">[3]Calvert!O32</f>
        <v>154.109235461302</v>
      </c>
      <c r="M40" s="46" t="n">
        <f aca="false">[3]Calvert!P32</f>
        <v>138.554546360912</v>
      </c>
      <c r="N40" s="46" t="n">
        <f aca="false">[3]Calvert!Q32</f>
        <v>132.049505961843</v>
      </c>
      <c r="O40" s="46" t="n">
        <f aca="false">[3]Calvert!R32</f>
        <v>125.694327947717</v>
      </c>
      <c r="P40" s="46" t="n">
        <f aca="false">[3]Calvert!S32</f>
        <v>119.348368627941</v>
      </c>
      <c r="Q40" s="46" t="n">
        <f aca="false">[3]Calvert!T32</f>
        <v>116.869350921693</v>
      </c>
      <c r="R40" s="46" t="n">
        <f aca="false">[3]Calvert!U32</f>
        <v>114.005417735648</v>
      </c>
      <c r="S40" s="46" t="n">
        <f aca="false">[3]Calvert!V32</f>
        <v>107.029524071937</v>
      </c>
      <c r="T40" s="46" t="n">
        <f aca="false">[3]Calvert!W32</f>
        <v>84.8521433682806</v>
      </c>
      <c r="U40" s="46" t="n">
        <f aca="false">[3]Calvert!X32</f>
        <v>79.1509696323302</v>
      </c>
      <c r="V40" s="46" t="n">
        <f aca="false">[3]Calvert!Y32</f>
        <v>63.8818467872532</v>
      </c>
      <c r="W40" s="46" t="n">
        <f aca="false">[3]Calvert!Z32</f>
        <v>63.8818467872532</v>
      </c>
      <c r="X40" s="46" t="n">
        <f aca="false">[3]Calvert!AA32</f>
        <v>0</v>
      </c>
      <c r="Y40" s="46" t="n">
        <f aca="false">[3]Calvert!AB32</f>
        <v>0</v>
      </c>
    </row>
    <row r="41" customFormat="false" ht="12.75" hidden="false" customHeight="false" outlineLevel="0" collapsed="false">
      <c r="A41" s="42" t="s">
        <v>109</v>
      </c>
      <c r="B41" s="43"/>
      <c r="C41" s="48" t="n">
        <f aca="false">-[3]Wilton!F19</f>
        <v>-193.003565563178</v>
      </c>
      <c r="D41" s="48" t="n">
        <f aca="false">-[3]Wilton!G19</f>
        <v>-327.21566583981</v>
      </c>
      <c r="E41" s="48" t="n">
        <f aca="false">-[3]Wilton!H19</f>
        <v>-326.299135516272</v>
      </c>
      <c r="F41" s="48" t="n">
        <f aca="false">-[3]Wilton!I19</f>
        <v>-450.699847245238</v>
      </c>
      <c r="G41" s="48" t="n">
        <f aca="false">-[3]Wilton!J19</f>
        <v>-546.352748436562</v>
      </c>
      <c r="H41" s="48" t="n">
        <f aca="false">-[3]Wilton!K19</f>
        <v>-563.470473006614</v>
      </c>
      <c r="I41" s="48" t="n">
        <f aca="false">-[3]Wilton!L19</f>
        <v>-560.307343022314</v>
      </c>
      <c r="J41" s="48" t="n">
        <f aca="false">-[3]Wilton!M19</f>
        <v>-566.872241493503</v>
      </c>
      <c r="K41" s="48" t="n">
        <f aca="false">-[3]Wilton!N19</f>
        <v>-573.321171144837</v>
      </c>
      <c r="L41" s="48" t="n">
        <f aca="false">-[3]Wilton!O19</f>
        <v>-580.166448095568</v>
      </c>
      <c r="M41" s="48" t="n">
        <f aca="false">-[3]Wilton!P19</f>
        <v>-586.535743050193</v>
      </c>
      <c r="N41" s="48" t="n">
        <f aca="false">-[3]Wilton!Q19</f>
        <v>-592.636983559279</v>
      </c>
      <c r="O41" s="48" t="n">
        <f aca="false">-[3]Wilton!R19</f>
        <v>-598.564822666245</v>
      </c>
      <c r="P41" s="48" t="n">
        <f aca="false">-[3]Wilton!S19</f>
        <v>-604.830462828304</v>
      </c>
      <c r="Q41" s="48" t="n">
        <f aca="false">-[3]Wilton!T19</f>
        <v>-610.319526660379</v>
      </c>
      <c r="R41" s="48" t="n">
        <f aca="false">-[3]Wilton!U19</f>
        <v>-615.592240119059</v>
      </c>
      <c r="S41" s="48" t="n">
        <f aca="false">-[3]Wilton!V19</f>
        <v>-620.676327024542</v>
      </c>
      <c r="T41" s="48" t="n">
        <f aca="false">-[3]Wilton!W19</f>
        <v>-626.214477820257</v>
      </c>
      <c r="U41" s="48" t="n">
        <f aca="false">-[3]Wilton!X19</f>
        <v>-630.746188819784</v>
      </c>
      <c r="V41" s="48" t="n">
        <f aca="false">-[3]Wilton!Y19</f>
        <v>-620.224998383246</v>
      </c>
      <c r="W41" s="48" t="n">
        <f aca="false">-[3]Wilton!Z19</f>
        <v>-622.778833728745</v>
      </c>
      <c r="X41" s="48" t="n">
        <f aca="false">-[3]Wilton!AA19</f>
        <v>-0</v>
      </c>
      <c r="Y41" s="48" t="n">
        <f aca="false">-[3]Wilton!AB19</f>
        <v>-0</v>
      </c>
    </row>
    <row r="42" customFormat="false" ht="12.75" hidden="false" customHeight="false" outlineLevel="0" collapsed="false">
      <c r="A42" s="50" t="s">
        <v>110</v>
      </c>
      <c r="B42" s="51"/>
      <c r="C42" s="52" t="n">
        <f aca="false">C38+C40+C41</f>
        <v>381.140975118744</v>
      </c>
      <c r="D42" s="52" t="n">
        <f aca="false">D38+D40+D41</f>
        <v>22.0593259584336</v>
      </c>
      <c r="E42" s="52" t="n">
        <f aca="false">E38+E40+E41</f>
        <v>22.0593259584549</v>
      </c>
      <c r="F42" s="52" t="n">
        <f aca="false">F38+F40+F41</f>
        <v>64.4359699408609</v>
      </c>
      <c r="G42" s="52" t="n">
        <f aca="false">G38+G40+G41</f>
        <v>21.9330917712169</v>
      </c>
      <c r="H42" s="52" t="n">
        <f aca="false">H38+H40+H41</f>
        <v>21.9634218145695</v>
      </c>
      <c r="I42" s="52" t="n">
        <f aca="false">I38+I40+I41</f>
        <v>21.9634218145922</v>
      </c>
      <c r="J42" s="52" t="n">
        <f aca="false">J38+J40+J41</f>
        <v>21.9634218145767</v>
      </c>
      <c r="K42" s="52" t="n">
        <f aca="false">K38+K40+K41</f>
        <v>21.9634218145696</v>
      </c>
      <c r="L42" s="52" t="n">
        <f aca="false">L38+L40+L41</f>
        <v>21.9937518579254</v>
      </c>
      <c r="M42" s="52" t="n">
        <f aca="false">M38+M40+M41</f>
        <v>21.7646768996276</v>
      </c>
      <c r="N42" s="52" t="n">
        <f aca="false">N38+N40+N41</f>
        <v>21.6688767297539</v>
      </c>
      <c r="O42" s="52" t="n">
        <f aca="false">O38+O40+O41</f>
        <v>21.5752835933428</v>
      </c>
      <c r="P42" s="52" t="n">
        <f aca="false">P38+P40+P41</f>
        <v>21.5121562646682</v>
      </c>
      <c r="Q42" s="52" t="n">
        <f aca="false">Q38+Q40+Q41</f>
        <v>21.4756476032527</v>
      </c>
      <c r="R42" s="52" t="n">
        <f aca="false">R38+R40+R41</f>
        <v>21.433470265547</v>
      </c>
      <c r="S42" s="52" t="n">
        <f aca="false">S38+S40+S41</f>
        <v>21.3307358077752</v>
      </c>
      <c r="T42" s="52" t="n">
        <f aca="false">T38+T40+T41</f>
        <v>21.0344580657218</v>
      </c>
      <c r="U42" s="52" t="n">
        <f aca="false">U38+U40+U41</f>
        <v>20.9504964945797</v>
      </c>
      <c r="V42" s="52" t="n">
        <f aca="false">V38+V40+V41</f>
        <v>20.7256270898322</v>
      </c>
      <c r="W42" s="52" t="n">
        <f aca="false">W38+W40+W41</f>
        <v>30604.3138325205</v>
      </c>
      <c r="X42" s="52" t="n">
        <f aca="false">X38+X40+X41</f>
        <v>0</v>
      </c>
      <c r="Y42" s="53" t="n">
        <f aca="false">Y38+Y40+Y41</f>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65533"/>
  <sheetViews>
    <sheetView showFormulas="false" showGridLines="true" showRowColHeaders="true" showZeros="true" rightToLeft="false" tabSelected="true" showOutlineSymbols="true" defaultGridColor="true" view="pageBreakPreview" topLeftCell="A1" colorId="64" zoomScale="75" zoomScaleNormal="85" zoomScalePageLayoutView="75" workbookViewId="0">
      <selection pane="topLeft" activeCell="C52" activeCellId="0" sqref="C52"/>
    </sheetView>
  </sheetViews>
  <sheetFormatPr defaultColWidth="9.28125" defaultRowHeight="12" customHeight="true" zeroHeight="false" outlineLevelRow="0" outlineLevelCol="0"/>
  <cols>
    <col collapsed="false" customWidth="true" hidden="false" outlineLevel="0" max="1" min="1" style="54" width="35.13"/>
    <col collapsed="false" customWidth="true" hidden="false" outlineLevel="0" max="2" min="2" style="54" width="9.56"/>
    <col collapsed="false" customWidth="true" hidden="false" outlineLevel="0" max="3" min="3" style="54" width="17.7"/>
    <col collapsed="false" customWidth="true" hidden="false" outlineLevel="0" max="4" min="4" style="54" width="5.85"/>
    <col collapsed="false" customWidth="true" hidden="false" outlineLevel="0" max="5" min="5" style="54" width="23.56"/>
    <col collapsed="false" customWidth="true" hidden="false" outlineLevel="0" max="6" min="6" style="54" width="10.99"/>
    <col collapsed="false" customWidth="true" hidden="false" outlineLevel="0" max="7" min="7" style="54" width="12.99"/>
    <col collapsed="false" customWidth="true" hidden="false" outlineLevel="0" max="8" min="8" style="54" width="10.71"/>
    <col collapsed="false" customWidth="true" hidden="false" outlineLevel="0" max="9" min="9" style="54" width="11.13"/>
    <col collapsed="false" customWidth="true" hidden="false" outlineLevel="0" max="10" min="10" style="54" width="6.41"/>
    <col collapsed="false" customWidth="true" hidden="false" outlineLevel="0" max="11" min="11" style="54" width="23.14"/>
    <col collapsed="false" customWidth="true" hidden="false" outlineLevel="0" max="12" min="12" style="54" width="13.7"/>
    <col collapsed="false" customWidth="true" hidden="false" outlineLevel="0" max="13" min="13" style="54" width="11.28"/>
    <col collapsed="false" customWidth="true" hidden="false" outlineLevel="0" max="14" min="14" style="54" width="11.99"/>
    <col collapsed="false" customWidth="true" hidden="false" outlineLevel="0" max="15" min="15" style="54" width="8.41"/>
    <col collapsed="false" customWidth="true" hidden="false" outlineLevel="0" max="16" min="16" style="54" width="12.14"/>
    <col collapsed="false" customWidth="true" hidden="false" outlineLevel="0" max="17" min="17" style="55" width="5.71"/>
    <col collapsed="false" customWidth="true" hidden="false" outlineLevel="0" max="18" min="18" style="55" width="16.56"/>
    <col collapsed="false" customWidth="false" hidden="false" outlineLevel="0" max="257" min="19" style="55" width="9.28"/>
  </cols>
  <sheetData>
    <row r="1" customFormat="false" ht="15.75" hidden="false" customHeight="false" outlineLevel="0" collapsed="false">
      <c r="B1" s="56" t="str">
        <f aca="false">IF(ABS(Loop)&gt;1,"Run the Tax Calc!","")</f>
        <v/>
      </c>
    </row>
    <row r="2" customFormat="false" ht="20.25" hidden="false" customHeight="false" outlineLevel="0" collapsed="false">
      <c r="A2" s="57" t="s">
        <v>111</v>
      </c>
      <c r="B2" s="57"/>
      <c r="C2" s="57"/>
      <c r="D2" s="57"/>
      <c r="E2" s="57"/>
      <c r="F2" s="57"/>
      <c r="G2" s="57"/>
      <c r="H2" s="57"/>
      <c r="I2" s="57"/>
      <c r="J2" s="57"/>
      <c r="K2" s="57"/>
      <c r="L2" s="57"/>
      <c r="M2" s="57"/>
      <c r="N2" s="57"/>
      <c r="O2" s="58"/>
      <c r="P2" s="58"/>
      <c r="Q2" s="59"/>
      <c r="R2" s="59"/>
      <c r="S2" s="59"/>
      <c r="T2" s="59"/>
      <c r="U2" s="59"/>
    </row>
    <row r="3" customFormat="false" ht="13.9" hidden="false" customHeight="true" outlineLevel="0" collapsed="false">
      <c r="A3" s="60" t="s">
        <v>112</v>
      </c>
      <c r="B3" s="60"/>
      <c r="C3" s="60"/>
      <c r="D3" s="60"/>
      <c r="E3" s="60"/>
      <c r="F3" s="60"/>
      <c r="G3" s="60"/>
      <c r="H3" s="60"/>
      <c r="I3" s="60"/>
      <c r="J3" s="60"/>
      <c r="K3" s="60"/>
      <c r="L3" s="60"/>
      <c r="M3" s="60"/>
      <c r="N3" s="60"/>
    </row>
    <row r="4" customFormat="false" ht="13.9" hidden="false" customHeight="true" outlineLevel="0" collapsed="false">
      <c r="A4" s="61" t="str">
        <f aca="true">CONCATENATE("File Location: ",CELL("filename"))</f>
        <v>File Location: 'file:///mnt/12tb/@roms/datasets/enron/EDRM Enron Email Data Set v2 XML/filtered-attachments/xls/Wilton_New___GE_7EA.xls'#$Project Assumptions</v>
      </c>
      <c r="B4" s="61"/>
      <c r="C4" s="61"/>
      <c r="D4" s="61"/>
      <c r="E4" s="61"/>
      <c r="F4" s="61"/>
      <c r="G4" s="61"/>
      <c r="H4" s="61"/>
      <c r="I4" s="61"/>
      <c r="J4" s="61"/>
      <c r="K4" s="61"/>
      <c r="L4" s="61"/>
      <c r="M4" s="61"/>
      <c r="N4" s="61"/>
    </row>
    <row r="5" customFormat="false" ht="15.75" hidden="false" customHeight="false" outlineLevel="0" collapsed="false">
      <c r="A5" s="62" t="s">
        <v>113</v>
      </c>
      <c r="B5" s="63"/>
      <c r="C5" s="64"/>
      <c r="E5" s="62" t="s">
        <v>114</v>
      </c>
      <c r="F5" s="63"/>
      <c r="G5" s="63"/>
      <c r="H5" s="63"/>
      <c r="I5" s="65"/>
      <c r="K5" s="66" t="s">
        <v>115</v>
      </c>
      <c r="L5" s="67"/>
      <c r="M5" s="63"/>
      <c r="N5" s="63"/>
      <c r="O5" s="63"/>
      <c r="P5" s="68"/>
      <c r="R5" s="62" t="s">
        <v>116</v>
      </c>
      <c r="S5" s="63"/>
      <c r="T5" s="63"/>
      <c r="U5" s="64"/>
    </row>
    <row r="6" customFormat="false" ht="12.75" hidden="false" customHeight="true" outlineLevel="0" collapsed="false">
      <c r="A6" s="69"/>
      <c r="B6" s="70"/>
      <c r="C6" s="71"/>
      <c r="E6" s="69"/>
      <c r="F6" s="70"/>
      <c r="G6" s="70"/>
      <c r="H6" s="70"/>
      <c r="I6" s="72"/>
      <c r="K6" s="73"/>
      <c r="L6" s="70"/>
      <c r="M6" s="74" t="s">
        <v>117</v>
      </c>
      <c r="N6" s="75" t="n">
        <v>1999</v>
      </c>
      <c r="O6" s="70"/>
      <c r="P6" s="71"/>
      <c r="R6" s="76" t="s">
        <v>118</v>
      </c>
      <c r="S6" s="70"/>
      <c r="T6" s="70"/>
      <c r="U6" s="77" t="n">
        <f aca="false">('Project Assumptions'!C15+'Project Assumptions'!C16+C20)*0.7576</f>
        <v>114433.7284288</v>
      </c>
    </row>
    <row r="7" customFormat="false" ht="24.75" hidden="false" customHeight="false" outlineLevel="0" collapsed="false">
      <c r="A7" s="78" t="s">
        <v>119</v>
      </c>
      <c r="B7" s="70"/>
      <c r="C7" s="71"/>
      <c r="E7" s="79" t="s">
        <v>120</v>
      </c>
      <c r="F7" s="70"/>
      <c r="G7" s="70"/>
      <c r="H7" s="80" t="n">
        <v>0</v>
      </c>
      <c r="I7" s="81" t="s">
        <v>121</v>
      </c>
      <c r="K7" s="82"/>
      <c r="L7" s="83" t="s">
        <v>122</v>
      </c>
      <c r="M7" s="84" t="s">
        <v>123</v>
      </c>
      <c r="N7" s="84" t="s">
        <v>124</v>
      </c>
      <c r="O7" s="85"/>
      <c r="P7" s="86" t="s">
        <v>125</v>
      </c>
      <c r="R7" s="79" t="s">
        <v>126</v>
      </c>
      <c r="S7" s="70"/>
      <c r="T7" s="70"/>
      <c r="U7" s="87" t="n">
        <f aca="false">15%*0.3333</f>
        <v>0.049995</v>
      </c>
    </row>
    <row r="8" customFormat="false" ht="12" hidden="false" customHeight="false" outlineLevel="0" collapsed="false">
      <c r="A8" s="79" t="s">
        <v>127</v>
      </c>
      <c r="B8" s="88" t="n">
        <f aca="false">C8/C11</f>
        <v>0.284688451409566</v>
      </c>
      <c r="C8" s="89" t="n">
        <f aca="false">C59-C9</f>
        <v>72751.789</v>
      </c>
      <c r="E8" s="79" t="s">
        <v>128</v>
      </c>
      <c r="F8" s="70"/>
      <c r="G8" s="70"/>
      <c r="H8" s="90" t="n">
        <v>0</v>
      </c>
      <c r="I8" s="91" t="n">
        <v>8</v>
      </c>
      <c r="K8" s="92" t="s">
        <v>129</v>
      </c>
      <c r="L8" s="93" t="n">
        <v>60</v>
      </c>
      <c r="M8" s="94" t="n">
        <f aca="false">NetMW*AnnualHours</f>
        <v>729600</v>
      </c>
      <c r="N8" s="95" t="n">
        <f aca="false">WaterTreatmentVar/M8*1000</f>
        <v>0.0822368421052632</v>
      </c>
      <c r="O8" s="96"/>
      <c r="P8" s="97" t="n">
        <f aca="false">AVERAGE('Book Income Statement'!E26:H26)</f>
        <v>68.6614282408604</v>
      </c>
      <c r="R8" s="79" t="s">
        <v>130</v>
      </c>
      <c r="S8" s="98"/>
      <c r="T8" s="99"/>
      <c r="U8" s="100" t="n">
        <v>0.061154</v>
      </c>
    </row>
    <row r="9" customFormat="false" ht="12" hidden="false" customHeight="false" outlineLevel="0" collapsed="false">
      <c r="A9" s="79" t="s">
        <v>131</v>
      </c>
      <c r="B9" s="88" t="n">
        <f aca="false">C9/C11</f>
        <v>0.715311548590434</v>
      </c>
      <c r="C9" s="101" t="n">
        <f aca="false">IF(I34="Normal",'Debt Amortization'!$B$22,I38)</f>
        <v>182797</v>
      </c>
      <c r="E9" s="79" t="s">
        <v>132</v>
      </c>
      <c r="F9" s="70"/>
      <c r="G9" s="70"/>
      <c r="H9" s="102" t="n">
        <v>0</v>
      </c>
      <c r="I9" s="103" t="n">
        <v>665.9</v>
      </c>
      <c r="K9" s="92" t="s">
        <v>133</v>
      </c>
      <c r="L9" s="93" t="n">
        <f aca="false">M9*N9/1000</f>
        <v>36.48</v>
      </c>
      <c r="M9" s="94" t="n">
        <f aca="false">NetMW*AnnualHours</f>
        <v>729600</v>
      </c>
      <c r="N9" s="104" t="n">
        <v>0.05</v>
      </c>
      <c r="O9" s="96"/>
      <c r="P9" s="97" t="n">
        <f aca="false">AVERAGE('Book Income Statement'!E27:H27)</f>
        <v>41.7461483704431</v>
      </c>
      <c r="R9" s="73" t="s">
        <v>134</v>
      </c>
      <c r="S9" s="70"/>
      <c r="T9" s="70"/>
      <c r="U9" s="105" t="s">
        <v>135</v>
      </c>
    </row>
    <row r="10" customFormat="false" ht="14.25" hidden="false" customHeight="false" outlineLevel="0" collapsed="false">
      <c r="A10" s="106"/>
      <c r="B10" s="107"/>
      <c r="C10" s="108"/>
      <c r="E10" s="79" t="s">
        <v>136</v>
      </c>
      <c r="F10" s="70"/>
      <c r="G10" s="70"/>
      <c r="H10" s="90"/>
      <c r="I10" s="109" t="n">
        <v>608</v>
      </c>
      <c r="K10" s="92" t="s">
        <v>137</v>
      </c>
      <c r="L10" s="110" t="n">
        <v>533</v>
      </c>
      <c r="M10" s="94" t="n">
        <f aca="false">NetMW*AnnualHours</f>
        <v>729600</v>
      </c>
      <c r="N10" s="111" t="n">
        <f aca="false">Variable/M10*1000</f>
        <v>0.730537280701754</v>
      </c>
      <c r="O10" s="112"/>
      <c r="P10" s="113" t="n">
        <f aca="false">AVERAGE('Book Income Statement'!E28:H28)</f>
        <v>609.94235420631</v>
      </c>
      <c r="R10" s="114" t="s">
        <v>138</v>
      </c>
      <c r="S10" s="115"/>
      <c r="T10" s="116"/>
      <c r="U10" s="117" t="n">
        <f aca="false">Depreciation!C49</f>
        <v>269.898959069177</v>
      </c>
    </row>
    <row r="11" customFormat="false" ht="12" hidden="false" customHeight="false" outlineLevel="0" collapsed="false">
      <c r="A11" s="79" t="s">
        <v>139</v>
      </c>
      <c r="B11" s="107"/>
      <c r="C11" s="118" t="n">
        <f aca="false">SUM(C8:C9)</f>
        <v>255548.789</v>
      </c>
      <c r="E11" s="79" t="s">
        <v>140</v>
      </c>
      <c r="F11" s="119" t="n">
        <v>0.02</v>
      </c>
      <c r="G11" s="70" t="s">
        <v>141</v>
      </c>
      <c r="H11" s="90"/>
      <c r="I11" s="120" t="n">
        <f aca="false">NetMW*(1-F11)</f>
        <v>595.84</v>
      </c>
      <c r="K11" s="121" t="s">
        <v>142</v>
      </c>
      <c r="L11" s="122" t="n">
        <f aca="false">SUM(L8:L10)</f>
        <v>629.48</v>
      </c>
      <c r="M11" s="123"/>
      <c r="N11" s="124" t="n">
        <f aca="false">SUM(N8:N10)</f>
        <v>0.862774122807018</v>
      </c>
      <c r="O11" s="125"/>
      <c r="P11" s="126" t="n">
        <f aca="false">AVERAGE('Book Income Statement'!E29:H29)</f>
        <v>720.349930817613</v>
      </c>
    </row>
    <row r="12" customFormat="false" ht="15.75" hidden="false" customHeight="false" outlineLevel="0" collapsed="false">
      <c r="A12" s="127"/>
      <c r="B12" s="107"/>
      <c r="C12" s="71"/>
      <c r="E12" s="128" t="s">
        <v>143</v>
      </c>
      <c r="F12" s="70"/>
      <c r="G12" s="70"/>
      <c r="H12" s="80"/>
      <c r="I12" s="129" t="n">
        <v>11973</v>
      </c>
      <c r="K12" s="70"/>
      <c r="L12" s="70"/>
      <c r="M12" s="70"/>
      <c r="N12" s="70"/>
      <c r="O12" s="70"/>
      <c r="P12" s="130"/>
      <c r="R12" s="62" t="s">
        <v>144</v>
      </c>
      <c r="S12" s="63"/>
      <c r="T12" s="63"/>
      <c r="U12" s="64"/>
    </row>
    <row r="13" customFormat="false" ht="15.75" hidden="false" customHeight="false" outlineLevel="0" collapsed="false">
      <c r="A13" s="78" t="s">
        <v>145</v>
      </c>
      <c r="B13" s="107"/>
      <c r="C13" s="71"/>
      <c r="E13" s="79" t="s">
        <v>146</v>
      </c>
      <c r="F13" s="70"/>
      <c r="G13" s="70"/>
      <c r="H13" s="90"/>
      <c r="I13" s="131" t="n">
        <f aca="false">G14/8760</f>
        <v>0.136986301369863</v>
      </c>
      <c r="K13" s="132" t="s">
        <v>147</v>
      </c>
      <c r="L13" s="133"/>
      <c r="M13" s="67"/>
      <c r="N13" s="134"/>
      <c r="O13" s="135"/>
      <c r="P13" s="136"/>
      <c r="R13" s="73" t="s">
        <v>148</v>
      </c>
      <c r="S13" s="70"/>
      <c r="T13" s="70"/>
      <c r="U13" s="137" t="n">
        <f aca="false">$C$8/'Book Income Statement'!$E$77</f>
        <v>23.5982754248971</v>
      </c>
    </row>
    <row r="14" customFormat="false" ht="24" hidden="false" customHeight="false" outlineLevel="0" collapsed="false">
      <c r="A14" s="138" t="s">
        <v>149</v>
      </c>
      <c r="B14" s="107"/>
      <c r="C14" s="71"/>
      <c r="E14" s="79" t="s">
        <v>150</v>
      </c>
      <c r="F14" s="70"/>
      <c r="G14" s="90" t="n">
        <v>1200</v>
      </c>
      <c r="H14" s="80" t="s">
        <v>151</v>
      </c>
      <c r="I14" s="91" t="n">
        <v>0</v>
      </c>
      <c r="K14" s="73"/>
      <c r="L14" s="139" t="s">
        <v>152</v>
      </c>
      <c r="M14" s="140" t="s">
        <v>153</v>
      </c>
      <c r="N14" s="141" t="s">
        <v>154</v>
      </c>
      <c r="O14" s="142" t="s">
        <v>155</v>
      </c>
      <c r="P14" s="143" t="s">
        <v>156</v>
      </c>
      <c r="R14" s="73" t="s">
        <v>157</v>
      </c>
      <c r="S14" s="70"/>
      <c r="T14" s="70"/>
      <c r="U14" s="144" t="n">
        <v>30</v>
      </c>
    </row>
    <row r="15" customFormat="false" ht="12" hidden="false" customHeight="false" outlineLevel="0" collapsed="false">
      <c r="A15" s="79" t="s">
        <v>158</v>
      </c>
      <c r="B15" s="107"/>
      <c r="C15" s="145" t="n">
        <v>142064.94</v>
      </c>
      <c r="E15" s="79" t="s">
        <v>159</v>
      </c>
      <c r="F15" s="70"/>
      <c r="G15" s="70"/>
      <c r="H15" s="90"/>
      <c r="I15" s="146" t="n">
        <v>20</v>
      </c>
      <c r="K15" s="92" t="s">
        <v>160</v>
      </c>
      <c r="L15" s="147" t="n">
        <v>120</v>
      </c>
      <c r="M15" s="148" t="n">
        <f aca="false">N15/(I8)</f>
        <v>1874</v>
      </c>
      <c r="N15" s="148" t="n">
        <f aca="false">VLOOKUP(L15,Main_Table,2)</f>
        <v>14992</v>
      </c>
      <c r="O15" s="96" t="n">
        <f aca="false">Main_Start*L15/1000</f>
        <v>1799.04</v>
      </c>
      <c r="P15" s="149" t="n">
        <v>0.03</v>
      </c>
      <c r="R15" s="73" t="s">
        <v>161</v>
      </c>
      <c r="S15" s="70"/>
      <c r="T15" s="70"/>
      <c r="U15" s="150" t="n">
        <v>0.1</v>
      </c>
    </row>
    <row r="16" customFormat="false" ht="12" hidden="false" customHeight="false" outlineLevel="0" collapsed="false">
      <c r="A16" s="79" t="s">
        <v>162</v>
      </c>
      <c r="B16" s="107"/>
      <c r="C16" s="145" t="n">
        <v>5916.048</v>
      </c>
      <c r="E16" s="79" t="s">
        <v>163</v>
      </c>
      <c r="F16" s="70"/>
      <c r="G16" s="151" t="n">
        <v>36678</v>
      </c>
      <c r="H16" s="70" t="s">
        <v>164</v>
      </c>
      <c r="I16" s="152" t="n">
        <f aca="false">(MONTH(StartDate)+1)/12</f>
        <v>0.583333333333333</v>
      </c>
      <c r="K16" s="92" t="s">
        <v>165</v>
      </c>
      <c r="L16" s="147" t="n">
        <v>120</v>
      </c>
      <c r="M16" s="153" t="n">
        <f aca="false">N16/I8</f>
        <v>0</v>
      </c>
      <c r="N16" s="153" t="n">
        <f aca="false">VLOOKUP(L16,Main_Table,3)</f>
        <v>0</v>
      </c>
      <c r="O16" s="112" t="n">
        <f aca="false">Fuel_Start*L16/1000</f>
        <v>0</v>
      </c>
      <c r="P16" s="154"/>
      <c r="R16" s="155" t="s">
        <v>166</v>
      </c>
      <c r="S16" s="156"/>
      <c r="T16" s="156"/>
      <c r="U16" s="157" t="n">
        <v>0.013490953938989</v>
      </c>
    </row>
    <row r="17" customFormat="false" ht="12" hidden="false" customHeight="false" outlineLevel="0" collapsed="false">
      <c r="A17" s="79" t="s">
        <v>167</v>
      </c>
      <c r="B17" s="107"/>
      <c r="C17" s="145" t="n">
        <v>9479.08</v>
      </c>
      <c r="E17" s="79" t="s">
        <v>168</v>
      </c>
      <c r="F17" s="70"/>
      <c r="G17" s="151" t="n">
        <v>43981</v>
      </c>
      <c r="H17" s="70"/>
      <c r="I17" s="152"/>
      <c r="K17" s="158"/>
      <c r="L17" s="122"/>
      <c r="M17" s="159" t="n">
        <f aca="false">SUM(M15:M16)</f>
        <v>1874</v>
      </c>
      <c r="N17" s="159" t="n">
        <f aca="false">SUM(N15:N16)</f>
        <v>14992</v>
      </c>
      <c r="O17" s="160" t="n">
        <f aca="false">SUM(O15:O16)</f>
        <v>1799.04</v>
      </c>
      <c r="P17" s="126"/>
    </row>
    <row r="18" customFormat="false" ht="15.75" hidden="false" customHeight="false" outlineLevel="0" collapsed="false">
      <c r="A18" s="79" t="s">
        <v>169</v>
      </c>
      <c r="B18" s="107"/>
      <c r="C18" s="145" t="n">
        <v>940.2</v>
      </c>
      <c r="E18" s="155" t="s">
        <v>170</v>
      </c>
      <c r="F18" s="161" t="s">
        <v>171</v>
      </c>
      <c r="G18" s="162" t="n">
        <f aca="false">C59/I10</f>
        <v>420.310508223684</v>
      </c>
      <c r="H18" s="161" t="s">
        <v>172</v>
      </c>
      <c r="I18" s="163" t="n">
        <f aca="false">(C59-C48)/I10</f>
        <v>420.310508223684</v>
      </c>
      <c r="K18" s="70"/>
      <c r="L18" s="70"/>
      <c r="M18" s="70"/>
      <c r="N18" s="70"/>
      <c r="O18" s="70"/>
      <c r="P18" s="130"/>
      <c r="R18" s="164" t="s">
        <v>173</v>
      </c>
      <c r="S18" s="63"/>
      <c r="T18" s="63"/>
      <c r="U18" s="64"/>
      <c r="V18" s="0"/>
    </row>
    <row r="19" customFormat="false" ht="15.75" hidden="false" customHeight="false" outlineLevel="0" collapsed="false">
      <c r="A19" s="79" t="s">
        <v>174</v>
      </c>
      <c r="B19" s="107"/>
      <c r="C19" s="145" t="n">
        <v>2824.8</v>
      </c>
      <c r="E19" s="165"/>
      <c r="G19" s="166"/>
      <c r="H19" s="167"/>
      <c r="I19" s="168"/>
      <c r="K19" s="66" t="s">
        <v>175</v>
      </c>
      <c r="L19" s="67"/>
      <c r="M19" s="67"/>
      <c r="N19" s="169"/>
      <c r="O19" s="170"/>
      <c r="P19" s="171"/>
      <c r="R19" s="73"/>
      <c r="S19" s="70"/>
      <c r="T19" s="70"/>
      <c r="U19" s="71"/>
      <c r="V19" s="0"/>
    </row>
    <row r="20" customFormat="false" ht="15.75" hidden="false" customHeight="false" outlineLevel="0" collapsed="false">
      <c r="A20" s="79" t="s">
        <v>176</v>
      </c>
      <c r="B20" s="107"/>
      <c r="C20" s="145" t="n">
        <v>3066.7</v>
      </c>
      <c r="E20" s="66" t="s">
        <v>177</v>
      </c>
      <c r="F20" s="172"/>
      <c r="G20" s="173"/>
      <c r="H20" s="172"/>
      <c r="I20" s="174"/>
      <c r="K20" s="92" t="s">
        <v>178</v>
      </c>
      <c r="L20" s="98"/>
      <c r="M20" s="98"/>
      <c r="N20" s="175" t="n">
        <v>727</v>
      </c>
      <c r="O20" s="176"/>
      <c r="P20" s="97" t="n">
        <f aca="false">AVERAGE('Book Income Statement'!E39:H39)</f>
        <v>806.680996471525</v>
      </c>
      <c r="R20" s="73" t="s">
        <v>179</v>
      </c>
      <c r="S20" s="70"/>
      <c r="T20" s="70"/>
      <c r="U20" s="177" t="str">
        <f aca="false">IF(ABS(SUM(BS!D39:X39))&gt;0.1,"NO !!!!!!!","YES")</f>
        <v>YES</v>
      </c>
      <c r="V20" s="0"/>
    </row>
    <row r="21" customFormat="false" ht="12.75" hidden="false" customHeight="false" outlineLevel="0" collapsed="false">
      <c r="A21" s="79" t="s">
        <v>180</v>
      </c>
      <c r="B21" s="107"/>
      <c r="C21" s="178" t="n">
        <v>46656.594</v>
      </c>
      <c r="E21" s="73" t="s">
        <v>103</v>
      </c>
      <c r="F21" s="176" t="n">
        <f aca="false">VariableMwh</f>
        <v>0.862774122807018</v>
      </c>
      <c r="G21" s="179" t="s">
        <v>181</v>
      </c>
      <c r="H21" s="70"/>
      <c r="I21" s="180" t="n">
        <v>0.03</v>
      </c>
      <c r="K21" s="92" t="s">
        <v>182</v>
      </c>
      <c r="L21" s="98"/>
      <c r="M21" s="98"/>
      <c r="N21" s="175" t="n">
        <v>270</v>
      </c>
      <c r="O21" s="70"/>
      <c r="P21" s="97" t="n">
        <f aca="false">AVERAGE('Book Income Statement'!E40:H40)</f>
        <v>299.59266719025</v>
      </c>
      <c r="R21" s="73" t="s">
        <v>183</v>
      </c>
      <c r="S21" s="70"/>
      <c r="T21" s="70"/>
      <c r="U21" s="181" t="n">
        <f aca="false">Depreciation!B15</f>
        <v>252666.545</v>
      </c>
      <c r="V21" s="0"/>
    </row>
    <row r="22" customFormat="false" ht="12.75" hidden="false" customHeight="false" outlineLevel="0" collapsed="false">
      <c r="A22" s="79" t="s">
        <v>184</v>
      </c>
      <c r="B22" s="107"/>
      <c r="C22" s="178" t="n">
        <v>3355.857</v>
      </c>
      <c r="E22" s="73" t="s">
        <v>185</v>
      </c>
      <c r="F22" s="182" t="n">
        <f aca="false">M17</f>
        <v>1874</v>
      </c>
      <c r="G22" s="179" t="s">
        <v>186</v>
      </c>
      <c r="H22" s="70"/>
      <c r="I22" s="71"/>
      <c r="K22" s="92" t="s">
        <v>187</v>
      </c>
      <c r="L22" s="98"/>
      <c r="M22" s="98"/>
      <c r="N22" s="183" t="n">
        <f aca="false">NetMW/2890*1000</f>
        <v>210.38062283737</v>
      </c>
      <c r="O22" s="70"/>
      <c r="P22" s="97" t="n">
        <f aca="false">AVERAGE('Book Income Statement'!E41:H41)</f>
        <v>233.438858966644</v>
      </c>
      <c r="R22" s="184" t="s">
        <v>188</v>
      </c>
      <c r="S22" s="70"/>
      <c r="T22" s="70"/>
      <c r="U22" s="185" t="n">
        <f aca="false">C59</f>
        <v>255548.789</v>
      </c>
      <c r="V22" s="0"/>
    </row>
    <row r="23" customFormat="false" ht="12.75" hidden="false" customHeight="false" outlineLevel="0" collapsed="false">
      <c r="A23" s="79" t="s">
        <v>189</v>
      </c>
      <c r="B23" s="107"/>
      <c r="C23" s="178" t="n">
        <v>12328.422</v>
      </c>
      <c r="E23" s="155" t="s">
        <v>190</v>
      </c>
      <c r="F23" s="186" t="n">
        <v>1</v>
      </c>
      <c r="G23" s="162" t="s">
        <v>191</v>
      </c>
      <c r="H23" s="156" t="s">
        <v>192</v>
      </c>
      <c r="I23" s="187" t="n">
        <v>0.02</v>
      </c>
      <c r="K23" s="92" t="s">
        <v>193</v>
      </c>
      <c r="L23" s="188" t="n">
        <v>0.07</v>
      </c>
      <c r="M23" s="98" t="s">
        <v>194</v>
      </c>
      <c r="N23" s="189" t="n">
        <f aca="false">L23*(ISO_NetMW*(1-$F$11)*12)</f>
        <v>548.16888</v>
      </c>
      <c r="O23" s="70"/>
      <c r="P23" s="97" t="n">
        <f aca="false">AVERAGE('Book Income Statement'!E42:H42)</f>
        <v>221.0947816</v>
      </c>
      <c r="R23" s="73" t="s">
        <v>195</v>
      </c>
      <c r="S23" s="70"/>
      <c r="T23" s="70"/>
      <c r="U23" s="190" t="n">
        <f aca="false">U22-U21</f>
        <v>2882.24400000001</v>
      </c>
      <c r="V23" s="0"/>
    </row>
    <row r="24" customFormat="false" ht="15" hidden="false" customHeight="false" outlineLevel="0" collapsed="false">
      <c r="A24" s="73" t="s">
        <v>196</v>
      </c>
      <c r="B24" s="107"/>
      <c r="C24" s="178" t="n">
        <v>1253.881</v>
      </c>
      <c r="E24" s="165"/>
      <c r="G24" s="166"/>
      <c r="H24" s="167"/>
      <c r="I24" s="168"/>
      <c r="K24" s="73" t="s">
        <v>101</v>
      </c>
      <c r="L24" s="70"/>
      <c r="M24" s="70"/>
      <c r="N24" s="191" t="n">
        <v>250</v>
      </c>
      <c r="O24" s="70"/>
      <c r="P24" s="113" t="n">
        <f aca="false">AVERAGE('Book Income Statement'!E43:H43)</f>
        <v>277.40061776875</v>
      </c>
      <c r="R24" s="73" t="s">
        <v>197</v>
      </c>
      <c r="S24" s="70"/>
      <c r="T24" s="70"/>
      <c r="U24" s="192" t="n">
        <f aca="false">C48+C25</f>
        <v>2305.818</v>
      </c>
      <c r="V24" s="0"/>
    </row>
    <row r="25" customFormat="false" ht="15.75" hidden="false" customHeight="false" outlineLevel="0" collapsed="false">
      <c r="A25" s="79" t="s">
        <v>198</v>
      </c>
      <c r="B25" s="107"/>
      <c r="C25" s="178" t="n">
        <v>2305.818</v>
      </c>
      <c r="E25" s="62" t="s">
        <v>199</v>
      </c>
      <c r="F25" s="63"/>
      <c r="G25" s="63"/>
      <c r="H25" s="63"/>
      <c r="I25" s="193"/>
      <c r="K25" s="121" t="s">
        <v>200</v>
      </c>
      <c r="L25" s="123"/>
      <c r="M25" s="194"/>
      <c r="N25" s="122" t="n">
        <f aca="false">SUM(N20:N24)</f>
        <v>2005.54950283737</v>
      </c>
      <c r="O25" s="156"/>
      <c r="P25" s="126" t="n">
        <f aca="false">AVERAGE('Book Income Statement'!E44:H44)</f>
        <v>1838.20792199717</v>
      </c>
      <c r="R25" s="73"/>
      <c r="S25" s="70"/>
      <c r="T25" s="70"/>
      <c r="U25" s="195"/>
      <c r="V25" s="0"/>
    </row>
    <row r="26" customFormat="false" ht="12.75" hidden="false" customHeight="false" outlineLevel="0" collapsed="false">
      <c r="A26" s="79" t="s">
        <v>201</v>
      </c>
      <c r="B26" s="107"/>
      <c r="C26" s="178" t="n">
        <f aca="false">1000+216.382</f>
        <v>1216.382</v>
      </c>
      <c r="E26" s="196" t="s">
        <v>202</v>
      </c>
      <c r="F26" s="197" t="n">
        <v>3</v>
      </c>
      <c r="G26" s="70" t="s">
        <v>203</v>
      </c>
      <c r="H26" s="70" t="s">
        <v>204</v>
      </c>
      <c r="I26" s="144" t="n">
        <v>5</v>
      </c>
      <c r="K26" s="198"/>
      <c r="L26" s="199"/>
      <c r="M26" s="199"/>
      <c r="N26" s="200"/>
      <c r="P26" s="201"/>
      <c r="Q26" s="202"/>
      <c r="R26" s="155"/>
      <c r="S26" s="156"/>
      <c r="T26" s="156"/>
      <c r="U26" s="203"/>
      <c r="V26" s="0"/>
      <c r="W26" s="0"/>
    </row>
    <row r="27" customFormat="false" ht="15.75" hidden="false" customHeight="false" outlineLevel="0" collapsed="false">
      <c r="A27" s="73" t="s">
        <v>205</v>
      </c>
      <c r="B27" s="70"/>
      <c r="C27" s="178" t="n">
        <v>6500</v>
      </c>
      <c r="E27" s="196" t="s">
        <v>206</v>
      </c>
      <c r="F27" s="70"/>
      <c r="G27" s="70"/>
      <c r="H27" s="70"/>
      <c r="I27" s="101" t="n">
        <f aca="false">I10</f>
        <v>608</v>
      </c>
      <c r="K27" s="66" t="s">
        <v>207</v>
      </c>
      <c r="L27" s="63"/>
      <c r="M27" s="63"/>
      <c r="N27" s="63"/>
      <c r="O27" s="63"/>
      <c r="P27" s="171"/>
      <c r="V27" s="0"/>
      <c r="W27" s="0"/>
    </row>
    <row r="28" customFormat="false" ht="23.25" hidden="false" customHeight="true" outlineLevel="0" collapsed="false">
      <c r="A28" s="73" t="s">
        <v>208</v>
      </c>
      <c r="B28" s="204" t="n">
        <v>0.06</v>
      </c>
      <c r="C28" s="205" t="n">
        <v>500</v>
      </c>
      <c r="E28" s="206" t="s">
        <v>209</v>
      </c>
      <c r="F28" s="207"/>
      <c r="G28" s="207"/>
      <c r="H28" s="207"/>
      <c r="I28" s="208" t="n">
        <f aca="false">AnnualHours</f>
        <v>1200</v>
      </c>
      <c r="K28" s="82"/>
      <c r="L28" s="70"/>
      <c r="M28" s="209" t="s">
        <v>210</v>
      </c>
      <c r="N28" s="210" t="n">
        <v>1999</v>
      </c>
      <c r="O28" s="70"/>
      <c r="P28" s="181"/>
      <c r="V28" s="0"/>
      <c r="W28" s="0"/>
    </row>
    <row r="29" customFormat="false" ht="12.75" hidden="false" customHeight="false" outlineLevel="0" collapsed="false">
      <c r="A29" s="79" t="s">
        <v>211</v>
      </c>
      <c r="B29" s="107"/>
      <c r="C29" s="211" t="n">
        <v>1500</v>
      </c>
      <c r="E29" s="206" t="s">
        <v>212</v>
      </c>
      <c r="F29" s="207"/>
      <c r="G29" s="207"/>
      <c r="H29" s="207"/>
      <c r="I29" s="212" t="n">
        <v>4</v>
      </c>
      <c r="K29" s="213" t="s">
        <v>213</v>
      </c>
      <c r="L29" s="70"/>
      <c r="M29" s="98"/>
      <c r="N29" s="214"/>
      <c r="O29" s="70"/>
      <c r="P29" s="86" t="s">
        <v>125</v>
      </c>
      <c r="V29" s="0"/>
      <c r="W29" s="0"/>
    </row>
    <row r="30" customFormat="false" ht="12.75" hidden="false" customHeight="false" outlineLevel="0" collapsed="false">
      <c r="A30" s="79"/>
      <c r="B30" s="215"/>
      <c r="C30" s="216" t="n">
        <f aca="false">SUM(C15:C29)</f>
        <v>239908.722</v>
      </c>
      <c r="E30" s="206" t="s">
        <v>214</v>
      </c>
      <c r="F30" s="207"/>
      <c r="G30" s="207"/>
      <c r="H30" s="207"/>
      <c r="I30" s="217" t="n">
        <v>0</v>
      </c>
      <c r="K30" s="92" t="s">
        <v>215</v>
      </c>
      <c r="L30" s="70"/>
      <c r="M30" s="70"/>
      <c r="N30" s="183" t="n">
        <v>70</v>
      </c>
      <c r="O30" s="70"/>
      <c r="P30" s="97"/>
      <c r="V30" s="0"/>
      <c r="W30" s="0"/>
    </row>
    <row r="31" customFormat="false" ht="12.75" hidden="false" customHeight="false" outlineLevel="0" collapsed="false">
      <c r="A31" s="138" t="s">
        <v>216</v>
      </c>
      <c r="B31" s="107"/>
      <c r="C31" s="218"/>
      <c r="E31" s="155" t="s">
        <v>217</v>
      </c>
      <c r="F31" s="156"/>
      <c r="G31" s="156"/>
      <c r="H31" s="156"/>
      <c r="I31" s="219" t="n">
        <v>0.03</v>
      </c>
      <c r="K31" s="92" t="s">
        <v>218</v>
      </c>
      <c r="L31" s="70"/>
      <c r="M31" s="70"/>
      <c r="N31" s="183" t="n">
        <v>0</v>
      </c>
      <c r="O31" s="70"/>
      <c r="P31" s="97"/>
      <c r="V31" s="0"/>
      <c r="W31" s="0"/>
    </row>
    <row r="32" customFormat="false" ht="14.25" hidden="false" customHeight="false" outlineLevel="0" collapsed="false">
      <c r="A32" s="79" t="s">
        <v>219</v>
      </c>
      <c r="B32" s="107"/>
      <c r="C32" s="220" t="n">
        <v>0</v>
      </c>
      <c r="K32" s="92" t="s">
        <v>220</v>
      </c>
      <c r="L32" s="70"/>
      <c r="M32" s="70"/>
      <c r="N32" s="191" t="n">
        <v>221</v>
      </c>
      <c r="O32" s="70"/>
      <c r="P32" s="113"/>
    </row>
    <row r="33" customFormat="false" ht="15.75" hidden="false" customHeight="false" outlineLevel="0" collapsed="false">
      <c r="A33" s="79" t="s">
        <v>221</v>
      </c>
      <c r="B33" s="175"/>
      <c r="C33" s="178" t="n">
        <v>908.786</v>
      </c>
      <c r="E33" s="62" t="s">
        <v>222</v>
      </c>
      <c r="F33" s="221"/>
      <c r="G33" s="63"/>
      <c r="H33" s="63"/>
      <c r="I33" s="64"/>
      <c r="K33" s="92" t="s">
        <v>223</v>
      </c>
      <c r="L33" s="98"/>
      <c r="M33" s="222"/>
      <c r="N33" s="223" t="n">
        <f aca="false">SUM(N30:N32)</f>
        <v>291</v>
      </c>
      <c r="O33" s="70"/>
      <c r="P33" s="97" t="n">
        <f aca="false">AVERAGE('Book Income Statement'!E47:H47)</f>
        <v>322.894319082825</v>
      </c>
    </row>
    <row r="34" customFormat="false" ht="12" hidden="false" customHeight="false" outlineLevel="0" collapsed="false">
      <c r="A34" s="79" t="s">
        <v>224</v>
      </c>
      <c r="B34" s="107"/>
      <c r="C34" s="178" t="n">
        <v>349.955</v>
      </c>
      <c r="E34" s="73" t="s">
        <v>225</v>
      </c>
      <c r="F34" s="70"/>
      <c r="G34" s="70"/>
      <c r="H34" s="70"/>
      <c r="I34" s="105" t="s">
        <v>226</v>
      </c>
      <c r="K34" s="92" t="s">
        <v>227</v>
      </c>
      <c r="L34" s="98"/>
      <c r="M34" s="98"/>
      <c r="N34" s="93" t="n">
        <v>64.4</v>
      </c>
      <c r="O34" s="70"/>
      <c r="P34" s="97" t="n">
        <f aca="false">AVERAGE('Book Income Statement'!E48:H48)</f>
        <v>71.45839913723</v>
      </c>
    </row>
    <row r="35" customFormat="false" ht="12" hidden="false" customHeight="false" outlineLevel="0" collapsed="false">
      <c r="A35" s="73" t="s">
        <v>228</v>
      </c>
      <c r="B35" s="99"/>
      <c r="C35" s="178" t="n">
        <v>266.249</v>
      </c>
      <c r="E35" s="73"/>
      <c r="F35" s="70"/>
      <c r="G35" s="70"/>
      <c r="H35" s="70"/>
      <c r="I35" s="71"/>
      <c r="K35" s="92" t="s">
        <v>229</v>
      </c>
      <c r="L35" s="98"/>
      <c r="M35" s="98"/>
      <c r="N35" s="93" t="n">
        <v>286</v>
      </c>
      <c r="O35" s="70"/>
      <c r="P35" s="97" t="n">
        <f aca="false">AVERAGE('Book Income Statement'!E49:H49)</f>
        <v>317.34630672745</v>
      </c>
    </row>
    <row r="36" customFormat="false" ht="12" hidden="false" customHeight="false" outlineLevel="0" collapsed="false">
      <c r="A36" s="79" t="s">
        <v>230</v>
      </c>
      <c r="B36" s="99"/>
      <c r="C36" s="178" t="n">
        <v>177.396</v>
      </c>
      <c r="E36" s="73"/>
      <c r="F36" s="224" t="s">
        <v>231</v>
      </c>
      <c r="G36" s="224" t="s">
        <v>232</v>
      </c>
      <c r="H36" s="224" t="s">
        <v>233</v>
      </c>
      <c r="I36" s="225" t="s">
        <v>234</v>
      </c>
      <c r="K36" s="73" t="s">
        <v>235</v>
      </c>
      <c r="L36" s="70"/>
      <c r="M36" s="70"/>
      <c r="N36" s="183" t="n">
        <v>100</v>
      </c>
      <c r="O36" s="70"/>
      <c r="P36" s="97" t="n">
        <f aca="false">AVERAGE('Book Income Statement'!E50:H50)</f>
        <v>110.9602471075</v>
      </c>
    </row>
    <row r="37" customFormat="false" ht="12" hidden="false" customHeight="false" outlineLevel="0" collapsed="false">
      <c r="A37" s="79" t="s">
        <v>236</v>
      </c>
      <c r="B37" s="107"/>
      <c r="C37" s="178" t="n">
        <v>299.525</v>
      </c>
      <c r="E37" s="106" t="s">
        <v>237</v>
      </c>
      <c r="F37" s="223" t="n">
        <f aca="false">IF($I$34="Normal",'Debt Amortization'!B19,0)</f>
        <v>0</v>
      </c>
      <c r="G37" s="223" t="n">
        <f aca="false">IF($I$34="Normal",'Debt Amortization'!B20,0)</f>
        <v>0</v>
      </c>
      <c r="H37" s="223" t="n">
        <f aca="false">IF($I$34="Normal",'Debt Amortization'!B21,0)</f>
        <v>0</v>
      </c>
      <c r="I37" s="226" t="n">
        <f aca="false">SUM(F37:H37)</f>
        <v>0</v>
      </c>
      <c r="K37" s="73" t="s">
        <v>238</v>
      </c>
      <c r="L37" s="70"/>
      <c r="M37" s="70"/>
      <c r="N37" s="183" t="n">
        <v>30</v>
      </c>
      <c r="O37" s="70"/>
      <c r="P37" s="97" t="n">
        <f aca="false">AVERAGE('Book Income Statement'!E51:H51)</f>
        <v>33.28807413225</v>
      </c>
    </row>
    <row r="38" customFormat="false" ht="14.25" hidden="false" customHeight="false" outlineLevel="0" collapsed="false">
      <c r="A38" s="79" t="s">
        <v>239</v>
      </c>
      <c r="B38" s="107"/>
      <c r="C38" s="178" t="n">
        <v>503.639</v>
      </c>
      <c r="E38" s="106" t="s">
        <v>240</v>
      </c>
      <c r="F38" s="183" t="n">
        <v>29573</v>
      </c>
      <c r="G38" s="183" t="n">
        <v>54410</v>
      </c>
      <c r="H38" s="183" t="n">
        <v>98814</v>
      </c>
      <c r="I38" s="226" t="n">
        <f aca="false">SUM(F38:H38)</f>
        <v>182797</v>
      </c>
      <c r="K38" s="73" t="s">
        <v>241</v>
      </c>
      <c r="L38" s="70"/>
      <c r="M38" s="70"/>
      <c r="N38" s="191" t="n">
        <v>75</v>
      </c>
      <c r="O38" s="70"/>
      <c r="P38" s="113" t="n">
        <f aca="false">AVERAGE('Book Income Statement'!E52:H52)</f>
        <v>83.220185330625</v>
      </c>
    </row>
    <row r="39" customFormat="false" ht="12" hidden="false" customHeight="false" outlineLevel="0" collapsed="false">
      <c r="A39" s="79" t="s">
        <v>242</v>
      </c>
      <c r="B39" s="175"/>
      <c r="C39" s="178" t="n">
        <v>246.752</v>
      </c>
      <c r="E39" s="106" t="s">
        <v>243</v>
      </c>
      <c r="F39" s="227" t="n">
        <f aca="false">IF(I34="Normal",3,4)</f>
        <v>4</v>
      </c>
      <c r="G39" s="228" t="n">
        <f aca="false">IF(I34="Normal",20,10)</f>
        <v>10</v>
      </c>
      <c r="H39" s="228" t="n">
        <f aca="false">IF(I34="Normal",0,20)</f>
        <v>20</v>
      </c>
      <c r="I39" s="71" t="n">
        <f aca="false">MAX(F39,G39,H39)</f>
        <v>20</v>
      </c>
      <c r="K39" s="229" t="s">
        <v>244</v>
      </c>
      <c r="L39" s="70"/>
      <c r="M39" s="70"/>
      <c r="N39" s="230" t="n">
        <f aca="false">SUM(N33:N38)</f>
        <v>846.4</v>
      </c>
      <c r="O39" s="231"/>
      <c r="P39" s="143" t="n">
        <f aca="false">SUM(P34:P38)</f>
        <v>616.273212435055</v>
      </c>
    </row>
    <row r="40" customFormat="false" ht="12" hidden="false" customHeight="false" outlineLevel="0" collapsed="false">
      <c r="A40" s="79" t="s">
        <v>245</v>
      </c>
      <c r="B40" s="175"/>
      <c r="C40" s="178" t="n">
        <v>276.901</v>
      </c>
      <c r="E40" s="232" t="s">
        <v>246</v>
      </c>
      <c r="F40" s="222" t="n">
        <f aca="false">IF(I34="Normal",7.75%,6.73%)</f>
        <v>0.0673</v>
      </c>
      <c r="G40" s="222" t="n">
        <f aca="false">IF(I34="Normal",8%,7.57%)</f>
        <v>0.0757</v>
      </c>
      <c r="H40" s="222" t="n">
        <f aca="false">IF(I34="Normal",0,8.18%)</f>
        <v>0.0818</v>
      </c>
      <c r="I40" s="233" t="n">
        <f aca="false">IF(I34="Normal",F40*($F$37/$I$37)+G40*($G$37/$I$37)+H40*($H$37/$I$37),Int1*(principal1/I38)+Int2*(principal2/I38)+Int3*(principal3/I38))</f>
        <v>0.0776385011789034</v>
      </c>
      <c r="K40" s="73"/>
      <c r="L40" s="70"/>
      <c r="M40" s="70"/>
      <c r="N40" s="70"/>
      <c r="O40" s="70"/>
      <c r="P40" s="181"/>
    </row>
    <row r="41" customFormat="false" ht="12" hidden="false" customHeight="false" outlineLevel="0" collapsed="false">
      <c r="A41" s="73" t="s">
        <v>247</v>
      </c>
      <c r="B41" s="99"/>
      <c r="C41" s="234" t="n">
        <v>0</v>
      </c>
      <c r="E41" s="106" t="s">
        <v>248</v>
      </c>
      <c r="F41" s="235" t="n">
        <v>1.5</v>
      </c>
      <c r="G41" s="235" t="n">
        <v>2.5</v>
      </c>
      <c r="H41" s="236" t="n">
        <v>2.5</v>
      </c>
      <c r="I41" s="237" t="n">
        <f aca="false">IF(I34="Normal",F41*($F$37/$I$37)+G41*($G$37/$I$37)+H41*($H$37/$I$37),F41*(principal1/I38)+G41*(principal2/I38)+H41*principal3/I38)</f>
        <v>2.33821944561453</v>
      </c>
      <c r="K41" s="238" t="s">
        <v>249</v>
      </c>
      <c r="L41" s="98"/>
      <c r="M41" s="98"/>
      <c r="N41" s="239" t="n">
        <v>0.03</v>
      </c>
      <c r="O41" s="70"/>
      <c r="P41" s="181"/>
    </row>
    <row r="42" customFormat="false" ht="12" hidden="false" customHeight="false" outlineLevel="0" collapsed="false">
      <c r="A42" s="73"/>
      <c r="B42" s="70"/>
      <c r="C42" s="216" t="n">
        <f aca="false">SUM(C32:C41)</f>
        <v>3029.203</v>
      </c>
      <c r="E42" s="79" t="s">
        <v>250</v>
      </c>
      <c r="F42" s="70"/>
      <c r="G42" s="240" t="s">
        <v>251</v>
      </c>
      <c r="H42" s="240"/>
      <c r="I42" s="137"/>
      <c r="K42" s="241" t="s">
        <v>252</v>
      </c>
      <c r="L42" s="123"/>
      <c r="M42" s="123"/>
      <c r="N42" s="194" t="n">
        <v>0.03</v>
      </c>
      <c r="O42" s="156"/>
      <c r="P42" s="242"/>
    </row>
    <row r="43" customFormat="false" ht="26.25" hidden="false" customHeight="true" outlineLevel="0" collapsed="false">
      <c r="A43" s="73"/>
      <c r="B43" s="70"/>
      <c r="C43" s="243"/>
      <c r="E43" s="244" t="s">
        <v>253</v>
      </c>
      <c r="F43" s="245" t="str">
        <f aca="false">IF(F37&gt;0,'Debt Amortization'!$E$31,"N/A")</f>
        <v>N/A</v>
      </c>
      <c r="G43" s="246" t="str">
        <f aca="false">IF(G37&gt;0,'Debt Amortization'!$E$39,"N/A")</f>
        <v>N/A</v>
      </c>
      <c r="H43" s="246" t="str">
        <f aca="false">IF(H37&gt;0,'Debt Amortization'!$E$47,"N/A")</f>
        <v>N/A</v>
      </c>
      <c r="I43" s="247" t="n">
        <f aca="false">+'Debt Amortization'!E56</f>
        <v>10.9412871108388</v>
      </c>
      <c r="K43" s="199"/>
      <c r="L43" s="199"/>
      <c r="M43" s="199"/>
      <c r="N43" s="222"/>
      <c r="P43" s="201"/>
    </row>
    <row r="44" customFormat="false" ht="15.75" hidden="false" customHeight="false" outlineLevel="0" collapsed="false">
      <c r="A44" s="138" t="s">
        <v>254</v>
      </c>
      <c r="B44" s="107"/>
      <c r="C44" s="243"/>
      <c r="E44" s="165"/>
      <c r="I44" s="248"/>
      <c r="K44" s="249" t="s">
        <v>255</v>
      </c>
      <c r="L44" s="250"/>
      <c r="M44" s="250"/>
      <c r="N44" s="251"/>
      <c r="O44" s="63"/>
      <c r="P44" s="171"/>
    </row>
    <row r="45" customFormat="false" ht="15.75" hidden="false" customHeight="false" outlineLevel="0" collapsed="false">
      <c r="A45" s="79" t="s">
        <v>256</v>
      </c>
      <c r="B45" s="107"/>
      <c r="C45" s="220" t="n">
        <v>0</v>
      </c>
      <c r="E45" s="62" t="s">
        <v>257</v>
      </c>
      <c r="F45" s="63"/>
      <c r="G45" s="63"/>
      <c r="H45" s="63"/>
      <c r="I45" s="252"/>
      <c r="K45" s="73"/>
      <c r="L45" s="253" t="s">
        <v>258</v>
      </c>
      <c r="M45" s="254"/>
      <c r="N45" s="255"/>
      <c r="O45" s="70"/>
      <c r="P45" s="86" t="s">
        <v>125</v>
      </c>
    </row>
    <row r="46" customFormat="false" ht="12" hidden="false" customHeight="false" outlineLevel="0" collapsed="false">
      <c r="A46" s="79" t="s">
        <v>259</v>
      </c>
      <c r="B46" s="107"/>
      <c r="C46" s="220" t="n">
        <v>0</v>
      </c>
      <c r="E46" s="106" t="s">
        <v>260</v>
      </c>
      <c r="F46" s="70"/>
      <c r="G46" s="70"/>
      <c r="H46" s="70"/>
      <c r="I46" s="256" t="s">
        <v>261</v>
      </c>
      <c r="K46" s="238" t="s">
        <v>262</v>
      </c>
      <c r="L46" s="257" t="n">
        <f aca="false">L11</f>
        <v>629.48</v>
      </c>
      <c r="M46" s="107" t="s">
        <v>263</v>
      </c>
      <c r="N46" s="258" t="n">
        <f aca="false">L46/AnnualHours/NetMW*1000</f>
        <v>0.862774122807018</v>
      </c>
      <c r="O46" s="259" t="s">
        <v>191</v>
      </c>
      <c r="P46" s="260" t="n">
        <f aca="false">AVERAGE('PPA Assumptions &amp;Summary'!D58:G58)</f>
        <v>0.957336298646232</v>
      </c>
    </row>
    <row r="47" customFormat="false" ht="12" hidden="false" customHeight="false" outlineLevel="0" collapsed="false">
      <c r="A47" s="79" t="s">
        <v>264</v>
      </c>
      <c r="B47" s="261"/>
      <c r="C47" s="178" t="n">
        <v>0</v>
      </c>
      <c r="E47" s="106" t="s">
        <v>265</v>
      </c>
      <c r="F47" s="70"/>
      <c r="G47" s="70"/>
      <c r="H47" s="70"/>
      <c r="I47" s="262" t="n">
        <f aca="false">0.5*'Returns Summary'!$D$23</f>
        <v>10543.8846875</v>
      </c>
      <c r="K47" s="238"/>
      <c r="L47" s="96"/>
      <c r="M47" s="70"/>
      <c r="N47" s="263"/>
      <c r="O47" s="259"/>
      <c r="P47" s="181"/>
    </row>
    <row r="48" customFormat="false" ht="14.25" hidden="false" customHeight="false" outlineLevel="0" collapsed="false">
      <c r="A48" s="73" t="s">
        <v>266</v>
      </c>
      <c r="B48" s="99"/>
      <c r="C48" s="264" t="n">
        <f aca="false">+IF(I46="Financing",I47,0)</f>
        <v>0</v>
      </c>
      <c r="E48" s="265" t="s">
        <v>267</v>
      </c>
      <c r="F48" s="156"/>
      <c r="G48" s="266"/>
      <c r="H48" s="156"/>
      <c r="I48" s="267" t="n">
        <v>0</v>
      </c>
      <c r="K48" s="238" t="s">
        <v>160</v>
      </c>
      <c r="L48" s="148" t="n">
        <f aca="false">Main_Start*L15/1000</f>
        <v>1799.04</v>
      </c>
      <c r="M48" s="107" t="s">
        <v>263</v>
      </c>
      <c r="N48" s="148" t="n">
        <f aca="false">L48/L15*1000</f>
        <v>14992</v>
      </c>
      <c r="O48" s="259" t="s">
        <v>268</v>
      </c>
      <c r="P48" s="97" t="n">
        <f aca="false">AVERAGE('Book Income Statement'!E34:H34)/L15*1000</f>
        <v>16635.1602463564</v>
      </c>
    </row>
    <row r="49" customFormat="false" ht="12" hidden="false" customHeight="false" outlineLevel="0" collapsed="false">
      <c r="A49" s="73"/>
      <c r="B49" s="107"/>
      <c r="C49" s="208" t="n">
        <f aca="false">SUM(C45:C48)</f>
        <v>0</v>
      </c>
      <c r="E49" s="54" t="s">
        <v>269</v>
      </c>
      <c r="K49" s="238" t="s">
        <v>165</v>
      </c>
      <c r="L49" s="153" t="n">
        <f aca="false">O16</f>
        <v>0</v>
      </c>
      <c r="M49" s="107" t="s">
        <v>263</v>
      </c>
      <c r="N49" s="153" t="n">
        <f aca="false">L49/L16*1000</f>
        <v>0</v>
      </c>
      <c r="O49" s="259" t="s">
        <v>268</v>
      </c>
      <c r="P49" s="113" t="n">
        <f aca="false">AVERAGE('Book Income Statement'!E35:H35)/L16*1000</f>
        <v>0</v>
      </c>
    </row>
    <row r="50" customFormat="false" ht="15.75" hidden="false" customHeight="false" outlineLevel="0" collapsed="false">
      <c r="A50" s="73"/>
      <c r="B50" s="107"/>
      <c r="C50" s="208"/>
      <c r="E50" s="62" t="s">
        <v>270</v>
      </c>
      <c r="F50" s="63"/>
      <c r="G50" s="63"/>
      <c r="H50" s="63"/>
      <c r="I50" s="64"/>
      <c r="K50" s="238"/>
      <c r="L50" s="268" t="n">
        <f aca="false">SUM(L48:L49)</f>
        <v>1799.04</v>
      </c>
      <c r="M50" s="107"/>
      <c r="N50" s="268" t="n">
        <f aca="false">SUM(N48:N49)</f>
        <v>14992</v>
      </c>
      <c r="O50" s="259"/>
      <c r="P50" s="97" t="n">
        <f aca="false">SUM(P48:P49)</f>
        <v>16635.1602463564</v>
      </c>
    </row>
    <row r="51" customFormat="false" ht="12" hidden="false" customHeight="false" outlineLevel="0" collapsed="false">
      <c r="A51" s="138" t="s">
        <v>271</v>
      </c>
      <c r="B51" s="99"/>
      <c r="C51" s="269"/>
      <c r="E51" s="270" t="s">
        <v>272</v>
      </c>
      <c r="F51" s="70"/>
      <c r="G51" s="70" t="s">
        <v>273</v>
      </c>
      <c r="H51" s="271" t="str">
        <f aca="false">+IF(I51=0,"",IF(OR(I51&gt;I15,I51&lt;MAX('Project Assumptions'!F39:H39)),"Error","-"))</f>
        <v/>
      </c>
      <c r="I51" s="144"/>
      <c r="K51" s="238"/>
      <c r="L51" s="96"/>
      <c r="M51" s="107"/>
      <c r="N51" s="263"/>
      <c r="O51" s="259"/>
      <c r="P51" s="181"/>
    </row>
    <row r="52" customFormat="false" ht="14.25" hidden="false" customHeight="false" outlineLevel="0" collapsed="false">
      <c r="A52" s="73" t="s">
        <v>274</v>
      </c>
      <c r="B52" s="272" t="n">
        <v>0.064</v>
      </c>
      <c r="C52" s="273" t="n">
        <f aca="false">-6.078+12616.942</f>
        <v>12610.864</v>
      </c>
      <c r="E52" s="73"/>
      <c r="F52" s="70"/>
      <c r="G52" s="70" t="s">
        <v>275</v>
      </c>
      <c r="H52" s="70"/>
      <c r="I52" s="274"/>
      <c r="K52" s="238" t="s">
        <v>276</v>
      </c>
      <c r="L52" s="148" t="n">
        <f aca="false">Labor+Fixed+N24+N22</f>
        <v>1457.38062283737</v>
      </c>
      <c r="M52" s="107" t="s">
        <v>263</v>
      </c>
      <c r="N52" s="263" t="n">
        <f aca="false">L52/NetMW/12</f>
        <v>0.199750633612578</v>
      </c>
      <c r="O52" s="259" t="s">
        <v>277</v>
      </c>
      <c r="P52" s="260" t="n">
        <f aca="false">AVERAGE('Book Income Statement'!E44:H44)/NetMW/12</f>
        <v>0.251947357729875</v>
      </c>
    </row>
    <row r="53" customFormat="false" ht="12" hidden="false" customHeight="false" outlineLevel="0" collapsed="false">
      <c r="A53" s="73"/>
      <c r="B53" s="275"/>
      <c r="C53" s="208" t="n">
        <f aca="false">SUM(C52)</f>
        <v>12610.864</v>
      </c>
      <c r="E53" s="155"/>
      <c r="F53" s="156"/>
      <c r="G53" s="156" t="s">
        <v>278</v>
      </c>
      <c r="H53" s="156"/>
      <c r="I53" s="276"/>
      <c r="K53" s="238" t="s">
        <v>279</v>
      </c>
      <c r="L53" s="148" t="n">
        <f aca="false">N39</f>
        <v>846.4</v>
      </c>
      <c r="M53" s="107" t="s">
        <v>263</v>
      </c>
      <c r="N53" s="263" t="n">
        <f aca="false">L53/NetMW/12</f>
        <v>0.116008771929825</v>
      </c>
      <c r="O53" s="259" t="s">
        <v>277</v>
      </c>
      <c r="P53" s="260" t="n">
        <f aca="false">AVERAGE('Book Income Statement'!E53:H53)/NetMW/12-P54</f>
        <v>0.0807700809350712</v>
      </c>
    </row>
    <row r="54" customFormat="false" ht="12" hidden="false" customHeight="false" outlineLevel="0" collapsed="false">
      <c r="A54" s="73"/>
      <c r="B54" s="70"/>
      <c r="C54" s="71"/>
      <c r="E54" s="70"/>
      <c r="F54" s="70"/>
      <c r="G54" s="70"/>
      <c r="H54" s="70"/>
      <c r="I54" s="277"/>
      <c r="K54" s="238" t="s">
        <v>280</v>
      </c>
      <c r="L54" s="148" t="n">
        <f aca="false">'Book Income Statement'!E55/(1.03^2)</f>
        <v>329.785107941936</v>
      </c>
      <c r="M54" s="107" t="s">
        <v>263</v>
      </c>
      <c r="N54" s="263" t="n">
        <f aca="false">L54/NetMW/12</f>
        <v>0.0452008097508136</v>
      </c>
      <c r="O54" s="259" t="s">
        <v>277</v>
      </c>
      <c r="P54" s="260" t="n">
        <f aca="false">AVERAGE('Book Income Statement'!E55:H55)/NetMW/12</f>
        <v>0.0479535390646382</v>
      </c>
    </row>
    <row r="55" customFormat="false" ht="15.75" hidden="false" customHeight="false" outlineLevel="0" collapsed="false">
      <c r="A55" s="79" t="s">
        <v>281</v>
      </c>
      <c r="B55" s="278" t="n">
        <v>0.03</v>
      </c>
      <c r="C55" s="129" t="n">
        <v>0</v>
      </c>
      <c r="E55" s="66" t="s">
        <v>282</v>
      </c>
      <c r="F55" s="63"/>
      <c r="G55" s="63"/>
      <c r="H55" s="63"/>
      <c r="I55" s="64"/>
      <c r="K55" s="238" t="s">
        <v>283</v>
      </c>
      <c r="L55" s="153" t="n">
        <f aca="false">'Book Income Statement'!E58/(1.03^2)</f>
        <v>68.0322019040438</v>
      </c>
      <c r="M55" s="107" t="s">
        <v>263</v>
      </c>
      <c r="N55" s="279" t="n">
        <f aca="false">L55/NetMW/12</f>
        <v>0.00932458907676038</v>
      </c>
      <c r="O55" s="259" t="s">
        <v>277</v>
      </c>
      <c r="P55" s="280" t="n">
        <f aca="false">AVERAGE('Book Income Statement'!E60:H60)/NetMW/12</f>
        <v>0.00989245655153509</v>
      </c>
    </row>
    <row r="56" customFormat="false" ht="12" hidden="false" customHeight="false" outlineLevel="0" collapsed="false">
      <c r="A56" s="79" t="s">
        <v>284</v>
      </c>
      <c r="B56" s="278" t="n">
        <v>0.05</v>
      </c>
      <c r="C56" s="281" t="n">
        <v>0</v>
      </c>
      <c r="E56" s="73"/>
      <c r="F56" s="70"/>
      <c r="G56" s="70" t="s">
        <v>285</v>
      </c>
      <c r="H56" s="70"/>
      <c r="I56" s="282" t="n">
        <v>0.12</v>
      </c>
      <c r="K56" s="238"/>
      <c r="L56" s="268" t="n">
        <f aca="false">SUM(L52:L55)</f>
        <v>2701.59793268335</v>
      </c>
      <c r="M56" s="107"/>
      <c r="N56" s="258" t="n">
        <f aca="false">SUM(N52:N55)</f>
        <v>0.370284804369977</v>
      </c>
      <c r="O56" s="259"/>
      <c r="P56" s="260" t="n">
        <f aca="false">SUM(P52:P55)</f>
        <v>0.39056343428112</v>
      </c>
    </row>
    <row r="57" customFormat="false" ht="12" hidden="false" customHeight="false" outlineLevel="0" collapsed="false">
      <c r="A57" s="79" t="s">
        <v>286</v>
      </c>
      <c r="B57" s="278"/>
      <c r="C57" s="208" t="n">
        <f aca="false">SUM(C55:C56)</f>
        <v>0</v>
      </c>
      <c r="E57" s="73"/>
      <c r="F57" s="70"/>
      <c r="G57" s="283" t="s">
        <v>287</v>
      </c>
      <c r="H57" s="70"/>
      <c r="I57" s="284" t="s">
        <v>288</v>
      </c>
      <c r="K57" s="74" t="s">
        <v>289</v>
      </c>
      <c r="L57" s="285" t="n">
        <f aca="false">L46+L50+L56</f>
        <v>5130.11793268335</v>
      </c>
      <c r="M57" s="286" t="s">
        <v>263</v>
      </c>
      <c r="N57" s="287"/>
      <c r="O57" s="288"/>
      <c r="P57" s="289"/>
    </row>
    <row r="58" customFormat="false" ht="12" hidden="false" customHeight="false" outlineLevel="0" collapsed="false">
      <c r="A58" s="73"/>
      <c r="B58" s="99"/>
      <c r="C58" s="269"/>
      <c r="E58" s="290" t="s">
        <v>290</v>
      </c>
      <c r="F58" s="85"/>
      <c r="G58" s="224" t="s">
        <v>291</v>
      </c>
      <c r="H58" s="85"/>
      <c r="I58" s="225" t="s">
        <v>291</v>
      </c>
      <c r="K58" s="199"/>
      <c r="L58" s="199"/>
      <c r="M58" s="199"/>
      <c r="N58" s="222"/>
      <c r="P58" s="201"/>
    </row>
    <row r="59" customFormat="false" ht="15.75" hidden="false" customHeight="false" outlineLevel="0" collapsed="false">
      <c r="A59" s="265" t="s">
        <v>292</v>
      </c>
      <c r="B59" s="291"/>
      <c r="C59" s="292" t="n">
        <f aca="false">C30+C42+C49+C53+C57</f>
        <v>255548.789</v>
      </c>
      <c r="E59" s="293" t="n">
        <v>10</v>
      </c>
      <c r="F59" s="107"/>
      <c r="G59" s="294" t="n">
        <f aca="false">'Returns Summary'!$L$8</f>
        <v>0.133879037983576</v>
      </c>
      <c r="H59" s="88"/>
      <c r="I59" s="295" t="n">
        <f aca="false">'Returns Summary'!$L$12</f>
        <v>0.094704463958755</v>
      </c>
      <c r="K59" s="62" t="s">
        <v>293</v>
      </c>
      <c r="L59" s="67"/>
      <c r="M59" s="67"/>
      <c r="N59" s="63"/>
      <c r="O59" s="63"/>
      <c r="P59" s="171"/>
    </row>
    <row r="60" customFormat="false" ht="12" hidden="false" customHeight="false" outlineLevel="0" collapsed="false">
      <c r="A60" s="199"/>
      <c r="B60" s="199"/>
      <c r="C60" s="199"/>
      <c r="E60" s="293" t="n">
        <v>15</v>
      </c>
      <c r="F60" s="107"/>
      <c r="G60" s="294" t="n">
        <f aca="false">'Returns Summary'!$Q$8</f>
        <v>0.19503801615461</v>
      </c>
      <c r="H60" s="88"/>
      <c r="I60" s="295" t="n">
        <f aca="false">'Returns Summary'!$Q$12</f>
        <v>0.1589809147523</v>
      </c>
      <c r="K60" s="155" t="s">
        <v>294</v>
      </c>
      <c r="L60" s="156"/>
      <c r="M60" s="156"/>
      <c r="N60" s="296" t="n">
        <f aca="false">1173.34/8*0</f>
        <v>0</v>
      </c>
      <c r="O60" s="156" t="s">
        <v>295</v>
      </c>
      <c r="P60" s="203"/>
    </row>
    <row r="61" customFormat="false" ht="12" hidden="false" customHeight="false" outlineLevel="0" collapsed="false">
      <c r="A61" s="165"/>
      <c r="C61" s="297"/>
      <c r="E61" s="293" t="n">
        <v>20</v>
      </c>
      <c r="F61" s="107"/>
      <c r="G61" s="294" t="n">
        <f aca="false">'Returns Summary'!$W$8</f>
        <v>0.210217660478341</v>
      </c>
      <c r="H61" s="88"/>
      <c r="I61" s="295" t="n">
        <f aca="false">'Returns Summary'!$W$12</f>
        <v>0.172215175234025</v>
      </c>
      <c r="K61" s="198"/>
      <c r="L61" s="199"/>
      <c r="M61" s="199"/>
      <c r="N61" s="298"/>
    </row>
    <row r="62" customFormat="false" ht="15.75" hidden="false" customHeight="false" outlineLevel="0" collapsed="false">
      <c r="A62" s="62" t="s">
        <v>296</v>
      </c>
      <c r="B62" s="63"/>
      <c r="C62" s="64"/>
      <c r="E62" s="293"/>
      <c r="F62" s="107"/>
      <c r="G62" s="294"/>
      <c r="H62" s="88"/>
      <c r="I62" s="295"/>
      <c r="K62" s="62" t="s">
        <v>297</v>
      </c>
      <c r="L62" s="63"/>
      <c r="M62" s="63"/>
      <c r="N62" s="63"/>
      <c r="O62" s="63"/>
      <c r="P62" s="64"/>
    </row>
    <row r="63" customFormat="false" ht="12" hidden="false" customHeight="false" outlineLevel="0" collapsed="false">
      <c r="A63" s="79" t="s">
        <v>298</v>
      </c>
      <c r="B63" s="70"/>
      <c r="C63" s="105" t="s">
        <v>299</v>
      </c>
      <c r="E63" s="293"/>
      <c r="F63" s="70"/>
      <c r="G63" s="299"/>
      <c r="H63" s="70"/>
      <c r="I63" s="300"/>
      <c r="K63" s="79" t="s">
        <v>300</v>
      </c>
      <c r="L63" s="70"/>
      <c r="M63" s="70"/>
      <c r="N63" s="301" t="n">
        <v>0.35</v>
      </c>
      <c r="O63" s="70"/>
      <c r="P63" s="71"/>
    </row>
    <row r="64" customFormat="false" ht="12" hidden="false" customHeight="false" outlineLevel="0" collapsed="false">
      <c r="A64" s="79" t="s">
        <v>301</v>
      </c>
      <c r="B64" s="70"/>
      <c r="C64" s="302" t="n">
        <v>2.5</v>
      </c>
      <c r="E64" s="73"/>
      <c r="F64" s="70"/>
      <c r="G64" s="283" t="s">
        <v>287</v>
      </c>
      <c r="H64" s="70"/>
      <c r="I64" s="284" t="s">
        <v>288</v>
      </c>
      <c r="K64" s="79" t="s">
        <v>302</v>
      </c>
      <c r="L64" s="70"/>
      <c r="M64" s="70"/>
      <c r="N64" s="303" t="n">
        <v>0.0718</v>
      </c>
      <c r="O64" s="70"/>
      <c r="P64" s="71"/>
    </row>
    <row r="65" customFormat="false" ht="12" hidden="false" customHeight="false" outlineLevel="0" collapsed="false">
      <c r="A65" s="79" t="s">
        <v>303</v>
      </c>
      <c r="B65" s="70"/>
      <c r="C65" s="105" t="s">
        <v>304</v>
      </c>
      <c r="E65" s="290" t="s">
        <v>290</v>
      </c>
      <c r="F65" s="85"/>
      <c r="G65" s="224" t="s">
        <v>305</v>
      </c>
      <c r="H65" s="85"/>
      <c r="I65" s="225" t="s">
        <v>305</v>
      </c>
      <c r="K65" s="73" t="s">
        <v>306</v>
      </c>
      <c r="L65" s="70"/>
      <c r="M65" s="70"/>
      <c r="N65" s="304" t="n">
        <f aca="false">(1-N64)*N63+N64</f>
        <v>0.39667</v>
      </c>
      <c r="O65" s="70"/>
      <c r="P65" s="71"/>
    </row>
    <row r="66" customFormat="false" ht="12" hidden="false" customHeight="false" outlineLevel="0" collapsed="false">
      <c r="A66" s="79" t="s">
        <v>307</v>
      </c>
      <c r="B66" s="70"/>
      <c r="C66" s="105" t="s">
        <v>304</v>
      </c>
      <c r="E66" s="293" t="n">
        <v>10</v>
      </c>
      <c r="F66" s="107"/>
      <c r="G66" s="305" t="n">
        <f aca="false">'Returns Summary'!$L$9</f>
        <v>5978.86962330136</v>
      </c>
      <c r="H66" s="305"/>
      <c r="I66" s="306" t="n">
        <f aca="false">'Returns Summary'!$L$13</f>
        <v>-9488.34374385719</v>
      </c>
      <c r="K66" s="79"/>
      <c r="L66" s="70"/>
      <c r="M66" s="70"/>
      <c r="N66" s="70"/>
      <c r="O66" s="70"/>
      <c r="P66" s="71"/>
    </row>
    <row r="67" customFormat="false" ht="12" hidden="false" customHeight="false" outlineLevel="0" collapsed="false">
      <c r="A67" s="79" t="s">
        <v>308</v>
      </c>
      <c r="B67" s="70"/>
      <c r="C67" s="105" t="n">
        <v>15</v>
      </c>
      <c r="E67" s="293" t="n">
        <v>15</v>
      </c>
      <c r="F67" s="107"/>
      <c r="G67" s="305" t="n">
        <f aca="false">'Returns Summary'!$Q$9</f>
        <v>51846.5243699518</v>
      </c>
      <c r="H67" s="305"/>
      <c r="I67" s="306" t="n">
        <f aca="false">'Returns Summary'!$Q$13</f>
        <v>23066.8717400531</v>
      </c>
      <c r="K67" s="79" t="s">
        <v>309</v>
      </c>
      <c r="L67" s="70"/>
      <c r="M67" s="70"/>
      <c r="N67" s="307" t="n">
        <v>0</v>
      </c>
      <c r="O67" s="70"/>
      <c r="P67" s="71"/>
    </row>
    <row r="68" customFormat="false" ht="12" hidden="false" customHeight="false" outlineLevel="0" collapsed="false">
      <c r="A68" s="79" t="s">
        <v>310</v>
      </c>
      <c r="B68" s="70"/>
      <c r="C68" s="105" t="s">
        <v>311</v>
      </c>
      <c r="E68" s="308" t="n">
        <v>20</v>
      </c>
      <c r="F68" s="309"/>
      <c r="G68" s="310" t="n">
        <f aca="false">'Returns Summary'!$W$9</f>
        <v>78518.858230404</v>
      </c>
      <c r="H68" s="310"/>
      <c r="I68" s="311" t="n">
        <f aca="false">'Returns Summary'!$W$13</f>
        <v>36647.8955151645</v>
      </c>
      <c r="K68" s="79" t="s">
        <v>312</v>
      </c>
      <c r="L68" s="70"/>
      <c r="M68" s="70"/>
      <c r="N68" s="307" t="n">
        <v>0.0015</v>
      </c>
      <c r="O68" s="70"/>
      <c r="P68" s="71"/>
    </row>
    <row r="69" customFormat="false" ht="12" hidden="false" customHeight="false" outlineLevel="0" collapsed="false">
      <c r="A69" s="73" t="s">
        <v>313</v>
      </c>
      <c r="B69" s="70"/>
      <c r="C69" s="105" t="s">
        <v>314</v>
      </c>
      <c r="E69" s="312"/>
      <c r="F69" s="313"/>
      <c r="G69" s="305"/>
      <c r="H69" s="305"/>
      <c r="I69" s="305"/>
      <c r="K69" s="79" t="s">
        <v>315</v>
      </c>
      <c r="L69" s="70"/>
      <c r="M69" s="70"/>
      <c r="N69" s="307" t="n">
        <v>0.001</v>
      </c>
      <c r="O69" s="314" t="n">
        <f aca="false">AVERAGE('Book Income Statement'!D58:X58)</f>
        <v>73.8938240238095</v>
      </c>
      <c r="P69" s="87"/>
    </row>
    <row r="70" customFormat="false" ht="12" hidden="false" customHeight="false" outlineLevel="0" collapsed="false">
      <c r="A70" s="79" t="s">
        <v>316</v>
      </c>
      <c r="B70" s="70"/>
      <c r="C70" s="105" t="s">
        <v>314</v>
      </c>
      <c r="K70" s="79" t="s">
        <v>317</v>
      </c>
      <c r="L70" s="70"/>
      <c r="M70" s="70"/>
      <c r="N70" s="307" t="n">
        <v>0</v>
      </c>
      <c r="O70" s="70"/>
      <c r="P70" s="100"/>
    </row>
    <row r="71" customFormat="false" ht="12" hidden="false" customHeight="false" outlineLevel="0" collapsed="false">
      <c r="A71" s="73" t="s">
        <v>318</v>
      </c>
      <c r="B71" s="70"/>
      <c r="C71" s="315" t="n">
        <v>0</v>
      </c>
      <c r="K71" s="265" t="s">
        <v>319</v>
      </c>
      <c r="L71" s="156"/>
      <c r="M71" s="156"/>
      <c r="N71" s="316" t="n">
        <v>0</v>
      </c>
      <c r="O71" s="156"/>
      <c r="P71" s="317"/>
    </row>
    <row r="72" customFormat="false" ht="12" hidden="false" customHeight="false" outlineLevel="0" collapsed="false">
      <c r="A72" s="270" t="s">
        <v>320</v>
      </c>
      <c r="B72" s="70"/>
      <c r="C72" s="71"/>
      <c r="P72" s="318"/>
    </row>
    <row r="73" customFormat="false" ht="12" hidden="false" customHeight="false" outlineLevel="0" collapsed="false">
      <c r="A73" s="73" t="s">
        <v>321</v>
      </c>
      <c r="B73" s="70"/>
      <c r="C73" s="319" t="n">
        <v>1</v>
      </c>
    </row>
    <row r="74" customFormat="false" ht="12" hidden="false" customHeight="false" outlineLevel="0" collapsed="false">
      <c r="A74" s="73" t="s">
        <v>322</v>
      </c>
      <c r="B74" s="70"/>
      <c r="C74" s="150" t="n">
        <v>0.5</v>
      </c>
    </row>
    <row r="75" customFormat="false" ht="12" hidden="false" customHeight="false" outlineLevel="0" collapsed="false">
      <c r="A75" s="270" t="s">
        <v>323</v>
      </c>
      <c r="B75" s="70"/>
      <c r="C75" s="320" t="s">
        <v>324</v>
      </c>
    </row>
    <row r="76" customFormat="false" ht="12" hidden="false" customHeight="false" outlineLevel="0" collapsed="false">
      <c r="A76" s="155" t="s">
        <v>325</v>
      </c>
      <c r="B76" s="156"/>
      <c r="C76" s="317" t="s">
        <v>314</v>
      </c>
    </row>
    <row r="77" customFormat="false" ht="12" hidden="false" customHeight="false" outlineLevel="0" collapsed="false">
      <c r="A77" s="321"/>
    </row>
    <row r="78" customFormat="false" ht="12" hidden="false" customHeight="false" outlineLevel="0" collapsed="false">
      <c r="A78" s="321"/>
    </row>
    <row r="79" customFormat="false" ht="12" hidden="false" customHeight="false" outlineLevel="0" collapsed="false">
      <c r="A79" s="321"/>
      <c r="J79" s="322"/>
    </row>
    <row r="80" customFormat="false" ht="12" hidden="false" customHeight="false" outlineLevel="0" collapsed="false">
      <c r="A80" s="321"/>
      <c r="J80" s="323"/>
      <c r="O80" s="63"/>
      <c r="P80" s="64"/>
    </row>
    <row r="81" customFormat="false" ht="12" hidden="false" customHeight="false" outlineLevel="0" collapsed="false">
      <c r="J81" s="324"/>
      <c r="O81" s="325"/>
      <c r="P81" s="71"/>
    </row>
    <row r="82" customFormat="false" ht="12" hidden="false" customHeight="false" outlineLevel="0" collapsed="false">
      <c r="J82" s="326"/>
      <c r="O82" s="327"/>
      <c r="P82" s="71"/>
    </row>
    <row r="83" customFormat="false" ht="12" hidden="false" customHeight="false" outlineLevel="0" collapsed="false">
      <c r="J83" s="328"/>
      <c r="O83" s="329"/>
      <c r="P83" s="71"/>
    </row>
    <row r="84" customFormat="false" ht="12.75" hidden="false" customHeight="false" outlineLevel="0" collapsed="false">
      <c r="O84" s="156"/>
      <c r="P84" s="203"/>
    </row>
    <row r="85" customFormat="false" ht="16.5" hidden="false" customHeight="false" outlineLevel="0" collapsed="false">
      <c r="D85" s="54" t="s">
        <v>326</v>
      </c>
      <c r="E85" s="330" t="s">
        <v>327</v>
      </c>
      <c r="F85" s="331"/>
      <c r="G85" s="331"/>
      <c r="H85" s="332"/>
      <c r="I85" s="333"/>
    </row>
    <row r="86" customFormat="false" ht="12" hidden="false" customHeight="false" outlineLevel="0" collapsed="false">
      <c r="A86" s="1"/>
      <c r="B86" s="334" t="s">
        <v>328</v>
      </c>
      <c r="C86" s="1"/>
      <c r="D86" s="54" t="s">
        <v>329</v>
      </c>
      <c r="E86" s="335"/>
      <c r="F86" s="70"/>
      <c r="G86" s="70"/>
      <c r="H86" s="336"/>
      <c r="I86" s="337"/>
    </row>
    <row r="87" customFormat="false" ht="22.5" hidden="false" customHeight="false" outlineLevel="0" collapsed="false">
      <c r="A87" s="1"/>
      <c r="B87" s="2" t="s">
        <v>330</v>
      </c>
      <c r="C87" s="1"/>
      <c r="E87" s="335" t="s">
        <v>331</v>
      </c>
      <c r="F87" s="338" t="n">
        <f aca="false">C59</f>
        <v>255548.789</v>
      </c>
      <c r="G87" s="70"/>
      <c r="H87" s="336"/>
    </row>
    <row r="88" customFormat="false" ht="12.75" hidden="false" customHeight="false" outlineLevel="0" collapsed="false">
      <c r="A88" s="1"/>
      <c r="B88" s="2" t="s">
        <v>332</v>
      </c>
      <c r="C88" s="1"/>
      <c r="D88" s="339" t="s">
        <v>333</v>
      </c>
      <c r="E88" s="335" t="s">
        <v>334</v>
      </c>
      <c r="F88" s="340" t="n">
        <f aca="false">F87-C41</f>
        <v>255548.789</v>
      </c>
      <c r="G88" s="70"/>
      <c r="H88" s="336"/>
    </row>
    <row r="89" customFormat="false" ht="12.75" hidden="false" customHeight="false" outlineLevel="0" collapsed="false">
      <c r="D89" s="339" t="s">
        <v>335</v>
      </c>
      <c r="E89" s="341" t="s">
        <v>336</v>
      </c>
      <c r="F89" s="342" t="n">
        <f aca="false">C41</f>
        <v>0</v>
      </c>
      <c r="G89" s="343"/>
      <c r="H89" s="344"/>
    </row>
    <row r="90" customFormat="false" ht="12.75" hidden="false" customHeight="false" outlineLevel="0" collapsed="false">
      <c r="E90" s="165"/>
      <c r="F90" s="345"/>
      <c r="G90" s="345"/>
    </row>
    <row r="91" customFormat="false" ht="16.5" hidden="false" customHeight="false" outlineLevel="0" collapsed="false">
      <c r="E91" s="346" t="s">
        <v>337</v>
      </c>
      <c r="F91" s="347"/>
      <c r="G91" s="348" t="s">
        <v>338</v>
      </c>
      <c r="H91" s="349"/>
    </row>
    <row r="92" customFormat="false" ht="16.5" hidden="false" customHeight="false" outlineLevel="0" collapsed="false">
      <c r="E92" s="346" t="n">
        <v>12</v>
      </c>
      <c r="F92" s="347" t="n">
        <v>16</v>
      </c>
      <c r="G92" s="350" t="n">
        <v>8</v>
      </c>
      <c r="H92" s="351" t="n">
        <v>10</v>
      </c>
    </row>
    <row r="93" customFormat="false" ht="13.5" hidden="false" customHeight="false" outlineLevel="0" collapsed="false">
      <c r="E93" s="352" t="n">
        <f aca="false">E92*'Book Income Statement'!$C$80-$C$8-'PPA Assumptions &amp;Summary'!$B$14</f>
        <v>-44241.4717919545</v>
      </c>
      <c r="F93" s="352" t="n">
        <f aca="false">F92*'Book Income Statement'!$C$80-$C$8-'PPA Assumptions &amp;Summary'!$B$14</f>
        <v>-34736.8311305385</v>
      </c>
      <c r="G93" s="353" t="n">
        <f aca="false">G92*'Book Income Statement'!$C$79-C8-'PPA Assumptions &amp;Summary'!$B$14</f>
        <v>3408.82577910489</v>
      </c>
      <c r="H93" s="353" t="n">
        <f aca="false">H92*'Book Income Statement'!$C$79-C8-'PPA Assumptions &amp;Summary'!$B$14</f>
        <v>22449.8806679317</v>
      </c>
      <c r="I93" s="312"/>
    </row>
    <row r="94" customFormat="false" ht="12" hidden="false" customHeight="false" outlineLevel="0" collapsed="false">
      <c r="I94" s="166"/>
    </row>
    <row r="95" customFormat="false" ht="12" hidden="false" customHeight="false" outlineLevel="0" collapsed="false">
      <c r="E95" s="54" t="s">
        <v>339</v>
      </c>
      <c r="G95" s="312"/>
    </row>
    <row r="96" customFormat="false" ht="12" hidden="false" customHeight="false" outlineLevel="0" collapsed="false">
      <c r="E96" s="354" t="s">
        <v>340</v>
      </c>
      <c r="F96" s="355"/>
      <c r="G96" s="166"/>
      <c r="H96" s="355"/>
    </row>
    <row r="106" customFormat="false" ht="12" hidden="false" customHeight="false" outlineLevel="0" collapsed="false">
      <c r="K106" s="54" t="s">
        <v>341</v>
      </c>
    </row>
    <row r="107" customFormat="false" ht="12" hidden="false" customHeight="false" outlineLevel="0" collapsed="false">
      <c r="K107" s="54" t="s">
        <v>342</v>
      </c>
    </row>
    <row r="108" customFormat="false" ht="12" hidden="false" customHeight="false" outlineLevel="0" collapsed="false">
      <c r="K108" s="54" t="s">
        <v>343</v>
      </c>
    </row>
    <row r="109" customFormat="false" ht="12" hidden="false" customHeight="false" outlineLevel="0" collapsed="false">
      <c r="K109" s="54" t="s">
        <v>344</v>
      </c>
      <c r="N109" s="356"/>
    </row>
    <row r="110" customFormat="false" ht="12" hidden="false" customHeight="false" outlineLevel="0" collapsed="false">
      <c r="K110" s="54" t="s">
        <v>345</v>
      </c>
      <c r="N110" s="356"/>
    </row>
    <row r="111" customFormat="false" ht="12" hidden="false" customHeight="false" outlineLevel="0" collapsed="false">
      <c r="L111" s="356"/>
      <c r="M111" s="356"/>
      <c r="N111" s="356"/>
    </row>
    <row r="65533" customFormat="false" ht="12" hidden="false" customHeight="false" outlineLevel="0" collapsed="false">
      <c r="D65533" s="339" t="s">
        <v>333</v>
      </c>
    </row>
  </sheetData>
  <mergeCells count="3">
    <mergeCell ref="A2:N2"/>
    <mergeCell ref="A3:N3"/>
    <mergeCell ref="A4:N4"/>
  </mergeCells>
  <dataValidations count="9">
    <dataValidation allowBlank="true" errorStyle="stop" operator="between" showDropDown="false" showErrorMessage="true" showInputMessage="false" sqref="I46" type="list">
      <formula1>"Financing,Operations"</formula1>
      <formula2>0</formula2>
    </dataValidation>
    <dataValidation allowBlank="true" errorStyle="stop" operator="between" showDropDown="false" showErrorMessage="true" showInputMessage="false" sqref="C65:C66 C69:C70 C76" type="list">
      <formula1>"Yes,No"</formula1>
      <formula2>0</formula2>
    </dataValidation>
    <dataValidation allowBlank="true" errorStyle="stop" operator="between" showDropDown="false" showErrorMessage="true" showInputMessage="false" sqref="C63" type="list">
      <formula1>"Fixed,Index"</formula1>
      <formula2>0</formula2>
    </dataValidation>
    <dataValidation allowBlank="true" errorStyle="stop" operator="between" showDropDown="false" showErrorMessage="true" showInputMessage="false" sqref="C68" type="list">
      <formula1>"Assumed,Dispatched"</formula1>
      <formula2>0</formula2>
    </dataValidation>
    <dataValidation allowBlank="true" errorStyle="stop" operator="between" showDropDown="false" showErrorMessage="true" showInputMessage="false" sqref="G42:H42" type="list">
      <formula1>"Interest Only,No P&amp;I"</formula1>
      <formula2>0</formula2>
    </dataValidation>
    <dataValidation allowBlank="true" errorStyle="stop" operator="between" showDropDown="false" showErrorMessage="true" showInputMessage="false" sqref="B28" type="list">
      <formula1>"0,.0075,.015,.035,.06"</formula1>
      <formula2>0</formula2>
    </dataValidation>
    <dataValidation allowBlank="true" errorStyle="stop" operator="between" showDropDown="false" showErrorMessage="true" showInputMessage="false" sqref="C64" type="list">
      <formula1>"0,2.5,N/A"</formula1>
      <formula2>0</formula2>
    </dataValidation>
    <dataValidation allowBlank="true" errorStyle="stop" operator="between" showDropDown="false" showErrorMessage="true" showInputMessage="false" sqref="I34" type="list">
      <formula1>"Normal,Alternate"</formula1>
      <formula2>0</formula2>
    </dataValidation>
    <dataValidation allowBlank="true" errorStyle="stop" operator="between" showDropDown="false" showErrorMessage="true" showInputMessage="false" sqref="C75" type="list">
      <formula1>"Kaiser Peak,ECT Peak Curve,Marginal Cost Curve"</formula1>
      <formula2>0</formula2>
    </dataValidation>
  </dataValidations>
  <printOptions headings="false" gridLines="false" gridLinesSet="true" horizontalCentered="true" verticalCentered="false"/>
  <pageMargins left="0.25" right="0.25" top="0.25" bottom="0.5" header="0.511811023622047" footer="0"/>
  <pageSetup paperSize="1" scale="100" fitToWidth="1" fitToHeight="1" pageOrder="overThenDown" orientation="landscape" blackAndWhite="false" draft="false" cellComments="none" horizontalDpi="300" verticalDpi="300" copies="1"/>
  <headerFooter differentFirst="false" differentOddEven="false">
    <oddHeader/>
    <oddFooter>&amp;L&amp;D   &amp;T&amp;R&amp;F
&amp;A &amp;P</oddFooter>
  </headerFooter>
  <colBreaks count="1" manualBreakCount="1">
    <brk id="14"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502">
              <controlPr defaultSize="0" print="false" autoFill="0" autoPict="0" macro="Module5.Print1">
                <anchor moveWithCells="true" sizeWithCells="false">
                  <from>
                    <xdr:col>0</xdr:col>
                    <xdr:colOff>353160</xdr:colOff>
                    <xdr:row>1</xdr:row>
                    <xdr:rowOff>9000</xdr:rowOff>
                  </from>
                  <to>
                    <xdr:col>1</xdr:col>
                    <xdr:colOff>-551520</xdr:colOff>
                    <xdr:row>3</xdr:row>
                    <xdr:rowOff>86400</xdr:rowOff>
                  </to>
                </anchor>
              </controlPr>
            </control>
          </mc:Choice>
        </mc:AlternateContent>
        <mc:AlternateContent xmlns:mc="http://schemas.openxmlformats.org/markup-compatibility/2006">
          <mc:Choice Requires="x14">
            <control shapeId="1002" r:id="rId5" name="Button 521">
              <controlPr defaultSize="0" print="false" autoFill="0" autoPict="0" macro="Module6.Tax">
                <anchor moveWithCells="true" sizeWithCells="false">
                  <from>
                    <xdr:col>0</xdr:col>
                    <xdr:colOff>2094480</xdr:colOff>
                    <xdr:row>2</xdr:row>
                    <xdr:rowOff>9720</xdr:rowOff>
                  </from>
                  <to>
                    <xdr:col>1</xdr:col>
                    <xdr:colOff>272520</xdr:colOff>
                    <xdr:row>3</xdr:row>
                    <xdr:rowOff>86400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5"/>
  <sheetViews>
    <sheetView showFormulas="false" showGridLines="true" showRowColHeaders="true" showZeros="true" rightToLeft="false" tabSelected="false" showOutlineSymbols="true" defaultGridColor="true" view="normal" topLeftCell="A46" colorId="64" zoomScale="75" zoomScaleNormal="75" zoomScalePageLayoutView="85" workbookViewId="0">
      <selection pane="topLeft" activeCell="H59" activeCellId="0" sqref="H59"/>
    </sheetView>
  </sheetViews>
  <sheetFormatPr defaultColWidth="9.13671875" defaultRowHeight="12.75" customHeight="true" zeroHeight="false" outlineLevelRow="1" outlineLevelCol="0"/>
  <cols>
    <col collapsed="false" customWidth="true" hidden="false" outlineLevel="0" max="1" min="1" style="357" width="37.28"/>
    <col collapsed="false" customWidth="true" hidden="false" outlineLevel="0" max="2" min="2" style="357" width="8.85"/>
    <col collapsed="false" customWidth="false" hidden="false" outlineLevel="0" max="23" min="3" style="357" width="9.14"/>
    <col collapsed="false" customWidth="true" hidden="true" outlineLevel="0" max="26" min="24" style="357" width="9.06"/>
    <col collapsed="false" customWidth="false" hidden="false" outlineLevel="0" max="257" min="27" style="357" width="9.14"/>
  </cols>
  <sheetData>
    <row r="1" customFormat="false" ht="20.25" hidden="false" customHeight="false" outlineLevel="0" collapsed="false">
      <c r="A1" s="358" t="str">
        <f aca="false">'Project Assumptions'!$A$2</f>
        <v>WILTON CENTER, Will County, IL</v>
      </c>
      <c r="B1" s="359"/>
      <c r="C1" s="360"/>
      <c r="E1" s="361"/>
    </row>
    <row r="2" customFormat="false" ht="12.75" hidden="false" customHeight="false" outlineLevel="0" collapsed="false">
      <c r="A2" s="362" t="s">
        <v>346</v>
      </c>
      <c r="B2" s="363"/>
      <c r="C2" s="364"/>
      <c r="E2" s="361"/>
    </row>
    <row r="3" customFormat="false" ht="12.75" hidden="false" customHeight="false" outlineLevel="0" collapsed="false">
      <c r="B3" s="1"/>
      <c r="C3" s="365" t="n">
        <v>1</v>
      </c>
      <c r="D3" s="365" t="n">
        <f aca="false">C3+1</f>
        <v>2</v>
      </c>
      <c r="E3" s="365" t="n">
        <f aca="false">D3+1</f>
        <v>3</v>
      </c>
      <c r="F3" s="365" t="n">
        <f aca="false">E3+1</f>
        <v>4</v>
      </c>
      <c r="G3" s="365" t="n">
        <f aca="false">F3+1</f>
        <v>5</v>
      </c>
      <c r="H3" s="365" t="n">
        <f aca="false">G3+1</f>
        <v>6</v>
      </c>
      <c r="I3" s="365" t="n">
        <f aca="false">H3+1</f>
        <v>7</v>
      </c>
      <c r="J3" s="365" t="n">
        <f aca="false">I3+1</f>
        <v>8</v>
      </c>
      <c r="K3" s="365" t="n">
        <f aca="false">J3+1</f>
        <v>9</v>
      </c>
      <c r="L3" s="365" t="n">
        <f aca="false">K3+1</f>
        <v>10</v>
      </c>
      <c r="M3" s="365" t="n">
        <f aca="false">L3+1</f>
        <v>11</v>
      </c>
      <c r="N3" s="365" t="n">
        <f aca="false">M3+1</f>
        <v>12</v>
      </c>
      <c r="O3" s="365" t="n">
        <f aca="false">N3+1</f>
        <v>13</v>
      </c>
      <c r="P3" s="365" t="n">
        <f aca="false">O3+1</f>
        <v>14</v>
      </c>
      <c r="Q3" s="365" t="n">
        <f aca="false">P3+1</f>
        <v>15</v>
      </c>
      <c r="R3" s="365" t="n">
        <f aca="false">Q3+1</f>
        <v>16</v>
      </c>
      <c r="S3" s="365" t="n">
        <f aca="false">R3+1</f>
        <v>17</v>
      </c>
      <c r="T3" s="365" t="n">
        <f aca="false">S3+1</f>
        <v>18</v>
      </c>
      <c r="U3" s="365" t="n">
        <f aca="false">T3+1</f>
        <v>19</v>
      </c>
      <c r="V3" s="365" t="n">
        <f aca="false">U3+1</f>
        <v>20</v>
      </c>
      <c r="W3" s="365" t="n">
        <f aca="false">V3+1</f>
        <v>21</v>
      </c>
      <c r="X3" s="365" t="n">
        <f aca="false">W3+1</f>
        <v>22</v>
      </c>
      <c r="Y3" s="365" t="n">
        <f aca="false">X3+1</f>
        <v>23</v>
      </c>
      <c r="Z3" s="365" t="n">
        <f aca="false">Y3+1</f>
        <v>24</v>
      </c>
      <c r="AA3" s="365" t="n">
        <f aca="false">Z3+1</f>
        <v>25</v>
      </c>
    </row>
    <row r="4" customFormat="false" ht="12.75" hidden="false" customHeight="false" outlineLevel="0" collapsed="false">
      <c r="A4" s="366"/>
      <c r="B4" s="367"/>
      <c r="C4" s="368" t="n">
        <f aca="false">YEAR(StartDate)</f>
        <v>2000</v>
      </c>
      <c r="D4" s="368" t="n">
        <f aca="false">C4+1</f>
        <v>2001</v>
      </c>
      <c r="E4" s="368" t="n">
        <f aca="false">D4+1</f>
        <v>2002</v>
      </c>
      <c r="F4" s="368" t="n">
        <f aca="false">E4+1</f>
        <v>2003</v>
      </c>
      <c r="G4" s="368" t="n">
        <f aca="false">F4+1</f>
        <v>2004</v>
      </c>
      <c r="H4" s="368" t="n">
        <f aca="false">G4+1</f>
        <v>2005</v>
      </c>
      <c r="I4" s="368" t="n">
        <f aca="false">H4+1</f>
        <v>2006</v>
      </c>
      <c r="J4" s="368" t="n">
        <f aca="false">I4+1</f>
        <v>2007</v>
      </c>
      <c r="K4" s="368" t="n">
        <f aca="false">J4+1</f>
        <v>2008</v>
      </c>
      <c r="L4" s="368" t="n">
        <f aca="false">K4+1</f>
        <v>2009</v>
      </c>
      <c r="M4" s="368" t="n">
        <f aca="false">L4+1</f>
        <v>2010</v>
      </c>
      <c r="N4" s="368" t="n">
        <f aca="false">M4+1</f>
        <v>2011</v>
      </c>
      <c r="O4" s="368" t="n">
        <f aca="false">N4+1</f>
        <v>2012</v>
      </c>
      <c r="P4" s="368" t="n">
        <f aca="false">O4+1</f>
        <v>2013</v>
      </c>
      <c r="Q4" s="368" t="n">
        <f aca="false">P4+1</f>
        <v>2014</v>
      </c>
      <c r="R4" s="368" t="n">
        <f aca="false">Q4+1</f>
        <v>2015</v>
      </c>
      <c r="S4" s="368" t="n">
        <f aca="false">R4+1</f>
        <v>2016</v>
      </c>
      <c r="T4" s="368" t="n">
        <f aca="false">S4+1</f>
        <v>2017</v>
      </c>
      <c r="U4" s="368" t="n">
        <f aca="false">T4+1</f>
        <v>2018</v>
      </c>
      <c r="V4" s="368" t="n">
        <f aca="false">U4+1</f>
        <v>2019</v>
      </c>
      <c r="W4" s="368" t="n">
        <f aca="false">V4+1</f>
        <v>2020</v>
      </c>
      <c r="X4" s="368" t="n">
        <f aca="false">W4+1</f>
        <v>2021</v>
      </c>
      <c r="Y4" s="368" t="n">
        <f aca="false">X4+1</f>
        <v>2022</v>
      </c>
      <c r="Z4" s="368" t="n">
        <f aca="false">Y4+1</f>
        <v>2023</v>
      </c>
      <c r="AA4" s="369" t="n">
        <f aca="false">Z4+1</f>
        <v>2024</v>
      </c>
    </row>
    <row r="5" customFormat="false" ht="12.75" hidden="false" customHeight="false" outlineLevel="0" collapsed="false">
      <c r="A5" s="370" t="s">
        <v>347</v>
      </c>
      <c r="B5" s="371"/>
      <c r="C5" s="372" t="n">
        <f aca="false">ROUND((DATE($D$4,1,1)-StartDate)/30.4375,1)</f>
        <v>7</v>
      </c>
      <c r="D5" s="373" t="n">
        <f aca="false">IF($C$5&lt;12,IF(D$3&gt;ProjectLife+1+1,0,IF(D$3=ProjectLife+1+1,12-$C$5,12)),IF(D$3&gt;ProjectLife+1,0,12))</f>
        <v>12</v>
      </c>
      <c r="E5" s="373" t="n">
        <f aca="false">IF($C$5&lt;12,IF(E$3&gt;ProjectLife+1+1,0,IF(E$3=ProjectLife+1+1,12-$C$5,12)),IF(E$3&gt;ProjectLife+1,0,12))</f>
        <v>12</v>
      </c>
      <c r="F5" s="373" t="n">
        <f aca="false">IF($C$5&lt;12,IF(F$3&gt;ProjectLife+1+1,0,IF(F$3=ProjectLife+1+1,12-$C$5,12)),IF(F$3&gt;ProjectLife+1,0,12))</f>
        <v>12</v>
      </c>
      <c r="G5" s="373" t="n">
        <f aca="false">IF($C$5&lt;12,IF(G$3&gt;ProjectLife+1+1,0,IF(G$3=ProjectLife+1+1,12-$C$5,12)),IF(G$3&gt;ProjectLife+1,0,12))</f>
        <v>12</v>
      </c>
      <c r="H5" s="373" t="n">
        <f aca="false">IF($C$5&lt;12,IF(H$3&gt;ProjectLife+1+1,0,IF(H$3=ProjectLife+1+1,12-$C$5,12)),IF(H$3&gt;ProjectLife+1,0,12))</f>
        <v>12</v>
      </c>
      <c r="I5" s="373" t="n">
        <f aca="false">IF($C$5&lt;12,IF(I$3&gt;ProjectLife+1+1,0,IF(I$3=ProjectLife+1+1,12-$C$5,12)),IF(I$3&gt;ProjectLife+1,0,12))</f>
        <v>12</v>
      </c>
      <c r="J5" s="373" t="n">
        <f aca="false">IF($C$5&lt;12,IF(J$3&gt;ProjectLife+1+1,0,IF(J$3=ProjectLife+1+1,12-$C$5,12)),IF(J$3&gt;ProjectLife+1,0,12))</f>
        <v>12</v>
      </c>
      <c r="K5" s="373" t="n">
        <f aca="false">IF($C$5&lt;12,IF(K$3&gt;ProjectLife+1+1,0,IF(K$3=ProjectLife+1+1,12-$C$5,12)),IF(K$3&gt;ProjectLife+1,0,12))</f>
        <v>12</v>
      </c>
      <c r="L5" s="373" t="n">
        <f aca="false">IF($C$5&lt;12,IF(L$3&gt;ProjectLife+1+1,0,IF(L$3=ProjectLife+1+1,12-$C$5,12)),IF(L$3&gt;ProjectLife+1,0,12))</f>
        <v>12</v>
      </c>
      <c r="M5" s="373" t="n">
        <f aca="false">IF($C$5&lt;12,IF(M$3&gt;ProjectLife+1+1,0,IF(M$3=ProjectLife+1+1,12-$C$5,12)),IF(M$3&gt;ProjectLife+1,0,12))</f>
        <v>12</v>
      </c>
      <c r="N5" s="373" t="n">
        <f aca="false">IF($C$5&lt;12,IF(N$3&gt;ProjectLife+1+1,0,IF(N$3=ProjectLife+1+1,12-$C$5,12)),IF(N$3&gt;ProjectLife+1,0,12))</f>
        <v>12</v>
      </c>
      <c r="O5" s="373" t="n">
        <f aca="false">IF($C$5&lt;12,IF(O$3&gt;ProjectLife+1+1,0,IF(O$3=ProjectLife+1+1,12-$C$5,12)),IF(O$3&gt;ProjectLife+1,0,12))</f>
        <v>12</v>
      </c>
      <c r="P5" s="373" t="n">
        <f aca="false">IF($C$5&lt;12,IF(P$3&gt;ProjectLife+1+1,0,IF(P$3=ProjectLife+1+1,12-$C$5,12)),IF(P$3&gt;ProjectLife+1,0,12))</f>
        <v>12</v>
      </c>
      <c r="Q5" s="373" t="n">
        <f aca="false">IF($C$5&lt;12,IF(Q$3&gt;ProjectLife+1+1,0,IF(Q$3=ProjectLife+1+1,12-$C$5,12)),IF(Q$3&gt;ProjectLife+1,0,12))</f>
        <v>12</v>
      </c>
      <c r="R5" s="373" t="n">
        <f aca="false">IF($C$5&lt;12,IF(R$3&gt;ProjectLife+1+1,0,IF(R$3=ProjectLife+1+1,12-$C$5,12)),IF(R$3&gt;ProjectLife+1,0,12))</f>
        <v>12</v>
      </c>
      <c r="S5" s="373" t="n">
        <f aca="false">IF($C$5&lt;12,IF(S$3&gt;ProjectLife+1+1,0,IF(S$3=ProjectLife+1+1,12-$C$5,12)),IF(S$3&gt;ProjectLife+1,0,12))</f>
        <v>12</v>
      </c>
      <c r="T5" s="373" t="n">
        <f aca="false">IF($C$5&lt;12,IF(T$3&gt;ProjectLife+1+1,0,IF(T$3=ProjectLife+1+1,12-$C$5,12)),IF(T$3&gt;ProjectLife+1,0,12))</f>
        <v>12</v>
      </c>
      <c r="U5" s="373" t="n">
        <f aca="false">IF($C$5&lt;12,IF(U$3&gt;ProjectLife+1+1,0,IF(U$3=ProjectLife+1+1,12-$C$5,12)),IF(U$3&gt;ProjectLife+1,0,12))</f>
        <v>12</v>
      </c>
      <c r="V5" s="373" t="n">
        <f aca="false">IF($C$5&lt;12,IF(V$3&gt;ProjectLife+1+1,0,IF(V$3=ProjectLife+1+1,12-$C$5,12)),IF(V$3&gt;ProjectLife+1,0,12))</f>
        <v>12</v>
      </c>
      <c r="W5" s="374" t="n">
        <v>5</v>
      </c>
      <c r="X5" s="374" t="n">
        <v>0</v>
      </c>
      <c r="Y5" s="373" t="n">
        <f aca="false">IF($C$5&lt;12,IF(Y$3&gt;ProjectLife+1+1,0,IF(Y$3=ProjectLife+1+1,12-$C$5,12)),IF(Y$3&gt;ProjectLife+1,0,12))</f>
        <v>0</v>
      </c>
      <c r="Z5" s="373" t="n">
        <f aca="false">IF($C$5&lt;12,IF(Z$3&gt;ProjectLife+1+1,0,IF(Z$3=ProjectLife+1+1,12-$C$5,12)),IF(Z$3&gt;ProjectLife+1,0,12))</f>
        <v>0</v>
      </c>
      <c r="AA5" s="375" t="n">
        <f aca="false">IF($C$5&lt;12,IF(AA$3&gt;ProjectLife+1+1,0,IF(AA$3=ProjectLife+1+1,12-$C$5,12)),IF(AA$3&gt;ProjectLife+1,0,12))</f>
        <v>0</v>
      </c>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c r="DF5" s="371"/>
      <c r="DG5" s="371"/>
      <c r="DH5" s="371"/>
      <c r="DI5" s="371"/>
      <c r="DJ5" s="371"/>
      <c r="DK5" s="371"/>
      <c r="DL5" s="371"/>
      <c r="DM5" s="371"/>
      <c r="DN5" s="371"/>
      <c r="DO5" s="371"/>
      <c r="DP5" s="371"/>
      <c r="DQ5" s="371"/>
      <c r="DR5" s="371"/>
      <c r="DS5" s="371"/>
      <c r="DT5" s="371"/>
      <c r="DU5" s="371"/>
      <c r="DV5" s="371"/>
      <c r="DW5" s="371"/>
      <c r="DX5" s="371"/>
      <c r="DY5" s="371"/>
      <c r="DZ5" s="371"/>
      <c r="EA5" s="371"/>
      <c r="EB5" s="371"/>
      <c r="EC5" s="371"/>
      <c r="ED5" s="371"/>
      <c r="EE5" s="371"/>
      <c r="EF5" s="371"/>
      <c r="EG5" s="371"/>
      <c r="EH5" s="371"/>
      <c r="EI5" s="371"/>
      <c r="EJ5" s="371"/>
      <c r="EK5" s="371"/>
      <c r="EL5" s="371"/>
      <c r="EM5" s="371"/>
      <c r="EN5" s="371"/>
      <c r="EO5" s="371"/>
      <c r="EP5" s="371"/>
      <c r="EQ5" s="371"/>
      <c r="ER5" s="371"/>
      <c r="ES5" s="371"/>
      <c r="ET5" s="371"/>
      <c r="EU5" s="371"/>
      <c r="EV5" s="371"/>
      <c r="EW5" s="371"/>
      <c r="EX5" s="371"/>
      <c r="EY5" s="371"/>
      <c r="EZ5" s="371"/>
      <c r="FA5" s="371"/>
      <c r="FB5" s="371"/>
      <c r="FC5" s="371"/>
      <c r="FD5" s="371"/>
      <c r="FE5" s="371"/>
      <c r="FF5" s="371"/>
      <c r="FG5" s="371"/>
      <c r="FH5" s="371"/>
      <c r="FI5" s="371"/>
      <c r="FJ5" s="371"/>
      <c r="FK5" s="371"/>
      <c r="FL5" s="371"/>
      <c r="FM5" s="371"/>
      <c r="FN5" s="371"/>
      <c r="FO5" s="371"/>
      <c r="FP5" s="371"/>
      <c r="FQ5" s="371"/>
      <c r="FR5" s="371"/>
      <c r="FS5" s="371"/>
      <c r="FT5" s="371"/>
      <c r="FU5" s="371"/>
      <c r="FV5" s="371"/>
      <c r="FW5" s="371"/>
      <c r="FX5" s="371"/>
      <c r="FY5" s="371"/>
      <c r="FZ5" s="371"/>
      <c r="GA5" s="371"/>
      <c r="GB5" s="371"/>
      <c r="GC5" s="371"/>
      <c r="GD5" s="371"/>
      <c r="GE5" s="371"/>
      <c r="GF5" s="371"/>
      <c r="GG5" s="371"/>
      <c r="GH5" s="371"/>
      <c r="GI5" s="371"/>
      <c r="GJ5" s="371"/>
      <c r="GK5" s="371"/>
      <c r="GL5" s="371"/>
      <c r="GM5" s="371"/>
      <c r="GN5" s="371"/>
      <c r="GO5" s="371"/>
      <c r="GP5" s="371"/>
      <c r="GQ5" s="371"/>
      <c r="GR5" s="371"/>
      <c r="GS5" s="371"/>
      <c r="GT5" s="371"/>
      <c r="GU5" s="371"/>
      <c r="GV5" s="371"/>
      <c r="GW5" s="371"/>
      <c r="GX5" s="371"/>
      <c r="GY5" s="371"/>
      <c r="GZ5" s="371"/>
      <c r="HA5" s="371"/>
      <c r="HB5" s="371"/>
      <c r="HC5" s="371"/>
      <c r="HD5" s="371"/>
      <c r="HE5" s="371"/>
      <c r="HF5" s="371"/>
      <c r="HG5" s="371"/>
      <c r="HH5" s="371"/>
      <c r="HI5" s="371"/>
      <c r="HJ5" s="371"/>
      <c r="HK5" s="371"/>
      <c r="HL5" s="371"/>
      <c r="HM5" s="371"/>
      <c r="HN5" s="371"/>
      <c r="HO5" s="371"/>
      <c r="HP5" s="371"/>
      <c r="HQ5" s="371"/>
      <c r="HR5" s="371"/>
      <c r="HS5" s="371"/>
      <c r="HT5" s="371"/>
      <c r="HU5" s="371"/>
      <c r="HV5" s="371"/>
      <c r="HW5" s="371"/>
      <c r="HX5" s="371"/>
      <c r="HY5" s="371"/>
      <c r="HZ5" s="371"/>
      <c r="IA5" s="371"/>
      <c r="IB5" s="371"/>
      <c r="IC5" s="371"/>
      <c r="ID5" s="371"/>
      <c r="IE5" s="371"/>
      <c r="IF5" s="371"/>
      <c r="IG5" s="371"/>
      <c r="IH5" s="371"/>
      <c r="II5" s="371"/>
      <c r="IJ5" s="371"/>
      <c r="IK5" s="371"/>
      <c r="IL5" s="371"/>
      <c r="IM5" s="371"/>
      <c r="IN5" s="371"/>
      <c r="IO5" s="371"/>
      <c r="IP5" s="371"/>
      <c r="IQ5" s="371"/>
      <c r="IR5" s="371"/>
      <c r="IS5" s="371"/>
      <c r="IT5" s="371"/>
      <c r="IU5" s="371"/>
      <c r="IV5" s="371"/>
      <c r="IW5" s="371"/>
    </row>
    <row r="6" customFormat="false" ht="12.6" hidden="false" customHeight="true" outlineLevel="0" collapsed="false">
      <c r="A6" s="376" t="s">
        <v>348</v>
      </c>
      <c r="B6" s="371"/>
      <c r="C6" s="373" t="n">
        <f aca="false">IF($C$5&lt;12,IF(C$3&gt;PPATerm+1,0,IF(C$3=PPATerm+1,12-$C$5,C$5)),IF(C$3&lt;PPATerm+1,C$5,0))</f>
        <v>7</v>
      </c>
      <c r="D6" s="373" t="n">
        <f aca="false">IF($C$5&lt;12,IF(D$3&gt;PPATerm+1,0,IF(D$3=PPATerm+1,12-$C$5,D$5)),IF(D$3&lt;PPATerm+1,D$5,0))</f>
        <v>12</v>
      </c>
      <c r="E6" s="373" t="n">
        <f aca="false">IF($C$5&lt;12,IF(E$3&gt;PPATerm+1,0,IF(E$3=PPATerm+1,12-$C$5,E$5)),IF(E$3&lt;PPATerm+1,E$5,0))</f>
        <v>12</v>
      </c>
      <c r="F6" s="373" t="n">
        <f aca="false">IF($C$5&lt;12,IF(F$3&gt;PPATerm+1,0,IF(F$3=PPATerm+1,12-$C$5,F$5)),IF(F$3&lt;PPATerm+1,F$5,0))</f>
        <v>5</v>
      </c>
      <c r="G6" s="373" t="n">
        <f aca="false">IF($C$5&lt;12,IF(G$3&gt;PPATerm+1,0,IF(G$3=PPATerm+1,12-$C$5,G$5)),IF(G$3&lt;PPATerm+1,G$5,0))</f>
        <v>0</v>
      </c>
      <c r="H6" s="373" t="n">
        <f aca="false">IF($C$5&lt;12,IF(H$3&gt;PPATerm+1,0,IF(H$3=PPATerm+1,12-$C$5,H$5)),IF(H$3&lt;PPATerm+1,H$5,0))</f>
        <v>0</v>
      </c>
      <c r="I6" s="373" t="n">
        <f aca="false">IF($C$5&lt;12,IF(I$3&gt;PPATerm+1,0,IF(I$3=PPATerm+1,12-$C$5,I$5)),IF(I$3&lt;PPATerm+1,I$5,0))</f>
        <v>0</v>
      </c>
      <c r="J6" s="373" t="n">
        <f aca="false">IF($C$5&lt;12,IF(J$3&gt;PPATerm+1,0,IF(J$3=PPATerm+1,12-$C$5,J$5)),IF(J$3&lt;PPATerm+1,J$5,0))</f>
        <v>0</v>
      </c>
      <c r="K6" s="373" t="n">
        <f aca="false">IF($C$5&lt;12,IF(K$3&gt;PPATerm+1,0,IF(K$3=PPATerm+1,12-$C$5,K$5)),IF(K$3&lt;PPATerm+1,K$5,0))</f>
        <v>0</v>
      </c>
      <c r="L6" s="373" t="n">
        <f aca="false">IF($C$5&lt;12,IF(L$3&gt;PPATerm+1,0,IF(L$3=PPATerm+1,12-$C$5,L$5)),IF(L$3&lt;PPATerm+1,L$5,0))</f>
        <v>0</v>
      </c>
      <c r="M6" s="373" t="n">
        <f aca="false">IF($C$5&lt;12,IF(M$3&gt;PPATerm+1,0,IF(M$3=PPATerm+1,12-$C$5,M$5)),IF(M$3&lt;PPATerm+1,M$5,0))</f>
        <v>0</v>
      </c>
      <c r="N6" s="373" t="n">
        <f aca="false">IF($C$5&lt;12,IF(N$3&gt;PPATerm+1,0,IF(N$3=PPATerm+1,12-$C$5,N$5)),IF(N$3&lt;PPATerm+1,N$5,0))</f>
        <v>0</v>
      </c>
      <c r="O6" s="373" t="n">
        <f aca="false">IF($C$5&lt;12,IF(O$3&gt;PPATerm+1,0,IF(O$3=PPATerm+1,12-$C$5,O$5)),IF(O$3&lt;PPATerm+1,O$5,0))</f>
        <v>0</v>
      </c>
      <c r="P6" s="373" t="n">
        <f aca="false">IF($C$5&lt;12,IF(P$3&gt;PPATerm+1,0,IF(P$3=PPATerm+1,12-$C$5,P$5)),IF(P$3&lt;PPATerm+1,P$5,0))</f>
        <v>0</v>
      </c>
      <c r="Q6" s="373" t="n">
        <f aca="false">IF($C$5&lt;12,IF(Q$3&gt;PPATerm+1,0,IF(Q$3=PPATerm+1,12-$C$5,Q$5)),IF(Q$3&lt;PPATerm+1,Q$5,0))</f>
        <v>0</v>
      </c>
      <c r="R6" s="373" t="n">
        <f aca="false">IF($C$5&lt;12,IF(R$3&gt;PPATerm+1,0,IF(R$3=PPATerm+1,12-$C$5,R$5)),IF(R$3&lt;PPATerm+1,R$5,0))</f>
        <v>0</v>
      </c>
      <c r="S6" s="373" t="n">
        <f aca="false">IF($C$5&lt;12,IF(S$3&gt;PPATerm+1,0,IF(S$3=PPATerm+1,12-$C$5,S$5)),IF(S$3&lt;PPATerm+1,S$5,0))</f>
        <v>0</v>
      </c>
      <c r="T6" s="373" t="n">
        <f aca="false">IF($C$5&lt;12,IF(T$3&gt;PPATerm+1,0,IF(T$3=PPATerm+1,12-$C$5,T$5)),IF(T$3&lt;PPATerm+1,T$5,0))</f>
        <v>0</v>
      </c>
      <c r="U6" s="373" t="n">
        <f aca="false">IF($C$5&lt;12,IF(U$3&gt;PPATerm+1,0,IF(U$3=PPATerm+1,12-$C$5,U$5)),IF(U$3&lt;PPATerm+1,U$5,0))</f>
        <v>0</v>
      </c>
      <c r="V6" s="373" t="n">
        <f aca="false">IF($C$5&lt;12,IF(V$3&gt;PPATerm+1,0,IF(V$3=PPATerm+1,12-$C$5,V$5)),IF(V$3&lt;PPATerm+1,V$5,0))</f>
        <v>0</v>
      </c>
      <c r="W6" s="373" t="n">
        <f aca="false">IF($C$5&lt;12,IF(W$3&gt;PPATerm+1,0,IF(W$3=PPATerm+1,12-$C$5,W$5)),IF(W$3&lt;PPATerm+1,W$5,0))</f>
        <v>0</v>
      </c>
      <c r="X6" s="373" t="n">
        <f aca="false">IF($C$5&lt;12,IF(X$3&gt;PPATerm+1,0,IF(X$3=PPATerm+1,12-$C$5,X$5)),IF(X$3&lt;PPATerm+1,X$5,0))</f>
        <v>0</v>
      </c>
      <c r="Y6" s="373" t="n">
        <f aca="false">IF($C$5&lt;12,IF(Y$3&gt;PPATerm+1,0,IF(Y$3=PPATerm+1,12-$C$5,Y$5)),IF(Y$3&lt;PPATerm+1,Y$5,0))</f>
        <v>0</v>
      </c>
      <c r="Z6" s="373" t="n">
        <f aca="false">IF($C$5&lt;12,IF(Z$3&gt;PPATerm+1,0,IF(Z$3=PPATerm+1,12-$C$5,Z$5)),IF(Z$3&lt;PPATerm+1,Z$5,0))</f>
        <v>0</v>
      </c>
      <c r="AA6" s="375" t="n">
        <f aca="false">IF($C$5&lt;12,IF(AA$3&gt;PPATerm+1,0,IF(AA$3=PPATerm+1,12-$C$5,AA$5)),IF(AA$3&lt;PPATerm+1,AA$5,0))</f>
        <v>0</v>
      </c>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row>
    <row r="7" customFormat="false" ht="12.6" hidden="false" customHeight="true" outlineLevel="0" collapsed="false">
      <c r="A7" s="376" t="s">
        <v>349</v>
      </c>
      <c r="B7" s="371"/>
      <c r="C7" s="373" t="n">
        <f aca="false">C5-C6</f>
        <v>0</v>
      </c>
      <c r="D7" s="373" t="n">
        <f aca="false">D5-D6</f>
        <v>0</v>
      </c>
      <c r="E7" s="373" t="n">
        <f aca="false">E5-E6</f>
        <v>0</v>
      </c>
      <c r="F7" s="373" t="n">
        <f aca="false">F5-F6</f>
        <v>7</v>
      </c>
      <c r="G7" s="373" t="n">
        <f aca="false">G5-G6</f>
        <v>12</v>
      </c>
      <c r="H7" s="373" t="n">
        <f aca="false">H5-H6</f>
        <v>12</v>
      </c>
      <c r="I7" s="373" t="n">
        <f aca="false">I5-I6</f>
        <v>12</v>
      </c>
      <c r="J7" s="373" t="n">
        <f aca="false">J5-J6</f>
        <v>12</v>
      </c>
      <c r="K7" s="373" t="n">
        <f aca="false">K5-K6</f>
        <v>12</v>
      </c>
      <c r="L7" s="373" t="n">
        <f aca="false">L5-L6</f>
        <v>12</v>
      </c>
      <c r="M7" s="373" t="n">
        <f aca="false">M5-M6</f>
        <v>12</v>
      </c>
      <c r="N7" s="373" t="n">
        <f aca="false">N5-N6</f>
        <v>12</v>
      </c>
      <c r="O7" s="373" t="n">
        <f aca="false">O5-O6</f>
        <v>12</v>
      </c>
      <c r="P7" s="373" t="n">
        <f aca="false">P5-P6</f>
        <v>12</v>
      </c>
      <c r="Q7" s="373" t="n">
        <f aca="false">Q5-Q6</f>
        <v>12</v>
      </c>
      <c r="R7" s="373" t="n">
        <f aca="false">R5-R6</f>
        <v>12</v>
      </c>
      <c r="S7" s="373" t="n">
        <f aca="false">S5-S6</f>
        <v>12</v>
      </c>
      <c r="T7" s="373" t="n">
        <f aca="false">T5-T6</f>
        <v>12</v>
      </c>
      <c r="U7" s="373" t="n">
        <f aca="false">U5-U6</f>
        <v>12</v>
      </c>
      <c r="V7" s="373" t="n">
        <f aca="false">V5-V6</f>
        <v>12</v>
      </c>
      <c r="W7" s="373" t="n">
        <v>5</v>
      </c>
      <c r="X7" s="373" t="n">
        <f aca="false">X5-X6</f>
        <v>0</v>
      </c>
      <c r="Y7" s="373" t="n">
        <f aca="false">Y5-Y6</f>
        <v>0</v>
      </c>
      <c r="Z7" s="373" t="n">
        <f aca="false">Z5-Z6</f>
        <v>0</v>
      </c>
      <c r="AA7" s="375" t="n">
        <f aca="false">AA5-AA6</f>
        <v>0</v>
      </c>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customFormat="false" ht="12.6" hidden="false" customHeight="true" outlineLevel="0" collapsed="false">
      <c r="A8" s="376" t="s">
        <v>350</v>
      </c>
      <c r="B8" s="371"/>
      <c r="C8" s="377" t="n">
        <f aca="false">IF(C5=0,0,PPACAPACITY/NetMW*(C6/C5))</f>
        <v>1</v>
      </c>
      <c r="D8" s="377" t="n">
        <f aca="false">IF(D5=0,0,PPACAPACITY/NetMW*(D6/D5))</f>
        <v>1</v>
      </c>
      <c r="E8" s="377" t="n">
        <f aca="false">IF(E5=0,0,PPACAPACITY/NetMW*(E6/E5))</f>
        <v>1</v>
      </c>
      <c r="F8" s="377" t="n">
        <f aca="false">IF(F5=0,0,PPACAPACITY/NetMW*(F6/F5))</f>
        <v>0.416666666666667</v>
      </c>
      <c r="G8" s="377" t="n">
        <f aca="false">IF(G5=0,0,PPACAPACITY/NetMW*(G6/G5))</f>
        <v>0</v>
      </c>
      <c r="H8" s="377" t="n">
        <f aca="false">IF(H5=0,0,PPACAPACITY/NetMW*(H6/H5))</f>
        <v>0</v>
      </c>
      <c r="I8" s="377" t="n">
        <f aca="false">IF(I5=0,0,PPACAPACITY/NetMW*(I6/I5))</f>
        <v>0</v>
      </c>
      <c r="J8" s="377" t="n">
        <f aca="false">IF(J5=0,0,PPACAPACITY/NetMW*(J6/J5))</f>
        <v>0</v>
      </c>
      <c r="K8" s="377" t="n">
        <f aca="false">IF(K5=0,0,PPACAPACITY/NetMW*(K6/K5))</f>
        <v>0</v>
      </c>
      <c r="L8" s="377" t="n">
        <f aca="false">IF(L5=0,0,PPACAPACITY/NetMW*(L6/L5))</f>
        <v>0</v>
      </c>
      <c r="M8" s="377" t="n">
        <f aca="false">IF(M5=0,0,PPACAPACITY/NetMW*(M6/M5))</f>
        <v>0</v>
      </c>
      <c r="N8" s="377" t="n">
        <f aca="false">IF(N5=0,0,PPACAPACITY/NetMW*(N6/N5))</f>
        <v>0</v>
      </c>
      <c r="O8" s="377" t="n">
        <f aca="false">IF(O5=0,0,PPACAPACITY/NetMW*(O6/O5))</f>
        <v>0</v>
      </c>
      <c r="P8" s="377" t="n">
        <f aca="false">IF(P5=0,0,PPACAPACITY/NetMW*(P6/P5))</f>
        <v>0</v>
      </c>
      <c r="Q8" s="377" t="n">
        <f aca="false">IF(Q5=0,0,PPACAPACITY/NetMW*(Q6/Q5))</f>
        <v>0</v>
      </c>
      <c r="R8" s="377" t="n">
        <f aca="false">IF(R5=0,0,PPACAPACITY/NetMW*(R6/R5))</f>
        <v>0</v>
      </c>
      <c r="S8" s="377" t="n">
        <f aca="false">IF(S5=0,0,PPACAPACITY/NetMW*(S6/S5))</f>
        <v>0</v>
      </c>
      <c r="T8" s="377" t="n">
        <f aca="false">IF(T5=0,0,PPACAPACITY/NetMW*(T6/T5))</f>
        <v>0</v>
      </c>
      <c r="U8" s="377" t="n">
        <f aca="false">IF(U5=0,0,PPACAPACITY/NetMW*(U6/U5))</f>
        <v>0</v>
      </c>
      <c r="V8" s="377" t="n">
        <f aca="false">IF(V5=0,0,PPACAPACITY/NetMW*(V6/V5))</f>
        <v>0</v>
      </c>
      <c r="W8" s="377" t="n">
        <f aca="false">IF(W5=0,0,PPACAPACITY/NetMW*(W6/W5))</f>
        <v>0</v>
      </c>
      <c r="X8" s="377" t="n">
        <f aca="false">IF(X5=0,0,PPACAPACITY/NetMW*(X6/X5))</f>
        <v>0</v>
      </c>
      <c r="Y8" s="377" t="n">
        <f aca="false">IF(Y5=0,0,PPACAPACITY/NetMW*(Y6/Y5))</f>
        <v>0</v>
      </c>
      <c r="Z8" s="377" t="n">
        <f aca="false">IF(Z5=0,0,PPACAPACITY/NetMW*(Z6/Z5))</f>
        <v>0</v>
      </c>
      <c r="AA8" s="378" t="n">
        <f aca="false">IF(AA5=0,0,PPACAPACITY/NetMW*(AA6/AA5))</f>
        <v>0</v>
      </c>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row>
    <row r="9" customFormat="false" ht="17.25" hidden="false" customHeight="true" outlineLevel="1" collapsed="false">
      <c r="A9" s="379" t="s">
        <v>351</v>
      </c>
      <c r="B9" s="380" t="s">
        <v>352</v>
      </c>
      <c r="C9" s="381" t="str">
        <f aca="false">IF(C5=0,"",IF(C7=0,"PPA",IF(C6=0,"MERCH.","BLENDED")))</f>
        <v>PPA</v>
      </c>
      <c r="D9" s="381" t="str">
        <f aca="false">IF(D5=0,"",IF(D7=0,"PPA",IF(D6=0,"MERCH.","BLENDED")))</f>
        <v>PPA</v>
      </c>
      <c r="E9" s="381" t="str">
        <f aca="false">IF(E5=0,"",IF(E7=0,"PPA",IF(E6=0,"MERCH.","BLENDED")))</f>
        <v>PPA</v>
      </c>
      <c r="F9" s="381" t="str">
        <f aca="false">IF(F5=0,"",IF(F7=0,"PPA",IF(F6=0,"MERCH.","BLENDED")))</f>
        <v>BLENDED</v>
      </c>
      <c r="G9" s="381" t="str">
        <f aca="false">IF(G5=0,"",IF(G7=0,"PPA",IF(G6=0,"MERCH.","BLENDED")))</f>
        <v>MERCH.</v>
      </c>
      <c r="H9" s="381" t="str">
        <f aca="false">IF(H5=0,"",IF(H7=0,"PPA",IF(H6=0,"MERCH.","BLENDED")))</f>
        <v>MERCH.</v>
      </c>
      <c r="I9" s="381" t="str">
        <f aca="false">IF(I5=0,"",IF(I7=0,"PPA",IF(I6=0,"MERCH.","BLENDED")))</f>
        <v>MERCH.</v>
      </c>
      <c r="J9" s="381" t="str">
        <f aca="false">IF(J5=0,"",IF(J7=0,"PPA",IF(J6=0,"MERCH.","BLENDED")))</f>
        <v>MERCH.</v>
      </c>
      <c r="K9" s="381" t="str">
        <f aca="false">IF(K5=0,"",IF(K7=0,"PPA",IF(K6=0,"MERCH.","BLENDED")))</f>
        <v>MERCH.</v>
      </c>
      <c r="L9" s="381" t="str">
        <f aca="false">IF(L5=0,"",IF(L7=0,"PPA",IF(L6=0,"MERCH.","BLENDED")))</f>
        <v>MERCH.</v>
      </c>
      <c r="M9" s="381" t="str">
        <f aca="false">IF(M5=0,"",IF(M7=0,"PPA",IF(M6=0,"MERCH.","BLENDED")))</f>
        <v>MERCH.</v>
      </c>
      <c r="N9" s="381" t="str">
        <f aca="false">IF(N5=0,"",IF(N7=0,"PPA",IF(N6=0,"MERCH.","BLENDED")))</f>
        <v>MERCH.</v>
      </c>
      <c r="O9" s="381" t="str">
        <f aca="false">IF(O5=0,"",IF(O7=0,"PPA",IF(O6=0,"MERCH.","BLENDED")))</f>
        <v>MERCH.</v>
      </c>
      <c r="P9" s="381" t="str">
        <f aca="false">IF(P5=0,"",IF(P7=0,"PPA",IF(P6=0,"MERCH.","BLENDED")))</f>
        <v>MERCH.</v>
      </c>
      <c r="Q9" s="381" t="str">
        <f aca="false">IF(Q5=0,"",IF(Q7=0,"PPA",IF(Q6=0,"MERCH.","BLENDED")))</f>
        <v>MERCH.</v>
      </c>
      <c r="R9" s="381" t="str">
        <f aca="false">IF(R5=0,"",IF(R7=0,"PPA",IF(R6=0,"MERCH.","BLENDED")))</f>
        <v>MERCH.</v>
      </c>
      <c r="S9" s="381" t="str">
        <f aca="false">IF(S5=0,"",IF(S7=0,"PPA",IF(S6=0,"MERCH.","BLENDED")))</f>
        <v>MERCH.</v>
      </c>
      <c r="T9" s="381" t="str">
        <f aca="false">IF(T5=0,"",IF(T7=0,"PPA",IF(T6=0,"MERCH.","BLENDED")))</f>
        <v>MERCH.</v>
      </c>
      <c r="U9" s="381" t="str">
        <f aca="false">IF(U5=0,"",IF(U7=0,"PPA",IF(U6=0,"MERCH.","BLENDED")))</f>
        <v>MERCH.</v>
      </c>
      <c r="V9" s="381" t="str">
        <f aca="false">IF(V5=0,"",IF(V7=0,"PPA",IF(V6=0,"MERCH.","BLENDED")))</f>
        <v>MERCH.</v>
      </c>
      <c r="W9" s="381" t="str">
        <f aca="false">IF(W5=0,"",IF(W7=0,"PPA",IF(W6=0,"MERCH.","BLENDED")))</f>
        <v>MERCH.</v>
      </c>
      <c r="X9" s="381" t="str">
        <f aca="false">IF(X5=0,"",IF(X7=0,"PPA",IF(X6=0,"MERCH.","BLENDED")))</f>
        <v/>
      </c>
      <c r="Y9" s="381" t="str">
        <f aca="false">IF(Y5=0,"",IF(Y7=0,"PPA",IF(Y6=0,"MERCH.","BLENDED")))</f>
        <v/>
      </c>
      <c r="Z9" s="381" t="str">
        <f aca="false">IF(Z5=0,"",IF(Z7=0,"PPA",IF(Z6=0,"MERCH.","BLENDED")))</f>
        <v/>
      </c>
      <c r="AA9" s="382" t="str">
        <f aca="false">IF(AA5=0,"",IF(AA7=0,"PPA",IF(AA6=0,"MERCH.","BLENDED")))</f>
        <v/>
      </c>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customFormat="false" ht="12.6" hidden="false" customHeight="true" outlineLevel="1" collapsed="false">
      <c r="A10" s="383"/>
      <c r="B10" s="1"/>
      <c r="C10" s="384"/>
      <c r="D10" s="384"/>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row>
    <row r="11" customFormat="false" ht="12.6" hidden="false" customHeight="true" outlineLevel="1" collapsed="false">
      <c r="A11" s="366" t="s">
        <v>353</v>
      </c>
      <c r="B11" s="367"/>
      <c r="C11" s="385" t="n">
        <f aca="false">IF('Project Assumptions'!$C$76="Yes",C26,C24)</f>
        <v>29.9325</v>
      </c>
      <c r="D11" s="385" t="n">
        <f aca="false">IF('Project Assumptions'!$C$76="Yes",D26,D24)</f>
        <v>29.9325</v>
      </c>
      <c r="E11" s="385" t="n">
        <f aca="false">IF('Project Assumptions'!$C$76="Yes",E26,E24)</f>
        <v>29.9325</v>
      </c>
      <c r="F11" s="385" t="n">
        <f aca="false">IF('Project Assumptions'!$C$76="Yes",F26,F24)</f>
        <v>29.9325</v>
      </c>
      <c r="G11" s="385" t="n">
        <f aca="false">IF('Project Assumptions'!$C$76="Yes",G26,G24)</f>
        <v>29.9325</v>
      </c>
      <c r="H11" s="385" t="n">
        <f aca="false">IF('Project Assumptions'!$C$76="Yes",H26,H24)</f>
        <v>29.9325</v>
      </c>
      <c r="I11" s="385" t="n">
        <f aca="false">IF('Project Assumptions'!$C$76="Yes",I26,I24)</f>
        <v>29.9325</v>
      </c>
      <c r="J11" s="385" t="n">
        <f aca="false">IF('Project Assumptions'!$C$76="Yes",J26,J24)</f>
        <v>29.9325</v>
      </c>
      <c r="K11" s="385" t="n">
        <f aca="false">IF('Project Assumptions'!$C$76="Yes",K26,K24)</f>
        <v>29.9325</v>
      </c>
      <c r="L11" s="385" t="n">
        <f aca="false">IF('Project Assumptions'!$C$76="Yes",L26,L24)</f>
        <v>29.9325</v>
      </c>
      <c r="M11" s="385" t="n">
        <f aca="false">IF('Project Assumptions'!$C$76="Yes",M26,M24)</f>
        <v>29.9325</v>
      </c>
      <c r="N11" s="385" t="n">
        <f aca="false">IF('Project Assumptions'!$C$76="Yes",N26,N24)</f>
        <v>29.9325</v>
      </c>
      <c r="O11" s="385" t="n">
        <f aca="false">IF('Project Assumptions'!$C$76="Yes",O26,O24)</f>
        <v>29.9325</v>
      </c>
      <c r="P11" s="385" t="n">
        <f aca="false">IF('Project Assumptions'!$C$76="Yes",P26,P24)</f>
        <v>29.9325</v>
      </c>
      <c r="Q11" s="385" t="n">
        <f aca="false">IF('Project Assumptions'!$C$76="Yes",Q26,Q24)</f>
        <v>29.9325</v>
      </c>
      <c r="R11" s="385" t="n">
        <f aca="false">IF('Project Assumptions'!$C$76="Yes",R26,R24)</f>
        <v>29.9325</v>
      </c>
      <c r="S11" s="385" t="n">
        <f aca="false">IF('Project Assumptions'!$C$76="Yes",S26,S24)</f>
        <v>29.9325</v>
      </c>
      <c r="T11" s="385" t="n">
        <f aca="false">IF('Project Assumptions'!$C$76="Yes",T26,T24)</f>
        <v>29.9325</v>
      </c>
      <c r="U11" s="385" t="n">
        <f aca="false">IF('Project Assumptions'!$C$76="Yes",U26,U24)</f>
        <v>29.9325</v>
      </c>
      <c r="V11" s="385" t="n">
        <f aca="false">IF('Project Assumptions'!$C$76="Yes",V26,V24)</f>
        <v>29.9325</v>
      </c>
      <c r="W11" s="385" t="n">
        <f aca="false">IF('Project Assumptions'!$C$76="Yes",W26,W24)</f>
        <v>29.9325</v>
      </c>
      <c r="X11" s="385" t="n">
        <f aca="false">IF('Project Assumptions'!$C$76="Yes",X26,X24)</f>
        <v>0</v>
      </c>
      <c r="Y11" s="385" t="n">
        <f aca="false">IF('Project Assumptions'!$C$76="Yes",Y26,Y24)</f>
        <v>0</v>
      </c>
      <c r="Z11" s="385" t="n">
        <f aca="false">IF('Project Assumptions'!$C$76="Yes",Z26,Z24)</f>
        <v>0</v>
      </c>
      <c r="AA11" s="386" t="n">
        <f aca="false">IF('Project Assumptions'!$C$76="Yes",AA26,AA24)</f>
        <v>0</v>
      </c>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row>
    <row r="12" customFormat="false" ht="12.6" hidden="false" customHeight="true" outlineLevel="1" collapsed="false">
      <c r="A12" s="387" t="s">
        <v>354</v>
      </c>
      <c r="B12" s="371"/>
      <c r="C12" s="361" t="n">
        <f aca="false">IF(C6=0,0,PPA_Price)</f>
        <v>4</v>
      </c>
      <c r="D12" s="361" t="n">
        <f aca="false">IF(D6=0,0,PPA_Price)</f>
        <v>4</v>
      </c>
      <c r="E12" s="361" t="n">
        <f aca="false">IF(E6=0,0,PPA_Price)</f>
        <v>4</v>
      </c>
      <c r="F12" s="361" t="n">
        <f aca="false">IF(F6=0,0,PPA_Price)</f>
        <v>4</v>
      </c>
      <c r="G12" s="361" t="n">
        <f aca="false">IF(G6=0,0,PPA_Price)</f>
        <v>0</v>
      </c>
      <c r="H12" s="361" t="n">
        <f aca="false">IF(H6=0,0,PPA_Price)</f>
        <v>0</v>
      </c>
      <c r="I12" s="361" t="n">
        <f aca="false">IF(I6=0,0,PPA_Price)</f>
        <v>0</v>
      </c>
      <c r="J12" s="361" t="n">
        <f aca="false">IF(J6=0,0,PPA_Price)</f>
        <v>0</v>
      </c>
      <c r="K12" s="361" t="n">
        <f aca="false">IF(K6=0,0,PPA_Price)</f>
        <v>0</v>
      </c>
      <c r="L12" s="361" t="n">
        <f aca="false">IF(L6=0,0,PPA_Price)</f>
        <v>0</v>
      </c>
      <c r="M12" s="361" t="n">
        <f aca="false">IF(M6=0,0,PPA_Price)</f>
        <v>0</v>
      </c>
      <c r="N12" s="361" t="n">
        <f aca="false">IF(N6=0,0,PPA_Price)</f>
        <v>0</v>
      </c>
      <c r="O12" s="361" t="n">
        <f aca="false">IF(O6=0,0,PPA_Price)</f>
        <v>0</v>
      </c>
      <c r="P12" s="361" t="n">
        <f aca="false">IF(P6=0,0,PPA_Price)</f>
        <v>0</v>
      </c>
      <c r="Q12" s="361" t="n">
        <f aca="false">IF(Q6=0,0,PPA_Price)</f>
        <v>0</v>
      </c>
      <c r="R12" s="361" t="n">
        <f aca="false">IF(R6=0,0,PPA_Price)</f>
        <v>0</v>
      </c>
      <c r="S12" s="361" t="n">
        <f aca="false">IF(S6=0,0,PPA_Price)</f>
        <v>0</v>
      </c>
      <c r="T12" s="361" t="n">
        <f aca="false">IF(T6=0,0,PPA_Price)</f>
        <v>0</v>
      </c>
      <c r="U12" s="361" t="n">
        <f aca="false">IF(U6=0,0,PPA_Price)</f>
        <v>0</v>
      </c>
      <c r="V12" s="361" t="n">
        <f aca="false">IF(V6=0,0,PPA_Price)</f>
        <v>0</v>
      </c>
      <c r="W12" s="361" t="n">
        <f aca="false">IF(W6=0,0,PPA_Price)</f>
        <v>0</v>
      </c>
      <c r="X12" s="361" t="n">
        <f aca="false">IF(X6=0,0,PPA_Price)</f>
        <v>0</v>
      </c>
      <c r="Y12" s="361" t="n">
        <f aca="false">IF(Y6=0,0,PPA_Price)</f>
        <v>0</v>
      </c>
      <c r="Z12" s="361" t="n">
        <f aca="false">IF(Z6=0,0,PPA_Price)</f>
        <v>0</v>
      </c>
      <c r="AA12" s="388" t="n">
        <f aca="false">IF(AA6=0,0,PPA_Price)</f>
        <v>0</v>
      </c>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row>
    <row r="13" customFormat="false" ht="12.6" hidden="false" customHeight="true" outlineLevel="1" collapsed="false">
      <c r="A13" s="387" t="s">
        <v>355</v>
      </c>
      <c r="B13" s="371"/>
      <c r="C13" s="361" t="n">
        <f aca="false">IF(C7=0,0,CHOOSE('Project Assumptions'!$C$73,C65,B66,C67,C68))</f>
        <v>0</v>
      </c>
      <c r="D13" s="361" t="n">
        <f aca="false">IF(D7=0,0,CHOOSE('Project Assumptions'!$C$73,D65,C66,D67,D68))</f>
        <v>0</v>
      </c>
      <c r="E13" s="361" t="n">
        <f aca="false">IF(E7=0,0,CHOOSE('Project Assumptions'!$C$73,E65,D66,E67,E68))</f>
        <v>0</v>
      </c>
      <c r="F13" s="361" t="n">
        <f aca="false">IF(F7=0,0,CHOOSE('Project Assumptions'!$C$73,F65,E66,F67,F68))</f>
        <v>6.27940123579167</v>
      </c>
      <c r="G13" s="361" t="n">
        <f aca="false">IF(G7=0,0,CHOOSE('Project Assumptions'!$C$73,G65,F66,G67,G68))</f>
        <v>6.36827891482133</v>
      </c>
      <c r="H13" s="361" t="n">
        <f aca="false">IF(H7=0,0,CHOOSE('Project Assumptions'!$C$73,H65,G66,H67,H68))</f>
        <v>6.55932728226598</v>
      </c>
      <c r="I13" s="361" t="n">
        <f aca="false">IF(I7=0,0,CHOOSE('Project Assumptions'!$C$73,I65,H66,I67,I68))</f>
        <v>6.54497875383602</v>
      </c>
      <c r="J13" s="361" t="n">
        <f aca="false">IF(J7=0,0,CHOOSE('Project Assumptions'!$C$73,J65,I66,J67,J68))</f>
        <v>6.63259701779866</v>
      </c>
      <c r="K13" s="361" t="n">
        <f aca="false">IF(K7=0,0,CHOOSE('Project Assumptions'!$C$73,K65,J66,K67,K68))</f>
        <v>6.71958189672061</v>
      </c>
      <c r="L13" s="361" t="n">
        <f aca="false">IF(L7=0,0,CHOOSE('Project Assumptions'!$C$73,L65,K66,L67,L68))</f>
        <v>6.80581653106186</v>
      </c>
      <c r="M13" s="361" t="n">
        <f aca="false">IF(M7=0,0,CHOOSE('Project Assumptions'!$C$73,M65,L66,M67,M68))</f>
        <v>6.89117761975653</v>
      </c>
      <c r="N13" s="361" t="n">
        <f aca="false">IF(N7=0,0,CHOOSE('Project Assumptions'!$C$73,N65,M66,N67,N68))</f>
        <v>6.97553513889493</v>
      </c>
      <c r="O13" s="361" t="n">
        <f aca="false">IF(O7=0,0,CHOOSE('Project Assumptions'!$C$73,O65,N66,O67,O68))</f>
        <v>7.05875204932386</v>
      </c>
      <c r="P13" s="361" t="n">
        <f aca="false">IF(P7=0,0,CHOOSE('Project Assumptions'!$C$73,P65,O66,P67,P68))</f>
        <v>7.14068399275351</v>
      </c>
      <c r="Q13" s="361" t="n">
        <f aca="false">IF(Q7=0,0,CHOOSE('Project Assumptions'!$C$73,Q65,P66,Q67,Q68))</f>
        <v>7.22117897594455</v>
      </c>
      <c r="R13" s="361" t="n">
        <f aca="false">IF(R7=0,0,CHOOSE('Project Assumptions'!$C$73,R65,Q66,R67,R68))</f>
        <v>7.30007704253357</v>
      </c>
      <c r="S13" s="361" t="n">
        <f aca="false">IF(S7=0,0,CHOOSE('Project Assumptions'!$C$73,S65,R66,S67,S68))</f>
        <v>7.37720993203959</v>
      </c>
      <c r="T13" s="361" t="n">
        <f aca="false">IF(T7=0,0,CHOOSE('Project Assumptions'!$C$73,T65,S66,T67,T68))</f>
        <v>7.45240072557768</v>
      </c>
      <c r="U13" s="361" t="n">
        <f aca="false">IF(U7=0,0,CHOOSE('Project Assumptions'!$C$73,U65,T66,U67,U68))</f>
        <v>7.52546347778923</v>
      </c>
      <c r="V13" s="361" t="n">
        <f aca="false">IF(V7=0,0,CHOOSE('Project Assumptions'!$C$73,V65,U66,V67,V68))</f>
        <v>7.44117828683799</v>
      </c>
      <c r="W13" s="361" t="n">
        <f aca="false">IF(W7=0,0,CHOOSE('Project Assumptions'!$C$73,W65,V66,W67,W68))</f>
        <v>7.5047383513714</v>
      </c>
      <c r="X13" s="361" t="n">
        <f aca="false">IF(X7=0,0,CHOOSE('Project Assumptions'!$C$73,X65,W66,X67,X68))</f>
        <v>0</v>
      </c>
      <c r="Y13" s="361" t="n">
        <f aca="false">IF(Y7=0,0,CHOOSE('Project Assumptions'!$C$73,Y65,X66,Y67,Y68))</f>
        <v>0</v>
      </c>
      <c r="Z13" s="361" t="n">
        <f aca="false">IF(Z7=0,0,CHOOSE('Project Assumptions'!$C$73,Z65,Y66,Z67,Z68))</f>
        <v>0</v>
      </c>
      <c r="AA13" s="388" t="n">
        <f aca="false">IF(AA7=0,0,CHOOSE('Project Assumptions'!$C$73,AA65,Z66,AA67,AA68))</f>
        <v>0</v>
      </c>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row>
    <row r="14" customFormat="false" ht="12.6" hidden="false" customHeight="true" outlineLevel="1" collapsed="false">
      <c r="A14" s="387" t="s">
        <v>356</v>
      </c>
      <c r="B14" s="389" t="n">
        <f aca="false">NPV(B15,C14:G14)</f>
        <v>3.604776202345</v>
      </c>
      <c r="C14" s="390" t="n">
        <v>1</v>
      </c>
      <c r="D14" s="391" t="n">
        <f aca="false">C14*(1+'Project Assumptions'!$I$30)</f>
        <v>1</v>
      </c>
      <c r="E14" s="391" t="n">
        <f aca="false">D14*(1+'Project Assumptions'!$I$30)</f>
        <v>1</v>
      </c>
      <c r="F14" s="391" t="n">
        <f aca="false">E14*(1+'Project Assumptions'!$I$30)</f>
        <v>1</v>
      </c>
      <c r="G14" s="391" t="n">
        <f aca="false">F14*(1+'Project Assumptions'!$I$30)</f>
        <v>1</v>
      </c>
      <c r="H14" s="391" t="n">
        <f aca="false">G14*(1+'Project Assumptions'!$I$30)</f>
        <v>1</v>
      </c>
      <c r="I14" s="391" t="n">
        <f aca="false">H14*(1+'Project Assumptions'!$I$30)</f>
        <v>1</v>
      </c>
      <c r="J14" s="391" t="n">
        <f aca="false">I14*(1+'Project Assumptions'!$I$30)</f>
        <v>1</v>
      </c>
      <c r="K14" s="391" t="n">
        <f aca="false">J14*(1+'Project Assumptions'!$I$30)</f>
        <v>1</v>
      </c>
      <c r="L14" s="391" t="n">
        <f aca="false">K14*(1+'Project Assumptions'!$I$30)</f>
        <v>1</v>
      </c>
      <c r="M14" s="391" t="n">
        <f aca="false">L14*(1+'Project Assumptions'!$I$30)</f>
        <v>1</v>
      </c>
      <c r="N14" s="391" t="n">
        <f aca="false">M14*(1+'Project Assumptions'!$I$30)</f>
        <v>1</v>
      </c>
      <c r="O14" s="391" t="n">
        <f aca="false">N14*(1+'Project Assumptions'!$I$30)</f>
        <v>1</v>
      </c>
      <c r="P14" s="391" t="n">
        <f aca="false">O14*(1+'Project Assumptions'!$I$30)</f>
        <v>1</v>
      </c>
      <c r="Q14" s="391" t="n">
        <f aca="false">P14*(1+'Project Assumptions'!$I$30)</f>
        <v>1</v>
      </c>
      <c r="R14" s="391" t="n">
        <f aca="false">Q14*(1+'Project Assumptions'!$I$30)</f>
        <v>1</v>
      </c>
      <c r="S14" s="391" t="n">
        <f aca="false">R14*(1+'Project Assumptions'!$I$30)</f>
        <v>1</v>
      </c>
      <c r="T14" s="391" t="n">
        <f aca="false">S14*(1+'Project Assumptions'!$I$30)</f>
        <v>1</v>
      </c>
      <c r="U14" s="391" t="n">
        <f aca="false">T14*(1+'Project Assumptions'!$I$30)</f>
        <v>1</v>
      </c>
      <c r="V14" s="391" t="n">
        <f aca="false">U14*(1+'Project Assumptions'!$I$30)</f>
        <v>1</v>
      </c>
      <c r="W14" s="391" t="n">
        <f aca="false">V14*(1+'Project Assumptions'!$I$30)</f>
        <v>1</v>
      </c>
      <c r="X14" s="391" t="n">
        <f aca="false">W14*(1+'Project Assumptions'!$I$30)</f>
        <v>1</v>
      </c>
      <c r="Y14" s="391" t="n">
        <f aca="false">X14*(1+'Project Assumptions'!$I$30)</f>
        <v>1</v>
      </c>
      <c r="Z14" s="391" t="n">
        <f aca="false">Y14*(1+'Project Assumptions'!$I$30)</f>
        <v>1</v>
      </c>
      <c r="AA14" s="392" t="n">
        <f aca="false">Z14*(1+'Project Assumptions'!$I$30)</f>
        <v>1</v>
      </c>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customFormat="false" ht="12.6" hidden="false" customHeight="true" outlineLevel="1" collapsed="false">
      <c r="A15" s="387" t="s">
        <v>357</v>
      </c>
      <c r="B15" s="393" t="n">
        <v>0.12</v>
      </c>
      <c r="C15" s="394" t="n">
        <v>0</v>
      </c>
      <c r="D15" s="395" t="n">
        <f aca="false">+C15</f>
        <v>0</v>
      </c>
      <c r="E15" s="395" t="n">
        <f aca="false">+D15</f>
        <v>0</v>
      </c>
      <c r="F15" s="395" t="n">
        <f aca="false">+E15</f>
        <v>0</v>
      </c>
      <c r="G15" s="395" t="n">
        <f aca="false">+F15</f>
        <v>0</v>
      </c>
      <c r="H15" s="395" t="n">
        <f aca="false">+G15</f>
        <v>0</v>
      </c>
      <c r="I15" s="395" t="n">
        <f aca="false">+H15</f>
        <v>0</v>
      </c>
      <c r="J15" s="395" t="n">
        <f aca="false">+I15</f>
        <v>0</v>
      </c>
      <c r="K15" s="395" t="n">
        <f aca="false">+J15</f>
        <v>0</v>
      </c>
      <c r="L15" s="395" t="n">
        <f aca="false">+K15</f>
        <v>0</v>
      </c>
      <c r="M15" s="395" t="n">
        <f aca="false">+L15</f>
        <v>0</v>
      </c>
      <c r="N15" s="395" t="n">
        <f aca="false">+M15</f>
        <v>0</v>
      </c>
      <c r="O15" s="395" t="n">
        <f aca="false">+N15</f>
        <v>0</v>
      </c>
      <c r="P15" s="395" t="n">
        <f aca="false">+O15</f>
        <v>0</v>
      </c>
      <c r="Q15" s="395" t="n">
        <f aca="false">+P15</f>
        <v>0</v>
      </c>
      <c r="R15" s="395" t="n">
        <f aca="false">+Q15</f>
        <v>0</v>
      </c>
      <c r="S15" s="395" t="n">
        <f aca="false">+R15</f>
        <v>0</v>
      </c>
      <c r="T15" s="395" t="n">
        <f aca="false">+S15</f>
        <v>0</v>
      </c>
      <c r="U15" s="395" t="n">
        <f aca="false">+T15</f>
        <v>0</v>
      </c>
      <c r="V15" s="395" t="n">
        <f aca="false">+U15</f>
        <v>0</v>
      </c>
      <c r="W15" s="395" t="n">
        <f aca="false">+V15</f>
        <v>0</v>
      </c>
      <c r="X15" s="395" t="n">
        <f aca="false">+W15</f>
        <v>0</v>
      </c>
      <c r="Y15" s="395" t="n">
        <f aca="false">+X15</f>
        <v>0</v>
      </c>
      <c r="Z15" s="395" t="n">
        <f aca="false">+Y15</f>
        <v>0</v>
      </c>
      <c r="AA15" s="396" t="n">
        <f aca="false">+Z15</f>
        <v>0</v>
      </c>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customFormat="false" ht="12.6" hidden="false" customHeight="true" outlineLevel="1" collapsed="false">
      <c r="A16" s="387" t="s">
        <v>358</v>
      </c>
      <c r="B16" s="371"/>
      <c r="C16" s="394" t="n">
        <v>0</v>
      </c>
      <c r="D16" s="395" t="n">
        <f aca="false">+C16</f>
        <v>0</v>
      </c>
      <c r="E16" s="395" t="n">
        <f aca="false">+D16</f>
        <v>0</v>
      </c>
      <c r="F16" s="395" t="n">
        <f aca="false">+E16</f>
        <v>0</v>
      </c>
      <c r="G16" s="395" t="n">
        <f aca="false">+F16</f>
        <v>0</v>
      </c>
      <c r="H16" s="395" t="n">
        <f aca="false">+G16</f>
        <v>0</v>
      </c>
      <c r="I16" s="395" t="n">
        <f aca="false">+H16</f>
        <v>0</v>
      </c>
      <c r="J16" s="395" t="n">
        <f aca="false">+I16</f>
        <v>0</v>
      </c>
      <c r="K16" s="395" t="n">
        <f aca="false">+J16</f>
        <v>0</v>
      </c>
      <c r="L16" s="395" t="n">
        <f aca="false">+K16</f>
        <v>0</v>
      </c>
      <c r="M16" s="395" t="n">
        <f aca="false">+L16</f>
        <v>0</v>
      </c>
      <c r="N16" s="395" t="n">
        <f aca="false">+M16</f>
        <v>0</v>
      </c>
      <c r="O16" s="395" t="n">
        <f aca="false">+N16</f>
        <v>0</v>
      </c>
      <c r="P16" s="395" t="n">
        <f aca="false">+O16</f>
        <v>0</v>
      </c>
      <c r="Q16" s="395" t="n">
        <f aca="false">+P16</f>
        <v>0</v>
      </c>
      <c r="R16" s="395" t="n">
        <f aca="false">+Q16</f>
        <v>0</v>
      </c>
      <c r="S16" s="395" t="n">
        <f aca="false">+R16</f>
        <v>0</v>
      </c>
      <c r="T16" s="395" t="n">
        <f aca="false">+S16</f>
        <v>0</v>
      </c>
      <c r="U16" s="395" t="n">
        <f aca="false">+T16</f>
        <v>0</v>
      </c>
      <c r="V16" s="395" t="n">
        <f aca="false">+U16</f>
        <v>0</v>
      </c>
      <c r="W16" s="395" t="n">
        <f aca="false">+V16</f>
        <v>0</v>
      </c>
      <c r="X16" s="395" t="n">
        <f aca="false">+W16</f>
        <v>0</v>
      </c>
      <c r="Y16" s="395" t="n">
        <f aca="false">+X16</f>
        <v>0</v>
      </c>
      <c r="Z16" s="395" t="n">
        <f aca="false">+Y16</f>
        <v>0</v>
      </c>
      <c r="AA16" s="396" t="n">
        <f aca="false">+Z16</f>
        <v>0</v>
      </c>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customFormat="false" ht="12.6" hidden="true" customHeight="true" outlineLevel="1" collapsed="false">
      <c r="A17" s="397" t="s">
        <v>359</v>
      </c>
      <c r="B17" s="371"/>
      <c r="C17" s="395"/>
      <c r="D17" s="395"/>
      <c r="E17" s="395"/>
      <c r="F17" s="395"/>
      <c r="G17" s="395"/>
      <c r="H17" s="395"/>
      <c r="I17" s="395"/>
      <c r="J17" s="395"/>
      <c r="K17" s="395"/>
      <c r="L17" s="395"/>
      <c r="M17" s="395"/>
      <c r="N17" s="395"/>
      <c r="O17" s="395"/>
      <c r="P17" s="395"/>
      <c r="Q17" s="395"/>
      <c r="R17" s="395"/>
      <c r="S17" s="398" t="n">
        <v>0</v>
      </c>
      <c r="T17" s="399" t="n">
        <f aca="false">S17</f>
        <v>0</v>
      </c>
      <c r="U17" s="399" t="n">
        <f aca="false">T17</f>
        <v>0</v>
      </c>
      <c r="V17" s="399" t="n">
        <f aca="false">U17</f>
        <v>0</v>
      </c>
      <c r="W17" s="399"/>
      <c r="X17" s="399"/>
      <c r="Y17" s="399"/>
      <c r="Z17" s="399"/>
      <c r="AA17" s="400"/>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customFormat="false" ht="12.6" hidden="true" customHeight="true" outlineLevel="1" collapsed="false">
      <c r="A18" s="397" t="s">
        <v>357</v>
      </c>
      <c r="B18" s="371"/>
      <c r="C18" s="395"/>
      <c r="D18" s="395"/>
      <c r="E18" s="395"/>
      <c r="F18" s="395"/>
      <c r="G18" s="395"/>
      <c r="H18" s="395"/>
      <c r="I18" s="395"/>
      <c r="J18" s="395"/>
      <c r="K18" s="395"/>
      <c r="L18" s="395"/>
      <c r="M18" s="395"/>
      <c r="N18" s="395"/>
      <c r="O18" s="395"/>
      <c r="P18" s="395"/>
      <c r="Q18" s="395"/>
      <c r="R18" s="394" t="n">
        <v>0</v>
      </c>
      <c r="S18" s="395" t="n">
        <f aca="false">+R18</f>
        <v>0</v>
      </c>
      <c r="T18" s="395" t="n">
        <f aca="false">+S18</f>
        <v>0</v>
      </c>
      <c r="U18" s="395" t="n">
        <f aca="false">+T18</f>
        <v>0</v>
      </c>
      <c r="V18" s="395" t="n">
        <f aca="false">+U18</f>
        <v>0</v>
      </c>
      <c r="W18" s="395"/>
      <c r="X18" s="395"/>
      <c r="Y18" s="395"/>
      <c r="Z18" s="395"/>
      <c r="AA18" s="396"/>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customFormat="false" ht="12.6" hidden="true" customHeight="true" outlineLevel="1" collapsed="false">
      <c r="A19" s="397" t="s">
        <v>358</v>
      </c>
      <c r="B19" s="371"/>
      <c r="C19" s="395"/>
      <c r="D19" s="395"/>
      <c r="E19" s="395"/>
      <c r="F19" s="395"/>
      <c r="G19" s="395"/>
      <c r="H19" s="395"/>
      <c r="I19" s="395"/>
      <c r="J19" s="395"/>
      <c r="K19" s="395"/>
      <c r="L19" s="395"/>
      <c r="M19" s="395"/>
      <c r="N19" s="395"/>
      <c r="O19" s="395"/>
      <c r="P19" s="395"/>
      <c r="Q19" s="395"/>
      <c r="R19" s="394" t="n">
        <v>0</v>
      </c>
      <c r="S19" s="395" t="n">
        <f aca="false">+R19</f>
        <v>0</v>
      </c>
      <c r="T19" s="395" t="n">
        <f aca="false">+S19</f>
        <v>0</v>
      </c>
      <c r="U19" s="395" t="n">
        <f aca="false">+T19</f>
        <v>0</v>
      </c>
      <c r="V19" s="395" t="n">
        <f aca="false">+U19</f>
        <v>0</v>
      </c>
      <c r="W19" s="395"/>
      <c r="X19" s="395"/>
      <c r="Y19" s="395"/>
      <c r="Z19" s="395"/>
      <c r="AA19" s="396"/>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customFormat="false" ht="12.6" hidden="false" customHeight="true" outlineLevel="0" collapsed="false">
      <c r="A20" s="397"/>
      <c r="B20" s="371"/>
      <c r="C20" s="395"/>
      <c r="D20" s="395"/>
      <c r="E20" s="395"/>
      <c r="F20" s="395"/>
      <c r="G20" s="395"/>
      <c r="H20" s="395"/>
      <c r="I20" s="395"/>
      <c r="J20" s="395"/>
      <c r="K20" s="395"/>
      <c r="L20" s="395"/>
      <c r="M20" s="395"/>
      <c r="N20" s="395"/>
      <c r="O20" s="395"/>
      <c r="P20" s="395"/>
      <c r="Q20" s="395"/>
      <c r="R20" s="395"/>
      <c r="S20" s="395"/>
      <c r="T20" s="395"/>
      <c r="U20" s="395"/>
      <c r="V20" s="395"/>
      <c r="W20" s="395"/>
      <c r="X20" s="395"/>
      <c r="Y20" s="395"/>
      <c r="Z20" s="395"/>
      <c r="AA20" s="396"/>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row>
    <row r="21" customFormat="false" ht="15.75" hidden="false" customHeight="false" outlineLevel="0" collapsed="false">
      <c r="A21" s="401" t="s">
        <v>360</v>
      </c>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402"/>
      <c r="AB21" s="371"/>
      <c r="AC21" s="371"/>
      <c r="AD21" s="371"/>
      <c r="AE21" s="371"/>
      <c r="AF21" s="371"/>
      <c r="AG21" s="371"/>
      <c r="AH21" s="371"/>
      <c r="AI21" s="371"/>
      <c r="AJ21" s="371"/>
      <c r="AK21" s="371"/>
      <c r="AL21" s="371"/>
      <c r="AM21" s="371"/>
      <c r="AN21" s="371"/>
      <c r="AO21" s="371"/>
      <c r="AP21" s="371"/>
      <c r="AQ21" s="371"/>
      <c r="AR21" s="371"/>
      <c r="AS21" s="371"/>
      <c r="AT21" s="371"/>
      <c r="AU21" s="371"/>
      <c r="AV21" s="371"/>
      <c r="AW21" s="371"/>
      <c r="AX21" s="371"/>
      <c r="AY21" s="371"/>
      <c r="AZ21" s="371"/>
      <c r="BA21" s="371"/>
      <c r="BB21" s="371"/>
      <c r="BC21" s="371"/>
      <c r="BD21" s="371"/>
      <c r="BE21" s="371"/>
      <c r="BF21" s="371"/>
      <c r="BG21" s="371"/>
      <c r="BH21" s="371"/>
      <c r="BI21" s="371"/>
      <c r="BJ21" s="371"/>
      <c r="BK21" s="371"/>
      <c r="BL21" s="371"/>
      <c r="BM21" s="371"/>
      <c r="BN21" s="371"/>
      <c r="BO21" s="371"/>
      <c r="BP21" s="371"/>
      <c r="BQ21" s="371"/>
      <c r="BR21" s="371"/>
      <c r="BS21" s="371"/>
      <c r="BT21" s="371"/>
      <c r="BU21" s="371"/>
      <c r="BV21" s="371"/>
      <c r="BW21" s="371"/>
      <c r="BX21" s="371"/>
      <c r="BY21" s="371"/>
      <c r="BZ21" s="371"/>
      <c r="CA21" s="371"/>
      <c r="CB21" s="371"/>
      <c r="CC21" s="371"/>
      <c r="CD21" s="371"/>
      <c r="CE21" s="371"/>
      <c r="CF21" s="371"/>
      <c r="CG21" s="371"/>
      <c r="CH21" s="371"/>
      <c r="CI21" s="371"/>
      <c r="CJ21" s="371"/>
      <c r="CK21" s="371"/>
      <c r="CL21" s="371"/>
      <c r="CM21" s="371"/>
      <c r="CN21" s="371"/>
      <c r="CO21" s="371"/>
      <c r="CP21" s="371"/>
      <c r="CQ21" s="371"/>
      <c r="CR21" s="371"/>
      <c r="CS21" s="371"/>
      <c r="CT21" s="371"/>
      <c r="CU21" s="371"/>
      <c r="CV21" s="371"/>
      <c r="CW21" s="371"/>
      <c r="CX21" s="371"/>
      <c r="CY21" s="371"/>
      <c r="CZ21" s="371"/>
      <c r="DA21" s="371"/>
      <c r="DB21" s="371"/>
      <c r="DC21" s="371"/>
      <c r="DD21" s="371"/>
      <c r="DE21" s="371"/>
      <c r="DF21" s="371"/>
      <c r="DG21" s="371"/>
      <c r="DH21" s="371"/>
      <c r="DI21" s="371"/>
      <c r="DJ21" s="371"/>
      <c r="DK21" s="371"/>
      <c r="DL21" s="371"/>
      <c r="DM21" s="371"/>
      <c r="DN21" s="371"/>
      <c r="DO21" s="371"/>
      <c r="DP21" s="371"/>
      <c r="DQ21" s="371"/>
      <c r="DR21" s="371"/>
      <c r="DS21" s="371"/>
      <c r="DT21" s="371"/>
      <c r="DU21" s="371"/>
      <c r="DV21" s="371"/>
      <c r="DW21" s="371"/>
      <c r="DX21" s="371"/>
      <c r="DY21" s="371"/>
      <c r="DZ21" s="371"/>
      <c r="EA21" s="371"/>
      <c r="EB21" s="371"/>
      <c r="EC21" s="371"/>
      <c r="ED21" s="371"/>
      <c r="EE21" s="371"/>
      <c r="EF21" s="371"/>
      <c r="EG21" s="371"/>
      <c r="EH21" s="371"/>
      <c r="EI21" s="371"/>
      <c r="EJ21" s="371"/>
      <c r="EK21" s="371"/>
      <c r="EL21" s="371"/>
      <c r="EM21" s="371"/>
      <c r="EN21" s="371"/>
      <c r="EO21" s="371"/>
      <c r="EP21" s="371"/>
      <c r="EQ21" s="371"/>
      <c r="ER21" s="371"/>
      <c r="ES21" s="371"/>
      <c r="ET21" s="371"/>
      <c r="EU21" s="371"/>
      <c r="EV21" s="371"/>
      <c r="EW21" s="371"/>
      <c r="EX21" s="371"/>
      <c r="EY21" s="371"/>
      <c r="EZ21" s="371"/>
      <c r="FA21" s="371"/>
      <c r="FB21" s="371"/>
      <c r="FC21" s="371"/>
      <c r="FD21" s="371"/>
      <c r="FE21" s="371"/>
      <c r="FF21" s="371"/>
      <c r="FG21" s="371"/>
      <c r="FH21" s="371"/>
      <c r="FI21" s="371"/>
      <c r="FJ21" s="371"/>
      <c r="FK21" s="371"/>
      <c r="FL21" s="371"/>
      <c r="FM21" s="371"/>
      <c r="FN21" s="371"/>
      <c r="FO21" s="371"/>
      <c r="FP21" s="371"/>
      <c r="FQ21" s="371"/>
      <c r="FR21" s="371"/>
      <c r="FS21" s="371"/>
      <c r="FT21" s="371"/>
      <c r="FU21" s="371"/>
      <c r="FV21" s="371"/>
      <c r="FW21" s="371"/>
      <c r="FX21" s="371"/>
      <c r="FY21" s="371"/>
      <c r="FZ21" s="371"/>
      <c r="GA21" s="371"/>
      <c r="GB21" s="371"/>
      <c r="GC21" s="371"/>
      <c r="GD21" s="371"/>
      <c r="GE21" s="371"/>
      <c r="GF21" s="371"/>
      <c r="GG21" s="371"/>
      <c r="GH21" s="371"/>
      <c r="GI21" s="371"/>
      <c r="GJ21" s="371"/>
      <c r="GK21" s="371"/>
      <c r="GL21" s="371"/>
      <c r="GM21" s="371"/>
      <c r="GN21" s="371"/>
      <c r="GO21" s="371"/>
      <c r="GP21" s="371"/>
      <c r="GQ21" s="371"/>
      <c r="GR21" s="371"/>
      <c r="GS21" s="371"/>
      <c r="GT21" s="371"/>
      <c r="GU21" s="371"/>
      <c r="GV21" s="371"/>
      <c r="GW21" s="371"/>
      <c r="GX21" s="371"/>
      <c r="GY21" s="371"/>
      <c r="GZ21" s="371"/>
      <c r="HA21" s="371"/>
      <c r="HB21" s="371"/>
      <c r="HC21" s="371"/>
      <c r="HD21" s="371"/>
      <c r="HE21" s="371"/>
      <c r="HF21" s="371"/>
      <c r="HG21" s="371"/>
      <c r="HH21" s="371"/>
      <c r="HI21" s="371"/>
      <c r="HJ21" s="371"/>
      <c r="HK21" s="371"/>
      <c r="HL21" s="371"/>
      <c r="HM21" s="371"/>
      <c r="HN21" s="371"/>
      <c r="HO21" s="371"/>
      <c r="HP21" s="371"/>
      <c r="HQ21" s="371"/>
      <c r="HR21" s="371"/>
      <c r="HS21" s="371"/>
      <c r="HT21" s="371"/>
      <c r="HU21" s="371"/>
      <c r="HV21" s="371"/>
      <c r="HW21" s="371"/>
      <c r="HX21" s="371"/>
      <c r="HY21" s="371"/>
      <c r="HZ21" s="371"/>
      <c r="IA21" s="371"/>
      <c r="IB21" s="371"/>
      <c r="IC21" s="371"/>
      <c r="ID21" s="371"/>
      <c r="IE21" s="371"/>
      <c r="IF21" s="371"/>
      <c r="IG21" s="371"/>
      <c r="IH21" s="371"/>
      <c r="II21" s="371"/>
      <c r="IJ21" s="371"/>
      <c r="IK21" s="371"/>
      <c r="IL21" s="371"/>
      <c r="IM21" s="371"/>
      <c r="IN21" s="371"/>
      <c r="IO21" s="371"/>
      <c r="IP21" s="371"/>
      <c r="IQ21" s="371"/>
      <c r="IR21" s="371"/>
      <c r="IS21" s="371"/>
      <c r="IT21" s="371"/>
      <c r="IU21" s="371"/>
      <c r="IV21" s="371"/>
      <c r="IW21" s="371"/>
    </row>
    <row r="22" customFormat="false" ht="12.6" hidden="false" customHeight="true" outlineLevel="0" collapsed="false">
      <c r="A22" s="403" t="s">
        <v>361</v>
      </c>
      <c r="B22" s="404"/>
      <c r="C22" s="405" t="n">
        <f aca="false">IF(C3&gt;ProjectLife+1,0,('Book Income Statement'!D18/Operations!C30*1000))</f>
        <v>56.6942538377193</v>
      </c>
      <c r="D22" s="405" t="n">
        <f aca="false">IF(D3&gt;ProjectLife+1,0,('Book Income Statement'!E18/Operations!D30*1000))</f>
        <v>73.4637731195175</v>
      </c>
      <c r="E22" s="405" t="n">
        <f aca="false">IF(E3&gt;ProjectLife+1,0,('Book Income Statement'!F18/Operations!E30*1000))</f>
        <v>73.5697113131031</v>
      </c>
      <c r="F22" s="405" t="n">
        <f aca="false">IF(F3&gt;ProjectLife+1,0,('Book Income Statement'!G18/Operations!F30*1000))</f>
        <v>85.1973551439802</v>
      </c>
      <c r="G22" s="405" t="n">
        <f aca="false">IF(G3&gt;ProjectLife+1,0,('Book Income Statement'!H18/Operations!G30*1000))</f>
        <v>94.2495723207382</v>
      </c>
      <c r="H22" s="405" t="n">
        <f aca="false">IF(H3&gt;ProjectLife+1,0,('Book Income Statement'!I18/Operations!H30*1000))</f>
        <v>96.1784844903603</v>
      </c>
      <c r="I22" s="405" t="n">
        <f aca="false">IF(I3&gt;ProjectLife+1,0,('Book Income Statement'!J18/Operations!I30*1000))</f>
        <v>96.0962062254714</v>
      </c>
      <c r="J22" s="405" t="n">
        <f aca="false">IF(J3&gt;ProjectLife+1,0,('Book Income Statement'!K18/Operations!J30*1000))</f>
        <v>97.0149526454416</v>
      </c>
      <c r="K22" s="405" t="n">
        <f aca="false">IF(K3&gt;ProjectLife+1,0,('Book Income Statement'!L18/Operations!K30*1000))</f>
        <v>97.9292945150072</v>
      </c>
      <c r="L22" s="405" t="n">
        <f aca="false">IF(L3&gt;ProjectLife+1,0,('Book Income Statement'!M18/Operations!L30*1000))</f>
        <v>98.8381406893657</v>
      </c>
      <c r="M22" s="405" t="n">
        <f aca="false">IF(M3&gt;ProjectLife+1,0,('Book Income Statement'!N18/Operations!M30*1000))</f>
        <v>99.7403385191223</v>
      </c>
      <c r="N22" s="405" t="n">
        <f aca="false">IF(N3&gt;ProjectLife+1,0,('Book Income Statement'!O18/Operations!N30*1000))</f>
        <v>100.634671142044</v>
      </c>
      <c r="O22" s="405" t="n">
        <f aca="false">IF(O3&gt;ProjectLife+1,0,('Book Income Statement'!P18/Operations!O30*1000))</f>
        <v>101.519854667674</v>
      </c>
      <c r="P22" s="405" t="n">
        <f aca="false">IF(P3&gt;ProjectLife+1,0,('Book Income Statement'!Q18/Operations!P30*1000))</f>
        <v>102.394535250813</v>
      </c>
      <c r="Q22" s="405" t="n">
        <f aca="false">IF(Q3&gt;ProjectLife+1,0,('Book Income Statement'!R18/Operations!Q30*1000))</f>
        <v>103.25728604974</v>
      </c>
      <c r="R22" s="405" t="n">
        <f aca="false">IF(R3&gt;ProjectLife+1,0,('Book Income Statement'!S18/Operations!R30*1000))</f>
        <v>104.106604064877</v>
      </c>
      <c r="S22" s="405" t="n">
        <f aca="false">IF(S3&gt;ProjectLife+1,0,('Book Income Statement'!T18/Operations!S30*1000))</f>
        <v>104.940906853478</v>
      </c>
      <c r="T22" s="405" t="n">
        <f aca="false">IF(T3&gt;ProjectLife+1,0,('Book Income Statement'!U18/Operations!T30*1000))</f>
        <v>105.758529115736</v>
      </c>
      <c r="U22" s="405" t="n">
        <f aca="false">IF(U3&gt;ProjectLife+1,0,('Book Income Statement'!V18/Operations!U30*1000))</f>
        <v>106.557719147561</v>
      </c>
      <c r="V22" s="405" t="n">
        <f aca="false">IF(V3&gt;ProjectLife+1,0,('Book Income Statement'!W18/Operations!V30*1000))</f>
        <v>105.817394588196</v>
      </c>
      <c r="W22" s="405" t="n">
        <f aca="false">IF(W3&gt;ProjectLife+1,0,('Book Income Statement'!X18/Operations!W30*1000))</f>
        <v>107.623589389649</v>
      </c>
      <c r="X22" s="405" t="n">
        <f aca="false">IF(X3&gt;ProjectLife+1,0,('Book Income Statement'!Y18/Operations!X30*1000))</f>
        <v>0</v>
      </c>
      <c r="Y22" s="405" t="n">
        <f aca="false">IF(Y3&gt;ProjectLife+1,0,('Book Income Statement'!Z18/Operations!Y30*1000))</f>
        <v>0</v>
      </c>
      <c r="Z22" s="405" t="n">
        <f aca="false">IF(Z3&gt;ProjectLife+1,0,('Book Income Statement'!AA18/Operations!Z30*1000))</f>
        <v>0</v>
      </c>
      <c r="AA22" s="406" t="n">
        <f aca="false">IF(AA3&gt;ProjectLife+1,0,('Book Income Statement'!AB18/Operations!AA30*1000))</f>
        <v>0</v>
      </c>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4"/>
      <c r="CY22" s="404"/>
      <c r="CZ22" s="404"/>
      <c r="DA22" s="404"/>
      <c r="DB22" s="404"/>
      <c r="DC22" s="404"/>
      <c r="DD22" s="404"/>
      <c r="DE22" s="404"/>
      <c r="DF22" s="404"/>
      <c r="DG22" s="404"/>
      <c r="DH22" s="404"/>
      <c r="DI22" s="404"/>
      <c r="DJ22" s="404"/>
      <c r="DK22" s="404"/>
      <c r="DL22" s="404"/>
      <c r="DM22" s="404"/>
      <c r="DN22" s="404"/>
      <c r="DO22" s="404"/>
      <c r="DP22" s="404"/>
      <c r="DQ22" s="404"/>
      <c r="DR22" s="404"/>
      <c r="DS22" s="404"/>
      <c r="DT22" s="404"/>
      <c r="DU22" s="404"/>
      <c r="DV22" s="404"/>
      <c r="DW22" s="404"/>
      <c r="DX22" s="404"/>
      <c r="DY22" s="404"/>
      <c r="DZ22" s="404"/>
      <c r="EA22" s="404"/>
      <c r="EB22" s="404"/>
      <c r="EC22" s="404"/>
      <c r="ED22" s="404"/>
      <c r="EE22" s="404"/>
      <c r="EF22" s="404"/>
      <c r="EG22" s="404"/>
      <c r="EH22" s="404"/>
      <c r="EI22" s="404"/>
      <c r="EJ22" s="404"/>
      <c r="EK22" s="404"/>
      <c r="EL22" s="404"/>
      <c r="EM22" s="404"/>
      <c r="EN22" s="404"/>
      <c r="EO22" s="404"/>
      <c r="EP22" s="404"/>
      <c r="EQ22" s="404"/>
      <c r="ER22" s="404"/>
      <c r="ES22" s="404"/>
      <c r="ET22" s="404"/>
      <c r="EU22" s="404"/>
      <c r="EV22" s="404"/>
      <c r="EW22" s="404"/>
      <c r="EX22" s="404"/>
      <c r="EY22" s="404"/>
      <c r="EZ22" s="404"/>
      <c r="FA22" s="404"/>
      <c r="FB22" s="404"/>
      <c r="FC22" s="404"/>
      <c r="FD22" s="404"/>
      <c r="FE22" s="404"/>
      <c r="FF22" s="404"/>
      <c r="FG22" s="404"/>
      <c r="FH22" s="404"/>
      <c r="FI22" s="404"/>
      <c r="FJ22" s="404"/>
      <c r="FK22" s="404"/>
      <c r="FL22" s="404"/>
      <c r="FM22" s="404"/>
      <c r="FN22" s="404"/>
      <c r="FO22" s="404"/>
      <c r="FP22" s="404"/>
      <c r="FQ22" s="404"/>
      <c r="FR22" s="404"/>
      <c r="FS22" s="404"/>
      <c r="FT22" s="404"/>
      <c r="FU22" s="404"/>
      <c r="FV22" s="404"/>
      <c r="FW22" s="404"/>
      <c r="FX22" s="404"/>
      <c r="FY22" s="404"/>
      <c r="FZ22" s="404"/>
      <c r="GA22" s="404"/>
      <c r="GB22" s="404"/>
      <c r="GC22" s="404"/>
      <c r="GD22" s="404"/>
      <c r="GE22" s="404"/>
      <c r="GF22" s="404"/>
      <c r="GG22" s="404"/>
      <c r="GH22" s="404"/>
      <c r="GI22" s="404"/>
      <c r="GJ22" s="404"/>
      <c r="GK22" s="404"/>
      <c r="GL22" s="404"/>
      <c r="GM22" s="404"/>
      <c r="GN22" s="404"/>
      <c r="GO22" s="404"/>
      <c r="GP22" s="404"/>
      <c r="GQ22" s="404"/>
      <c r="GR22" s="404"/>
      <c r="GS22" s="404"/>
      <c r="GT22" s="404"/>
      <c r="GU22" s="404"/>
      <c r="GV22" s="404"/>
      <c r="GW22" s="404"/>
      <c r="GX22" s="404"/>
      <c r="GY22" s="404"/>
      <c r="GZ22" s="404"/>
      <c r="HA22" s="404"/>
      <c r="HB22" s="404"/>
      <c r="HC22" s="404"/>
      <c r="HD22" s="404"/>
      <c r="HE22" s="404"/>
      <c r="HF22" s="404"/>
      <c r="HG22" s="404"/>
      <c r="HH22" s="404"/>
      <c r="HI22" s="404"/>
      <c r="HJ22" s="404"/>
      <c r="HK22" s="404"/>
      <c r="HL22" s="404"/>
      <c r="HM22" s="404"/>
      <c r="HN22" s="404"/>
      <c r="HO22" s="404"/>
      <c r="HP22" s="404"/>
      <c r="HQ22" s="404"/>
      <c r="HR22" s="404"/>
      <c r="HS22" s="404"/>
      <c r="HT22" s="404"/>
      <c r="HU22" s="404"/>
      <c r="HV22" s="404"/>
      <c r="HW22" s="404"/>
      <c r="HX22" s="404"/>
      <c r="HY22" s="404"/>
      <c r="HZ22" s="404"/>
      <c r="IA22" s="404"/>
      <c r="IB22" s="404"/>
      <c r="IC22" s="404"/>
      <c r="ID22" s="404"/>
      <c r="IE22" s="404"/>
      <c r="IF22" s="404"/>
      <c r="IG22" s="404"/>
      <c r="IH22" s="404"/>
      <c r="II22" s="404"/>
      <c r="IJ22" s="404"/>
      <c r="IK22" s="404"/>
      <c r="IL22" s="404"/>
      <c r="IM22" s="404"/>
      <c r="IN22" s="404"/>
      <c r="IO22" s="404"/>
      <c r="IP22" s="404"/>
      <c r="IQ22" s="404"/>
      <c r="IR22" s="404"/>
      <c r="IS22" s="404"/>
      <c r="IT22" s="404"/>
      <c r="IU22" s="404"/>
      <c r="IV22" s="404"/>
      <c r="IW22" s="404"/>
    </row>
    <row r="23" customFormat="false" ht="12.6" hidden="false" customHeight="true" outlineLevel="0" collapsed="false">
      <c r="A23" s="407"/>
      <c r="B23" s="404"/>
      <c r="C23" s="405"/>
      <c r="D23" s="405"/>
      <c r="E23" s="405"/>
      <c r="F23" s="405"/>
      <c r="G23" s="405"/>
      <c r="H23" s="405"/>
      <c r="I23" s="405"/>
      <c r="J23" s="405"/>
      <c r="K23" s="405"/>
      <c r="L23" s="405"/>
      <c r="M23" s="405"/>
      <c r="N23" s="405"/>
      <c r="O23" s="405"/>
      <c r="P23" s="405"/>
      <c r="Q23" s="405"/>
      <c r="R23" s="405"/>
      <c r="S23" s="405"/>
      <c r="T23" s="405"/>
      <c r="U23" s="405"/>
      <c r="V23" s="405"/>
      <c r="W23" s="405"/>
      <c r="X23" s="405"/>
      <c r="Y23" s="405"/>
      <c r="Z23" s="405"/>
      <c r="AA23" s="406"/>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404"/>
      <c r="BQ23" s="404"/>
      <c r="BR23" s="404"/>
      <c r="BS23" s="404"/>
      <c r="BT23" s="404"/>
      <c r="BU23" s="404"/>
      <c r="BV23" s="404"/>
      <c r="BW23" s="404"/>
      <c r="BX23" s="404"/>
      <c r="BY23" s="404"/>
      <c r="BZ23" s="404"/>
      <c r="CA23" s="404"/>
      <c r="CB23" s="404"/>
      <c r="CC23" s="404"/>
      <c r="CD23" s="404"/>
      <c r="CE23" s="404"/>
      <c r="CF23" s="404"/>
      <c r="CG23" s="404"/>
      <c r="CH23" s="404"/>
      <c r="CI23" s="404"/>
      <c r="CJ23" s="404"/>
      <c r="CK23" s="404"/>
      <c r="CL23" s="404"/>
      <c r="CM23" s="404"/>
      <c r="CN23" s="404"/>
      <c r="CO23" s="404"/>
      <c r="CP23" s="404"/>
      <c r="CQ23" s="404"/>
      <c r="CR23" s="404"/>
      <c r="CS23" s="404"/>
      <c r="CT23" s="404"/>
      <c r="CU23" s="404"/>
      <c r="CV23" s="404"/>
      <c r="CW23" s="404"/>
      <c r="CX23" s="404"/>
      <c r="CY23" s="404"/>
      <c r="CZ23" s="404"/>
      <c r="DA23" s="404"/>
      <c r="DB23" s="404"/>
      <c r="DC23" s="404"/>
      <c r="DD23" s="404"/>
      <c r="DE23" s="404"/>
      <c r="DF23" s="404"/>
      <c r="DG23" s="404"/>
      <c r="DH23" s="404"/>
      <c r="DI23" s="404"/>
      <c r="DJ23" s="404"/>
      <c r="DK23" s="404"/>
      <c r="DL23" s="404"/>
      <c r="DM23" s="404"/>
      <c r="DN23" s="404"/>
      <c r="DO23" s="404"/>
      <c r="DP23" s="404"/>
      <c r="DQ23" s="404"/>
      <c r="DR23" s="404"/>
      <c r="DS23" s="404"/>
      <c r="DT23" s="404"/>
      <c r="DU23" s="404"/>
      <c r="DV23" s="404"/>
      <c r="DW23" s="404"/>
      <c r="DX23" s="404"/>
      <c r="DY23" s="404"/>
      <c r="DZ23" s="404"/>
      <c r="EA23" s="404"/>
      <c r="EB23" s="404"/>
      <c r="EC23" s="404"/>
      <c r="ED23" s="404"/>
      <c r="EE23" s="404"/>
      <c r="EF23" s="404"/>
      <c r="EG23" s="404"/>
      <c r="EH23" s="404"/>
      <c r="EI23" s="404"/>
      <c r="EJ23" s="404"/>
      <c r="EK23" s="404"/>
      <c r="EL23" s="404"/>
      <c r="EM23" s="404"/>
      <c r="EN23" s="404"/>
      <c r="EO23" s="404"/>
      <c r="EP23" s="404"/>
      <c r="EQ23" s="404"/>
      <c r="ER23" s="404"/>
      <c r="ES23" s="404"/>
      <c r="ET23" s="404"/>
      <c r="EU23" s="404"/>
      <c r="EV23" s="404"/>
      <c r="EW23" s="404"/>
      <c r="EX23" s="404"/>
      <c r="EY23" s="404"/>
      <c r="EZ23" s="404"/>
      <c r="FA23" s="404"/>
      <c r="FB23" s="404"/>
      <c r="FC23" s="404"/>
      <c r="FD23" s="404"/>
      <c r="FE23" s="404"/>
      <c r="FF23" s="404"/>
      <c r="FG23" s="404"/>
      <c r="FH23" s="404"/>
      <c r="FI23" s="404"/>
      <c r="FJ23" s="404"/>
      <c r="FK23" s="404"/>
      <c r="FL23" s="404"/>
      <c r="FM23" s="404"/>
      <c r="FN23" s="404"/>
      <c r="FO23" s="404"/>
      <c r="FP23" s="404"/>
      <c r="FQ23" s="404"/>
      <c r="FR23" s="404"/>
      <c r="FS23" s="404"/>
      <c r="FT23" s="404"/>
      <c r="FU23" s="404"/>
      <c r="FV23" s="404"/>
      <c r="FW23" s="404"/>
      <c r="FX23" s="404"/>
      <c r="FY23" s="404"/>
      <c r="FZ23" s="404"/>
      <c r="GA23" s="404"/>
      <c r="GB23" s="404"/>
      <c r="GC23" s="404"/>
      <c r="GD23" s="404"/>
      <c r="GE23" s="404"/>
      <c r="GF23" s="404"/>
      <c r="GG23" s="404"/>
      <c r="GH23" s="404"/>
      <c r="GI23" s="404"/>
      <c r="GJ23" s="404"/>
      <c r="GK23" s="404"/>
      <c r="GL23" s="404"/>
      <c r="GM23" s="404"/>
      <c r="GN23" s="404"/>
      <c r="GO23" s="404"/>
      <c r="GP23" s="404"/>
      <c r="GQ23" s="404"/>
      <c r="GR23" s="404"/>
      <c r="GS23" s="404"/>
      <c r="GT23" s="404"/>
      <c r="GU23" s="404"/>
      <c r="GV23" s="404"/>
      <c r="GW23" s="404"/>
      <c r="GX23" s="404"/>
      <c r="GY23" s="404"/>
      <c r="GZ23" s="404"/>
      <c r="HA23" s="404"/>
      <c r="HB23" s="404"/>
      <c r="HC23" s="404"/>
      <c r="HD23" s="404"/>
      <c r="HE23" s="404"/>
      <c r="HF23" s="404"/>
      <c r="HG23" s="404"/>
      <c r="HH23" s="404"/>
      <c r="HI23" s="404"/>
      <c r="HJ23" s="404"/>
      <c r="HK23" s="404"/>
      <c r="HL23" s="404"/>
      <c r="HM23" s="404"/>
      <c r="HN23" s="404"/>
      <c r="HO23" s="404"/>
      <c r="HP23" s="404"/>
      <c r="HQ23" s="404"/>
      <c r="HR23" s="404"/>
      <c r="HS23" s="404"/>
      <c r="HT23" s="404"/>
      <c r="HU23" s="404"/>
      <c r="HV23" s="404"/>
      <c r="HW23" s="404"/>
      <c r="HX23" s="404"/>
      <c r="HY23" s="404"/>
      <c r="HZ23" s="404"/>
      <c r="IA23" s="404"/>
      <c r="IB23" s="404"/>
      <c r="IC23" s="404"/>
      <c r="ID23" s="404"/>
      <c r="IE23" s="404"/>
      <c r="IF23" s="404"/>
      <c r="IG23" s="404"/>
      <c r="IH23" s="404"/>
      <c r="II23" s="404"/>
      <c r="IJ23" s="404"/>
      <c r="IK23" s="404"/>
      <c r="IL23" s="404"/>
      <c r="IM23" s="404"/>
      <c r="IN23" s="404"/>
      <c r="IO23" s="404"/>
      <c r="IP23" s="404"/>
      <c r="IQ23" s="404"/>
      <c r="IR23" s="404"/>
      <c r="IS23" s="404"/>
      <c r="IT23" s="404"/>
      <c r="IU23" s="404"/>
      <c r="IV23" s="404"/>
      <c r="IW23" s="404"/>
    </row>
    <row r="24" customFormat="false" ht="12.6" hidden="false" customHeight="true" outlineLevel="0" collapsed="false">
      <c r="A24" s="403" t="s">
        <v>362</v>
      </c>
      <c r="B24" s="404"/>
      <c r="C24" s="408" t="n">
        <f aca="false">IF(C3&gt;ProjectLife+1,0,IF(Operations!C30=0,0,(Operations!C33*Operations!C43)/Operations!C30*1000))</f>
        <v>29.9325</v>
      </c>
      <c r="D24" s="408" t="n">
        <f aca="false">IF(D3&gt;ProjectLife+1,0,IF(Operations!D30=0,0,(Operations!D33*Operations!D43)/Operations!D30*1000))</f>
        <v>29.9325</v>
      </c>
      <c r="E24" s="408" t="n">
        <f aca="false">IF(E3&gt;ProjectLife+1,0,IF(Operations!E30=0,0,(Operations!E33*Operations!E43)/Operations!E30*1000))</f>
        <v>29.9325</v>
      </c>
      <c r="F24" s="408" t="n">
        <f aca="false">IF(F3&gt;ProjectLife+1,0,IF(Operations!F30=0,0,(Operations!F33*Operations!F43)/Operations!F30*1000))</f>
        <v>29.9325</v>
      </c>
      <c r="G24" s="408" t="n">
        <f aca="false">IF(G3&gt;ProjectLife+1,0,IF(Operations!G30=0,0,(Operations!G33*Operations!G43)/Operations!G30*1000))</f>
        <v>29.9325</v>
      </c>
      <c r="H24" s="408" t="n">
        <f aca="false">IF(H3&gt;ProjectLife+1,0,IF(Operations!H30=0,0,(Operations!H33*Operations!H43)/Operations!H30*1000))</f>
        <v>29.9325</v>
      </c>
      <c r="I24" s="408" t="n">
        <f aca="false">IF(I3&gt;ProjectLife+1,0,IF(Operations!I30=0,0,(Operations!I33*Operations!I43)/Operations!I30*1000))</f>
        <v>29.9325</v>
      </c>
      <c r="J24" s="408" t="n">
        <f aca="false">IF(J3&gt;ProjectLife+1,0,IF(Operations!J30=0,0,(Operations!J33*Operations!J43)/Operations!J30*1000))</f>
        <v>29.9325</v>
      </c>
      <c r="K24" s="408" t="n">
        <f aca="false">IF(K3&gt;ProjectLife+1,0,IF(Operations!K30=0,0,(Operations!K33*Operations!K43)/Operations!K30*1000))</f>
        <v>29.9325</v>
      </c>
      <c r="L24" s="408" t="n">
        <f aca="false">IF(L3&gt;ProjectLife+1,0,IF(Operations!L30=0,0,(Operations!L33*Operations!L43)/Operations!L30*1000))</f>
        <v>29.9325</v>
      </c>
      <c r="M24" s="408" t="n">
        <f aca="false">IF(M3&gt;ProjectLife+1,0,IF(Operations!M30=0,0,(Operations!M33*Operations!M43)/Operations!M30*1000))</f>
        <v>29.9325</v>
      </c>
      <c r="N24" s="408" t="n">
        <f aca="false">IF(N3&gt;ProjectLife+1,0,IF(Operations!N30=0,0,(Operations!N33*Operations!N43)/Operations!N30*1000))</f>
        <v>29.9325</v>
      </c>
      <c r="O24" s="408" t="n">
        <f aca="false">IF(O3&gt;ProjectLife+1,0,IF(Operations!O30=0,0,(Operations!O33*Operations!O43)/Operations!O30*1000))</f>
        <v>29.9325</v>
      </c>
      <c r="P24" s="408" t="n">
        <f aca="false">IF(P3&gt;ProjectLife+1,0,IF(Operations!P30=0,0,(Operations!P33*Operations!P43)/Operations!P30*1000))</f>
        <v>29.9325</v>
      </c>
      <c r="Q24" s="408" t="n">
        <f aca="false">IF(Q3&gt;ProjectLife+1,0,IF(Operations!Q30=0,0,(Operations!Q33*Operations!Q43)/Operations!Q30*1000))</f>
        <v>29.9325</v>
      </c>
      <c r="R24" s="408" t="n">
        <f aca="false">IF(R3&gt;ProjectLife+1,0,IF(Operations!R30=0,0,(Operations!R33*Operations!R43)/Operations!R30*1000))</f>
        <v>29.9325</v>
      </c>
      <c r="S24" s="408" t="n">
        <f aca="false">IF(S3&gt;ProjectLife+1,0,IF(Operations!S30=0,0,(Operations!S33*Operations!S43)/Operations!S30*1000))</f>
        <v>29.9325</v>
      </c>
      <c r="T24" s="408" t="n">
        <f aca="false">IF(T3&gt;ProjectLife+1,0,IF(Operations!T30=0,0,(Operations!T33*Operations!T43)/Operations!T30*1000))</f>
        <v>29.9325</v>
      </c>
      <c r="U24" s="408" t="n">
        <f aca="false">IF(U3&gt;ProjectLife+1,0,IF(Operations!U30=0,0,(Operations!U33*Operations!U43)/Operations!U30*1000))</f>
        <v>29.9325</v>
      </c>
      <c r="V24" s="408" t="n">
        <f aca="false">IF(V3&gt;ProjectLife+1,0,IF(Operations!V30=0,0,(Operations!V33*Operations!V43)/Operations!V30*1000))</f>
        <v>29.9325</v>
      </c>
      <c r="W24" s="408" t="n">
        <f aca="false">IF(W3&gt;ProjectLife+1,0,IF(Operations!W30=0,0,(Operations!W33*Operations!W43)/Operations!W30*1000))</f>
        <v>29.9325</v>
      </c>
      <c r="X24" s="408" t="n">
        <f aca="false">IF(X3&gt;ProjectLife+1,0,IF(Operations!X30=0,0,(Operations!X33*Operations!X43)/Operations!X30*1000))</f>
        <v>0</v>
      </c>
      <c r="Y24" s="408" t="n">
        <f aca="false">IF(Y3&gt;ProjectLife+1,0,IF(Operations!Y30=0,0,(Operations!Y33*Operations!Y43)/Operations!Y30*1000))</f>
        <v>0</v>
      </c>
      <c r="Z24" s="408" t="n">
        <f aca="false">IF(Z3&gt;ProjectLife+1,0,IF(Operations!Z30=0,0,(Operations!Z33*Operations!Z43)/Operations!Z30*1000))</f>
        <v>0</v>
      </c>
      <c r="AA24" s="409" t="n">
        <f aca="false">IF(AA3&gt;ProjectLife+1,0,IF(Operations!AA30=0,0,(Operations!AA33*Operations!AA43)/Operations!AA30*1000))</f>
        <v>0</v>
      </c>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c r="AX24" s="404"/>
      <c r="AY24" s="404"/>
      <c r="AZ24" s="404"/>
      <c r="BA24" s="404"/>
      <c r="BB24" s="404"/>
      <c r="BC24" s="404"/>
      <c r="BD24" s="404"/>
      <c r="BE24" s="404"/>
      <c r="BF24" s="404"/>
      <c r="BG24" s="404"/>
      <c r="BH24" s="404"/>
      <c r="BI24" s="404"/>
      <c r="BJ24" s="404"/>
      <c r="BK24" s="404"/>
      <c r="BL24" s="404"/>
      <c r="BM24" s="404"/>
      <c r="BN24" s="404"/>
      <c r="BO24" s="404"/>
      <c r="BP24" s="404"/>
      <c r="BQ24" s="404"/>
      <c r="BR24" s="404"/>
      <c r="BS24" s="404"/>
      <c r="BT24" s="404"/>
      <c r="BU24" s="404"/>
      <c r="BV24" s="404"/>
      <c r="BW24" s="404"/>
      <c r="BX24" s="404"/>
      <c r="BY24" s="404"/>
      <c r="BZ24" s="404"/>
      <c r="CA24" s="404"/>
      <c r="CB24" s="404"/>
      <c r="CC24" s="404"/>
      <c r="CD24" s="404"/>
      <c r="CE24" s="404"/>
      <c r="CF24" s="404"/>
      <c r="CG24" s="404"/>
      <c r="CH24" s="404"/>
      <c r="CI24" s="404"/>
      <c r="CJ24" s="404"/>
      <c r="CK24" s="404"/>
      <c r="CL24" s="404"/>
      <c r="CM24" s="404"/>
      <c r="CN24" s="404"/>
      <c r="CO24" s="404"/>
      <c r="CP24" s="404"/>
      <c r="CQ24" s="404"/>
      <c r="CR24" s="404"/>
      <c r="CS24" s="404"/>
      <c r="CT24" s="404"/>
      <c r="CU24" s="404"/>
      <c r="CV24" s="404"/>
      <c r="CW24" s="404"/>
      <c r="CX24" s="404"/>
      <c r="CY24" s="404"/>
      <c r="CZ24" s="404"/>
      <c r="DA24" s="404"/>
      <c r="DB24" s="404"/>
      <c r="DC24" s="404"/>
      <c r="DD24" s="404"/>
      <c r="DE24" s="404"/>
      <c r="DF24" s="404"/>
      <c r="DG24" s="404"/>
      <c r="DH24" s="404"/>
      <c r="DI24" s="404"/>
      <c r="DJ24" s="404"/>
      <c r="DK24" s="404"/>
      <c r="DL24" s="404"/>
      <c r="DM24" s="404"/>
      <c r="DN24" s="404"/>
      <c r="DO24" s="404"/>
      <c r="DP24" s="404"/>
      <c r="DQ24" s="404"/>
      <c r="DR24" s="404"/>
      <c r="DS24" s="404"/>
      <c r="DT24" s="404"/>
      <c r="DU24" s="404"/>
      <c r="DV24" s="404"/>
      <c r="DW24" s="404"/>
      <c r="DX24" s="404"/>
      <c r="DY24" s="404"/>
      <c r="DZ24" s="404"/>
      <c r="EA24" s="404"/>
      <c r="EB24" s="404"/>
      <c r="EC24" s="404"/>
      <c r="ED24" s="404"/>
      <c r="EE24" s="404"/>
      <c r="EF24" s="404"/>
      <c r="EG24" s="404"/>
      <c r="EH24" s="404"/>
      <c r="EI24" s="404"/>
      <c r="EJ24" s="404"/>
      <c r="EK24" s="404"/>
      <c r="EL24" s="404"/>
      <c r="EM24" s="404"/>
      <c r="EN24" s="404"/>
      <c r="EO24" s="404"/>
      <c r="EP24" s="404"/>
      <c r="EQ24" s="404"/>
      <c r="ER24" s="404"/>
      <c r="ES24" s="404"/>
      <c r="ET24" s="404"/>
      <c r="EU24" s="404"/>
      <c r="EV24" s="404"/>
      <c r="EW24" s="404"/>
      <c r="EX24" s="404"/>
      <c r="EY24" s="404"/>
      <c r="EZ24" s="404"/>
      <c r="FA24" s="404"/>
      <c r="FB24" s="404"/>
      <c r="FC24" s="404"/>
      <c r="FD24" s="404"/>
      <c r="FE24" s="404"/>
      <c r="FF24" s="404"/>
      <c r="FG24" s="404"/>
      <c r="FH24" s="404"/>
      <c r="FI24" s="404"/>
      <c r="FJ24" s="404"/>
      <c r="FK24" s="404"/>
      <c r="FL24" s="404"/>
      <c r="FM24" s="404"/>
      <c r="FN24" s="404"/>
      <c r="FO24" s="404"/>
      <c r="FP24" s="404"/>
      <c r="FQ24" s="404"/>
      <c r="FR24" s="404"/>
      <c r="FS24" s="404"/>
      <c r="FT24" s="404"/>
      <c r="FU24" s="404"/>
      <c r="FV24" s="404"/>
      <c r="FW24" s="404"/>
      <c r="FX24" s="404"/>
      <c r="FY24" s="404"/>
      <c r="FZ24" s="404"/>
      <c r="GA24" s="404"/>
      <c r="GB24" s="404"/>
      <c r="GC24" s="404"/>
      <c r="GD24" s="404"/>
      <c r="GE24" s="404"/>
      <c r="GF24" s="404"/>
      <c r="GG24" s="404"/>
      <c r="GH24" s="404"/>
      <c r="GI24" s="404"/>
      <c r="GJ24" s="404"/>
      <c r="GK24" s="404"/>
      <c r="GL24" s="404"/>
      <c r="GM24" s="404"/>
      <c r="GN24" s="404"/>
      <c r="GO24" s="404"/>
      <c r="GP24" s="404"/>
      <c r="GQ24" s="404"/>
      <c r="GR24" s="404"/>
      <c r="GS24" s="404"/>
      <c r="GT24" s="404"/>
      <c r="GU24" s="404"/>
      <c r="GV24" s="404"/>
      <c r="GW24" s="404"/>
      <c r="GX24" s="404"/>
      <c r="GY24" s="404"/>
      <c r="GZ24" s="404"/>
      <c r="HA24" s="404"/>
      <c r="HB24" s="404"/>
      <c r="HC24" s="404"/>
      <c r="HD24" s="404"/>
      <c r="HE24" s="404"/>
      <c r="HF24" s="404"/>
      <c r="HG24" s="404"/>
      <c r="HH24" s="404"/>
      <c r="HI24" s="404"/>
      <c r="HJ24" s="404"/>
      <c r="HK24" s="404"/>
      <c r="HL24" s="404"/>
      <c r="HM24" s="404"/>
      <c r="HN24" s="404"/>
      <c r="HO24" s="404"/>
      <c r="HP24" s="404"/>
      <c r="HQ24" s="404"/>
      <c r="HR24" s="404"/>
      <c r="HS24" s="404"/>
      <c r="HT24" s="404"/>
      <c r="HU24" s="404"/>
      <c r="HV24" s="404"/>
      <c r="HW24" s="404"/>
      <c r="HX24" s="404"/>
      <c r="HY24" s="404"/>
      <c r="HZ24" s="404"/>
      <c r="IA24" s="404"/>
      <c r="IB24" s="404"/>
      <c r="IC24" s="404"/>
      <c r="ID24" s="404"/>
      <c r="IE24" s="404"/>
      <c r="IF24" s="404"/>
      <c r="IG24" s="404"/>
      <c r="IH24" s="404"/>
      <c r="II24" s="404"/>
      <c r="IJ24" s="404"/>
      <c r="IK24" s="404"/>
      <c r="IL24" s="404"/>
      <c r="IM24" s="404"/>
      <c r="IN24" s="404"/>
      <c r="IO24" s="404"/>
      <c r="IP24" s="404"/>
      <c r="IQ24" s="404"/>
      <c r="IR24" s="404"/>
      <c r="IS24" s="404"/>
      <c r="IT24" s="404"/>
      <c r="IU24" s="404"/>
      <c r="IV24" s="404"/>
      <c r="IW24" s="404"/>
    </row>
    <row r="25" customFormat="false" ht="12.6" hidden="false" customHeight="true" outlineLevel="0" collapsed="false">
      <c r="A25" s="403" t="s">
        <v>363</v>
      </c>
      <c r="B25" s="404"/>
      <c r="C25" s="410" t="n">
        <f aca="false">IF(C3&gt;ProjectLife+1,0,IF(Operations!C30=0,0,VEP*((1+VEP_ESCAL)^('PPA Assumptions &amp;Summary'!C4-BaseYr))))</f>
        <v>0.888657346491228</v>
      </c>
      <c r="D25" s="410" t="n">
        <f aca="false">IF(D3&gt;ProjectLife+1,0,IF(Operations!D30=0,0,VEP*((1+VEP_ESCAL)^('PPA Assumptions &amp;Summary'!D4-BaseYr))))</f>
        <v>0.915317066885965</v>
      </c>
      <c r="E25" s="410" t="n">
        <f aca="false">IF(E3&gt;ProjectLife+1,0,IF(Operations!E30=0,0,VEP*((1+VEP_ESCAL)^('PPA Assumptions &amp;Summary'!E4-BaseYr))))</f>
        <v>0.942776578892544</v>
      </c>
      <c r="F25" s="410" t="n">
        <f aca="false">IF(F3&gt;ProjectLife+1,0,IF(Operations!F30=0,0,VEP*((1+VEP_ESCAL)^('PPA Assumptions &amp;Summary'!F4-BaseYr))))</f>
        <v>0.97105987625932</v>
      </c>
      <c r="G25" s="410" t="n">
        <f aca="false">IF(G3&gt;ProjectLife+1,0,IF(Operations!G30=0,0,VEP*((1+VEP_ESCAL)^('PPA Assumptions &amp;Summary'!G4-BaseYr))))</f>
        <v>1.0001916725471</v>
      </c>
      <c r="H25" s="410" t="n">
        <f aca="false">IF(H3&gt;ProjectLife+1,0,IF(Operations!H30=0,0,VEP*((1+VEP_ESCAL)^('PPA Assumptions &amp;Summary'!H4-BaseYr))))</f>
        <v>1.03019742272351</v>
      </c>
      <c r="I25" s="410" t="n">
        <f aca="false">IF(I3&gt;ProjectLife+1,0,IF(Operations!I30=0,0,VEP*((1+VEP_ESCAL)^('PPA Assumptions &amp;Summary'!I4-BaseYr))))</f>
        <v>1.06110334540522</v>
      </c>
      <c r="J25" s="410" t="n">
        <f aca="false">IF(J3&gt;ProjectLife+1,0,IF(Operations!J30=0,0,VEP*((1+VEP_ESCAL)^('PPA Assumptions &amp;Summary'!J4-BaseYr))))</f>
        <v>1.09293644576738</v>
      </c>
      <c r="K25" s="410" t="n">
        <f aca="false">IF(K3&gt;ProjectLife+1,0,IF(Operations!K30=0,0,VEP*((1+VEP_ESCAL)^('PPA Assumptions &amp;Summary'!K4-BaseYr))))</f>
        <v>1.1257245391404</v>
      </c>
      <c r="L25" s="410" t="n">
        <f aca="false">IF(L3&gt;ProjectLife+1,0,IF(Operations!L30=0,0,VEP*((1+VEP_ESCAL)^('PPA Assumptions &amp;Summary'!L4-BaseYr))))</f>
        <v>1.15949627531461</v>
      </c>
      <c r="M25" s="410" t="n">
        <f aca="false">IF(M3&gt;ProjectLife+1,0,IF(Operations!M30=0,0,VEP*((1+VEP_ESCAL)^('PPA Assumptions &amp;Summary'!M4-BaseYr))))</f>
        <v>1.19428116357405</v>
      </c>
      <c r="N25" s="410" t="n">
        <f aca="false">IF(N3&gt;ProjectLife+1,0,IF(Operations!N30=0,0,VEP*((1+VEP_ESCAL)^('PPA Assumptions &amp;Summary'!N4-BaseYr))))</f>
        <v>1.23010959848127</v>
      </c>
      <c r="O25" s="410" t="n">
        <f aca="false">IF(O3&gt;ProjectLife+1,0,IF(Operations!O30=0,0,VEP*((1+VEP_ESCAL)^('PPA Assumptions &amp;Summary'!O4-BaseYr))))</f>
        <v>1.26701288643571</v>
      </c>
      <c r="P25" s="410" t="n">
        <f aca="false">IF(P3&gt;ProjectLife+1,0,IF(Operations!P30=0,0,VEP*((1+VEP_ESCAL)^('PPA Assumptions &amp;Summary'!P4-BaseYr))))</f>
        <v>1.30502327302878</v>
      </c>
      <c r="Q25" s="410" t="n">
        <f aca="false">IF(Q3&gt;ProjectLife+1,0,IF(Operations!Q30=0,0,VEP*((1+VEP_ESCAL)^('PPA Assumptions &amp;Summary'!Q4-BaseYr))))</f>
        <v>1.34417397121964</v>
      </c>
      <c r="R25" s="410" t="n">
        <f aca="false">IF(R3&gt;ProjectLife+1,0,IF(Operations!R30=0,0,VEP*((1+VEP_ESCAL)^('PPA Assumptions &amp;Summary'!R4-BaseYr))))</f>
        <v>1.38449919035623</v>
      </c>
      <c r="S25" s="410" t="n">
        <f aca="false">IF(S3&gt;ProjectLife+1,0,IF(Operations!S30=0,0,VEP*((1+VEP_ESCAL)^('PPA Assumptions &amp;Summary'!S4-BaseYr))))</f>
        <v>1.42603416606692</v>
      </c>
      <c r="T25" s="410" t="n">
        <f aca="false">IF(T3&gt;ProjectLife+1,0,IF(Operations!T30=0,0,VEP*((1+VEP_ESCAL)^('PPA Assumptions &amp;Summary'!T4-BaseYr))))</f>
        <v>1.46881519104892</v>
      </c>
      <c r="U25" s="410" t="n">
        <f aca="false">IF(U3&gt;ProjectLife+1,0,IF(Operations!U30=0,0,VEP*((1+VEP_ESCAL)^('PPA Assumptions &amp;Summary'!U4-BaseYr))))</f>
        <v>1.51287964678039</v>
      </c>
      <c r="V25" s="410" t="n">
        <f aca="false">IF(V3&gt;ProjectLife+1,0,IF(Operations!V30=0,0,VEP*((1+VEP_ESCAL)^('PPA Assumptions &amp;Summary'!V4-BaseYr))))</f>
        <v>1.5582660361838</v>
      </c>
      <c r="W25" s="410" t="n">
        <f aca="false">IF(W3&gt;ProjectLife+1,0,IF(Operations!W30=0,0,VEP*((1+VEP_ESCAL)^('PPA Assumptions &amp;Summary'!W4-BaseYr))))</f>
        <v>1.60501401726932</v>
      </c>
      <c r="X25" s="410" t="n">
        <f aca="false">IF(X3&gt;ProjectLife+1,0,IF(Operations!X30=0,0,VEP*((1+VEP_ESCAL)^('PPA Assumptions &amp;Summary'!X4-BaseYr))))</f>
        <v>0</v>
      </c>
      <c r="Y25" s="410" t="n">
        <f aca="false">IF(Y3&gt;ProjectLife+1,0,IF(Operations!Y30=0,0,VEP*((1+VEP_ESCAL)^('PPA Assumptions &amp;Summary'!Y4-BaseYr))))</f>
        <v>0</v>
      </c>
      <c r="Z25" s="410" t="n">
        <f aca="false">IF(Z3&gt;ProjectLife+1,0,IF(Operations!Z30=0,0,VEP*((1+VEP_ESCAL)^('PPA Assumptions &amp;Summary'!Z4-BaseYr))))</f>
        <v>0</v>
      </c>
      <c r="AA25" s="411" t="n">
        <f aca="false">IF(AA3&gt;ProjectLife+1,0,IF(Operations!AA30=0,0,VEP*((1+VEP_ESCAL)^('PPA Assumptions &amp;Summary'!AA4-BaseYr))))</f>
        <v>0</v>
      </c>
      <c r="AB25" s="404"/>
      <c r="AC25" s="404"/>
      <c r="AD25" s="404"/>
      <c r="AE25" s="404"/>
      <c r="AF25" s="404"/>
      <c r="AG25" s="404"/>
      <c r="AH25" s="404"/>
      <c r="AI25" s="404"/>
      <c r="AJ25" s="404"/>
      <c r="AK25" s="404"/>
      <c r="AL25" s="404"/>
      <c r="AM25" s="404"/>
      <c r="AN25" s="404"/>
      <c r="AO25" s="404"/>
      <c r="AP25" s="404"/>
      <c r="AQ25" s="404"/>
      <c r="AR25" s="404"/>
      <c r="AS25" s="404"/>
      <c r="AT25" s="404"/>
      <c r="AU25" s="404"/>
      <c r="AV25" s="404"/>
      <c r="AW25" s="404"/>
      <c r="AX25" s="404"/>
      <c r="AY25" s="404"/>
      <c r="AZ25" s="404"/>
      <c r="BA25" s="404"/>
      <c r="BB25" s="404"/>
      <c r="BC25" s="404"/>
      <c r="BD25" s="404"/>
      <c r="BE25" s="404"/>
      <c r="BF25" s="404"/>
      <c r="BG25" s="404"/>
      <c r="BH25" s="404"/>
      <c r="BI25" s="404"/>
      <c r="BJ25" s="404"/>
      <c r="BK25" s="404"/>
      <c r="BL25" s="404"/>
      <c r="BM25" s="404"/>
      <c r="BN25" s="404"/>
      <c r="BO25" s="404"/>
      <c r="BP25" s="404"/>
      <c r="BQ25" s="404"/>
      <c r="BR25" s="404"/>
      <c r="BS25" s="404"/>
      <c r="BT25" s="404"/>
      <c r="BU25" s="404"/>
      <c r="BV25" s="404"/>
      <c r="BW25" s="404"/>
      <c r="BX25" s="404"/>
      <c r="BY25" s="404"/>
      <c r="BZ25" s="404"/>
      <c r="CA25" s="404"/>
      <c r="CB25" s="404"/>
      <c r="CC25" s="404"/>
      <c r="CD25" s="404"/>
      <c r="CE25" s="404"/>
      <c r="CF25" s="404"/>
      <c r="CG25" s="404"/>
      <c r="CH25" s="404"/>
      <c r="CI25" s="404"/>
      <c r="CJ25" s="404"/>
      <c r="CK25" s="404"/>
      <c r="CL25" s="404"/>
      <c r="CM25" s="404"/>
      <c r="CN25" s="404"/>
      <c r="CO25" s="404"/>
      <c r="CP25" s="404"/>
      <c r="CQ25" s="404"/>
      <c r="CR25" s="404"/>
      <c r="CS25" s="404"/>
      <c r="CT25" s="404"/>
      <c r="CU25" s="404"/>
      <c r="CV25" s="404"/>
      <c r="CW25" s="404"/>
      <c r="CX25" s="404"/>
      <c r="CY25" s="404"/>
      <c r="CZ25" s="404"/>
      <c r="DA25" s="404"/>
      <c r="DB25" s="404"/>
      <c r="DC25" s="404"/>
      <c r="DD25" s="404"/>
      <c r="DE25" s="404"/>
      <c r="DF25" s="404"/>
      <c r="DG25" s="404"/>
      <c r="DH25" s="404"/>
      <c r="DI25" s="404"/>
      <c r="DJ25" s="404"/>
      <c r="DK25" s="404"/>
      <c r="DL25" s="404"/>
      <c r="DM25" s="404"/>
      <c r="DN25" s="404"/>
      <c r="DO25" s="404"/>
      <c r="DP25" s="404"/>
      <c r="DQ25" s="404"/>
      <c r="DR25" s="404"/>
      <c r="DS25" s="404"/>
      <c r="DT25" s="404"/>
      <c r="DU25" s="404"/>
      <c r="DV25" s="404"/>
      <c r="DW25" s="404"/>
      <c r="DX25" s="404"/>
      <c r="DY25" s="404"/>
      <c r="DZ25" s="404"/>
      <c r="EA25" s="404"/>
      <c r="EB25" s="404"/>
      <c r="EC25" s="404"/>
      <c r="ED25" s="404"/>
      <c r="EE25" s="404"/>
      <c r="EF25" s="404"/>
      <c r="EG25" s="404"/>
      <c r="EH25" s="404"/>
      <c r="EI25" s="404"/>
      <c r="EJ25" s="404"/>
      <c r="EK25" s="404"/>
      <c r="EL25" s="404"/>
      <c r="EM25" s="404"/>
      <c r="EN25" s="404"/>
      <c r="EO25" s="404"/>
      <c r="EP25" s="404"/>
      <c r="EQ25" s="404"/>
      <c r="ER25" s="404"/>
      <c r="ES25" s="404"/>
      <c r="ET25" s="404"/>
      <c r="EU25" s="404"/>
      <c r="EV25" s="404"/>
      <c r="EW25" s="404"/>
      <c r="EX25" s="404"/>
      <c r="EY25" s="404"/>
      <c r="EZ25" s="404"/>
      <c r="FA25" s="404"/>
      <c r="FB25" s="404"/>
      <c r="FC25" s="404"/>
      <c r="FD25" s="404"/>
      <c r="FE25" s="404"/>
      <c r="FF25" s="404"/>
      <c r="FG25" s="404"/>
      <c r="FH25" s="404"/>
      <c r="FI25" s="404"/>
      <c r="FJ25" s="404"/>
      <c r="FK25" s="404"/>
      <c r="FL25" s="404"/>
      <c r="FM25" s="404"/>
      <c r="FN25" s="404"/>
      <c r="FO25" s="404"/>
      <c r="FP25" s="404"/>
      <c r="FQ25" s="404"/>
      <c r="FR25" s="404"/>
      <c r="FS25" s="404"/>
      <c r="FT25" s="404"/>
      <c r="FU25" s="404"/>
      <c r="FV25" s="404"/>
      <c r="FW25" s="404"/>
      <c r="FX25" s="404"/>
      <c r="FY25" s="404"/>
      <c r="FZ25" s="404"/>
      <c r="GA25" s="404"/>
      <c r="GB25" s="404"/>
      <c r="GC25" s="404"/>
      <c r="GD25" s="404"/>
      <c r="GE25" s="404"/>
      <c r="GF25" s="404"/>
      <c r="GG25" s="404"/>
      <c r="GH25" s="404"/>
      <c r="GI25" s="404"/>
      <c r="GJ25" s="404"/>
      <c r="GK25" s="404"/>
      <c r="GL25" s="404"/>
      <c r="GM25" s="404"/>
      <c r="GN25" s="404"/>
      <c r="GO25" s="404"/>
      <c r="GP25" s="404"/>
      <c r="GQ25" s="404"/>
      <c r="GR25" s="404"/>
      <c r="GS25" s="404"/>
      <c r="GT25" s="404"/>
      <c r="GU25" s="404"/>
      <c r="GV25" s="404"/>
      <c r="GW25" s="404"/>
      <c r="GX25" s="404"/>
      <c r="GY25" s="404"/>
      <c r="GZ25" s="404"/>
      <c r="HA25" s="404"/>
      <c r="HB25" s="404"/>
      <c r="HC25" s="404"/>
      <c r="HD25" s="404"/>
      <c r="HE25" s="404"/>
      <c r="HF25" s="404"/>
      <c r="HG25" s="404"/>
      <c r="HH25" s="404"/>
      <c r="HI25" s="404"/>
      <c r="HJ25" s="404"/>
      <c r="HK25" s="404"/>
      <c r="HL25" s="404"/>
      <c r="HM25" s="404"/>
      <c r="HN25" s="404"/>
      <c r="HO25" s="404"/>
      <c r="HP25" s="404"/>
      <c r="HQ25" s="404"/>
      <c r="HR25" s="404"/>
      <c r="HS25" s="404"/>
      <c r="HT25" s="404"/>
      <c r="HU25" s="404"/>
      <c r="HV25" s="404"/>
      <c r="HW25" s="404"/>
      <c r="HX25" s="404"/>
      <c r="HY25" s="404"/>
      <c r="HZ25" s="404"/>
      <c r="IA25" s="404"/>
      <c r="IB25" s="404"/>
      <c r="IC25" s="404"/>
      <c r="ID25" s="404"/>
      <c r="IE25" s="404"/>
      <c r="IF25" s="404"/>
      <c r="IG25" s="404"/>
      <c r="IH25" s="404"/>
      <c r="II25" s="404"/>
      <c r="IJ25" s="404"/>
      <c r="IK25" s="404"/>
      <c r="IL25" s="404"/>
      <c r="IM25" s="404"/>
      <c r="IN25" s="404"/>
      <c r="IO25" s="404"/>
      <c r="IP25" s="404"/>
      <c r="IQ25" s="404"/>
      <c r="IR25" s="404"/>
      <c r="IS25" s="404"/>
      <c r="IT25" s="404"/>
      <c r="IU25" s="404"/>
      <c r="IV25" s="404"/>
      <c r="IW25" s="404"/>
    </row>
    <row r="26" customFormat="false" ht="12.6" hidden="false" customHeight="true" outlineLevel="0" collapsed="false">
      <c r="A26" s="412" t="s">
        <v>364</v>
      </c>
      <c r="B26" s="413"/>
      <c r="C26" s="414" t="n">
        <f aca="false">IF(C3&gt;ProjectLife+1,0,SUM(C24:C25))</f>
        <v>30.8211573464912</v>
      </c>
      <c r="D26" s="414" t="n">
        <f aca="false">IF(D3&gt;ProjectLife+1,0,SUM(D24:D25))</f>
        <v>30.847817066886</v>
      </c>
      <c r="E26" s="414" t="n">
        <f aca="false">IF(E3&gt;ProjectLife+1,0,SUM(E24:E25))</f>
        <v>30.8752765788925</v>
      </c>
      <c r="F26" s="414" t="n">
        <f aca="false">IF(F3&gt;ProjectLife+1,0,SUM(F24:F25))</f>
        <v>30.9035598762593</v>
      </c>
      <c r="G26" s="414" t="n">
        <f aca="false">IF(G3&gt;ProjectLife+1,0,SUM(G24:G25))</f>
        <v>30.9326916725471</v>
      </c>
      <c r="H26" s="414" t="n">
        <f aca="false">IF(H3&gt;ProjectLife+1,0,SUM(H24:H25))</f>
        <v>30.9626974227235</v>
      </c>
      <c r="I26" s="414" t="n">
        <f aca="false">IF(I3&gt;ProjectLife+1,0,SUM(I24:I25))</f>
        <v>30.9936033454052</v>
      </c>
      <c r="J26" s="414" t="n">
        <f aca="false">IF(J3&gt;ProjectLife+1,0,SUM(J24:J25))</f>
        <v>31.0254364457674</v>
      </c>
      <c r="K26" s="414" t="n">
        <f aca="false">IF(K3&gt;ProjectLife+1,0,SUM(K24:K25))</f>
        <v>31.0582245391404</v>
      </c>
      <c r="L26" s="414" t="n">
        <f aca="false">IF(L3&gt;ProjectLife+1,0,SUM(L24:L25))</f>
        <v>31.0919962753146</v>
      </c>
      <c r="M26" s="414" t="n">
        <f aca="false">IF(M3&gt;ProjectLife+1,0,SUM(M24:M25))</f>
        <v>31.1267811635741</v>
      </c>
      <c r="N26" s="414" t="n">
        <f aca="false">IF(N3&gt;ProjectLife+1,0,SUM(N24:N25))</f>
        <v>31.1626095984813</v>
      </c>
      <c r="O26" s="414" t="n">
        <f aca="false">IF(O3&gt;ProjectLife+1,0,SUM(O24:O25))</f>
        <v>31.1995128864357</v>
      </c>
      <c r="P26" s="414" t="n">
        <f aca="false">IF(P3&gt;ProjectLife+1,0,SUM(P24:P25))</f>
        <v>31.2375232730288</v>
      </c>
      <c r="Q26" s="414" t="n">
        <f aca="false">IF(Q3&gt;ProjectLife+1,0,SUM(Q24:Q25))</f>
        <v>31.2766739712196</v>
      </c>
      <c r="R26" s="414" t="n">
        <f aca="false">IF(R3&gt;ProjectLife+1,0,SUM(R24:R25))</f>
        <v>31.3169991903562</v>
      </c>
      <c r="S26" s="414" t="n">
        <f aca="false">IF(S3&gt;ProjectLife+1,0,SUM(S24:S25))</f>
        <v>31.3585341660669</v>
      </c>
      <c r="T26" s="414" t="n">
        <f aca="false">IF(T3&gt;ProjectLife+1,0,SUM(T24:T25))</f>
        <v>31.4013151910489</v>
      </c>
      <c r="U26" s="414" t="n">
        <f aca="false">IF(U3&gt;ProjectLife+1,0,SUM(U24:U25))</f>
        <v>31.4453796467804</v>
      </c>
      <c r="V26" s="414" t="n">
        <f aca="false">IF(V3&gt;ProjectLife+1,0,SUM(V24:V25))</f>
        <v>31.4907660361838</v>
      </c>
      <c r="W26" s="414" t="n">
        <f aca="false">IF(W3&gt;ProjectLife+1,0,SUM(W24:W25))</f>
        <v>31.5375140172693</v>
      </c>
      <c r="X26" s="414" t="n">
        <f aca="false">IF(X3&gt;ProjectLife+1,0,SUM(X24:X25))</f>
        <v>0</v>
      </c>
      <c r="Y26" s="414" t="n">
        <f aca="false">IF(Y3&gt;ProjectLife+1,0,SUM(Y24:Y25))</f>
        <v>0</v>
      </c>
      <c r="Z26" s="414" t="n">
        <f aca="false">IF(Z3&gt;ProjectLife+1,0,SUM(Z24:Z25))</f>
        <v>0</v>
      </c>
      <c r="AA26" s="415" t="n">
        <f aca="false">IF(AA3&gt;ProjectLife+1,0,SUM(AA24:AA25))</f>
        <v>0</v>
      </c>
      <c r="AB26" s="404"/>
      <c r="AC26" s="404"/>
      <c r="AD26" s="404"/>
      <c r="AE26" s="404"/>
      <c r="AF26" s="404"/>
      <c r="AG26" s="404"/>
      <c r="AH26" s="404"/>
      <c r="AI26" s="404"/>
      <c r="AJ26" s="404"/>
      <c r="AK26" s="404"/>
      <c r="AL26" s="404"/>
      <c r="AM26" s="404"/>
      <c r="AN26" s="404"/>
      <c r="AO26" s="404"/>
      <c r="AP26" s="404"/>
      <c r="AQ26" s="404"/>
      <c r="AR26" s="404"/>
      <c r="AS26" s="404"/>
      <c r="AT26" s="404"/>
      <c r="AU26" s="404"/>
      <c r="AV26" s="404"/>
      <c r="AW26" s="404"/>
      <c r="AX26" s="404"/>
      <c r="AY26" s="404"/>
      <c r="AZ26" s="404"/>
      <c r="BA26" s="404"/>
      <c r="BB26" s="404"/>
      <c r="BC26" s="404"/>
      <c r="BD26" s="404"/>
      <c r="BE26" s="404"/>
      <c r="BF26" s="404"/>
      <c r="BG26" s="404"/>
      <c r="BH26" s="404"/>
      <c r="BI26" s="404"/>
      <c r="BJ26" s="404"/>
      <c r="BK26" s="404"/>
      <c r="BL26" s="404"/>
      <c r="BM26" s="404"/>
      <c r="BN26" s="404"/>
      <c r="BO26" s="404"/>
      <c r="BP26" s="404"/>
      <c r="BQ26" s="404"/>
      <c r="BR26" s="404"/>
      <c r="BS26" s="404"/>
      <c r="BT26" s="404"/>
      <c r="BU26" s="404"/>
      <c r="BV26" s="404"/>
      <c r="BW26" s="404"/>
      <c r="BX26" s="404"/>
      <c r="BY26" s="404"/>
      <c r="BZ26" s="404"/>
      <c r="CA26" s="404"/>
      <c r="CB26" s="404"/>
      <c r="CC26" s="404"/>
      <c r="CD26" s="404"/>
      <c r="CE26" s="404"/>
      <c r="CF26" s="404"/>
      <c r="CG26" s="404"/>
      <c r="CH26" s="404"/>
      <c r="CI26" s="404"/>
      <c r="CJ26" s="404"/>
      <c r="CK26" s="404"/>
      <c r="CL26" s="404"/>
      <c r="CM26" s="404"/>
      <c r="CN26" s="404"/>
      <c r="CO26" s="404"/>
      <c r="CP26" s="404"/>
      <c r="CQ26" s="404"/>
      <c r="CR26" s="404"/>
      <c r="CS26" s="404"/>
      <c r="CT26" s="404"/>
      <c r="CU26" s="404"/>
      <c r="CV26" s="404"/>
      <c r="CW26" s="404"/>
      <c r="CX26" s="404"/>
      <c r="CY26" s="404"/>
      <c r="CZ26" s="404"/>
      <c r="DA26" s="404"/>
      <c r="DB26" s="404"/>
      <c r="DC26" s="404"/>
      <c r="DD26" s="404"/>
      <c r="DE26" s="404"/>
      <c r="DF26" s="404"/>
      <c r="DG26" s="404"/>
      <c r="DH26" s="404"/>
      <c r="DI26" s="404"/>
      <c r="DJ26" s="404"/>
      <c r="DK26" s="404"/>
      <c r="DL26" s="404"/>
      <c r="DM26" s="404"/>
      <c r="DN26" s="404"/>
      <c r="DO26" s="404"/>
      <c r="DP26" s="404"/>
      <c r="DQ26" s="404"/>
      <c r="DR26" s="404"/>
      <c r="DS26" s="404"/>
      <c r="DT26" s="404"/>
      <c r="DU26" s="404"/>
      <c r="DV26" s="404"/>
      <c r="DW26" s="404"/>
      <c r="DX26" s="404"/>
      <c r="DY26" s="404"/>
      <c r="DZ26" s="404"/>
      <c r="EA26" s="404"/>
      <c r="EB26" s="404"/>
      <c r="EC26" s="404"/>
      <c r="ED26" s="404"/>
      <c r="EE26" s="404"/>
      <c r="EF26" s="404"/>
      <c r="EG26" s="404"/>
      <c r="EH26" s="404"/>
      <c r="EI26" s="404"/>
      <c r="EJ26" s="404"/>
      <c r="EK26" s="404"/>
      <c r="EL26" s="404"/>
      <c r="EM26" s="404"/>
      <c r="EN26" s="404"/>
      <c r="EO26" s="404"/>
      <c r="EP26" s="404"/>
      <c r="EQ26" s="404"/>
      <c r="ER26" s="404"/>
      <c r="ES26" s="404"/>
      <c r="ET26" s="404"/>
      <c r="EU26" s="404"/>
      <c r="EV26" s="404"/>
      <c r="EW26" s="404"/>
      <c r="EX26" s="404"/>
      <c r="EY26" s="404"/>
      <c r="EZ26" s="404"/>
      <c r="FA26" s="404"/>
      <c r="FB26" s="404"/>
      <c r="FC26" s="404"/>
      <c r="FD26" s="404"/>
      <c r="FE26" s="404"/>
      <c r="FF26" s="404"/>
      <c r="FG26" s="404"/>
      <c r="FH26" s="404"/>
      <c r="FI26" s="404"/>
      <c r="FJ26" s="404"/>
      <c r="FK26" s="404"/>
      <c r="FL26" s="404"/>
      <c r="FM26" s="404"/>
      <c r="FN26" s="404"/>
      <c r="FO26" s="404"/>
      <c r="FP26" s="404"/>
      <c r="FQ26" s="404"/>
      <c r="FR26" s="404"/>
      <c r="FS26" s="404"/>
      <c r="FT26" s="404"/>
      <c r="FU26" s="404"/>
      <c r="FV26" s="404"/>
      <c r="FW26" s="404"/>
      <c r="FX26" s="404"/>
      <c r="FY26" s="404"/>
      <c r="FZ26" s="404"/>
      <c r="GA26" s="404"/>
      <c r="GB26" s="404"/>
      <c r="GC26" s="404"/>
      <c r="GD26" s="404"/>
      <c r="GE26" s="404"/>
      <c r="GF26" s="404"/>
      <c r="GG26" s="404"/>
      <c r="GH26" s="404"/>
      <c r="GI26" s="404"/>
      <c r="GJ26" s="404"/>
      <c r="GK26" s="404"/>
      <c r="GL26" s="404"/>
      <c r="GM26" s="404"/>
      <c r="GN26" s="404"/>
      <c r="GO26" s="404"/>
      <c r="GP26" s="404"/>
      <c r="GQ26" s="404"/>
      <c r="GR26" s="404"/>
      <c r="GS26" s="404"/>
      <c r="GT26" s="404"/>
      <c r="GU26" s="404"/>
      <c r="GV26" s="404"/>
      <c r="GW26" s="404"/>
      <c r="GX26" s="404"/>
      <c r="GY26" s="404"/>
      <c r="GZ26" s="404"/>
      <c r="HA26" s="404"/>
      <c r="HB26" s="404"/>
      <c r="HC26" s="404"/>
      <c r="HD26" s="404"/>
      <c r="HE26" s="404"/>
      <c r="HF26" s="404"/>
      <c r="HG26" s="404"/>
      <c r="HH26" s="404"/>
      <c r="HI26" s="404"/>
      <c r="HJ26" s="404"/>
      <c r="HK26" s="404"/>
      <c r="HL26" s="404"/>
      <c r="HM26" s="404"/>
      <c r="HN26" s="404"/>
      <c r="HO26" s="404"/>
      <c r="HP26" s="404"/>
      <c r="HQ26" s="404"/>
      <c r="HR26" s="404"/>
      <c r="HS26" s="404"/>
      <c r="HT26" s="404"/>
      <c r="HU26" s="404"/>
      <c r="HV26" s="404"/>
      <c r="HW26" s="404"/>
      <c r="HX26" s="404"/>
      <c r="HY26" s="404"/>
      <c r="HZ26" s="404"/>
      <c r="IA26" s="404"/>
      <c r="IB26" s="404"/>
      <c r="IC26" s="404"/>
      <c r="ID26" s="404"/>
      <c r="IE26" s="404"/>
      <c r="IF26" s="404"/>
      <c r="IG26" s="404"/>
      <c r="IH26" s="404"/>
      <c r="II26" s="404"/>
      <c r="IJ26" s="404"/>
      <c r="IK26" s="404"/>
      <c r="IL26" s="404"/>
      <c r="IM26" s="404"/>
      <c r="IN26" s="404"/>
      <c r="IO26" s="404"/>
      <c r="IP26" s="404"/>
      <c r="IQ26" s="404"/>
      <c r="IR26" s="404"/>
      <c r="IS26" s="404"/>
      <c r="IT26" s="404"/>
      <c r="IU26" s="404"/>
      <c r="IV26" s="404"/>
      <c r="IW26" s="404"/>
    </row>
    <row r="27" customFormat="false" ht="12.6" hidden="false" customHeight="true" outlineLevel="0" collapsed="false">
      <c r="A27" s="416"/>
      <c r="B27" s="404"/>
      <c r="C27" s="417"/>
      <c r="D27" s="417"/>
      <c r="E27" s="417"/>
      <c r="F27" s="417"/>
      <c r="G27" s="417"/>
      <c r="H27" s="417"/>
      <c r="I27" s="417"/>
      <c r="J27" s="417"/>
      <c r="K27" s="417"/>
      <c r="L27" s="417"/>
      <c r="M27" s="417"/>
      <c r="N27" s="417"/>
      <c r="O27" s="417"/>
      <c r="P27" s="417"/>
      <c r="Q27" s="417"/>
      <c r="R27" s="417"/>
      <c r="S27" s="417"/>
      <c r="T27" s="417"/>
      <c r="U27" s="417"/>
      <c r="V27" s="417"/>
      <c r="W27" s="417"/>
      <c r="X27" s="417"/>
      <c r="Y27" s="417"/>
      <c r="Z27" s="417"/>
      <c r="AA27" s="417"/>
      <c r="AB27" s="404"/>
      <c r="AC27" s="404"/>
      <c r="AD27" s="404"/>
      <c r="AE27" s="404"/>
      <c r="AF27" s="404"/>
      <c r="AG27" s="404"/>
      <c r="AH27" s="404"/>
      <c r="AI27" s="404"/>
      <c r="AJ27" s="404"/>
      <c r="AK27" s="404"/>
      <c r="AL27" s="404"/>
      <c r="AM27" s="404"/>
      <c r="AN27" s="404"/>
      <c r="AO27" s="404"/>
      <c r="AP27" s="404"/>
      <c r="AQ27" s="404"/>
      <c r="AR27" s="404"/>
      <c r="AS27" s="404"/>
      <c r="AT27" s="404"/>
      <c r="AU27" s="404"/>
      <c r="AV27" s="404"/>
      <c r="AW27" s="404"/>
      <c r="AX27" s="404"/>
      <c r="AY27" s="404"/>
      <c r="AZ27" s="404"/>
      <c r="BA27" s="404"/>
      <c r="BB27" s="404"/>
      <c r="BC27" s="404"/>
      <c r="BD27" s="404"/>
      <c r="BE27" s="404"/>
      <c r="BF27" s="404"/>
      <c r="BG27" s="404"/>
      <c r="BH27" s="404"/>
      <c r="BI27" s="404"/>
      <c r="BJ27" s="404"/>
      <c r="BK27" s="404"/>
      <c r="BL27" s="404"/>
      <c r="BM27" s="404"/>
      <c r="BN27" s="404"/>
      <c r="BO27" s="404"/>
      <c r="BP27" s="404"/>
      <c r="BQ27" s="404"/>
      <c r="BR27" s="404"/>
      <c r="BS27" s="404"/>
      <c r="BT27" s="404"/>
      <c r="BU27" s="404"/>
      <c r="BV27" s="404"/>
      <c r="BW27" s="404"/>
      <c r="BX27" s="404"/>
      <c r="BY27" s="404"/>
      <c r="BZ27" s="404"/>
      <c r="CA27" s="404"/>
      <c r="CB27" s="404"/>
      <c r="CC27" s="404"/>
      <c r="CD27" s="404"/>
      <c r="CE27" s="404"/>
      <c r="CF27" s="404"/>
      <c r="CG27" s="404"/>
      <c r="CH27" s="404"/>
      <c r="CI27" s="404"/>
      <c r="CJ27" s="404"/>
      <c r="CK27" s="404"/>
      <c r="CL27" s="404"/>
      <c r="CM27" s="404"/>
      <c r="CN27" s="404"/>
      <c r="CO27" s="404"/>
      <c r="CP27" s="404"/>
      <c r="CQ27" s="404"/>
      <c r="CR27" s="404"/>
      <c r="CS27" s="404"/>
      <c r="CT27" s="404"/>
      <c r="CU27" s="404"/>
      <c r="CV27" s="404"/>
      <c r="CW27" s="404"/>
      <c r="CX27" s="404"/>
      <c r="CY27" s="404"/>
      <c r="CZ27" s="404"/>
      <c r="DA27" s="404"/>
      <c r="DB27" s="404"/>
      <c r="DC27" s="404"/>
      <c r="DD27" s="404"/>
      <c r="DE27" s="404"/>
      <c r="DF27" s="404"/>
      <c r="DG27" s="404"/>
      <c r="DH27" s="404"/>
      <c r="DI27" s="404"/>
      <c r="DJ27" s="404"/>
      <c r="DK27" s="404"/>
      <c r="DL27" s="404"/>
      <c r="DM27" s="404"/>
      <c r="DN27" s="404"/>
      <c r="DO27" s="404"/>
      <c r="DP27" s="404"/>
      <c r="DQ27" s="404"/>
      <c r="DR27" s="404"/>
      <c r="DS27" s="404"/>
      <c r="DT27" s="404"/>
      <c r="DU27" s="404"/>
      <c r="DV27" s="404"/>
      <c r="DW27" s="404"/>
      <c r="DX27" s="404"/>
      <c r="DY27" s="404"/>
      <c r="DZ27" s="404"/>
      <c r="EA27" s="404"/>
      <c r="EB27" s="404"/>
      <c r="EC27" s="404"/>
      <c r="ED27" s="404"/>
      <c r="EE27" s="404"/>
      <c r="EF27" s="404"/>
      <c r="EG27" s="404"/>
      <c r="EH27" s="404"/>
      <c r="EI27" s="404"/>
      <c r="EJ27" s="404"/>
      <c r="EK27" s="404"/>
      <c r="EL27" s="404"/>
      <c r="EM27" s="404"/>
      <c r="EN27" s="404"/>
      <c r="EO27" s="404"/>
      <c r="EP27" s="404"/>
      <c r="EQ27" s="404"/>
      <c r="ER27" s="404"/>
      <c r="ES27" s="404"/>
      <c r="ET27" s="404"/>
      <c r="EU27" s="404"/>
      <c r="EV27" s="404"/>
      <c r="EW27" s="404"/>
      <c r="EX27" s="404"/>
      <c r="EY27" s="404"/>
      <c r="EZ27" s="404"/>
      <c r="FA27" s="404"/>
      <c r="FB27" s="404"/>
      <c r="FC27" s="404"/>
      <c r="FD27" s="404"/>
      <c r="FE27" s="404"/>
      <c r="FF27" s="404"/>
      <c r="FG27" s="404"/>
      <c r="FH27" s="404"/>
      <c r="FI27" s="404"/>
      <c r="FJ27" s="404"/>
      <c r="FK27" s="404"/>
      <c r="FL27" s="404"/>
      <c r="FM27" s="404"/>
      <c r="FN27" s="404"/>
      <c r="FO27" s="404"/>
      <c r="FP27" s="404"/>
      <c r="FQ27" s="404"/>
      <c r="FR27" s="404"/>
      <c r="FS27" s="404"/>
      <c r="FT27" s="404"/>
      <c r="FU27" s="404"/>
      <c r="FV27" s="404"/>
      <c r="FW27" s="404"/>
      <c r="FX27" s="404"/>
      <c r="FY27" s="404"/>
      <c r="FZ27" s="404"/>
      <c r="GA27" s="404"/>
      <c r="GB27" s="404"/>
      <c r="GC27" s="404"/>
      <c r="GD27" s="404"/>
      <c r="GE27" s="404"/>
      <c r="GF27" s="404"/>
      <c r="GG27" s="404"/>
      <c r="GH27" s="404"/>
      <c r="GI27" s="404"/>
      <c r="GJ27" s="404"/>
      <c r="GK27" s="404"/>
      <c r="GL27" s="404"/>
      <c r="GM27" s="404"/>
      <c r="GN27" s="404"/>
      <c r="GO27" s="404"/>
      <c r="GP27" s="404"/>
      <c r="GQ27" s="404"/>
      <c r="GR27" s="404"/>
      <c r="GS27" s="404"/>
      <c r="GT27" s="404"/>
      <c r="GU27" s="404"/>
      <c r="GV27" s="404"/>
      <c r="GW27" s="404"/>
      <c r="GX27" s="404"/>
      <c r="GY27" s="404"/>
      <c r="GZ27" s="404"/>
      <c r="HA27" s="404"/>
      <c r="HB27" s="404"/>
      <c r="HC27" s="404"/>
      <c r="HD27" s="404"/>
      <c r="HE27" s="404"/>
      <c r="HF27" s="404"/>
      <c r="HG27" s="404"/>
      <c r="HH27" s="404"/>
      <c r="HI27" s="404"/>
      <c r="HJ27" s="404"/>
      <c r="HK27" s="404"/>
      <c r="HL27" s="404"/>
      <c r="HM27" s="404"/>
      <c r="HN27" s="404"/>
      <c r="HO27" s="404"/>
      <c r="HP27" s="404"/>
      <c r="HQ27" s="404"/>
      <c r="HR27" s="404"/>
      <c r="HS27" s="404"/>
      <c r="HT27" s="404"/>
      <c r="HU27" s="404"/>
      <c r="HV27" s="404"/>
      <c r="HW27" s="404"/>
      <c r="HX27" s="404"/>
      <c r="HY27" s="404"/>
      <c r="HZ27" s="404"/>
      <c r="IA27" s="404"/>
      <c r="IB27" s="404"/>
      <c r="IC27" s="404"/>
      <c r="ID27" s="404"/>
      <c r="IE27" s="404"/>
      <c r="IF27" s="404"/>
      <c r="IG27" s="404"/>
      <c r="IH27" s="404"/>
      <c r="II27" s="404"/>
      <c r="IJ27" s="404"/>
      <c r="IK27" s="404"/>
      <c r="IL27" s="404"/>
      <c r="IM27" s="404"/>
      <c r="IN27" s="404"/>
      <c r="IO27" s="404"/>
      <c r="IP27" s="404"/>
      <c r="IQ27" s="404"/>
      <c r="IR27" s="404"/>
      <c r="IS27" s="404"/>
      <c r="IT27" s="404"/>
      <c r="IU27" s="404"/>
      <c r="IV27" s="404"/>
      <c r="IW27" s="404"/>
    </row>
    <row r="28" customFormat="false" ht="15.75" hidden="false" customHeight="false" outlineLevel="0" collapsed="false">
      <c r="A28" s="418" t="s">
        <v>365</v>
      </c>
      <c r="B28" s="419"/>
      <c r="C28" s="419"/>
      <c r="D28" s="419"/>
      <c r="E28" s="419"/>
      <c r="F28" s="419"/>
      <c r="G28" s="419"/>
      <c r="H28" s="419"/>
      <c r="I28" s="419"/>
      <c r="J28" s="419"/>
      <c r="K28" s="419"/>
      <c r="L28" s="419"/>
      <c r="M28" s="419"/>
      <c r="N28" s="419"/>
      <c r="O28" s="419"/>
      <c r="P28" s="419"/>
      <c r="Q28" s="419"/>
      <c r="R28" s="419"/>
      <c r="S28" s="419"/>
      <c r="T28" s="419"/>
      <c r="U28" s="419"/>
      <c r="V28" s="419"/>
      <c r="W28" s="419"/>
      <c r="X28" s="419"/>
      <c r="Y28" s="419"/>
      <c r="Z28" s="419"/>
      <c r="AA28" s="420"/>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1"/>
      <c r="AZ28" s="371"/>
      <c r="BA28" s="371"/>
      <c r="BB28" s="371"/>
      <c r="BC28" s="371"/>
      <c r="BD28" s="371"/>
      <c r="BE28" s="371"/>
      <c r="BF28" s="371"/>
      <c r="BG28" s="371"/>
      <c r="BH28" s="371"/>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371"/>
      <c r="CL28" s="371"/>
      <c r="CM28" s="371"/>
      <c r="CN28" s="371"/>
      <c r="CO28" s="371"/>
      <c r="CP28" s="371"/>
      <c r="CQ28" s="371"/>
      <c r="CR28" s="371"/>
      <c r="CS28" s="371"/>
      <c r="CT28" s="371"/>
      <c r="CU28" s="371"/>
      <c r="CV28" s="371"/>
      <c r="CW28" s="371"/>
      <c r="CX28" s="371"/>
      <c r="CY28" s="371"/>
      <c r="CZ28" s="371"/>
      <c r="DA28" s="371"/>
      <c r="DB28" s="371"/>
      <c r="DC28" s="371"/>
      <c r="DD28" s="371"/>
      <c r="DE28" s="371"/>
      <c r="DF28" s="371"/>
      <c r="DG28" s="371"/>
      <c r="DH28" s="371"/>
      <c r="DI28" s="371"/>
      <c r="DJ28" s="371"/>
      <c r="DK28" s="371"/>
      <c r="DL28" s="371"/>
      <c r="DM28" s="371"/>
      <c r="DN28" s="371"/>
      <c r="DO28" s="371"/>
      <c r="DP28" s="371"/>
      <c r="DQ28" s="371"/>
      <c r="DR28" s="371"/>
      <c r="DS28" s="371"/>
      <c r="DT28" s="371"/>
      <c r="DU28" s="371"/>
      <c r="DV28" s="371"/>
      <c r="DW28" s="371"/>
      <c r="DX28" s="371"/>
      <c r="DY28" s="371"/>
      <c r="DZ28" s="371"/>
      <c r="EA28" s="371"/>
      <c r="EB28" s="371"/>
      <c r="EC28" s="371"/>
      <c r="ED28" s="371"/>
      <c r="EE28" s="371"/>
      <c r="EF28" s="371"/>
      <c r="EG28" s="371"/>
      <c r="EH28" s="371"/>
      <c r="EI28" s="371"/>
      <c r="EJ28" s="371"/>
      <c r="EK28" s="371"/>
      <c r="EL28" s="371"/>
      <c r="EM28" s="371"/>
      <c r="EN28" s="371"/>
      <c r="EO28" s="371"/>
      <c r="EP28" s="371"/>
      <c r="EQ28" s="371"/>
      <c r="ER28" s="371"/>
      <c r="ES28" s="371"/>
      <c r="ET28" s="371"/>
      <c r="EU28" s="371"/>
      <c r="EV28" s="371"/>
      <c r="EW28" s="371"/>
      <c r="EX28" s="371"/>
      <c r="EY28" s="371"/>
      <c r="EZ28" s="371"/>
      <c r="FA28" s="371"/>
      <c r="FB28" s="371"/>
      <c r="FC28" s="371"/>
      <c r="FD28" s="371"/>
      <c r="FE28" s="371"/>
      <c r="FF28" s="371"/>
      <c r="FG28" s="371"/>
      <c r="FH28" s="371"/>
      <c r="FI28" s="371"/>
      <c r="FJ28" s="371"/>
      <c r="FK28" s="371"/>
      <c r="FL28" s="371"/>
      <c r="FM28" s="371"/>
      <c r="FN28" s="371"/>
      <c r="FO28" s="371"/>
      <c r="FP28" s="371"/>
      <c r="FQ28" s="371"/>
      <c r="FR28" s="371"/>
      <c r="FS28" s="371"/>
      <c r="FT28" s="371"/>
      <c r="FU28" s="371"/>
      <c r="FV28" s="371"/>
      <c r="FW28" s="371"/>
      <c r="FX28" s="371"/>
      <c r="FY28" s="371"/>
      <c r="FZ28" s="371"/>
      <c r="GA28" s="371"/>
      <c r="GB28" s="371"/>
      <c r="GC28" s="371"/>
      <c r="GD28" s="371"/>
      <c r="GE28" s="371"/>
      <c r="GF28" s="371"/>
      <c r="GG28" s="371"/>
      <c r="GH28" s="371"/>
      <c r="GI28" s="371"/>
      <c r="GJ28" s="371"/>
      <c r="GK28" s="371"/>
      <c r="GL28" s="371"/>
      <c r="GM28" s="371"/>
      <c r="GN28" s="371"/>
      <c r="GO28" s="371"/>
      <c r="GP28" s="371"/>
      <c r="GQ28" s="371"/>
      <c r="GR28" s="371"/>
      <c r="GS28" s="371"/>
      <c r="GT28" s="371"/>
      <c r="GU28" s="371"/>
      <c r="GV28" s="371"/>
      <c r="GW28" s="371"/>
      <c r="GX28" s="371"/>
      <c r="GY28" s="371"/>
      <c r="GZ28" s="371"/>
      <c r="HA28" s="371"/>
      <c r="HB28" s="371"/>
      <c r="HC28" s="371"/>
      <c r="HD28" s="371"/>
      <c r="HE28" s="371"/>
      <c r="HF28" s="371"/>
      <c r="HG28" s="371"/>
      <c r="HH28" s="371"/>
      <c r="HI28" s="371"/>
      <c r="HJ28" s="371"/>
      <c r="HK28" s="371"/>
      <c r="HL28" s="371"/>
      <c r="HM28" s="371"/>
      <c r="HN28" s="371"/>
      <c r="HO28" s="371"/>
      <c r="HP28" s="371"/>
      <c r="HQ28" s="371"/>
      <c r="HR28" s="371"/>
      <c r="HS28" s="371"/>
      <c r="HT28" s="371"/>
      <c r="HU28" s="371"/>
      <c r="HV28" s="371"/>
      <c r="HW28" s="371"/>
      <c r="HX28" s="371"/>
      <c r="HY28" s="371"/>
      <c r="HZ28" s="371"/>
      <c r="IA28" s="371"/>
      <c r="IB28" s="371"/>
      <c r="IC28" s="371"/>
      <c r="ID28" s="371"/>
      <c r="IE28" s="371"/>
      <c r="IF28" s="371"/>
      <c r="IG28" s="371"/>
      <c r="IH28" s="371"/>
      <c r="II28" s="371"/>
      <c r="IJ28" s="371"/>
      <c r="IK28" s="371"/>
      <c r="IL28" s="371"/>
      <c r="IM28" s="371"/>
      <c r="IN28" s="371"/>
      <c r="IO28" s="371"/>
      <c r="IP28" s="371"/>
      <c r="IQ28" s="371"/>
      <c r="IR28" s="371"/>
      <c r="IS28" s="371"/>
      <c r="IT28" s="371"/>
      <c r="IU28" s="371"/>
      <c r="IV28" s="371"/>
      <c r="IW28" s="371"/>
    </row>
    <row r="29" customFormat="false" ht="11.25" hidden="false" customHeight="false" outlineLevel="0" collapsed="false">
      <c r="A29" s="421" t="s">
        <v>366</v>
      </c>
      <c r="B29" s="422" t="s">
        <v>367</v>
      </c>
      <c r="C29" s="422"/>
      <c r="D29" s="422"/>
      <c r="E29" s="422"/>
      <c r="F29" s="422"/>
      <c r="G29" s="422"/>
      <c r="H29" s="422"/>
      <c r="I29" s="422"/>
      <c r="J29" s="422"/>
      <c r="K29" s="422"/>
      <c r="L29" s="422"/>
      <c r="M29" s="422"/>
      <c r="N29" s="422"/>
      <c r="O29" s="422"/>
      <c r="P29" s="422"/>
      <c r="Q29" s="422"/>
      <c r="R29" s="422"/>
      <c r="S29" s="422"/>
      <c r="T29" s="422"/>
      <c r="U29" s="422"/>
      <c r="V29" s="422"/>
      <c r="W29" s="422"/>
      <c r="X29" s="422"/>
      <c r="Y29" s="422"/>
      <c r="Z29" s="422"/>
      <c r="AA29" s="423"/>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1"/>
      <c r="AZ29" s="371"/>
      <c r="BA29" s="371"/>
      <c r="BB29" s="371"/>
      <c r="BC29" s="371"/>
      <c r="BD29" s="371"/>
      <c r="BE29" s="371"/>
      <c r="BF29" s="371"/>
      <c r="BG29" s="371"/>
      <c r="BH29" s="371"/>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371"/>
      <c r="CL29" s="371"/>
      <c r="CM29" s="371"/>
      <c r="CN29" s="371"/>
      <c r="CO29" s="371"/>
      <c r="CP29" s="371"/>
      <c r="CQ29" s="371"/>
      <c r="CR29" s="371"/>
      <c r="CS29" s="371"/>
      <c r="CT29" s="371"/>
      <c r="CU29" s="371"/>
      <c r="CV29" s="371"/>
      <c r="CW29" s="371"/>
      <c r="CX29" s="371"/>
      <c r="CY29" s="371"/>
      <c r="CZ29" s="371"/>
      <c r="DA29" s="371"/>
      <c r="DB29" s="371"/>
      <c r="DC29" s="371"/>
      <c r="DD29" s="371"/>
      <c r="DE29" s="371"/>
      <c r="DF29" s="371"/>
      <c r="DG29" s="371"/>
      <c r="DH29" s="371"/>
      <c r="DI29" s="371"/>
      <c r="DJ29" s="371"/>
      <c r="DK29" s="371"/>
      <c r="DL29" s="371"/>
      <c r="DM29" s="371"/>
      <c r="DN29" s="371"/>
      <c r="DO29" s="371"/>
      <c r="DP29" s="371"/>
      <c r="DQ29" s="371"/>
      <c r="DR29" s="371"/>
      <c r="DS29" s="371"/>
      <c r="DT29" s="371"/>
      <c r="DU29" s="371"/>
      <c r="DV29" s="371"/>
      <c r="DW29" s="371"/>
      <c r="DX29" s="371"/>
      <c r="DY29" s="371"/>
      <c r="DZ29" s="371"/>
      <c r="EA29" s="371"/>
      <c r="EB29" s="371"/>
      <c r="EC29" s="371"/>
      <c r="ED29" s="371"/>
      <c r="EE29" s="371"/>
      <c r="EF29" s="371"/>
      <c r="EG29" s="371"/>
      <c r="EH29" s="371"/>
      <c r="EI29" s="371"/>
      <c r="EJ29" s="371"/>
      <c r="EK29" s="371"/>
      <c r="EL29" s="371"/>
      <c r="EM29" s="371"/>
      <c r="EN29" s="371"/>
      <c r="EO29" s="371"/>
      <c r="EP29" s="371"/>
      <c r="EQ29" s="371"/>
      <c r="ER29" s="371"/>
      <c r="ES29" s="371"/>
      <c r="ET29" s="371"/>
      <c r="EU29" s="371"/>
      <c r="EV29" s="371"/>
      <c r="EW29" s="371"/>
      <c r="EX29" s="371"/>
      <c r="EY29" s="371"/>
      <c r="EZ29" s="371"/>
      <c r="FA29" s="371"/>
      <c r="FB29" s="371"/>
      <c r="FC29" s="371"/>
      <c r="FD29" s="371"/>
      <c r="FE29" s="371"/>
      <c r="FF29" s="371"/>
      <c r="FG29" s="371"/>
      <c r="FH29" s="371"/>
      <c r="FI29" s="371"/>
      <c r="FJ29" s="371"/>
      <c r="FK29" s="371"/>
      <c r="FL29" s="371"/>
      <c r="FM29" s="371"/>
      <c r="FN29" s="371"/>
      <c r="FO29" s="371"/>
      <c r="FP29" s="371"/>
      <c r="FQ29" s="371"/>
      <c r="FR29" s="371"/>
      <c r="FS29" s="371"/>
      <c r="FT29" s="371"/>
      <c r="FU29" s="371"/>
      <c r="FV29" s="371"/>
      <c r="FW29" s="371"/>
      <c r="FX29" s="371"/>
      <c r="FY29" s="371"/>
      <c r="FZ29" s="371"/>
      <c r="GA29" s="371"/>
      <c r="GB29" s="371"/>
      <c r="GC29" s="371"/>
      <c r="GD29" s="371"/>
      <c r="GE29" s="371"/>
      <c r="GF29" s="371"/>
      <c r="GG29" s="371"/>
      <c r="GH29" s="371"/>
      <c r="GI29" s="371"/>
      <c r="GJ29" s="371"/>
      <c r="GK29" s="371"/>
      <c r="GL29" s="371"/>
      <c r="GM29" s="371"/>
      <c r="GN29" s="371"/>
      <c r="GO29" s="371"/>
      <c r="GP29" s="371"/>
      <c r="GQ29" s="371"/>
      <c r="GR29" s="371"/>
      <c r="GS29" s="371"/>
      <c r="GT29" s="371"/>
      <c r="GU29" s="371"/>
      <c r="GV29" s="371"/>
      <c r="GW29" s="371"/>
      <c r="GX29" s="371"/>
      <c r="GY29" s="371"/>
      <c r="GZ29" s="371"/>
      <c r="HA29" s="371"/>
      <c r="HB29" s="371"/>
      <c r="HC29" s="371"/>
      <c r="HD29" s="371"/>
      <c r="HE29" s="371"/>
      <c r="HF29" s="371"/>
      <c r="HG29" s="371"/>
      <c r="HH29" s="371"/>
      <c r="HI29" s="371"/>
      <c r="HJ29" s="371"/>
      <c r="HK29" s="371"/>
      <c r="HL29" s="371"/>
      <c r="HM29" s="371"/>
      <c r="HN29" s="371"/>
      <c r="HO29" s="371"/>
      <c r="HP29" s="371"/>
      <c r="HQ29" s="371"/>
      <c r="HR29" s="371"/>
      <c r="HS29" s="371"/>
      <c r="HT29" s="371"/>
      <c r="HU29" s="371"/>
      <c r="HV29" s="371"/>
      <c r="HW29" s="371"/>
      <c r="HX29" s="371"/>
      <c r="HY29" s="371"/>
      <c r="HZ29" s="371"/>
      <c r="IA29" s="371"/>
      <c r="IB29" s="371"/>
      <c r="IC29" s="371"/>
      <c r="ID29" s="371"/>
      <c r="IE29" s="371"/>
      <c r="IF29" s="371"/>
      <c r="IG29" s="371"/>
      <c r="IH29" s="371"/>
      <c r="II29" s="371"/>
      <c r="IJ29" s="371"/>
      <c r="IK29" s="371"/>
      <c r="IL29" s="371"/>
      <c r="IM29" s="371"/>
      <c r="IN29" s="371"/>
      <c r="IO29" s="371"/>
      <c r="IP29" s="371"/>
      <c r="IQ29" s="371"/>
      <c r="IR29" s="371"/>
      <c r="IS29" s="371"/>
      <c r="IT29" s="371"/>
      <c r="IU29" s="371"/>
      <c r="IV29" s="371"/>
      <c r="IW29" s="371"/>
    </row>
    <row r="30" customFormat="false" ht="12.75" hidden="false" customHeight="false" outlineLevel="0" collapsed="false">
      <c r="A30" s="397" t="s">
        <v>368</v>
      </c>
      <c r="B30" s="424" t="n">
        <f aca="false">AVERAGE(C30:V30)</f>
        <v>926.718131967303</v>
      </c>
      <c r="C30" s="425" t="n">
        <f aca="false">'Book Income Statement'!D29</f>
        <v>648.3644</v>
      </c>
      <c r="D30" s="425" t="n">
        <f aca="false">'Book Income Statement'!E29</f>
        <v>667.815332</v>
      </c>
      <c r="E30" s="425" t="n">
        <f aca="false">'Book Income Statement'!F29</f>
        <v>687.84979196</v>
      </c>
      <c r="F30" s="425" t="n">
        <f aca="false">'Book Income Statement'!G29</f>
        <v>742.486100845495</v>
      </c>
      <c r="G30" s="425" t="n">
        <f aca="false">'Book Income Statement'!H29</f>
        <v>783.248498464958</v>
      </c>
      <c r="H30" s="425" t="n">
        <f aca="false">'Book Income Statement'!I29</f>
        <v>806.745953418907</v>
      </c>
      <c r="I30" s="425" t="n">
        <f aca="false">'Book Income Statement'!J29</f>
        <v>830.948332021474</v>
      </c>
      <c r="J30" s="425" t="n">
        <f aca="false">'Book Income Statement'!K29</f>
        <v>855.876781982118</v>
      </c>
      <c r="K30" s="425" t="n">
        <f aca="false">'Book Income Statement'!L29</f>
        <v>881.553085441582</v>
      </c>
      <c r="L30" s="425" t="n">
        <f aca="false">'Book Income Statement'!M29</f>
        <v>907.999678004829</v>
      </c>
      <c r="M30" s="425" t="n">
        <f aca="false">'Book Income Statement'!N29</f>
        <v>935.239668344974</v>
      </c>
      <c r="N30" s="425" t="n">
        <f aca="false">'Book Income Statement'!O29</f>
        <v>963.296858395323</v>
      </c>
      <c r="O30" s="425" t="n">
        <f aca="false">'Book Income Statement'!P29</f>
        <v>992.195764147183</v>
      </c>
      <c r="P30" s="425" t="n">
        <f aca="false">'Book Income Statement'!Q29</f>
        <v>1021.9616370716</v>
      </c>
      <c r="Q30" s="425" t="n">
        <f aca="false">'Book Income Statement'!R29</f>
        <v>1052.62048618375</v>
      </c>
      <c r="R30" s="425" t="n">
        <f aca="false">'Book Income Statement'!S29</f>
        <v>1084.19910076926</v>
      </c>
      <c r="S30" s="425" t="n">
        <f aca="false">'Book Income Statement'!T29</f>
        <v>1116.72507379234</v>
      </c>
      <c r="T30" s="425" t="n">
        <f aca="false">'Book Income Statement'!U29</f>
        <v>1150.22682600611</v>
      </c>
      <c r="U30" s="425" t="n">
        <f aca="false">'Book Income Statement'!V29</f>
        <v>1184.73363078629</v>
      </c>
      <c r="V30" s="425" t="n">
        <f aca="false">'Book Income Statement'!W29</f>
        <v>1220.27563970988</v>
      </c>
      <c r="W30" s="425" t="n">
        <f aca="false">'Book Income Statement'!X29</f>
        <v>529.811481043759</v>
      </c>
      <c r="X30" s="425" t="n">
        <f aca="false">'Book Income Statement'!Y29</f>
        <v>0</v>
      </c>
      <c r="Y30" s="425" t="n">
        <f aca="false">'Book Income Statement'!Z29</f>
        <v>0</v>
      </c>
      <c r="Z30" s="425" t="n">
        <f aca="false">'Book Income Statement'!AA29</f>
        <v>0</v>
      </c>
      <c r="AA30" s="426"/>
    </row>
    <row r="31" customFormat="false" ht="12.75" hidden="false" customHeight="false" outlineLevel="0" collapsed="false">
      <c r="A31" s="397" t="s">
        <v>369</v>
      </c>
      <c r="B31" s="427" t="n">
        <f aca="false">AVERAGE(C31:V31)</f>
        <v>2489.55524381375</v>
      </c>
      <c r="C31" s="425" t="n">
        <f aca="false">'Book Income Statement'!D36</f>
        <v>1853.0112</v>
      </c>
      <c r="D31" s="425" t="n">
        <f aca="false">'Book Income Statement'!E36</f>
        <v>1908.601536</v>
      </c>
      <c r="E31" s="425" t="n">
        <f aca="false">'Book Income Statement'!F36</f>
        <v>1965.85958208</v>
      </c>
      <c r="F31" s="425" t="n">
        <f aca="false">'Book Income Statement'!G36</f>
        <v>2024.8353695424</v>
      </c>
      <c r="G31" s="425" t="n">
        <f aca="false">'Book Income Statement'!H36</f>
        <v>2085.58043062867</v>
      </c>
      <c r="H31" s="425" t="n">
        <f aca="false">'Book Income Statement'!I36</f>
        <v>2148.14784354753</v>
      </c>
      <c r="I31" s="425" t="n">
        <f aca="false">'Book Income Statement'!J36</f>
        <v>2212.59227885396</v>
      </c>
      <c r="J31" s="425" t="n">
        <f aca="false">'Book Income Statement'!K36</f>
        <v>2278.97004721958</v>
      </c>
      <c r="K31" s="425" t="n">
        <f aca="false">'Book Income Statement'!L36</f>
        <v>2347.33914863616</v>
      </c>
      <c r="L31" s="425" t="n">
        <f aca="false">'Book Income Statement'!M36</f>
        <v>2417.75932309525</v>
      </c>
      <c r="M31" s="425" t="n">
        <f aca="false">'Book Income Statement'!N36</f>
        <v>2490.29210278811</v>
      </c>
      <c r="N31" s="425" t="n">
        <f aca="false">'Book Income Statement'!O36</f>
        <v>2565.00086587175</v>
      </c>
      <c r="O31" s="425" t="n">
        <f aca="false">'Book Income Statement'!P36</f>
        <v>2641.9508918479</v>
      </c>
      <c r="P31" s="425" t="n">
        <f aca="false">'Book Income Statement'!Q36</f>
        <v>2721.20941860334</v>
      </c>
      <c r="Q31" s="425" t="n">
        <f aca="false">'Book Income Statement'!R36</f>
        <v>2802.84570116144</v>
      </c>
      <c r="R31" s="425" t="n">
        <f aca="false">'Book Income Statement'!S36</f>
        <v>2886.93107219628</v>
      </c>
      <c r="S31" s="425" t="n">
        <f aca="false">'Book Income Statement'!T36</f>
        <v>2973.53900436217</v>
      </c>
      <c r="T31" s="425" t="n">
        <f aca="false">'Book Income Statement'!U36</f>
        <v>3062.74517449304</v>
      </c>
      <c r="U31" s="425" t="n">
        <f aca="false">'Book Income Statement'!V36</f>
        <v>3154.62752972783</v>
      </c>
      <c r="V31" s="425" t="n">
        <f aca="false">'Book Income Statement'!W36</f>
        <v>3249.26635561966</v>
      </c>
      <c r="W31" s="425" t="n">
        <f aca="false">'Book Income Statement'!X36</f>
        <v>3346.74434628825</v>
      </c>
      <c r="X31" s="425" t="n">
        <f aca="false">'Book Income Statement'!Y36</f>
        <v>0</v>
      </c>
      <c r="Y31" s="425" t="n">
        <f aca="false">'Book Income Statement'!Z36</f>
        <v>0</v>
      </c>
      <c r="Z31" s="425" t="n">
        <f aca="false">'Book Income Statement'!AA36</f>
        <v>0</v>
      </c>
      <c r="AA31" s="426" t="n">
        <f aca="false">'Book Income Statement'!AB36</f>
        <v>0</v>
      </c>
    </row>
    <row r="32" customFormat="false" ht="12.75" hidden="false" customHeight="false" outlineLevel="0" collapsed="false">
      <c r="A32" s="397" t="s">
        <v>370</v>
      </c>
      <c r="B32" s="427" t="n">
        <f aca="false">AVERAGE(C32:V32)</f>
        <v>3725.00527404236</v>
      </c>
      <c r="C32" s="425" t="n">
        <f aca="false">'Book Income Statement'!D44+'Book Income Statement'!D53</f>
        <v>1411.82652422145</v>
      </c>
      <c r="D32" s="425" t="n">
        <f aca="false">'Book Income Statement'!E44+'Book Income Statement'!E53</f>
        <v>2444.08086276817</v>
      </c>
      <c r="E32" s="425" t="n">
        <f aca="false">'Book Income Statement'!F44+'Book Income Statement'!F53</f>
        <v>2517.40328865121</v>
      </c>
      <c r="F32" s="425" t="n">
        <f aca="false">'Book Income Statement'!G44+'Book Income Statement'!G53</f>
        <v>2912.69056731075</v>
      </c>
      <c r="G32" s="425" t="n">
        <f aca="false">'Book Income Statement'!H44+'Book Income Statement'!H53</f>
        <v>3235.32709533007</v>
      </c>
      <c r="H32" s="425" t="n">
        <f aca="false">'Book Income Statement'!I44+'Book Income Statement'!I53</f>
        <v>3332.38690818997</v>
      </c>
      <c r="I32" s="425" t="n">
        <f aca="false">'Book Income Statement'!J44+'Book Income Statement'!J53</f>
        <v>3432.35851543567</v>
      </c>
      <c r="J32" s="425" t="n">
        <f aca="false">'Book Income Statement'!K44+'Book Income Statement'!K53</f>
        <v>3535.32927089874</v>
      </c>
      <c r="K32" s="425" t="n">
        <f aca="false">'Book Income Statement'!L44+'Book Income Statement'!L53</f>
        <v>3641.3891490257</v>
      </c>
      <c r="L32" s="425" t="n">
        <f aca="false">'Book Income Statement'!M44+'Book Income Statement'!M53</f>
        <v>3750.63082349648</v>
      </c>
      <c r="M32" s="425" t="n">
        <f aca="false">'Book Income Statement'!N44+'Book Income Statement'!N53</f>
        <v>3863.14974820137</v>
      </c>
      <c r="N32" s="425" t="n">
        <f aca="false">'Book Income Statement'!O44+'Book Income Statement'!O53</f>
        <v>3979.04424064741</v>
      </c>
      <c r="O32" s="425" t="n">
        <f aca="false">'Book Income Statement'!P44+'Book Income Statement'!P53</f>
        <v>4098.41556786683</v>
      </c>
      <c r="P32" s="425" t="n">
        <f aca="false">'Book Income Statement'!Q44+'Book Income Statement'!Q53</f>
        <v>4221.36803490284</v>
      </c>
      <c r="Q32" s="425" t="n">
        <f aca="false">'Book Income Statement'!R44+'Book Income Statement'!R53</f>
        <v>4348.00907594992</v>
      </c>
      <c r="R32" s="425" t="n">
        <f aca="false">'Book Income Statement'!S44+'Book Income Statement'!S53</f>
        <v>4478.44934822842</v>
      </c>
      <c r="S32" s="425" t="n">
        <f aca="false">'Book Income Statement'!T44+'Book Income Statement'!T53</f>
        <v>4612.80282867527</v>
      </c>
      <c r="T32" s="425" t="n">
        <f aca="false">'Book Income Statement'!U44+'Book Income Statement'!U53</f>
        <v>4751.18691353553</v>
      </c>
      <c r="U32" s="425" t="n">
        <f aca="false">'Book Income Statement'!V44+'Book Income Statement'!V53</f>
        <v>4893.7225209416</v>
      </c>
      <c r="V32" s="425" t="n">
        <f aca="false">'Book Income Statement'!W44+'Book Income Statement'!W53</f>
        <v>5040.53419656985</v>
      </c>
      <c r="W32" s="425" t="n">
        <f aca="false">'Book Income Statement'!X44+'Book Income Statement'!X53</f>
        <v>2233.11432543845</v>
      </c>
      <c r="X32" s="425" t="n">
        <f aca="false">'Book Income Statement'!Y44+'Book Income Statement'!Y53</f>
        <v>0</v>
      </c>
      <c r="Y32" s="425" t="n">
        <f aca="false">'Book Income Statement'!Z44+'Book Income Statement'!Z53</f>
        <v>0</v>
      </c>
      <c r="Z32" s="425" t="n">
        <f aca="false">'Book Income Statement'!AA44+'Book Income Statement'!AA53</f>
        <v>0</v>
      </c>
      <c r="AA32" s="428"/>
    </row>
    <row r="33" customFormat="false" ht="12.75" hidden="false" customHeight="false" outlineLevel="0" collapsed="false">
      <c r="A33" s="397" t="s">
        <v>371</v>
      </c>
      <c r="B33" s="427" t="n">
        <f aca="false">AVERAGE(C33:V33)</f>
        <v>274.297312476231</v>
      </c>
      <c r="C33" s="425" t="n">
        <f aca="false">'Book Income Statement'!D55</f>
        <v>349.8690210156</v>
      </c>
      <c r="D33" s="425" t="n">
        <f aca="false">'Book Income Statement'!E55</f>
        <v>349.8690210156</v>
      </c>
      <c r="E33" s="425" t="n">
        <f aca="false">'Book Income Statement'!F55</f>
        <v>349.8690210156</v>
      </c>
      <c r="F33" s="425" t="n">
        <f aca="false">'Book Income Statement'!G55</f>
        <v>349.8690210156</v>
      </c>
      <c r="G33" s="425" t="n">
        <f aca="false">'Book Income Statement'!H55</f>
        <v>349.8690210156</v>
      </c>
      <c r="H33" s="425" t="n">
        <f aca="false">'Book Income Statement'!I55</f>
        <v>307.884738493728</v>
      </c>
      <c r="I33" s="425" t="n">
        <f aca="false">'Book Income Statement'!J55</f>
        <v>307.884738493728</v>
      </c>
      <c r="J33" s="425" t="n">
        <f aca="false">'Book Income Statement'!K55</f>
        <v>307.884738493728</v>
      </c>
      <c r="K33" s="425" t="n">
        <f aca="false">'Book Income Statement'!L55</f>
        <v>307.884738493728</v>
      </c>
      <c r="L33" s="425" t="n">
        <f aca="false">'Book Income Statement'!M55</f>
        <v>265.900455971856</v>
      </c>
      <c r="M33" s="425" t="n">
        <f aca="false">'Book Income Statement'!N55</f>
        <v>265.900455971856</v>
      </c>
      <c r="N33" s="425" t="n">
        <f aca="false">'Book Income Statement'!O55</f>
        <v>265.900455971856</v>
      </c>
      <c r="O33" s="425" t="n">
        <f aca="false">'Book Income Statement'!P55</f>
        <v>265.900455971856</v>
      </c>
      <c r="P33" s="425" t="n">
        <f aca="false">'Book Income Statement'!Q55</f>
        <v>223.916173449984</v>
      </c>
      <c r="Q33" s="425" t="n">
        <f aca="false">'Book Income Statement'!R55</f>
        <v>223.916173449984</v>
      </c>
      <c r="R33" s="425" t="n">
        <f aca="false">'Book Income Statement'!S55</f>
        <v>223.916173449984</v>
      </c>
      <c r="S33" s="425" t="n">
        <f aca="false">'Book Income Statement'!T55</f>
        <v>223.916173449984</v>
      </c>
      <c r="T33" s="425" t="n">
        <f aca="false">'Book Income Statement'!U55</f>
        <v>181.931890928112</v>
      </c>
      <c r="U33" s="425" t="n">
        <f aca="false">'Book Income Statement'!V55</f>
        <v>181.931890928112</v>
      </c>
      <c r="V33" s="425" t="n">
        <f aca="false">'Book Income Statement'!W55</f>
        <v>181.931890928112</v>
      </c>
      <c r="W33" s="425" t="n">
        <f aca="false">'Book Income Statement'!X55</f>
        <v>181.931890928112</v>
      </c>
      <c r="X33" s="425" t="n">
        <f aca="false">'Book Income Statement'!Y55</f>
        <v>0</v>
      </c>
      <c r="Y33" s="425" t="n">
        <f aca="false">'Book Income Statement'!Z55</f>
        <v>0</v>
      </c>
      <c r="Z33" s="425" t="n">
        <f aca="false">'Book Income Statement'!AA55</f>
        <v>0</v>
      </c>
      <c r="AA33" s="426" t="n">
        <f aca="false">'Book Income Statement'!AB55</f>
        <v>0</v>
      </c>
    </row>
    <row r="34" customFormat="false" ht="12.75" hidden="false" customHeight="false" outlineLevel="0" collapsed="false">
      <c r="A34" s="397" t="s">
        <v>372</v>
      </c>
      <c r="B34" s="427" t="n">
        <f aca="false">AVERAGE(C34:V34)</f>
        <v>73.979747075</v>
      </c>
      <c r="C34" s="425" t="n">
        <f aca="false">'Book Income Statement'!D60</f>
        <v>108.2630445</v>
      </c>
      <c r="D34" s="425" t="n">
        <f aca="false">'Book Income Statement'!E60</f>
        <v>72.175363</v>
      </c>
      <c r="E34" s="425" t="n">
        <f aca="false">'Book Income Statement'!F60</f>
        <v>72.175363</v>
      </c>
      <c r="F34" s="425" t="n">
        <f aca="false">'Book Income Statement'!G60</f>
        <v>72.175363</v>
      </c>
      <c r="G34" s="425" t="n">
        <f aca="false">'Book Income Statement'!H60</f>
        <v>72.175363</v>
      </c>
      <c r="H34" s="425" t="n">
        <f aca="false">'Book Income Statement'!I60</f>
        <v>72.175363</v>
      </c>
      <c r="I34" s="425" t="n">
        <f aca="false">'Book Income Statement'!J60</f>
        <v>72.175363</v>
      </c>
      <c r="J34" s="425" t="n">
        <f aca="false">'Book Income Statement'!K60</f>
        <v>72.175363</v>
      </c>
      <c r="K34" s="425" t="n">
        <f aca="false">'Book Income Statement'!L60</f>
        <v>72.175363</v>
      </c>
      <c r="L34" s="425" t="n">
        <f aca="false">'Book Income Statement'!M60</f>
        <v>72.175363</v>
      </c>
      <c r="M34" s="425" t="n">
        <f aca="false">'Book Income Statement'!N60</f>
        <v>72.175363</v>
      </c>
      <c r="N34" s="425" t="n">
        <f aca="false">'Book Income Statement'!O60</f>
        <v>72.175363</v>
      </c>
      <c r="O34" s="425" t="n">
        <f aca="false">'Book Income Statement'!P60</f>
        <v>72.175363</v>
      </c>
      <c r="P34" s="425" t="n">
        <f aca="false">'Book Income Statement'!Q60</f>
        <v>72.175363</v>
      </c>
      <c r="Q34" s="425" t="n">
        <f aca="false">'Book Income Statement'!R60</f>
        <v>72.175363</v>
      </c>
      <c r="R34" s="425" t="n">
        <f aca="false">'Book Income Statement'!S60</f>
        <v>72.175363</v>
      </c>
      <c r="S34" s="425" t="n">
        <f aca="false">'Book Income Statement'!T60</f>
        <v>72.175363</v>
      </c>
      <c r="T34" s="425" t="n">
        <f aca="false">'Book Income Statement'!U60</f>
        <v>72.175363</v>
      </c>
      <c r="U34" s="425" t="n">
        <f aca="false">'Book Income Statement'!V60</f>
        <v>72.175363</v>
      </c>
      <c r="V34" s="425" t="n">
        <f aca="false">'Book Income Statement'!W60</f>
        <v>72.175363</v>
      </c>
      <c r="W34" s="425" t="n">
        <f aca="false">'Book Income Statement'!X60</f>
        <v>72.175363</v>
      </c>
      <c r="X34" s="425" t="n">
        <f aca="false">'Book Income Statement'!Y60</f>
        <v>0</v>
      </c>
      <c r="Y34" s="425" t="n">
        <f aca="false">'Book Income Statement'!Z60</f>
        <v>0</v>
      </c>
      <c r="Z34" s="425" t="n">
        <f aca="false">'Book Income Statement'!AA60</f>
        <v>0</v>
      </c>
      <c r="AA34" s="428"/>
    </row>
    <row r="35" customFormat="false" ht="15" hidden="false" customHeight="false" outlineLevel="0" collapsed="false">
      <c r="A35" s="397" t="s">
        <v>373</v>
      </c>
      <c r="B35" s="429" t="n">
        <f aca="false">AVERAGE(C35:V35)</f>
        <v>17142.7567564</v>
      </c>
      <c r="C35" s="430" t="n">
        <f aca="false">'Returns Summary'!C23</f>
        <v>21585.3351</v>
      </c>
      <c r="D35" s="430" t="n">
        <f aca="false">'Returns Summary'!D23</f>
        <v>21087.769375</v>
      </c>
      <c r="E35" s="430" t="n">
        <f aca="false">'Returns Summary'!E23</f>
        <v>23310.70365</v>
      </c>
      <c r="F35" s="430" t="n">
        <f aca="false">'Returns Summary'!F23</f>
        <v>25327.696075</v>
      </c>
      <c r="G35" s="430" t="n">
        <f aca="false">'Returns Summary'!G23</f>
        <v>19001.27665</v>
      </c>
      <c r="H35" s="430" t="n">
        <f aca="false">'Returns Summary'!H23</f>
        <v>18427.733246</v>
      </c>
      <c r="I35" s="430" t="n">
        <f aca="false">'Returns Summary'!I23</f>
        <v>18842.329842</v>
      </c>
      <c r="J35" s="430" t="n">
        <f aca="false">'Returns Summary'!J23</f>
        <v>18187.956586</v>
      </c>
      <c r="K35" s="430" t="n">
        <f aca="false">'Returns Summary'!K23</f>
        <v>22974.58333</v>
      </c>
      <c r="L35" s="430" t="n">
        <f aca="false">'Returns Summary'!L23</f>
        <v>25616.966374</v>
      </c>
      <c r="M35" s="430" t="n">
        <f aca="false">'Returns Summary'!M23</f>
        <v>10661.437716</v>
      </c>
      <c r="N35" s="430" t="n">
        <f aca="false">'Returns Summary'!N23</f>
        <v>11326.258308</v>
      </c>
      <c r="O35" s="430" t="n">
        <f aca="false">'Returns Summary'!O23</f>
        <v>10922.109048</v>
      </c>
      <c r="P35" s="430" t="n">
        <f aca="false">'Returns Summary'!P23</f>
        <v>10517.959788</v>
      </c>
      <c r="Q35" s="430" t="n">
        <f aca="false">'Returns Summary'!Q23</f>
        <v>10113.810528</v>
      </c>
      <c r="R35" s="430" t="n">
        <f aca="false">'Returns Summary'!R23</f>
        <v>9709.661268</v>
      </c>
      <c r="S35" s="430" t="n">
        <f aca="false">'Returns Summary'!S23</f>
        <v>14246.212008</v>
      </c>
      <c r="T35" s="430" t="n">
        <f aca="false">'Returns Summary'!T23</f>
        <v>15414.193488</v>
      </c>
      <c r="U35" s="430" t="n">
        <f aca="false">'Returns Summary'!U23</f>
        <v>17408.655264</v>
      </c>
      <c r="V35" s="430" t="n">
        <f aca="false">'Returns Summary'!V23</f>
        <v>18172.487484</v>
      </c>
      <c r="W35" s="430" t="n">
        <f aca="false">'Returns Summary'!W23</f>
        <v>0</v>
      </c>
      <c r="X35" s="430" t="n">
        <f aca="false">'Returns Summary'!X23</f>
        <v>0</v>
      </c>
      <c r="Y35" s="430" t="n">
        <f aca="false">'Returns Summary'!Y23</f>
        <v>0</v>
      </c>
      <c r="Z35" s="430" t="n">
        <f aca="false">'Returns Summary'!Z23</f>
        <v>0</v>
      </c>
      <c r="AA35" s="431"/>
    </row>
    <row r="36" customFormat="false" ht="12.75" hidden="false" customHeight="false" outlineLevel="0" collapsed="false">
      <c r="A36" s="397" t="s">
        <v>374</v>
      </c>
      <c r="B36" s="432"/>
      <c r="C36" s="425" t="n">
        <f aca="false">SUM(C30:C35)</f>
        <v>25956.6692897371</v>
      </c>
      <c r="D36" s="425" t="n">
        <f aca="false">SUM(D30:D35)</f>
        <v>26530.3114897838</v>
      </c>
      <c r="E36" s="425" t="n">
        <f aca="false">SUM(E30:E35)</f>
        <v>28903.8606967068</v>
      </c>
      <c r="F36" s="425" t="n">
        <f aca="false">SUM(F30:F35)</f>
        <v>31429.7524967142</v>
      </c>
      <c r="G36" s="425" t="n">
        <f aca="false">SUM(G30:G35)</f>
        <v>25527.4770584393</v>
      </c>
      <c r="H36" s="425" t="n">
        <f aca="false">SUM(H30:H35)</f>
        <v>25095.0740526501</v>
      </c>
      <c r="I36" s="425" t="n">
        <f aca="false">SUM(I30:I35)</f>
        <v>25698.2890698048</v>
      </c>
      <c r="J36" s="425" t="n">
        <f aca="false">SUM(J30:J35)</f>
        <v>25238.1927875942</v>
      </c>
      <c r="K36" s="425" t="n">
        <f aca="false">SUM(K30:K35)</f>
        <v>30224.9248145972</v>
      </c>
      <c r="L36" s="425" t="n">
        <f aca="false">SUM(L30:L35)</f>
        <v>33031.4320175684</v>
      </c>
      <c r="M36" s="425" t="n">
        <f aca="false">SUM(M30:M35)</f>
        <v>18288.1950543063</v>
      </c>
      <c r="N36" s="425" t="n">
        <f aca="false">SUM(N30:N35)</f>
        <v>19171.6760918863</v>
      </c>
      <c r="O36" s="425" t="n">
        <f aca="false">SUM(O30:O35)</f>
        <v>18992.7470908338</v>
      </c>
      <c r="P36" s="425" t="n">
        <f aca="false">SUM(P30:P35)</f>
        <v>18778.5904150278</v>
      </c>
      <c r="Q36" s="425" t="n">
        <f aca="false">SUM(Q30:Q35)</f>
        <v>18613.3773277451</v>
      </c>
      <c r="R36" s="425" t="n">
        <f aca="false">SUM(R30:R35)</f>
        <v>18455.332325644</v>
      </c>
      <c r="S36" s="425" t="n">
        <f aca="false">SUM(S30:S35)</f>
        <v>23245.3704512798</v>
      </c>
      <c r="T36" s="425" t="n">
        <f aca="false">SUM(T30:T35)</f>
        <v>24632.4596559628</v>
      </c>
      <c r="U36" s="425" t="n">
        <f aca="false">SUM(U30:U35)</f>
        <v>26895.8461993838</v>
      </c>
      <c r="V36" s="425" t="n">
        <f aca="false">SUM(V30:V35)</f>
        <v>27936.6709298275</v>
      </c>
      <c r="W36" s="425" t="n">
        <f aca="false">SUM(W30:W35)</f>
        <v>6363.77740669857</v>
      </c>
      <c r="X36" s="425" t="n">
        <f aca="false">SUM(X30:X35)</f>
        <v>0</v>
      </c>
      <c r="Y36" s="425" t="n">
        <f aca="false">SUM(Y30:Y35)</f>
        <v>0</v>
      </c>
      <c r="Z36" s="425" t="n">
        <f aca="false">SUM(Z30:Z35)</f>
        <v>0</v>
      </c>
      <c r="AA36" s="426"/>
    </row>
    <row r="37" customFormat="false" ht="12.75" hidden="false" customHeight="false" outlineLevel="0" collapsed="false">
      <c r="A37" s="397"/>
      <c r="B37" s="432"/>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6"/>
    </row>
    <row r="38" customFormat="false" ht="12.75" hidden="false" customHeight="false" outlineLevel="0" collapsed="false">
      <c r="A38" s="433" t="s">
        <v>375</v>
      </c>
      <c r="B38" s="422" t="s">
        <v>367</v>
      </c>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28"/>
    </row>
    <row r="39" customFormat="false" ht="12.75" hidden="false" customHeight="false" outlineLevel="0" collapsed="false">
      <c r="A39" s="397" t="s">
        <v>376</v>
      </c>
      <c r="B39" s="424" t="n">
        <f aca="false">AVERAGE(C39:V39)</f>
        <v>1985.48574089574</v>
      </c>
      <c r="C39" s="434" t="n">
        <f aca="false">'Book Income Statement'!D40+'Book Income Statement'!D39+'Book Income Statement'!D43+'Book Income Statement'!D41</f>
        <v>875.642857554787</v>
      </c>
      <c r="D39" s="434" t="n">
        <f aca="false">'Book Income Statement'!E40+'Book Income Statement'!E39+'Book Income Statement'!E43+'Book Income Statement'!E41</f>
        <v>1546.13510276817</v>
      </c>
      <c r="E39" s="434" t="n">
        <f aca="false">'Book Income Statement'!F40+'Book Income Statement'!F39+'Book Income Statement'!F43+'Book Income Statement'!F41</f>
        <v>1592.51915585121</v>
      </c>
      <c r="F39" s="434" t="n">
        <f aca="false">'Book Income Statement'!G40+'Book Income Statement'!G39+'Book Income Statement'!G43+'Book Income Statement'!G41</f>
        <v>1640.29473052675</v>
      </c>
      <c r="G39" s="434" t="n">
        <f aca="false">'Book Income Statement'!H40+'Book Income Statement'!H39+'Book Income Statement'!H43+'Book Income Statement'!H41</f>
        <v>1689.50357244255</v>
      </c>
      <c r="H39" s="434" t="n">
        <f aca="false">'Book Income Statement'!I40+'Book Income Statement'!I39+'Book Income Statement'!I43+'Book Income Statement'!I41</f>
        <v>1740.18867961583</v>
      </c>
      <c r="I39" s="434" t="n">
        <f aca="false">'Book Income Statement'!J40+'Book Income Statement'!J39+'Book Income Statement'!J43+'Book Income Statement'!J41</f>
        <v>1792.3943400043</v>
      </c>
      <c r="J39" s="434" t="n">
        <f aca="false">'Book Income Statement'!K40+'Book Income Statement'!K39+'Book Income Statement'!K43+'Book Income Statement'!K41</f>
        <v>1846.16617020443</v>
      </c>
      <c r="K39" s="434" t="n">
        <f aca="false">'Book Income Statement'!L40+'Book Income Statement'!L39+'Book Income Statement'!L43+'Book Income Statement'!L41</f>
        <v>1901.55115531056</v>
      </c>
      <c r="L39" s="434" t="n">
        <f aca="false">'Book Income Statement'!M40+'Book Income Statement'!M39+'Book Income Statement'!M43+'Book Income Statement'!M41</f>
        <v>1958.59768996988</v>
      </c>
      <c r="M39" s="434" t="n">
        <f aca="false">'Book Income Statement'!N40+'Book Income Statement'!N39+'Book Income Statement'!N43+'Book Income Statement'!N41</f>
        <v>2017.35562066898</v>
      </c>
      <c r="N39" s="434" t="n">
        <f aca="false">'Book Income Statement'!O40+'Book Income Statement'!O39+'Book Income Statement'!O43+'Book Income Statement'!O41</f>
        <v>2077.87628928905</v>
      </c>
      <c r="O39" s="434" t="n">
        <f aca="false">'Book Income Statement'!P40+'Book Income Statement'!P39+'Book Income Statement'!P43+'Book Income Statement'!P41</f>
        <v>2140.21257796772</v>
      </c>
      <c r="P39" s="434" t="n">
        <f aca="false">'Book Income Statement'!Q40+'Book Income Statement'!Q39+'Book Income Statement'!Q43+'Book Income Statement'!Q41</f>
        <v>2204.41895530675</v>
      </c>
      <c r="Q39" s="434" t="n">
        <f aca="false">'Book Income Statement'!R40+'Book Income Statement'!R39+'Book Income Statement'!R43+'Book Income Statement'!R41</f>
        <v>2270.55152396595</v>
      </c>
      <c r="R39" s="434" t="n">
        <f aca="false">'Book Income Statement'!S40+'Book Income Statement'!S39+'Book Income Statement'!S43+'Book Income Statement'!S41</f>
        <v>2338.66806968493</v>
      </c>
      <c r="S39" s="434" t="n">
        <f aca="false">'Book Income Statement'!T40+'Book Income Statement'!T39+'Book Income Statement'!T43+'Book Income Statement'!T41</f>
        <v>2408.82811177548</v>
      </c>
      <c r="T39" s="434" t="n">
        <f aca="false">'Book Income Statement'!U40+'Book Income Statement'!U39+'Book Income Statement'!U43+'Book Income Statement'!U41</f>
        <v>2481.09295512874</v>
      </c>
      <c r="U39" s="434" t="n">
        <f aca="false">'Book Income Statement'!V40+'Book Income Statement'!V39+'Book Income Statement'!V43+'Book Income Statement'!V41</f>
        <v>2555.52574378261</v>
      </c>
      <c r="V39" s="434" t="n">
        <f aca="false">'Book Income Statement'!W40+'Book Income Statement'!W39+'Book Income Statement'!W43+'Book Income Statement'!W41</f>
        <v>2632.19151609608</v>
      </c>
      <c r="W39" s="434" t="n">
        <f aca="false">'Book Income Statement'!X40+'Book Income Statement'!X39+'Book Income Statement'!X43+'Book Income Statement'!X41</f>
        <v>1129.64885899124</v>
      </c>
      <c r="X39" s="434" t="n">
        <f aca="false">'Book Income Statement'!Y40+'Book Income Statement'!Y39+'Book Income Statement'!Y43+'Book Income Statement'!Y41</f>
        <v>0</v>
      </c>
      <c r="Y39" s="434" t="n">
        <f aca="false">'Book Income Statement'!Z40+'Book Income Statement'!Z39+'Book Income Statement'!Z43+'Book Income Statement'!Z41</f>
        <v>0</v>
      </c>
      <c r="Z39" s="434" t="n">
        <f aca="false">'Book Income Statement'!AA40+'Book Income Statement'!AA39+'Book Income Statement'!AA43+'Book Income Statement'!AA41</f>
        <v>0</v>
      </c>
      <c r="AA39" s="428"/>
    </row>
    <row r="40" customFormat="false" ht="12.75" hidden="false" customHeight="false" outlineLevel="0" collapsed="false">
      <c r="A40" s="397" t="s">
        <v>377</v>
      </c>
      <c r="B40" s="429" t="n">
        <f aca="false">AVERAGE(C40:V40)</f>
        <v>1154.4884591582</v>
      </c>
      <c r="C40" s="434" t="n">
        <f aca="false">SUM('Book Income Statement'!D47:D52)</f>
        <v>536.183666666667</v>
      </c>
      <c r="D40" s="434" t="n">
        <f aca="false">SUM('Book Income Statement'!E47:E52)</f>
        <v>897.94576</v>
      </c>
      <c r="E40" s="434" t="n">
        <f aca="false">SUM('Book Income Statement'!F47:F52)</f>
        <v>924.8841328</v>
      </c>
      <c r="F40" s="434" t="n">
        <f aca="false">SUM('Book Income Statement'!G47:G52)</f>
        <v>952.630656784</v>
      </c>
      <c r="G40" s="434" t="n">
        <f aca="false">SUM('Book Income Statement'!H47:H52)</f>
        <v>981.20957648752</v>
      </c>
      <c r="H40" s="434" t="n">
        <f aca="false">SUM('Book Income Statement'!I47:I52)</f>
        <v>1010.64586378215</v>
      </c>
      <c r="I40" s="434" t="n">
        <f aca="false">SUM('Book Income Statement'!J47:J52)</f>
        <v>1040.96523969561</v>
      </c>
      <c r="J40" s="434" t="n">
        <f aca="false">SUM('Book Income Statement'!K47:K52)</f>
        <v>1072.19419688648</v>
      </c>
      <c r="K40" s="434" t="n">
        <f aca="false">SUM('Book Income Statement'!L47:L52)</f>
        <v>1104.36002279307</v>
      </c>
      <c r="L40" s="434" t="n">
        <f aca="false">SUM('Book Income Statement'!M47:M52)</f>
        <v>1137.49082347687</v>
      </c>
      <c r="M40" s="434" t="n">
        <f aca="false">SUM('Book Income Statement'!N47:N52)</f>
        <v>1171.61554818117</v>
      </c>
      <c r="N40" s="434" t="n">
        <f aca="false">SUM('Book Income Statement'!O47:O52)</f>
        <v>1206.76401462661</v>
      </c>
      <c r="O40" s="434" t="n">
        <f aca="false">SUM('Book Income Statement'!P47:P52)</f>
        <v>1242.9669350654</v>
      </c>
      <c r="P40" s="434" t="n">
        <f aca="false">SUM('Book Income Statement'!Q47:Q52)</f>
        <v>1280.25594311737</v>
      </c>
      <c r="Q40" s="434" t="n">
        <f aca="false">SUM('Book Income Statement'!R47:R52)</f>
        <v>1318.66362141089</v>
      </c>
      <c r="R40" s="434" t="n">
        <f aca="false">SUM('Book Income Statement'!S47:S52)</f>
        <v>1358.22353005321</v>
      </c>
      <c r="S40" s="434" t="n">
        <f aca="false">SUM('Book Income Statement'!T47:T52)</f>
        <v>1398.97023595481</v>
      </c>
      <c r="T40" s="434" t="n">
        <f aca="false">SUM('Book Income Statement'!U47:U52)</f>
        <v>1440.93934303346</v>
      </c>
      <c r="U40" s="434" t="n">
        <f aca="false">SUM('Book Income Statement'!V47:V52)</f>
        <v>1484.16752332446</v>
      </c>
      <c r="V40" s="434" t="n">
        <f aca="false">SUM('Book Income Statement'!W47:W52)</f>
        <v>1528.69254902419</v>
      </c>
      <c r="W40" s="434" t="n">
        <f aca="false">SUM('Book Income Statement'!X47:X52)</f>
        <v>725.948951700103</v>
      </c>
      <c r="X40" s="434" t="n">
        <f aca="false">SUM('Book Income Statement'!Y47:Y52)</f>
        <v>0</v>
      </c>
      <c r="Y40" s="434" t="n">
        <f aca="false">SUM('Book Income Statement'!Z47:Z52)</f>
        <v>0</v>
      </c>
      <c r="Z40" s="434" t="n">
        <f aca="false">SUM('Book Income Statement'!AA47:AA52)</f>
        <v>0</v>
      </c>
      <c r="AA40" s="428"/>
    </row>
    <row r="41" customFormat="false" ht="12.75" hidden="false" customHeight="false" outlineLevel="0" collapsed="false">
      <c r="A41" s="387"/>
      <c r="B41" s="432"/>
      <c r="C41" s="432"/>
      <c r="D41" s="432"/>
      <c r="E41" s="432"/>
      <c r="F41" s="432"/>
      <c r="G41" s="432"/>
      <c r="H41" s="432"/>
      <c r="I41" s="432"/>
      <c r="J41" s="432"/>
      <c r="K41" s="432"/>
      <c r="L41" s="432"/>
      <c r="M41" s="432"/>
      <c r="N41" s="432"/>
      <c r="O41" s="432"/>
      <c r="P41" s="432"/>
      <c r="Q41" s="432"/>
      <c r="R41" s="432"/>
      <c r="S41" s="432"/>
      <c r="T41" s="432"/>
      <c r="U41" s="432"/>
      <c r="V41" s="432"/>
      <c r="W41" s="432"/>
      <c r="X41" s="432"/>
      <c r="Y41" s="432"/>
      <c r="Z41" s="432"/>
      <c r="AA41" s="435"/>
    </row>
    <row r="42" customFormat="false" ht="12.75" hidden="false" customHeight="false" outlineLevel="0" collapsed="false">
      <c r="A42" s="421" t="s">
        <v>378</v>
      </c>
      <c r="B42" s="422" t="s">
        <v>367</v>
      </c>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28"/>
    </row>
    <row r="43" customFormat="false" ht="12.6" hidden="false" customHeight="true" outlineLevel="0" collapsed="false">
      <c r="A43" s="397" t="s">
        <v>379</v>
      </c>
      <c r="B43" s="436" t="n">
        <f aca="false">AVERAGE(C43:V43)</f>
        <v>0.130191064061935</v>
      </c>
      <c r="C43" s="437" t="n">
        <f aca="false">IF(Operations!C3&gt;'Project Assumptions'!$I$15+1,0,C30/'Project Assumptions'!$I$10/SUM('Book Income Statement'!D7:D9))</f>
        <v>0.152341259398496</v>
      </c>
      <c r="D43" s="437" t="n">
        <f aca="false">IF(Operations!D3&gt;'Project Assumptions'!$I$15+1,0,D30/'Project Assumptions'!$I$10/SUM('Book Income Statement'!E7:E9))</f>
        <v>0.0915317066885965</v>
      </c>
      <c r="E43" s="437" t="n">
        <f aca="false">IF(Operations!E3&gt;'Project Assumptions'!$I$15+1,0,E30/'Project Assumptions'!$I$10/SUM('Book Income Statement'!F7:F9))</f>
        <v>0.0942776578892544</v>
      </c>
      <c r="F43" s="437" t="n">
        <f aca="false">IF(Operations!F3&gt;'Project Assumptions'!$I$15+1,0,F30/'Project Assumptions'!$I$10/SUM('Book Income Statement'!G7:G9))</f>
        <v>0.101766187067639</v>
      </c>
      <c r="G43" s="437" t="n">
        <f aca="false">IF(Operations!G3&gt;'Project Assumptions'!$I$15+1,0,G30/'Project Assumptions'!$I$10/SUM('Book Income Statement'!H7:H9))</f>
        <v>0.107353138495745</v>
      </c>
      <c r="H43" s="437" t="n">
        <f aca="false">IF(Operations!H3&gt;'Project Assumptions'!$I$15+1,0,H30/'Project Assumptions'!$I$10/SUM('Book Income Statement'!I7:I9))</f>
        <v>0.110573732650618</v>
      </c>
      <c r="I43" s="437" t="n">
        <f aca="false">IF(Operations!I3&gt;'Project Assumptions'!$I$15+1,0,I30/'Project Assumptions'!$I$10/SUM('Book Income Statement'!J7:J9))</f>
        <v>0.113890944630136</v>
      </c>
      <c r="J43" s="437" t="n">
        <f aca="false">IF(Operations!J3&gt;'Project Assumptions'!$I$15+1,0,J30/'Project Assumptions'!$I$10/SUM('Book Income Statement'!K7:K9))</f>
        <v>0.11730767296904</v>
      </c>
      <c r="K43" s="437" t="n">
        <f aca="false">IF(Operations!K3&gt;'Project Assumptions'!$I$15+1,0,K30/'Project Assumptions'!$I$10/SUM('Book Income Statement'!L7:L9))</f>
        <v>0.120826903158112</v>
      </c>
      <c r="L43" s="437" t="n">
        <f aca="false">IF(Operations!L3&gt;'Project Assumptions'!$I$15+1,0,L30/'Project Assumptions'!$I$10/SUM('Book Income Statement'!M7:M9))</f>
        <v>0.124451710252855</v>
      </c>
      <c r="M43" s="437" t="n">
        <f aca="false">IF(Operations!M3&gt;'Project Assumptions'!$I$15+1,0,M30/'Project Assumptions'!$I$10/SUM('Book Income Statement'!N7:N9))</f>
        <v>0.128185261560441</v>
      </c>
      <c r="N43" s="437" t="n">
        <f aca="false">IF(Operations!N3&gt;'Project Assumptions'!$I$15+1,0,N30/'Project Assumptions'!$I$10/SUM('Book Income Statement'!O7:O9))</f>
        <v>0.132030819407254</v>
      </c>
      <c r="O43" s="437" t="n">
        <f aca="false">IF(Operations!O3&gt;'Project Assumptions'!$I$15+1,0,O30/'Project Assumptions'!$I$10/SUM('Book Income Statement'!P7:P9))</f>
        <v>0.135991743989471</v>
      </c>
      <c r="P43" s="437" t="n">
        <f aca="false">IF(Operations!P3&gt;'Project Assumptions'!$I$15+1,0,P30/'Project Assumptions'!$I$10/SUM('Book Income Statement'!Q7:Q9))</f>
        <v>0.140071496309156</v>
      </c>
      <c r="Q43" s="437" t="n">
        <f aca="false">IF(Operations!Q3&gt;'Project Assumptions'!$I$15+1,0,Q30/'Project Assumptions'!$I$10/SUM('Book Income Statement'!R7:R9))</f>
        <v>0.14427364119843</v>
      </c>
      <c r="R43" s="437" t="n">
        <f aca="false">IF(Operations!R3&gt;'Project Assumptions'!$I$15+1,0,R30/'Project Assumptions'!$I$10/SUM('Book Income Statement'!S7:S9))</f>
        <v>0.148601850434383</v>
      </c>
      <c r="S43" s="437" t="n">
        <f aca="false">IF(Operations!S3&gt;'Project Assumptions'!$I$15+1,0,S30/'Project Assumptions'!$I$10/SUM('Book Income Statement'!T7:T9))</f>
        <v>0.153059905947415</v>
      </c>
      <c r="T43" s="437" t="n">
        <f aca="false">IF(Operations!T3&gt;'Project Assumptions'!$I$15+1,0,T30/'Project Assumptions'!$I$10/SUM('Book Income Statement'!U7:U9))</f>
        <v>0.157651703125837</v>
      </c>
      <c r="U43" s="437" t="n">
        <f aca="false">IF(Operations!U3&gt;'Project Assumptions'!$I$15+1,0,U30/'Project Assumptions'!$I$10/SUM('Book Income Statement'!V7:V9))</f>
        <v>0.162381254219612</v>
      </c>
      <c r="V43" s="437" t="n">
        <f aca="false">IF(Operations!V3&gt;'Project Assumptions'!$I$15+1,0,V30/'Project Assumptions'!$I$10/SUM('Book Income Statement'!W7:W9))</f>
        <v>0.167252691846201</v>
      </c>
      <c r="W43" s="437" t="n">
        <f aca="false">IF(Operations!W3&gt;'Project Assumptions'!$I$15+1,0,W30/'Project Assumptions'!$I$10/SUM('Book Income Statement'!X7:X9))</f>
        <v>0.174280092448605</v>
      </c>
      <c r="X43" s="437" t="e">
        <f aca="false">IF(Operations!X3&gt;'Project Assumptions'!$I$15+1,0,X30/'Project Assumptions'!$I$10/SUM('Book Income Statement'!Y7:Y9))</f>
        <v>#DIV/0!</v>
      </c>
      <c r="Y43" s="437" t="e">
        <f aca="false">IF(Operations!Y3&gt;'Project Assumptions'!$I$15+1,0,Y30/'Project Assumptions'!$I$10/SUM('Book Income Statement'!Z7:Z9))</f>
        <v>#DIV/0!</v>
      </c>
      <c r="Z43" s="437" t="e">
        <f aca="false">IF(Operations!Z3&gt;'Project Assumptions'!$I$15+1,0,Z30/'Project Assumptions'!$I$10/SUM('Book Income Statement'!AA7:AA9))</f>
        <v>#DIV/0!</v>
      </c>
      <c r="AA43" s="438"/>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row>
    <row r="44" customFormat="false" ht="12.6" hidden="false" customHeight="true" outlineLevel="0" collapsed="false">
      <c r="A44" s="397" t="s">
        <v>380</v>
      </c>
      <c r="B44" s="439" t="n">
        <f aca="false">AVERAGE(C44:V44)</f>
        <v>0.350292518536503</v>
      </c>
      <c r="C44" s="437" t="n">
        <f aca="false">IF(Operations!C3&gt;'Project Assumptions'!$I$15+1,0,C31/'Project Assumptions'!$I$10/SUM('Book Income Statement'!D7:D9))</f>
        <v>0.435387969924812</v>
      </c>
      <c r="D44" s="437" t="n">
        <f aca="false">IF(Operations!D3&gt;'Project Assumptions'!$I$15+1,0,D31/'Project Assumptions'!$I$10/SUM('Book Income Statement'!E7:E9))</f>
        <v>0.261595605263158</v>
      </c>
      <c r="E44" s="437" t="n">
        <f aca="false">IF(Operations!E3&gt;'Project Assumptions'!$I$15+1,0,E31/'Project Assumptions'!$I$10/SUM('Book Income Statement'!F7:F9))</f>
        <v>0.269443473421053</v>
      </c>
      <c r="F44" s="437" t="n">
        <f aca="false">IF(Operations!F3&gt;'Project Assumptions'!$I$15+1,0,F31/'Project Assumptions'!$I$10/SUM('Book Income Statement'!G7:G9))</f>
        <v>0.277526777623684</v>
      </c>
      <c r="G44" s="437" t="n">
        <f aca="false">IF(Operations!G3&gt;'Project Assumptions'!$I$15+1,0,G31/'Project Assumptions'!$I$10/SUM('Book Income Statement'!H7:H9))</f>
        <v>0.285852580952395</v>
      </c>
      <c r="H44" s="437" t="n">
        <f aca="false">IF(Operations!H3&gt;'Project Assumptions'!$I$15+1,0,H31/'Project Assumptions'!$I$10/SUM('Book Income Statement'!I7:I9))</f>
        <v>0.294428158380967</v>
      </c>
      <c r="I44" s="437" t="n">
        <f aca="false">IF(Operations!I3&gt;'Project Assumptions'!$I$15+1,0,I31/'Project Assumptions'!$I$10/SUM('Book Income Statement'!J7:J9))</f>
        <v>0.303261003132396</v>
      </c>
      <c r="J44" s="437" t="n">
        <f aca="false">IF(Operations!J3&gt;'Project Assumptions'!$I$15+1,0,J31/'Project Assumptions'!$I$10/SUM('Book Income Statement'!K7:K9))</f>
        <v>0.312358833226368</v>
      </c>
      <c r="K44" s="437" t="n">
        <f aca="false">IF(Operations!K3&gt;'Project Assumptions'!$I$15+1,0,K31/'Project Assumptions'!$I$10/SUM('Book Income Statement'!L7:L9))</f>
        <v>0.321729598223159</v>
      </c>
      <c r="L44" s="437" t="n">
        <f aca="false">IF(Operations!L3&gt;'Project Assumptions'!$I$15+1,0,L31/'Project Assumptions'!$I$10/SUM('Book Income Statement'!M7:M9))</f>
        <v>0.331381486169853</v>
      </c>
      <c r="M44" s="437" t="n">
        <f aca="false">IF(Operations!M3&gt;'Project Assumptions'!$I$15+1,0,M31/'Project Assumptions'!$I$10/SUM('Book Income Statement'!N7:N9))</f>
        <v>0.341322930754949</v>
      </c>
      <c r="N44" s="437" t="n">
        <f aca="false">IF(Operations!N3&gt;'Project Assumptions'!$I$15+1,0,N31/'Project Assumptions'!$I$10/SUM('Book Income Statement'!O7:O9))</f>
        <v>0.351562618677597</v>
      </c>
      <c r="O44" s="437" t="n">
        <f aca="false">IF(Operations!O3&gt;'Project Assumptions'!$I$15+1,0,O31/'Project Assumptions'!$I$10/SUM('Book Income Statement'!P7:P9))</f>
        <v>0.362109497237925</v>
      </c>
      <c r="P44" s="437" t="n">
        <f aca="false">IF(Operations!P3&gt;'Project Assumptions'!$I$15+1,0,P31/'Project Assumptions'!$I$10/SUM('Book Income Statement'!Q7:Q9))</f>
        <v>0.372972782155063</v>
      </c>
      <c r="Q44" s="437" t="n">
        <f aca="false">IF(Operations!Q3&gt;'Project Assumptions'!$I$15+1,0,Q31/'Project Assumptions'!$I$10/SUM('Book Income Statement'!R7:R9))</f>
        <v>0.384161965619715</v>
      </c>
      <c r="R44" s="437" t="n">
        <f aca="false">IF(Operations!R3&gt;'Project Assumptions'!$I$15+1,0,R31/'Project Assumptions'!$I$10/SUM('Book Income Statement'!S7:S9))</f>
        <v>0.395686824588306</v>
      </c>
      <c r="S44" s="437" t="n">
        <f aca="false">IF(Operations!S3&gt;'Project Assumptions'!$I$15+1,0,S31/'Project Assumptions'!$I$10/SUM('Book Income Statement'!T7:T9))</f>
        <v>0.407557429325956</v>
      </c>
      <c r="T44" s="437" t="n">
        <f aca="false">IF(Operations!T3&gt;'Project Assumptions'!$I$15+1,0,T31/'Project Assumptions'!$I$10/SUM('Book Income Statement'!U7:U9))</f>
        <v>0.419784152205734</v>
      </c>
      <c r="U44" s="437" t="n">
        <f aca="false">IF(Operations!U3&gt;'Project Assumptions'!$I$15+1,0,U31/'Project Assumptions'!$I$10/SUM('Book Income Statement'!V7:V9))</f>
        <v>0.432377676771906</v>
      </c>
      <c r="V44" s="437" t="n">
        <f aca="false">IF(Operations!V3&gt;'Project Assumptions'!$I$15+1,0,V31/'Project Assumptions'!$I$10/SUM('Book Income Statement'!W7:W9))</f>
        <v>0.445349007075064</v>
      </c>
      <c r="W44" s="437" t="n">
        <f aca="false">IF(Operations!W3&gt;'Project Assumptions'!$I$15+1,0,W31/'Project Assumptions'!$I$10/SUM('Book Income Statement'!X7:X9))</f>
        <v>1.10090274548956</v>
      </c>
      <c r="X44" s="437" t="e">
        <f aca="false">IF(Operations!X3&gt;'Project Assumptions'!$I$15+1,0,X31/'Project Assumptions'!$I$10/SUM('Book Income Statement'!Y7:Y9))</f>
        <v>#DIV/0!</v>
      </c>
      <c r="Y44" s="437" t="e">
        <f aca="false">IF(Operations!Y3&gt;'Project Assumptions'!$I$15+1,0,Y31/'Project Assumptions'!$I$10/SUM('Book Income Statement'!Z7:Z9))</f>
        <v>#DIV/0!</v>
      </c>
      <c r="Z44" s="437" t="e">
        <f aca="false">IF(Operations!Z3&gt;'Project Assumptions'!$I$15+1,0,Z31/'Project Assumptions'!$I$10/SUM('Book Income Statement'!AA7:AA9))</f>
        <v>#DIV/0!</v>
      </c>
      <c r="AA44" s="438"/>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row>
    <row r="45" customFormat="false" ht="14.25" hidden="false" customHeight="true" outlineLevel="0" collapsed="false">
      <c r="A45" s="397" t="s">
        <v>381</v>
      </c>
      <c r="B45" s="440" t="n">
        <f aca="false">AVERAGE(C45:V45)</f>
        <v>0.517465412542135</v>
      </c>
      <c r="C45" s="441" t="n">
        <f aca="false">IF(Operations!C3&gt;'Project Assumptions'!$I$15+1,0,C32/('Project Assumptions'!$I$10*SUM('Book Income Statement'!D7:D9)))</f>
        <v>0.33172615700692</v>
      </c>
      <c r="D45" s="441" t="n">
        <f aca="false">IF(Operations!D3&gt;'Project Assumptions'!$I$15+1,0,D32/('Project Assumptions'!$I$10*SUM('Book Income Statement'!E7:E9)))</f>
        <v>0.334989153339935</v>
      </c>
      <c r="E45" s="441" t="n">
        <f aca="false">IF(Operations!E3&gt;'Project Assumptions'!$I$15+1,0,E32/('Project Assumptions'!$I$10*SUM('Book Income Statement'!F7:F9)))</f>
        <v>0.345038827940133</v>
      </c>
      <c r="F45" s="441" t="n">
        <f aca="false">IF(Operations!F3&gt;'Project Assumptions'!$I$15+1,0,F32/('Project Assumptions'!$I$10*SUM('Book Income Statement'!G7:G9)))</f>
        <v>0.399217457142372</v>
      </c>
      <c r="G45" s="441" t="n">
        <f aca="false">IF(Operations!G3&gt;'Project Assumptions'!$I$15+1,0,G32/('Project Assumptions'!$I$10*SUM('Book Income Statement'!H7:H9)))</f>
        <v>0.443438472495898</v>
      </c>
      <c r="H45" s="441" t="n">
        <f aca="false">IF(Operations!H3&gt;'Project Assumptions'!$I$15+1,0,H32/('Project Assumptions'!$I$10*SUM('Book Income Statement'!I7:I9)))</f>
        <v>0.456741626670775</v>
      </c>
      <c r="I45" s="441" t="n">
        <f aca="false">IF(Operations!I3&gt;'Project Assumptions'!$I$15+1,0,I32/('Project Assumptions'!$I$10*SUM('Book Income Statement'!J7:J9)))</f>
        <v>0.470443875470898</v>
      </c>
      <c r="J45" s="441" t="n">
        <f aca="false">IF(Operations!J3&gt;'Project Assumptions'!$I$15+1,0,J32/('Project Assumptions'!$I$10*SUM('Book Income Statement'!K7:K9)))</f>
        <v>0.484557191735025</v>
      </c>
      <c r="K45" s="441" t="n">
        <f aca="false">IF(Operations!K3&gt;'Project Assumptions'!$I$15+1,0,K32/('Project Assumptions'!$I$10*SUM('Book Income Statement'!L7:L9)))</f>
        <v>0.499093907487076</v>
      </c>
      <c r="L45" s="441" t="n">
        <f aca="false">IF(Operations!L3&gt;'Project Assumptions'!$I$15+1,0,L32/('Project Assumptions'!$I$10*SUM('Book Income Statement'!M7:M9)))</f>
        <v>0.514066724711688</v>
      </c>
      <c r="M45" s="441" t="n">
        <f aca="false">IF(Operations!M3&gt;'Project Assumptions'!$I$15+1,0,M32/('Project Assumptions'!$I$10*SUM('Book Income Statement'!N7:N9)))</f>
        <v>0.529488726453039</v>
      </c>
      <c r="N45" s="441" t="n">
        <f aca="false">IF(Operations!N3&gt;'Project Assumptions'!$I$15+1,0,N32/('Project Assumptions'!$I$10*SUM('Book Income Statement'!O7:O9)))</f>
        <v>0.54537338824663</v>
      </c>
      <c r="O45" s="441" t="n">
        <f aca="false">IF(Operations!O3&gt;'Project Assumptions'!$I$15+1,0,O32/('Project Assumptions'!$I$10*SUM('Book Income Statement'!P7:P9)))</f>
        <v>0.561734589894029</v>
      </c>
      <c r="P45" s="441" t="n">
        <f aca="false">IF(Operations!P3&gt;'Project Assumptions'!$I$15+1,0,P32/('Project Assumptions'!$I$10*SUM('Book Income Statement'!Q7:Q9)))</f>
        <v>0.57858662759085</v>
      </c>
      <c r="Q45" s="441" t="n">
        <f aca="false">IF(Operations!Q3&gt;'Project Assumptions'!$I$15+1,0,Q32/('Project Assumptions'!$I$10*SUM('Book Income Statement'!R7:R9)))</f>
        <v>0.595944226418575</v>
      </c>
      <c r="R45" s="441" t="n">
        <f aca="false">IF(Operations!R3&gt;'Project Assumptions'!$I$15+1,0,R32/('Project Assumptions'!$I$10*SUM('Book Income Statement'!S7:S9)))</f>
        <v>0.613822553211132</v>
      </c>
      <c r="S45" s="441" t="n">
        <f aca="false">IF(Operations!S3&gt;'Project Assumptions'!$I$15+1,0,S32/('Project Assumptions'!$I$10*SUM('Book Income Statement'!T7:T9)))</f>
        <v>0.632237229807466</v>
      </c>
      <c r="T45" s="441" t="n">
        <f aca="false">IF(Operations!T3&gt;'Project Assumptions'!$I$15+1,0,T32/('Project Assumptions'!$I$10*SUM('Book Income Statement'!U7:U9)))</f>
        <v>0.651204346701691</v>
      </c>
      <c r="U45" s="441" t="n">
        <f aca="false">IF(Operations!U3&gt;'Project Assumptions'!$I$15+1,0,U32/('Project Assumptions'!$I$10*SUM('Book Income Statement'!V7:V9)))</f>
        <v>0.670740477102741</v>
      </c>
      <c r="V45" s="441" t="n">
        <f aca="false">IF(Operations!V3&gt;'Project Assumptions'!$I$15+1,0,V32/('Project Assumptions'!$I$10*SUM('Book Income Statement'!W7:W9)))</f>
        <v>0.690862691415824</v>
      </c>
      <c r="W45" s="441" t="n">
        <f aca="false">IF(Operations!W3&gt;'Project Assumptions'!$I$15+1,0,W32/('Project Assumptions'!$I$10*SUM('Book Income Statement'!X7:X9)))</f>
        <v>0.734577080736331</v>
      </c>
      <c r="X45" s="441" t="e">
        <f aca="false">IF(Operations!X3&gt;'Project Assumptions'!$I$15+1,0,X32/('Project Assumptions'!$I$10*SUM('Book Income Statement'!Y7:Y9)))</f>
        <v>#DIV/0!</v>
      </c>
      <c r="Y45" s="441" t="e">
        <f aca="false">IF(Operations!Y3&gt;'Project Assumptions'!$I$15+1,0,Y32/('Project Assumptions'!$I$10*SUM('Book Income Statement'!Z7:Z9)))</f>
        <v>#DIV/0!</v>
      </c>
      <c r="Z45" s="441" t="e">
        <f aca="false">IF(Operations!Z3&gt;'Project Assumptions'!$I$15+1,0,Z32/('Project Assumptions'!$I$10*SUM('Book Income Statement'!AA7:AA9)))</f>
        <v>#DIV/0!</v>
      </c>
      <c r="AA45" s="442"/>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row>
    <row r="46" customFormat="false" ht="12.6" hidden="false" customHeight="true" outlineLevel="0" collapsed="false">
      <c r="A46" s="397" t="s">
        <v>382</v>
      </c>
      <c r="B46" s="439" t="n">
        <f aca="false">AVERAGE(C46:V46)</f>
        <v>0.997948995140572</v>
      </c>
      <c r="C46" s="437" t="n">
        <f aca="false">SUM(C43:C45)</f>
        <v>0.919455386330229</v>
      </c>
      <c r="D46" s="437" t="n">
        <f aca="false">SUM(D43:D45)</f>
        <v>0.688116465291689</v>
      </c>
      <c r="E46" s="437" t="n">
        <f aca="false">SUM(E43:E45)</f>
        <v>0.70875995925044</v>
      </c>
      <c r="F46" s="437" t="n">
        <f aca="false">SUM(F43:F45)</f>
        <v>0.778510421833696</v>
      </c>
      <c r="G46" s="437" t="n">
        <f aca="false">SUM(G43:G45)</f>
        <v>0.836644191944038</v>
      </c>
      <c r="H46" s="437" t="n">
        <f aca="false">SUM(H43:H45)</f>
        <v>0.861743517702359</v>
      </c>
      <c r="I46" s="437" t="n">
        <f aca="false">SUM(I43:I45)</f>
        <v>0.88759582323343</v>
      </c>
      <c r="J46" s="437" t="n">
        <f aca="false">SUM(J43:J45)</f>
        <v>0.914223697930433</v>
      </c>
      <c r="K46" s="437" t="n">
        <f aca="false">SUM(K43:K45)</f>
        <v>0.941650408868346</v>
      </c>
      <c r="L46" s="437" t="n">
        <f aca="false">SUM(L43:L45)</f>
        <v>0.969899921134396</v>
      </c>
      <c r="M46" s="437" t="n">
        <f aca="false">SUM(M43:M45)</f>
        <v>0.998996918768428</v>
      </c>
      <c r="N46" s="437" t="n">
        <f aca="false">SUM(N43:N45)</f>
        <v>1.02896682633148</v>
      </c>
      <c r="O46" s="437" t="n">
        <f aca="false">SUM(O43:O45)</f>
        <v>1.05983583112143</v>
      </c>
      <c r="P46" s="437" t="n">
        <f aca="false">SUM(P43:P45)</f>
        <v>1.09163090605507</v>
      </c>
      <c r="Q46" s="437" t="n">
        <f aca="false">SUM(Q43:Q45)</f>
        <v>1.12437983323672</v>
      </c>
      <c r="R46" s="437" t="n">
        <f aca="false">SUM(R43:R45)</f>
        <v>1.15811122823382</v>
      </c>
      <c r="S46" s="437" t="n">
        <f aca="false">SUM(S43:S45)</f>
        <v>1.19285456508084</v>
      </c>
      <c r="T46" s="437" t="n">
        <f aca="false">SUM(T43:T45)</f>
        <v>1.22864020203326</v>
      </c>
      <c r="U46" s="437" t="n">
        <f aca="false">SUM(U43:U45)</f>
        <v>1.26549940809426</v>
      </c>
      <c r="V46" s="437" t="n">
        <f aca="false">SUM(V43:V45)</f>
        <v>1.30346439033709</v>
      </c>
      <c r="W46" s="437" t="n">
        <f aca="false">SUM(W43:W45)</f>
        <v>2.00975991867449</v>
      </c>
      <c r="X46" s="437" t="e">
        <f aca="false">SUM(X43:X45)</f>
        <v>#DIV/0!</v>
      </c>
      <c r="Y46" s="437" t="e">
        <f aca="false">SUM(Y43:Y45)</f>
        <v>#DIV/0!</v>
      </c>
      <c r="Z46" s="437" t="e">
        <f aca="false">SUM(Z43:Z45)</f>
        <v>#DIV/0!</v>
      </c>
      <c r="AA46" s="438"/>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row>
    <row r="47" customFormat="false" ht="12.6" hidden="false" customHeight="true" outlineLevel="0" collapsed="false">
      <c r="A47" s="397"/>
      <c r="B47" s="443"/>
      <c r="C47" s="21"/>
      <c r="D47" s="21"/>
      <c r="E47" s="21"/>
      <c r="F47" s="21"/>
      <c r="G47" s="21"/>
      <c r="H47" s="21"/>
      <c r="I47" s="21"/>
      <c r="J47" s="21"/>
      <c r="K47" s="21"/>
      <c r="L47" s="21"/>
      <c r="M47" s="21"/>
      <c r="N47" s="21"/>
      <c r="O47" s="21"/>
      <c r="P47" s="21"/>
      <c r="Q47" s="21"/>
      <c r="R47" s="21"/>
      <c r="S47" s="21"/>
      <c r="T47" s="21"/>
      <c r="U47" s="21"/>
      <c r="V47" s="21"/>
      <c r="W47" s="21"/>
      <c r="X47" s="21"/>
      <c r="Y47" s="21"/>
      <c r="Z47" s="21"/>
      <c r="AA47" s="22"/>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row>
    <row r="48" customFormat="false" ht="12.6" hidden="false" customHeight="true" outlineLevel="0" collapsed="false">
      <c r="A48" s="397" t="s">
        <v>383</v>
      </c>
      <c r="B48" s="439" t="n">
        <f aca="false">AVERAGE(C48:V48)</f>
        <v>0.997948995140572</v>
      </c>
      <c r="C48" s="437" t="n">
        <f aca="false">C46</f>
        <v>0.919455386330229</v>
      </c>
      <c r="D48" s="437" t="n">
        <f aca="false">D46</f>
        <v>0.688116465291689</v>
      </c>
      <c r="E48" s="437" t="n">
        <f aca="false">E46</f>
        <v>0.70875995925044</v>
      </c>
      <c r="F48" s="437" t="n">
        <f aca="false">F46</f>
        <v>0.778510421833696</v>
      </c>
      <c r="G48" s="437" t="n">
        <f aca="false">G46</f>
        <v>0.836644191944038</v>
      </c>
      <c r="H48" s="437" t="n">
        <f aca="false">H46</f>
        <v>0.861743517702359</v>
      </c>
      <c r="I48" s="437" t="n">
        <f aca="false">I46</f>
        <v>0.88759582323343</v>
      </c>
      <c r="J48" s="437" t="n">
        <f aca="false">J46</f>
        <v>0.914223697930433</v>
      </c>
      <c r="K48" s="437" t="n">
        <f aca="false">K46</f>
        <v>0.941650408868346</v>
      </c>
      <c r="L48" s="437" t="n">
        <f aca="false">L46</f>
        <v>0.969899921134396</v>
      </c>
      <c r="M48" s="437" t="n">
        <f aca="false">M46</f>
        <v>0.998996918768428</v>
      </c>
      <c r="N48" s="437" t="n">
        <f aca="false">N46</f>
        <v>1.02896682633148</v>
      </c>
      <c r="O48" s="437" t="n">
        <f aca="false">O46</f>
        <v>1.05983583112143</v>
      </c>
      <c r="P48" s="437" t="n">
        <f aca="false">P46</f>
        <v>1.09163090605507</v>
      </c>
      <c r="Q48" s="437" t="n">
        <f aca="false">Q46</f>
        <v>1.12437983323672</v>
      </c>
      <c r="R48" s="437" t="n">
        <f aca="false">R46</f>
        <v>1.15811122823382</v>
      </c>
      <c r="S48" s="437" t="n">
        <f aca="false">S46</f>
        <v>1.19285456508084</v>
      </c>
      <c r="T48" s="437" t="n">
        <f aca="false">T46</f>
        <v>1.22864020203326</v>
      </c>
      <c r="U48" s="437" t="n">
        <f aca="false">U46</f>
        <v>1.26549940809426</v>
      </c>
      <c r="V48" s="437" t="n">
        <f aca="false">V46</f>
        <v>1.30346439033709</v>
      </c>
      <c r="W48" s="437" t="n">
        <f aca="false">W46</f>
        <v>2.00975991867449</v>
      </c>
      <c r="X48" s="437" t="e">
        <f aca="false">X46</f>
        <v>#DIV/0!</v>
      </c>
      <c r="Y48" s="437" t="e">
        <f aca="false">Y46</f>
        <v>#DIV/0!</v>
      </c>
      <c r="Z48" s="437" t="e">
        <f aca="false">Z46</f>
        <v>#DIV/0!</v>
      </c>
      <c r="AA48" s="438"/>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row>
    <row r="49" customFormat="false" ht="12.6" hidden="false" customHeight="true" outlineLevel="0" collapsed="false">
      <c r="A49" s="397" t="s">
        <v>371</v>
      </c>
      <c r="B49" s="439" t="n">
        <f aca="false">AVERAGE(C49:V49)</f>
        <v>0.039308201021842</v>
      </c>
      <c r="C49" s="444" t="n">
        <f aca="false">IF(Operations!C3&gt;'Project Assumptions'!$I$15+1,0,C33/'Project Assumptions'!$I$10/SUM('Book Income Statement'!D7:D9))</f>
        <v>0.0822060669679512</v>
      </c>
      <c r="D49" s="444" t="n">
        <f aca="false">IF(Operations!D3&gt;'Project Assumptions'!$I$15+1,0,D33/'Project Assumptions'!$I$10/SUM('Book Income Statement'!E7:E9))</f>
        <v>0.0479535390646382</v>
      </c>
      <c r="E49" s="444" t="n">
        <f aca="false">IF(Operations!E3&gt;'Project Assumptions'!$I$15+1,0,E33/'Project Assumptions'!$I$10/SUM('Book Income Statement'!F7:F9))</f>
        <v>0.0479535390646382</v>
      </c>
      <c r="F49" s="444" t="n">
        <f aca="false">IF(Operations!F3&gt;'Project Assumptions'!$I$15+1,0,F33/'Project Assumptions'!$I$10/SUM('Book Income Statement'!G7:G9))</f>
        <v>0.0479535390646382</v>
      </c>
      <c r="G49" s="444" t="n">
        <f aca="false">IF(Operations!G3&gt;'Project Assumptions'!$I$15+1,0,G33/'Project Assumptions'!$I$10/SUM('Book Income Statement'!H7:H9))</f>
        <v>0.0479535390646382</v>
      </c>
      <c r="H49" s="444" t="n">
        <f aca="false">IF(Operations!H3&gt;'Project Assumptions'!$I$15+1,0,H33/'Project Assumptions'!$I$10/SUM('Book Income Statement'!I7:I9))</f>
        <v>0.0421991143768816</v>
      </c>
      <c r="I49" s="444" t="n">
        <f aca="false">IF(Operations!I3&gt;'Project Assumptions'!$I$15+1,0,I33/'Project Assumptions'!$I$10/SUM('Book Income Statement'!J7:J9))</f>
        <v>0.0421991143768816</v>
      </c>
      <c r="J49" s="444" t="n">
        <f aca="false">IF(Operations!J3&gt;'Project Assumptions'!$I$15+1,0,J33/'Project Assumptions'!$I$10/SUM('Book Income Statement'!K7:K9))</f>
        <v>0.0421991143768816</v>
      </c>
      <c r="K49" s="444" t="n">
        <f aca="false">IF(Operations!K3&gt;'Project Assumptions'!$I$15+1,0,K33/'Project Assumptions'!$I$10/SUM('Book Income Statement'!L7:L9))</f>
        <v>0.0421991143768816</v>
      </c>
      <c r="L49" s="444" t="n">
        <f aca="false">IF(Operations!L3&gt;'Project Assumptions'!$I$15+1,0,L33/'Project Assumptions'!$I$10/SUM('Book Income Statement'!M7:M9))</f>
        <v>0.036444689689125</v>
      </c>
      <c r="M49" s="444" t="n">
        <f aca="false">IF(Operations!M3&gt;'Project Assumptions'!$I$15+1,0,M33/'Project Assumptions'!$I$10/SUM('Book Income Statement'!N7:N9))</f>
        <v>0.036444689689125</v>
      </c>
      <c r="N49" s="444" t="n">
        <f aca="false">IF(Operations!N3&gt;'Project Assumptions'!$I$15+1,0,N33/'Project Assumptions'!$I$10/SUM('Book Income Statement'!O7:O9))</f>
        <v>0.036444689689125</v>
      </c>
      <c r="O49" s="444" t="n">
        <f aca="false">IF(Operations!O3&gt;'Project Assumptions'!$I$15+1,0,O33/'Project Assumptions'!$I$10/SUM('Book Income Statement'!P7:P9))</f>
        <v>0.036444689689125</v>
      </c>
      <c r="P49" s="444" t="n">
        <f aca="false">IF(Operations!P3&gt;'Project Assumptions'!$I$15+1,0,P33/'Project Assumptions'!$I$10/SUM('Book Income Statement'!Q7:Q9))</f>
        <v>0.0306902650013684</v>
      </c>
      <c r="Q49" s="444" t="n">
        <f aca="false">IF(Operations!Q3&gt;'Project Assumptions'!$I$15+1,0,Q33/'Project Assumptions'!$I$10/SUM('Book Income Statement'!R7:R9))</f>
        <v>0.0306902650013684</v>
      </c>
      <c r="R49" s="444" t="n">
        <f aca="false">IF(Operations!R3&gt;'Project Assumptions'!$I$15+1,0,R33/'Project Assumptions'!$I$10/SUM('Book Income Statement'!S7:S9))</f>
        <v>0.0306902650013684</v>
      </c>
      <c r="S49" s="444" t="n">
        <f aca="false">IF(Operations!S3&gt;'Project Assumptions'!$I$15+1,0,S33/'Project Assumptions'!$I$10/SUM('Book Income Statement'!T7:T9))</f>
        <v>0.0306902650013684</v>
      </c>
      <c r="T49" s="444" t="n">
        <f aca="false">IF(Operations!T3&gt;'Project Assumptions'!$I$15+1,0,T33/'Project Assumptions'!$I$10/SUM('Book Income Statement'!U7:U9))</f>
        <v>0.0249358403136119</v>
      </c>
      <c r="U49" s="444" t="n">
        <f aca="false">IF(Operations!U3&gt;'Project Assumptions'!$I$15+1,0,U33/'Project Assumptions'!$I$10/SUM('Book Income Statement'!V7:V9))</f>
        <v>0.0249358403136119</v>
      </c>
      <c r="V49" s="444" t="n">
        <f aca="false">IF(Operations!V3&gt;'Project Assumptions'!$I$15+1,0,V33/'Project Assumptions'!$I$10/SUM('Book Income Statement'!W7:W9))</f>
        <v>0.0249358403136119</v>
      </c>
      <c r="W49" s="444" t="n">
        <f aca="false">IF(Operations!W3&gt;'Project Assumptions'!$I$15+1,0,W33/'Project Assumptions'!$I$10/SUM('Book Income Statement'!X7:X9))</f>
        <v>0.0598460167526685</v>
      </c>
      <c r="X49" s="444" t="e">
        <f aca="false">IF(Operations!X3&gt;'Project Assumptions'!$I$15+1,0,X33/'Project Assumptions'!$I$10/SUM('Book Income Statement'!Y7:Y9))</f>
        <v>#DIV/0!</v>
      </c>
      <c r="Y49" s="444" t="e">
        <f aca="false">IF(Operations!Y3&gt;'Project Assumptions'!$I$15+1,0,Y33/'Project Assumptions'!$I$10/SUM('Book Income Statement'!Z7:Z9))</f>
        <v>#DIV/0!</v>
      </c>
      <c r="Z49" s="444" t="e">
        <f aca="false">IF(Operations!Z3&gt;'Project Assumptions'!$I$15+1,0,Z33/'Project Assumptions'!$I$10/SUM('Book Income Statement'!AA7:AA9))</f>
        <v>#DIV/0!</v>
      </c>
      <c r="AA49" s="445"/>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row>
    <row r="50" customFormat="false" ht="12.6" hidden="false" customHeight="true" outlineLevel="0" collapsed="false">
      <c r="A50" s="397" t="s">
        <v>384</v>
      </c>
      <c r="B50" s="439" t="n">
        <f aca="false">AVERAGE(C50:V50)</f>
        <v>0.01066972099487</v>
      </c>
      <c r="C50" s="444" t="n">
        <f aca="false">IF(Operations!C3&gt;'Project Assumptions'!$I$15+1,0,C34/'Project Assumptions'!$I$10/SUM('Book Income Statement'!D7:D9))</f>
        <v>0.0254377454182331</v>
      </c>
      <c r="D50" s="444" t="n">
        <f aca="false">IF(Operations!D3&gt;'Project Assumptions'!$I$15+1,0,D34/'Project Assumptions'!$I$10/SUM('Book Income Statement'!E7:E9))</f>
        <v>0.00989245655153509</v>
      </c>
      <c r="E50" s="444" t="n">
        <f aca="false">IF(Operations!E3&gt;'Project Assumptions'!$I$15+1,0,E34/'Project Assumptions'!$I$10/SUM('Book Income Statement'!F7:F9))</f>
        <v>0.00989245655153509</v>
      </c>
      <c r="F50" s="444" t="n">
        <f aca="false">IF(Operations!F3&gt;'Project Assumptions'!$I$15+1,0,F34/'Project Assumptions'!$I$10/SUM('Book Income Statement'!G7:G9))</f>
        <v>0.00989245655153509</v>
      </c>
      <c r="G50" s="444" t="n">
        <f aca="false">IF(Operations!G3&gt;'Project Assumptions'!$I$15+1,0,G34/'Project Assumptions'!$I$10/SUM('Book Income Statement'!H7:H9))</f>
        <v>0.00989245655153509</v>
      </c>
      <c r="H50" s="444" t="n">
        <f aca="false">IF(Operations!H3&gt;'Project Assumptions'!$I$15+1,0,H34/'Project Assumptions'!$I$10/SUM('Book Income Statement'!I7:I9))</f>
        <v>0.00989245655153509</v>
      </c>
      <c r="I50" s="444" t="n">
        <f aca="false">IF(Operations!I3&gt;'Project Assumptions'!$I$15+1,0,I34/'Project Assumptions'!$I$10/SUM('Book Income Statement'!J7:J9))</f>
        <v>0.00989245655153509</v>
      </c>
      <c r="J50" s="444" t="n">
        <f aca="false">IF(Operations!J3&gt;'Project Assumptions'!$I$15+1,0,J34/'Project Assumptions'!$I$10/SUM('Book Income Statement'!K7:K9))</f>
        <v>0.00989245655153509</v>
      </c>
      <c r="K50" s="444" t="n">
        <f aca="false">IF(Operations!K3&gt;'Project Assumptions'!$I$15+1,0,K34/'Project Assumptions'!$I$10/SUM('Book Income Statement'!L7:L9))</f>
        <v>0.00989245655153509</v>
      </c>
      <c r="L50" s="444" t="n">
        <f aca="false">IF(Operations!L3&gt;'Project Assumptions'!$I$15+1,0,L34/'Project Assumptions'!$I$10/SUM('Book Income Statement'!M7:M9))</f>
        <v>0.00989245655153509</v>
      </c>
      <c r="M50" s="444" t="n">
        <f aca="false">IF(Operations!M3&gt;'Project Assumptions'!$I$15+1,0,M34/'Project Assumptions'!$I$10/SUM('Book Income Statement'!N7:N9))</f>
        <v>0.00989245655153509</v>
      </c>
      <c r="N50" s="444" t="n">
        <f aca="false">IF(Operations!N3&gt;'Project Assumptions'!$I$15+1,0,N34/'Project Assumptions'!$I$10/SUM('Book Income Statement'!O7:O9))</f>
        <v>0.00989245655153509</v>
      </c>
      <c r="O50" s="444" t="n">
        <f aca="false">IF(Operations!O3&gt;'Project Assumptions'!$I$15+1,0,O34/'Project Assumptions'!$I$10/SUM('Book Income Statement'!P7:P9))</f>
        <v>0.00989245655153509</v>
      </c>
      <c r="P50" s="444" t="n">
        <f aca="false">IF(Operations!P3&gt;'Project Assumptions'!$I$15+1,0,P34/'Project Assumptions'!$I$10/SUM('Book Income Statement'!Q7:Q9))</f>
        <v>0.00989245655153509</v>
      </c>
      <c r="Q50" s="444" t="n">
        <f aca="false">IF(Operations!Q3&gt;'Project Assumptions'!$I$15+1,0,Q34/'Project Assumptions'!$I$10/SUM('Book Income Statement'!R7:R9))</f>
        <v>0.00989245655153509</v>
      </c>
      <c r="R50" s="444" t="n">
        <f aca="false">IF(Operations!R3&gt;'Project Assumptions'!$I$15+1,0,R34/'Project Assumptions'!$I$10/SUM('Book Income Statement'!S7:S9))</f>
        <v>0.00989245655153509</v>
      </c>
      <c r="S50" s="444" t="n">
        <f aca="false">IF(Operations!S3&gt;'Project Assumptions'!$I$15+1,0,S34/'Project Assumptions'!$I$10/SUM('Book Income Statement'!T7:T9))</f>
        <v>0.00989245655153509</v>
      </c>
      <c r="T50" s="444" t="n">
        <f aca="false">IF(Operations!T3&gt;'Project Assumptions'!$I$15+1,0,T34/'Project Assumptions'!$I$10/SUM('Book Income Statement'!U7:U9))</f>
        <v>0.00989245655153509</v>
      </c>
      <c r="U50" s="444" t="n">
        <f aca="false">IF(Operations!U3&gt;'Project Assumptions'!$I$15+1,0,U34/'Project Assumptions'!$I$10/SUM('Book Income Statement'!V7:V9))</f>
        <v>0.00989245655153509</v>
      </c>
      <c r="V50" s="444" t="n">
        <f aca="false">IF(Operations!V3&gt;'Project Assumptions'!$I$15+1,0,V34/'Project Assumptions'!$I$10/SUM('Book Income Statement'!W7:W9))</f>
        <v>0.00989245655153509</v>
      </c>
      <c r="W50" s="444" t="n">
        <f aca="false">IF(Operations!W3&gt;'Project Assumptions'!$I$15+1,0,W34/'Project Assumptions'!$I$10/SUM('Book Income Statement'!X7:X9))</f>
        <v>0.0237418957236842</v>
      </c>
      <c r="X50" s="444" t="e">
        <f aca="false">IF(Operations!X3&gt;'Project Assumptions'!$I$15+1,0,X34/'Project Assumptions'!$I$10/SUM('Book Income Statement'!Y7:Y9))</f>
        <v>#DIV/0!</v>
      </c>
      <c r="Y50" s="444" t="e">
        <f aca="false">IF(Operations!Y3&gt;'Project Assumptions'!$I$15+1,0,Y34/'Project Assumptions'!$I$10/SUM('Book Income Statement'!Z7:Z9))</f>
        <v>#DIV/0!</v>
      </c>
      <c r="Z50" s="444" t="e">
        <f aca="false">IF(Operations!Z3&gt;'Project Assumptions'!$I$15+1,0,Z34/'Project Assumptions'!$I$10/SUM('Book Income Statement'!AA7:AA9))</f>
        <v>#DIV/0!</v>
      </c>
      <c r="AA50" s="438"/>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row>
    <row r="51" customFormat="false" ht="15" hidden="false" customHeight="true" outlineLevel="0" collapsed="false">
      <c r="A51" s="397" t="s">
        <v>385</v>
      </c>
      <c r="B51" s="440" t="n">
        <f aca="false">AVERAGE(C51:V51)</f>
        <v>2.45527159832785</v>
      </c>
      <c r="C51" s="441" t="n">
        <f aca="false">IF(Operations!C3&gt;'Project Assumptions'!$I$15+1,0,'Returns Summary'!C23/'Project Assumptions'!$I$10/SUM('Book Income Statement'!D7:D9))</f>
        <v>5.07174226973684</v>
      </c>
      <c r="D51" s="441" t="n">
        <f aca="false">IF(Operations!D3&gt;'Project Assumptions'!$I$15+1,0,'Returns Summary'!D23/'Project Assumptions'!$I$10/SUM('Book Income Statement'!E7:E9))</f>
        <v>2.8903192674068</v>
      </c>
      <c r="E51" s="441" t="n">
        <f aca="false">IF(Operations!E3&gt;'Project Assumptions'!$I$15+1,0,'Returns Summary'!E23/'Project Assumptions'!$I$10/SUM('Book Income Statement'!F7:F9))</f>
        <v>3.19499775904605</v>
      </c>
      <c r="F51" s="441" t="n">
        <f aca="false">IF(Operations!F3&gt;'Project Assumptions'!$I$15+1,0,'Returns Summary'!F23/'Project Assumptions'!$I$10/SUM('Book Income Statement'!G7:G9))</f>
        <v>3.47144957168311</v>
      </c>
      <c r="G51" s="441" t="n">
        <f aca="false">IF(Operations!G3&gt;'Project Assumptions'!$I$15+1,0,'Returns Summary'!G23/'Project Assumptions'!$I$10/SUM('Book Income Statement'!H7:H9))</f>
        <v>2.60434164610746</v>
      </c>
      <c r="H51" s="441" t="n">
        <f aca="false">IF(Operations!H3&gt;'Project Assumptions'!$I$15+1,0,'Returns Summary'!H23/'Project Assumptions'!$I$10/SUM('Book Income Statement'!I7:I9))</f>
        <v>2.52573098218202</v>
      </c>
      <c r="I51" s="441" t="n">
        <f aca="false">IF(Operations!I3&gt;'Project Assumptions'!$I$15+1,0,'Returns Summary'!I23/'Project Assumptions'!$I$10/SUM('Book Income Statement'!J7:J9))</f>
        <v>2.58255617351974</v>
      </c>
      <c r="J51" s="441" t="n">
        <f aca="false">IF(Operations!J3&gt;'Project Assumptions'!$I$15+1,0,'Returns Summary'!J23/'Project Assumptions'!$I$10/SUM('Book Income Statement'!K7:K9))</f>
        <v>2.49286685663377</v>
      </c>
      <c r="K51" s="441" t="n">
        <f aca="false">IF(Operations!K3&gt;'Project Assumptions'!$I$15+1,0,'Returns Summary'!K23/'Project Assumptions'!$I$10/SUM('Book Income Statement'!L7:L9))</f>
        <v>3.14892863623904</v>
      </c>
      <c r="L51" s="441" t="n">
        <f aca="false">IF(Operations!L3&gt;'Project Assumptions'!$I$15+1,0,'Returns Summary'!L23/'Project Assumptions'!$I$10/SUM('Book Income Statement'!M7:M9))</f>
        <v>3.51109736485746</v>
      </c>
      <c r="M51" s="441" t="n">
        <f aca="false">IF(Operations!M3&gt;'Project Assumptions'!$I$15+1,0,'Returns Summary'!M23/'Project Assumptions'!$I$10/SUM('Book Income Statement'!N7:N9))</f>
        <v>1.46127161677632</v>
      </c>
      <c r="N51" s="441" t="n">
        <f aca="false">IF(Operations!N3&gt;'Project Assumptions'!$I$15+1,0,'Returns Summary'!N23/'Project Assumptions'!$I$10/SUM('Book Income Statement'!O7:O9))</f>
        <v>1.55239286019737</v>
      </c>
      <c r="O51" s="441" t="n">
        <f aca="false">IF(Operations!O3&gt;'Project Assumptions'!$I$15+1,0,'Returns Summary'!O23/'Project Assumptions'!$I$10/SUM('Book Income Statement'!P7:P9))</f>
        <v>1.49699959539474</v>
      </c>
      <c r="P51" s="441" t="n">
        <f aca="false">IF(Operations!P3&gt;'Project Assumptions'!$I$15+1,0,'Returns Summary'!P23/'Project Assumptions'!$I$10/SUM('Book Income Statement'!Q7:Q9))</f>
        <v>1.44160633059211</v>
      </c>
      <c r="Q51" s="441" t="n">
        <f aca="false">IF(Operations!Q3&gt;'Project Assumptions'!$I$15+1,0,'Returns Summary'!Q23/'Project Assumptions'!$I$10/SUM('Book Income Statement'!R7:R9))</f>
        <v>1.38621306578947</v>
      </c>
      <c r="R51" s="441" t="n">
        <f aca="false">IF(Operations!R3&gt;'Project Assumptions'!$I$15+1,0,'Returns Summary'!R23/'Project Assumptions'!$I$10/SUM('Book Income Statement'!S7:S9))</f>
        <v>1.33081980098684</v>
      </c>
      <c r="S51" s="441" t="n">
        <f aca="false">IF(Operations!S3&gt;'Project Assumptions'!$I$15+1,0,'Returns Summary'!S23/'Project Assumptions'!$I$10/SUM('Book Income Statement'!T7:T9))</f>
        <v>1.9526058125</v>
      </c>
      <c r="T51" s="441" t="n">
        <f aca="false">IF(Operations!T3&gt;'Project Assumptions'!$I$15+1,0,'Returns Summary'!T23/'Project Assumptions'!$I$10/SUM('Book Income Statement'!U7:U9))</f>
        <v>2.11269099342105</v>
      </c>
      <c r="U51" s="441" t="n">
        <f aca="false">IF(Operations!U3&gt;'Project Assumptions'!$I$15+1,0,'Returns Summary'!U23/'Project Assumptions'!$I$10/SUM('Book Income Statement'!V7:V9))</f>
        <v>2.38605472368421</v>
      </c>
      <c r="V51" s="441" t="n">
        <f aca="false">IF(Operations!V3&gt;'Project Assumptions'!$I$15+1,0,'Returns Summary'!V23/'Project Assumptions'!$I$10/SUM('Book Income Statement'!W7:W9))</f>
        <v>2.49074663980263</v>
      </c>
      <c r="W51" s="441" t="n">
        <f aca="false">IF(Operations!W3&gt;'Project Assumptions'!$I$15+1,0,'Returns Summary'!W23/'Project Assumptions'!$I$10/SUM('Book Income Statement'!X7:X9))</f>
        <v>0</v>
      </c>
      <c r="X51" s="441" t="e">
        <f aca="false">IF(Operations!X3&gt;'Project Assumptions'!$I$15+1,0,'Returns Summary'!X23/'Project Assumptions'!$I$10/SUM('Book Income Statement'!Y7:Y9))</f>
        <v>#DIV/0!</v>
      </c>
      <c r="Y51" s="441" t="e">
        <f aca="false">IF(Operations!Y3&gt;'Project Assumptions'!$I$15+1,0,'Returns Summary'!Y23/'Project Assumptions'!$I$10/SUM('Book Income Statement'!Z7:Z9))</f>
        <v>#DIV/0!</v>
      </c>
      <c r="Z51" s="441" t="e">
        <f aca="false">IF(Operations!Z3&gt;'Project Assumptions'!$I$15+1,0,'Returns Summary'!Z23/'Project Assumptions'!$I$10/SUM('Book Income Statement'!AA7:AA9))</f>
        <v>#DIV/0!</v>
      </c>
      <c r="AA51" s="442"/>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row>
    <row r="52" customFormat="false" ht="12.6" hidden="false" customHeight="true" outlineLevel="0" collapsed="false">
      <c r="A52" s="397" t="s">
        <v>386</v>
      </c>
      <c r="B52" s="439" t="n">
        <f aca="false">AVERAGE(C52:V52)</f>
        <v>3.50319851548514</v>
      </c>
      <c r="C52" s="437" t="n">
        <f aca="false">SUM(C48:C51)</f>
        <v>6.09884146845326</v>
      </c>
      <c r="D52" s="437" t="n">
        <f aca="false">SUM(D48:D51)</f>
        <v>3.63628172831466</v>
      </c>
      <c r="E52" s="437" t="n">
        <f aca="false">SUM(E48:E51)</f>
        <v>3.96160371391267</v>
      </c>
      <c r="F52" s="437" t="n">
        <f aca="false">SUM(F48:F51)</f>
        <v>4.30780598913298</v>
      </c>
      <c r="G52" s="437" t="n">
        <f aca="false">SUM(G48:G51)</f>
        <v>3.49883183366767</v>
      </c>
      <c r="H52" s="437" t="n">
        <f aca="false">SUM(H48:H51)</f>
        <v>3.43956607081279</v>
      </c>
      <c r="I52" s="437" t="n">
        <f aca="false">SUM(I48:I51)</f>
        <v>3.52224356768158</v>
      </c>
      <c r="J52" s="437" t="n">
        <f aca="false">SUM(J48:J51)</f>
        <v>3.45918212549262</v>
      </c>
      <c r="K52" s="437" t="n">
        <f aca="false">SUM(K48:K51)</f>
        <v>4.1426706160358</v>
      </c>
      <c r="L52" s="437" t="n">
        <f aca="false">SUM(L48:L51)</f>
        <v>4.52733443223251</v>
      </c>
      <c r="M52" s="437" t="n">
        <f aca="false">SUM(M48:M51)</f>
        <v>2.5066056817854</v>
      </c>
      <c r="N52" s="437" t="n">
        <f aca="false">SUM(N48:N51)</f>
        <v>2.62769683276951</v>
      </c>
      <c r="O52" s="437" t="n">
        <f aca="false">SUM(O48:O51)</f>
        <v>2.60317257275682</v>
      </c>
      <c r="P52" s="437" t="n">
        <f aca="false">SUM(P48:P51)</f>
        <v>2.57381995820008</v>
      </c>
      <c r="Q52" s="437" t="n">
        <f aca="false">SUM(Q48:Q51)</f>
        <v>2.5511756205791</v>
      </c>
      <c r="R52" s="437" t="n">
        <f aca="false">SUM(R48:R51)</f>
        <v>2.52951375077357</v>
      </c>
      <c r="S52" s="437" t="n">
        <f aca="false">SUM(S48:S51)</f>
        <v>3.18604309913374</v>
      </c>
      <c r="T52" s="437" t="n">
        <f aca="false">SUM(T48:T51)</f>
        <v>3.37615949231946</v>
      </c>
      <c r="U52" s="437" t="n">
        <f aca="false">SUM(U48:U51)</f>
        <v>3.68638242864362</v>
      </c>
      <c r="V52" s="437" t="n">
        <f aca="false">SUM(V48:V51)</f>
        <v>3.82903932700487</v>
      </c>
      <c r="W52" s="437" t="n">
        <f aca="false">SUM(W48:W51)</f>
        <v>2.09334783115085</v>
      </c>
      <c r="X52" s="437" t="e">
        <f aca="false">SUM(X48:X51)</f>
        <v>#DIV/0!</v>
      </c>
      <c r="Y52" s="437" t="e">
        <f aca="false">SUM(Y48:Y51)</f>
        <v>#DIV/0!</v>
      </c>
      <c r="Z52" s="437" t="e">
        <f aca="false">SUM(Z48:Z51)</f>
        <v>#DIV/0!</v>
      </c>
      <c r="AA52" s="438"/>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row>
    <row r="53" customFormat="false" ht="12.6" hidden="false" customHeight="true" outlineLevel="0" collapsed="false">
      <c r="A53" s="397"/>
      <c r="B53" s="443"/>
      <c r="C53" s="446"/>
      <c r="D53" s="446"/>
      <c r="E53" s="446"/>
      <c r="F53" s="446"/>
      <c r="G53" s="446"/>
      <c r="H53" s="446"/>
      <c r="I53" s="446"/>
      <c r="J53" s="446"/>
      <c r="K53" s="446"/>
      <c r="L53" s="446"/>
      <c r="M53" s="446"/>
      <c r="N53" s="446"/>
      <c r="O53" s="446"/>
      <c r="P53" s="446"/>
      <c r="Q53" s="446"/>
      <c r="R53" s="446"/>
      <c r="S53" s="446"/>
      <c r="T53" s="446"/>
      <c r="U53" s="446"/>
      <c r="V53" s="446"/>
      <c r="W53" s="446"/>
      <c r="X53" s="446"/>
      <c r="Y53" s="446"/>
      <c r="Z53" s="446"/>
      <c r="AA53" s="447"/>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row>
    <row r="54" customFormat="false" ht="12.6" hidden="false" customHeight="true" outlineLevel="0" collapsed="false">
      <c r="A54" s="397" t="s">
        <v>376</v>
      </c>
      <c r="B54" s="439" t="n">
        <f aca="false">AVERAGE(C54:V54)</f>
        <v>0.276419777973427</v>
      </c>
      <c r="C54" s="446" t="n">
        <f aca="false">C39/'Project Assumptions'!$I$10/SUM('Book Income Statement'!D7:D9)</f>
        <v>0.205743152620956</v>
      </c>
      <c r="D54" s="446" t="n">
        <f aca="false">D39/'Project Assumptions'!$I$10/SUM('Book Income Statement'!E7:E9)</f>
        <v>0.211915447199584</v>
      </c>
      <c r="E54" s="446" t="n">
        <f aca="false">E39/'Project Assumptions'!$I$10/SUM('Book Income Statement'!F7:F9)</f>
        <v>0.218272910615572</v>
      </c>
      <c r="F54" s="446" t="n">
        <f aca="false">F39/'Project Assumptions'!$I$10/SUM('Book Income Statement'!G7:G9)</f>
        <v>0.224821097934039</v>
      </c>
      <c r="G54" s="446" t="n">
        <f aca="false">G39/'Project Assumptions'!$I$10/SUM('Book Income Statement'!H7:H9)</f>
        <v>0.23156573087206</v>
      </c>
      <c r="H54" s="446" t="n">
        <f aca="false">H39/'Project Assumptions'!$I$10/SUM('Book Income Statement'!I7:I9)</f>
        <v>0.238512702798222</v>
      </c>
      <c r="I54" s="446" t="n">
        <f aca="false">I39/'Project Assumptions'!$I$10/SUM('Book Income Statement'!J7:J9)</f>
        <v>0.245668083882169</v>
      </c>
      <c r="J54" s="446" t="n">
        <f aca="false">J39/'Project Assumptions'!$I$10/SUM('Book Income Statement'!K7:K9)</f>
        <v>0.253038126398634</v>
      </c>
      <c r="K54" s="446" t="n">
        <f aca="false">K39/'Project Assumptions'!$I$10/SUM('Book Income Statement'!L7:L9)</f>
        <v>0.260629270190593</v>
      </c>
      <c r="L54" s="446" t="n">
        <f aca="false">L39/'Project Assumptions'!$I$10/SUM('Book Income Statement'!M7:M9)</f>
        <v>0.26844814829631</v>
      </c>
      <c r="M54" s="446" t="n">
        <f aca="false">M39/'Project Assumptions'!$I$10/SUM('Book Income Statement'!N7:N9)</f>
        <v>0.2765015927452</v>
      </c>
      <c r="N54" s="446" t="n">
        <f aca="false">N39/'Project Assumptions'!$I$10/SUM('Book Income Statement'!O7:O9)</f>
        <v>0.284796640527556</v>
      </c>
      <c r="O54" s="446" t="n">
        <f aca="false">O39/'Project Assumptions'!$I$10/SUM('Book Income Statement'!P7:P9)</f>
        <v>0.293340539743382</v>
      </c>
      <c r="P54" s="446" t="n">
        <f aca="false">P39/'Project Assumptions'!$I$10/SUM('Book Income Statement'!Q7:Q9)</f>
        <v>0.302140755935684</v>
      </c>
      <c r="Q54" s="446" t="n">
        <f aca="false">Q39/'Project Assumptions'!$I$10/SUM('Book Income Statement'!R7:R9)</f>
        <v>0.311204978613754</v>
      </c>
      <c r="R54" s="446" t="n">
        <f aca="false">R39/'Project Assumptions'!$I$10/SUM('Book Income Statement'!S7:S9)</f>
        <v>0.320541127972167</v>
      </c>
      <c r="S54" s="446" t="n">
        <f aca="false">S39/'Project Assumptions'!$I$10/SUM('Book Income Statement'!T7:T9)</f>
        <v>0.330157361811332</v>
      </c>
      <c r="T54" s="446" t="n">
        <f aca="false">T39/'Project Assumptions'!$I$10/SUM('Book Income Statement'!U7:U9)</f>
        <v>0.340062082665672</v>
      </c>
      <c r="U54" s="446" t="n">
        <f aca="false">U39/'Project Assumptions'!$I$10/SUM('Book Income Statement'!V7:V9)</f>
        <v>0.350263945145642</v>
      </c>
      <c r="V54" s="446" t="n">
        <f aca="false">V39/'Project Assumptions'!$I$10/SUM('Book Income Statement'!W7:W9)</f>
        <v>0.360771863500011</v>
      </c>
      <c r="W54" s="446" t="n">
        <f aca="false">W39/'Project Assumptions'!$I$10/SUM('Book Income Statement'!X7:X9)</f>
        <v>0.371595019405012</v>
      </c>
      <c r="X54" s="446" t="e">
        <f aca="false">X39/'Project Assumptions'!$I$10/SUM('Book Income Statement'!Y7:Y9)</f>
        <v>#DIV/0!</v>
      </c>
      <c r="Y54" s="446" t="e">
        <f aca="false">Y39/'Project Assumptions'!$I$10/SUM('Book Income Statement'!Z7:Z9)</f>
        <v>#DIV/0!</v>
      </c>
      <c r="Z54" s="446" t="e">
        <f aca="false">Z39/'Project Assumptions'!$I$10/SUM('Book Income Statement'!AA7:AA9)</f>
        <v>#DIV/0!</v>
      </c>
      <c r="AA54" s="447"/>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row>
    <row r="55" customFormat="false" ht="12.6" hidden="false" customHeight="true" outlineLevel="0" collapsed="false">
      <c r="A55" s="397" t="s">
        <v>377</v>
      </c>
      <c r="B55" s="448" t="n">
        <f aca="false">AVERAGE(C55:V55)</f>
        <v>0.16086045447161</v>
      </c>
      <c r="C55" s="446" t="n">
        <f aca="false">C40/'Project Assumptions'!$I$10/SUM('Book Income Statement'!D7:D9)</f>
        <v>0.125983004385965</v>
      </c>
      <c r="D55" s="446" t="n">
        <f aca="false">D40/'Project Assumptions'!$I$10/SUM('Book Income Statement'!E7:E9)</f>
        <v>0.123073706140351</v>
      </c>
      <c r="E55" s="446" t="n">
        <f aca="false">E40/'Project Assumptions'!$I$10/SUM('Book Income Statement'!F7:F9)</f>
        <v>0.126765917324561</v>
      </c>
      <c r="F55" s="446" t="n">
        <f aca="false">F40/'Project Assumptions'!$I$10/SUM('Book Income Statement'!G7:G9)</f>
        <v>0.130568894844298</v>
      </c>
      <c r="G55" s="446" t="n">
        <f aca="false">G40/'Project Assumptions'!$I$10/SUM('Book Income Statement'!H7:H9)</f>
        <v>0.134485961689627</v>
      </c>
      <c r="H55" s="446" t="n">
        <f aca="false">H40/'Project Assumptions'!$I$10/SUM('Book Income Statement'!I7:I9)</f>
        <v>0.138520540540316</v>
      </c>
      <c r="I55" s="446" t="n">
        <f aca="false">I40/'Project Assumptions'!$I$10/SUM('Book Income Statement'!J7:J9)</f>
        <v>0.142676156756526</v>
      </c>
      <c r="J55" s="446" t="n">
        <f aca="false">J40/'Project Assumptions'!$I$10/SUM('Book Income Statement'!K7:K9)</f>
        <v>0.146956441459221</v>
      </c>
      <c r="K55" s="446" t="n">
        <f aca="false">K40/'Project Assumptions'!$I$10/SUM('Book Income Statement'!L7:L9)</f>
        <v>0.151365134702998</v>
      </c>
      <c r="L55" s="446" t="n">
        <f aca="false">L40/'Project Assumptions'!$I$10/SUM('Book Income Statement'!M7:M9)</f>
        <v>0.155906088744088</v>
      </c>
      <c r="M55" s="446" t="n">
        <f aca="false">M40/'Project Assumptions'!$I$10/SUM('Book Income Statement'!N7:N9)</f>
        <v>0.160583271406411</v>
      </c>
      <c r="N55" s="446" t="n">
        <f aca="false">N40/'Project Assumptions'!$I$10/SUM('Book Income Statement'!O7:O9)</f>
        <v>0.165400769548603</v>
      </c>
      <c r="O55" s="446" t="n">
        <f aca="false">O40/'Project Assumptions'!$I$10/SUM('Book Income Statement'!P7:P9)</f>
        <v>0.170362792635061</v>
      </c>
      <c r="P55" s="446" t="n">
        <f aca="false">P40/'Project Assumptions'!$I$10/SUM('Book Income Statement'!Q7:Q9)</f>
        <v>0.175473676414113</v>
      </c>
      <c r="Q55" s="446" t="n">
        <f aca="false">Q40/'Project Assumptions'!$I$10/SUM('Book Income Statement'!R7:R9)</f>
        <v>0.180737886706536</v>
      </c>
      <c r="R55" s="446" t="n">
        <f aca="false">R40/'Project Assumptions'!$I$10/SUM('Book Income Statement'!S7:S9)</f>
        <v>0.186160023307732</v>
      </c>
      <c r="S55" s="446" t="n">
        <f aca="false">S40/'Project Assumptions'!$I$10/SUM('Book Income Statement'!T7:T9)</f>
        <v>0.191744824006964</v>
      </c>
      <c r="T55" s="446" t="n">
        <f aca="false">T40/'Project Assumptions'!$I$10/SUM('Book Income Statement'!U7:U9)</f>
        <v>0.197497168727173</v>
      </c>
      <c r="U55" s="446" t="n">
        <f aca="false">U40/'Project Assumptions'!$I$10/SUM('Book Income Statement'!V7:V9)</f>
        <v>0.203422083788988</v>
      </c>
      <c r="V55" s="446" t="n">
        <f aca="false">V40/'Project Assumptions'!$I$10/SUM('Book Income Statement'!W7:W9)</f>
        <v>0.209524746302658</v>
      </c>
      <c r="W55" s="446" t="n">
        <f aca="false">W40/'Project Assumptions'!$I$10/SUM('Book Income Statement'!X7:X9)</f>
        <v>0.238798997269771</v>
      </c>
      <c r="X55" s="446" t="e">
        <f aca="false">X40/'Project Assumptions'!$I$10/SUM('Book Income Statement'!Y7:Y9)</f>
        <v>#DIV/0!</v>
      </c>
      <c r="Y55" s="446" t="e">
        <f aca="false">Y40/'Project Assumptions'!$I$10/SUM('Book Income Statement'!Z7:Z9)</f>
        <v>#DIV/0!</v>
      </c>
      <c r="Z55" s="446" t="e">
        <f aca="false">Z40/'Project Assumptions'!$I$10/SUM('Book Income Statement'!AA7:AA9)</f>
        <v>#DIV/0!</v>
      </c>
      <c r="AA55" s="447"/>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row>
    <row r="56" customFormat="false" ht="12.6" hidden="false" customHeight="true" outlineLevel="0" collapsed="false">
      <c r="A56" s="397"/>
      <c r="B56" s="371"/>
      <c r="C56" s="446"/>
      <c r="D56" s="446"/>
      <c r="E56" s="446"/>
      <c r="F56" s="446"/>
      <c r="G56" s="446"/>
      <c r="H56" s="446"/>
      <c r="I56" s="446"/>
      <c r="J56" s="446"/>
      <c r="K56" s="446"/>
      <c r="L56" s="446"/>
      <c r="M56" s="446"/>
      <c r="N56" s="446"/>
      <c r="O56" s="446"/>
      <c r="P56" s="446"/>
      <c r="Q56" s="446"/>
      <c r="R56" s="446"/>
      <c r="S56" s="446"/>
      <c r="T56" s="446"/>
      <c r="U56" s="446"/>
      <c r="V56" s="446"/>
      <c r="W56" s="446"/>
      <c r="X56" s="446"/>
      <c r="Y56" s="446"/>
      <c r="Z56" s="446"/>
      <c r="AA56" s="447"/>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row>
    <row r="57" customFormat="false" ht="12.75" hidden="false" customHeight="false" outlineLevel="0" collapsed="false">
      <c r="A57" s="421" t="s">
        <v>387</v>
      </c>
      <c r="B57" s="422" t="s">
        <v>367</v>
      </c>
      <c r="C57" s="434"/>
      <c r="D57" s="434"/>
      <c r="E57" s="434"/>
      <c r="F57" s="434"/>
      <c r="G57" s="434"/>
      <c r="H57" s="434"/>
      <c r="I57" s="434"/>
      <c r="J57" s="434"/>
      <c r="K57" s="434"/>
      <c r="L57" s="434"/>
      <c r="M57" s="434"/>
      <c r="N57" s="434"/>
      <c r="O57" s="434"/>
      <c r="P57" s="434"/>
      <c r="Q57" s="434"/>
      <c r="R57" s="434"/>
      <c r="S57" s="434"/>
      <c r="T57" s="434"/>
      <c r="U57" s="434"/>
      <c r="V57" s="434"/>
      <c r="W57" s="434"/>
      <c r="X57" s="434"/>
      <c r="Y57" s="434"/>
      <c r="Z57" s="434"/>
      <c r="AA57" s="428"/>
    </row>
    <row r="58" customFormat="false" ht="12.6" hidden="false" customHeight="true" outlineLevel="0" collapsed="false">
      <c r="A58" s="397" t="s">
        <v>388</v>
      </c>
      <c r="B58" s="436" t="n">
        <f aca="false">AVERAGE(C58:V58)</f>
        <v>1.19392778463015</v>
      </c>
      <c r="C58" s="437" t="n">
        <f aca="false">IF(Operations!C3&gt;'Project Assumptions'!$I$15+1,0,C30*1000/(Operations!C30))</f>
        <v>0.888657346491228</v>
      </c>
      <c r="D58" s="437" t="n">
        <f aca="false">IF(Operations!D3&gt;'Project Assumptions'!$I$15+1,0,D30*1000/(Operations!D30))</f>
        <v>0.915317066885965</v>
      </c>
      <c r="E58" s="437" t="n">
        <f aca="false">IF(Operations!E3&gt;'Project Assumptions'!$I$15+1,0,E30*1000/(Operations!E30))</f>
        <v>0.942776578892544</v>
      </c>
      <c r="F58" s="437" t="n">
        <f aca="false">IF(Operations!F3&gt;'Project Assumptions'!$I$15+1,0,F30*1000/(Operations!F30))</f>
        <v>0.97105987625932</v>
      </c>
      <c r="G58" s="437" t="n">
        <f aca="false">IF(Operations!G3&gt;'Project Assumptions'!$I$15+1,0,G30*1000/(Operations!G30))</f>
        <v>1.0001916725471</v>
      </c>
      <c r="H58" s="437" t="n">
        <f aca="false">IF(Operations!H3&gt;'Project Assumptions'!$I$15+1,0,H30*1000/(Operations!H30))</f>
        <v>1.03019742272351</v>
      </c>
      <c r="I58" s="437" t="n">
        <f aca="false">IF(Operations!I3&gt;'Project Assumptions'!$I$15+1,0,I30*1000/(Operations!I30))</f>
        <v>1.06110334540522</v>
      </c>
      <c r="J58" s="437" t="n">
        <f aca="false">IF(Operations!J3&gt;'Project Assumptions'!$I$15+1,0,J30*1000/(Operations!J30))</f>
        <v>1.09293644576738</v>
      </c>
      <c r="K58" s="437" t="n">
        <f aca="false">IF(Operations!K3&gt;'Project Assumptions'!$I$15+1,0,K30*1000/(Operations!K30))</f>
        <v>1.1257245391404</v>
      </c>
      <c r="L58" s="437" t="n">
        <f aca="false">IF(Operations!L3&gt;'Project Assumptions'!$I$15+1,0,L30*1000/(Operations!L30))</f>
        <v>1.15949627531461</v>
      </c>
      <c r="M58" s="437" t="n">
        <f aca="false">IF(Operations!M3&gt;'Project Assumptions'!$I$15+1,0,M30*1000/(Operations!M30))</f>
        <v>1.19428116357405</v>
      </c>
      <c r="N58" s="437" t="n">
        <f aca="false">IF(Operations!N3&gt;'Project Assumptions'!$I$15+1,0,N30*1000/(Operations!N30))</f>
        <v>1.23010959848127</v>
      </c>
      <c r="O58" s="437" t="n">
        <f aca="false">IF(Operations!O3&gt;'Project Assumptions'!$I$15+1,0,O30*1000/(Operations!O30))</f>
        <v>1.26701288643571</v>
      </c>
      <c r="P58" s="437" t="n">
        <f aca="false">IF(Operations!P3&gt;'Project Assumptions'!$I$15+1,0,P30*1000/(Operations!P30))</f>
        <v>1.30502327302878</v>
      </c>
      <c r="Q58" s="437" t="n">
        <f aca="false">IF(Operations!Q3&gt;'Project Assumptions'!$I$15+1,0,Q30*1000/(Operations!Q30))</f>
        <v>1.34417397121964</v>
      </c>
      <c r="R58" s="437" t="n">
        <f aca="false">IF(Operations!R3&gt;'Project Assumptions'!$I$15+1,0,R30*1000/(Operations!R30))</f>
        <v>1.38449919035623</v>
      </c>
      <c r="S58" s="437" t="n">
        <f aca="false">IF(Operations!S3&gt;'Project Assumptions'!$I$15+1,0,S30*1000/(Operations!S30))</f>
        <v>1.42603416606692</v>
      </c>
      <c r="T58" s="437" t="n">
        <f aca="false">IF(Operations!T3&gt;'Project Assumptions'!$I$15+1,0,T30*1000/(Operations!T30))</f>
        <v>1.46881519104892</v>
      </c>
      <c r="U58" s="437" t="n">
        <f aca="false">IF(Operations!U3&gt;'Project Assumptions'!$I$15+1,0,U30*1000/(Operations!U30))</f>
        <v>1.51287964678039</v>
      </c>
      <c r="V58" s="437" t="n">
        <f aca="false">IF(Operations!V3&gt;'Project Assumptions'!$I$15+1,0,V30*1000/(Operations!V30))</f>
        <v>1.5582660361838</v>
      </c>
      <c r="W58" s="437" t="n">
        <f aca="false">IF(Operations!W3&gt;'Project Assumptions'!$I$15+1,0,W30*1000/(Operations!W30))</f>
        <v>1.60501401726932</v>
      </c>
      <c r="X58" s="437" t="e">
        <f aca="false">IF(Operations!X3&gt;'Project Assumptions'!$I$15+1,0,X30*1000/(Operations!X30))</f>
        <v>#DIV/0!</v>
      </c>
      <c r="Y58" s="437" t="e">
        <f aca="false">IF(Operations!Y3&gt;'Project Assumptions'!$I$15+1,0,Y30*1000/(Operations!Y30))</f>
        <v>#DIV/0!</v>
      </c>
      <c r="Z58" s="437" t="e">
        <f aca="false">IF(Operations!Z3&gt;'Project Assumptions'!$I$15+1,0,Z30*1000/(Operations!Z30))</f>
        <v>#DIV/0!</v>
      </c>
      <c r="AA58" s="438"/>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row>
    <row r="59" customFormat="false" ht="12.6" hidden="false" customHeight="true" outlineLevel="0" collapsed="false">
      <c r="A59" s="397" t="s">
        <v>389</v>
      </c>
      <c r="B59" s="439" t="n">
        <f aca="false">AVERAGE(C59:V59)</f>
        <v>3.20904915775489</v>
      </c>
      <c r="C59" s="437" t="n">
        <f aca="false">IF(Operations!C3&gt;'Project Assumptions'!$I$15+1,0,C31*1000/(Operations!C30))</f>
        <v>2.53976315789474</v>
      </c>
      <c r="D59" s="437" t="n">
        <f aca="false">IF(Operations!D3&gt;'Project Assumptions'!$I$15+1,0,D31*1000/(Operations!D30))</f>
        <v>2.61595605263158</v>
      </c>
      <c r="E59" s="437" t="n">
        <f aca="false">IF(Operations!E3&gt;'Project Assumptions'!$I$15+1,0,E31*1000/(Operations!E30))</f>
        <v>2.69443473421053</v>
      </c>
      <c r="F59" s="437" t="n">
        <f aca="false">IF(Operations!F3&gt;'Project Assumptions'!$I$15+1,0,F31*1000/(Operations!F30))</f>
        <v>2.64817938161309</v>
      </c>
      <c r="G59" s="437" t="n">
        <f aca="false">IF(Operations!G3&gt;'Project Assumptions'!$I$15+1,0,G31*1000/(Operations!G30))</f>
        <v>2.66324184882599</v>
      </c>
      <c r="H59" s="437" t="n">
        <f aca="false">IF(Operations!H3&gt;'Project Assumptions'!$I$15+1,0,H31*1000/(Operations!H30))</f>
        <v>2.74313910429077</v>
      </c>
      <c r="I59" s="437" t="n">
        <f aca="false">IF(Operations!I3&gt;'Project Assumptions'!$I$15+1,0,I31*1000/(Operations!I30))</f>
        <v>2.82543327741949</v>
      </c>
      <c r="J59" s="437" t="n">
        <f aca="false">IF(Operations!J3&gt;'Project Assumptions'!$I$15+1,0,J31*1000/(Operations!J30))</f>
        <v>2.91019627574207</v>
      </c>
      <c r="K59" s="437" t="n">
        <f aca="false">IF(Operations!K3&gt;'Project Assumptions'!$I$15+1,0,K31*1000/(Operations!K30))</f>
        <v>2.99750216401434</v>
      </c>
      <c r="L59" s="437" t="n">
        <f aca="false">IF(Operations!L3&gt;'Project Assumptions'!$I$15+1,0,L31*1000/(Operations!L30))</f>
        <v>3.08742722893477</v>
      </c>
      <c r="M59" s="437" t="n">
        <f aca="false">IF(Operations!M3&gt;'Project Assumptions'!$I$15+1,0,M31*1000/(Operations!M30))</f>
        <v>3.18005004580281</v>
      </c>
      <c r="N59" s="437" t="n">
        <f aca="false">IF(Operations!N3&gt;'Project Assumptions'!$I$15+1,0,N31*1000/(Operations!N30))</f>
        <v>3.27545154717689</v>
      </c>
      <c r="O59" s="437" t="n">
        <f aca="false">IF(Operations!O3&gt;'Project Assumptions'!$I$15+1,0,O31*1000/(Operations!O30))</f>
        <v>3.3737150935922</v>
      </c>
      <c r="P59" s="437" t="n">
        <f aca="false">IF(Operations!P3&gt;'Project Assumptions'!$I$15+1,0,P31*1000/(Operations!P30))</f>
        <v>3.47492654639997</v>
      </c>
      <c r="Q59" s="437" t="n">
        <f aca="false">IF(Operations!Q3&gt;'Project Assumptions'!$I$15+1,0,Q31*1000/(Operations!Q30))</f>
        <v>3.57917434279197</v>
      </c>
      <c r="R59" s="437" t="n">
        <f aca="false">IF(Operations!R3&gt;'Project Assumptions'!$I$15+1,0,R31*1000/(Operations!R30))</f>
        <v>3.68654957307573</v>
      </c>
      <c r="S59" s="437" t="n">
        <f aca="false">IF(Operations!S3&gt;'Project Assumptions'!$I$15+1,0,S31*1000/(Operations!S30))</f>
        <v>3.797146060268</v>
      </c>
      <c r="T59" s="437" t="n">
        <f aca="false">IF(Operations!T3&gt;'Project Assumptions'!$I$15+1,0,T31*1000/(Operations!T30))</f>
        <v>3.91106044207604</v>
      </c>
      <c r="U59" s="437" t="n">
        <f aca="false">IF(Operations!U3&gt;'Project Assumptions'!$I$15+1,0,U31*1000/(Operations!U30))</f>
        <v>4.02839225533832</v>
      </c>
      <c r="V59" s="437" t="n">
        <f aca="false">IF(Operations!V3&gt;'Project Assumptions'!$I$15+1,0,V31*1000/(Operations!V30))</f>
        <v>4.14924402299847</v>
      </c>
      <c r="W59" s="437" t="n">
        <f aca="false">IF(Operations!W3&gt;'Project Assumptions'!$I$15+1,0,W31*1000/(Operations!W30))</f>
        <v>10.1386470097386</v>
      </c>
      <c r="X59" s="437" t="e">
        <f aca="false">IF(Operations!X3&gt;'Project Assumptions'!$I$15+1,0,X31*1000/(Operations!X30))</f>
        <v>#DIV/0!</v>
      </c>
      <c r="Y59" s="437" t="e">
        <f aca="false">IF(Operations!Y3&gt;'Project Assumptions'!$I$15+1,0,Y31*1000/(Operations!Y30))</f>
        <v>#DIV/0!</v>
      </c>
      <c r="Z59" s="437" t="e">
        <f aca="false">IF(Operations!Z3&gt;'Project Assumptions'!$I$15+1,0,Z31*1000/(Operations!Z30))</f>
        <v>#DIV/0!</v>
      </c>
      <c r="AA59" s="438"/>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row>
    <row r="60" customFormat="false" ht="15" hidden="false" customHeight="true" outlineLevel="0" collapsed="false">
      <c r="A60" s="397" t="s">
        <v>390</v>
      </c>
      <c r="B60" s="440" t="n">
        <f aca="false">AVERAGE(C60:V60)</f>
        <v>4.79108665823043</v>
      </c>
      <c r="C60" s="441" t="n">
        <f aca="false">IF(Operations!C3&gt;'Project Assumptions'!$I$15+1,0,C32*1000/Operations!C30)</f>
        <v>1.93506924920704</v>
      </c>
      <c r="D60" s="441" t="n">
        <f aca="false">IF(Operations!D3&gt;'Project Assumptions'!$I$15+1,0,D32*1000/Operations!D30)</f>
        <v>3.34989153339935</v>
      </c>
      <c r="E60" s="441" t="n">
        <f aca="false">IF(Operations!E3&gt;'Project Assumptions'!$I$15+1,0,E32*1000/Operations!E30)</f>
        <v>3.45038827940133</v>
      </c>
      <c r="F60" s="441" t="n">
        <f aca="false">IF(Operations!F3&gt;'Project Assumptions'!$I$15+1,0,F32*1000/Operations!F30)</f>
        <v>3.80936011954119</v>
      </c>
      <c r="G60" s="441" t="n">
        <f aca="false">IF(Operations!G3&gt;'Project Assumptions'!$I$15+1,0,G32*1000/Operations!G30)</f>
        <v>4.13144388410201</v>
      </c>
      <c r="H60" s="441" t="n">
        <f aca="false">IF(Operations!H3&gt;'Project Assumptions'!$I$15+1,0,H32*1000/Operations!H30)</f>
        <v>4.25538720062507</v>
      </c>
      <c r="I60" s="441" t="n">
        <f aca="false">IF(Operations!I3&gt;'Project Assumptions'!$I$15+1,0,I32*1000/Operations!I30)</f>
        <v>4.38304881664382</v>
      </c>
      <c r="J60" s="441" t="n">
        <f aca="false">IF(Operations!J3&gt;'Project Assumptions'!$I$15+1,0,J32*1000/Operations!J30)</f>
        <v>4.51454028114314</v>
      </c>
      <c r="K60" s="441" t="n">
        <f aca="false">IF(Operations!K3&gt;'Project Assumptions'!$I$15+1,0,K32*1000/Operations!K30)</f>
        <v>4.64997648957743</v>
      </c>
      <c r="L60" s="441" t="n">
        <f aca="false">IF(Operations!L3&gt;'Project Assumptions'!$I$15+1,0,L32*1000/Operations!L30)</f>
        <v>4.78947578426476</v>
      </c>
      <c r="M60" s="441" t="n">
        <f aca="false">IF(Operations!M3&gt;'Project Assumptions'!$I$15+1,0,M32*1000/Operations!M30)</f>
        <v>4.9331600577927</v>
      </c>
      <c r="N60" s="441" t="n">
        <f aca="false">IF(Operations!N3&gt;'Project Assumptions'!$I$15+1,0,N32*1000/Operations!N30)</f>
        <v>5.08115485952648</v>
      </c>
      <c r="O60" s="441" t="n">
        <f aca="false">IF(Operations!O3&gt;'Project Assumptions'!$I$15+1,0,O32*1000/Operations!O30)</f>
        <v>5.23358950531228</v>
      </c>
      <c r="P60" s="441" t="n">
        <f aca="false">IF(Operations!P3&gt;'Project Assumptions'!$I$15+1,0,P32*1000/Operations!P30)</f>
        <v>5.39059719047164</v>
      </c>
      <c r="Q60" s="441" t="n">
        <f aca="false">IF(Operations!Q3&gt;'Project Assumptions'!$I$15+1,0,Q32*1000/Operations!Q30)</f>
        <v>5.55231510618579</v>
      </c>
      <c r="R60" s="441" t="n">
        <f aca="false">IF(Operations!R3&gt;'Project Assumptions'!$I$15+1,0,R32*1000/Operations!R30)</f>
        <v>5.71888455937137</v>
      </c>
      <c r="S60" s="441" t="n">
        <f aca="false">IF(Operations!S3&gt;'Project Assumptions'!$I$15+1,0,S32*1000/Operations!S30)</f>
        <v>5.89045109615251</v>
      </c>
      <c r="T60" s="441" t="n">
        <f aca="false">IF(Operations!T3&gt;'Project Assumptions'!$I$15+1,0,T32*1000/Operations!T30)</f>
        <v>6.06716462903708</v>
      </c>
      <c r="U60" s="441" t="n">
        <f aca="false">IF(Operations!U3&gt;'Project Assumptions'!$I$15+1,0,U32*1000/Operations!U30)</f>
        <v>6.2491795679082</v>
      </c>
      <c r="V60" s="441" t="n">
        <f aca="false">IF(Operations!V3&gt;'Project Assumptions'!$I$15+1,0,V32*1000/Operations!V30)</f>
        <v>6.43665495494544</v>
      </c>
      <c r="W60" s="441" t="n">
        <f aca="false">IF(Operations!W3&gt;'Project Assumptions'!$I$15+1,0,W32*1000/Operations!W30)</f>
        <v>6.76500967369107</v>
      </c>
      <c r="X60" s="441" t="e">
        <f aca="false">IF(Operations!X3&gt;'Project Assumptions'!$I$15+1,0,X32*1000/Operations!X30)</f>
        <v>#DIV/0!</v>
      </c>
      <c r="Y60" s="441" t="e">
        <f aca="false">IF(Operations!Y3&gt;'Project Assumptions'!$I$15+1,0,Y32*1000/Operations!Y30)</f>
        <v>#DIV/0!</v>
      </c>
      <c r="Z60" s="441" t="e">
        <f aca="false">IF(Operations!Z3&gt;'Project Assumptions'!$I$15+1,0,Z32*1000/Operations!Z30)</f>
        <v>#DIV/0!</v>
      </c>
      <c r="AA60" s="442"/>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row>
    <row r="61" customFormat="false" ht="12.6" hidden="false" customHeight="true" outlineLevel="0" collapsed="false">
      <c r="A61" s="449" t="s">
        <v>391</v>
      </c>
      <c r="B61" s="450" t="n">
        <f aca="false">SUM(B58:B60)</f>
        <v>9.19406360061547</v>
      </c>
      <c r="C61" s="451" t="n">
        <f aca="false">IF(Operations!C3&gt;'Project Assumptions'!$I$15+1,0,SUM(C58:C60))</f>
        <v>5.363489753593</v>
      </c>
      <c r="D61" s="452" t="n">
        <f aca="false">IF(Operations!D3&gt;'Project Assumptions'!$I$15+1,0,SUM(D58:D60))</f>
        <v>6.88116465291689</v>
      </c>
      <c r="E61" s="452" t="n">
        <f aca="false">IF(Operations!E3&gt;'Project Assumptions'!$I$15+1,0,SUM(E58:E60))</f>
        <v>7.0875995925044</v>
      </c>
      <c r="F61" s="452" t="n">
        <f aca="false">IF(Operations!F3&gt;'Project Assumptions'!$I$15+1,0,SUM(F58:F60))</f>
        <v>7.4285993774136</v>
      </c>
      <c r="G61" s="452" t="n">
        <f aca="false">IF(Operations!G3&gt;'Project Assumptions'!$I$15+1,0,SUM(G58:G60))</f>
        <v>7.7948774054751</v>
      </c>
      <c r="H61" s="452" t="n">
        <f aca="false">IF(Operations!H3&gt;'Project Assumptions'!$I$15+1,0,SUM(H58:H60))</f>
        <v>8.02872372763935</v>
      </c>
      <c r="I61" s="452" t="n">
        <f aca="false">IF(Operations!I3&gt;'Project Assumptions'!$I$15+1,0,SUM(I58:I60))</f>
        <v>8.26958543946853</v>
      </c>
      <c r="J61" s="452" t="n">
        <f aca="false">IF(Operations!J3&gt;'Project Assumptions'!$I$15+1,0,SUM(J58:J60))</f>
        <v>8.51767300265259</v>
      </c>
      <c r="K61" s="452" t="n">
        <f aca="false">IF(Operations!K3&gt;'Project Assumptions'!$I$15+1,0,SUM(K58:K60))</f>
        <v>8.77320319273217</v>
      </c>
      <c r="L61" s="452" t="n">
        <f aca="false">IF(Operations!L3&gt;'Project Assumptions'!$I$15+1,0,SUM(L58:L60))</f>
        <v>9.03639928851413</v>
      </c>
      <c r="M61" s="452" t="n">
        <f aca="false">IF(Operations!M3&gt;'Project Assumptions'!$I$15+1,0,SUM(M58:M60))</f>
        <v>9.30749126716956</v>
      </c>
      <c r="N61" s="452" t="n">
        <f aca="false">IF(Operations!N3&gt;'Project Assumptions'!$I$15+1,0,SUM(N58:N60))</f>
        <v>9.58671600518464</v>
      </c>
      <c r="O61" s="452" t="n">
        <f aca="false">IF(Operations!O3&gt;'Project Assumptions'!$I$15+1,0,SUM(O58:O60))</f>
        <v>9.87431748534018</v>
      </c>
      <c r="P61" s="452" t="n">
        <f aca="false">IF(Operations!P3&gt;'Project Assumptions'!$I$15+1,0,SUM(P58:P60))</f>
        <v>10.1705470099004</v>
      </c>
      <c r="Q61" s="452" t="n">
        <f aca="false">IF(Operations!Q3&gt;'Project Assumptions'!$I$15+1,0,SUM(Q58:Q60))</f>
        <v>10.4756634201974</v>
      </c>
      <c r="R61" s="452" t="n">
        <f aca="false">IF(Operations!R3&gt;'Project Assumptions'!$I$15+1,0,SUM(R58:R60))</f>
        <v>10.7899333228033</v>
      </c>
      <c r="S61" s="452" t="n">
        <f aca="false">IF(Operations!S3&gt;'Project Assumptions'!$I$15+1,0,SUM(S58:S60))</f>
        <v>11.1136313224874</v>
      </c>
      <c r="T61" s="452" t="n">
        <f aca="false">IF(Operations!T3&gt;'Project Assumptions'!$I$15+1,0,SUM(T58:T60))</f>
        <v>11.447040262162</v>
      </c>
      <c r="U61" s="452" t="n">
        <f aca="false">IF(Operations!U3&gt;'Project Assumptions'!$I$15+1,0,SUM(U58:U60))</f>
        <v>11.7904514700269</v>
      </c>
      <c r="V61" s="452" t="n">
        <f aca="false">IF(Operations!V3&gt;'Project Assumptions'!$I$15+1,0,SUM(V58:V60))</f>
        <v>12.1441650141277</v>
      </c>
      <c r="W61" s="452" t="n">
        <f aca="false">IF(Operations!W3&gt;'Project Assumptions'!$I$15+1,0,SUM(W58:W60))</f>
        <v>18.508670700699</v>
      </c>
      <c r="X61" s="452" t="e">
        <f aca="false">IF(Operations!X3&gt;'Project Assumptions'!$I$15+1,0,SUM(X58:X60))</f>
        <v>#DIV/0!</v>
      </c>
      <c r="Y61" s="452" t="e">
        <f aca="false">IF(Operations!Y3&gt;'Project Assumptions'!$I$15+1,0,SUM(Y58:Y60))</f>
        <v>#DIV/0!</v>
      </c>
      <c r="Z61" s="452" t="e">
        <f aca="false">IF(Operations!Z3&gt;'Project Assumptions'!$I$15+1,0,SUM(Z58:Z60))</f>
        <v>#DIV/0!</v>
      </c>
      <c r="AA61" s="453"/>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row>
    <row r="62" customFormat="false" ht="12.6" hidden="false" customHeight="true" outlineLevel="0" collapsed="false">
      <c r="A62" s="1"/>
      <c r="B62" s="1"/>
      <c r="C62" s="454"/>
      <c r="D62" s="437"/>
      <c r="E62" s="437"/>
      <c r="F62" s="437"/>
      <c r="G62" s="437"/>
      <c r="H62" s="437"/>
      <c r="I62" s="437"/>
      <c r="J62" s="437"/>
      <c r="K62" s="437"/>
      <c r="L62" s="437"/>
      <c r="M62" s="437"/>
      <c r="N62" s="437"/>
      <c r="O62" s="437"/>
      <c r="P62" s="437"/>
      <c r="Q62" s="437"/>
      <c r="R62" s="437"/>
      <c r="S62" s="437"/>
      <c r="T62" s="437"/>
      <c r="U62" s="437"/>
      <c r="V62" s="437"/>
      <c r="W62" s="437"/>
      <c r="X62" s="437"/>
      <c r="Y62" s="437"/>
      <c r="Z62" s="437"/>
      <c r="AA62" s="437"/>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row>
    <row r="63" customFormat="false" ht="12.6" hidden="false" customHeight="true" outlineLevel="0" collapsed="false">
      <c r="A63" s="1"/>
      <c r="B63" s="1"/>
      <c r="C63" s="454"/>
      <c r="D63" s="437"/>
      <c r="E63" s="437"/>
      <c r="F63" s="437"/>
      <c r="G63" s="437"/>
      <c r="H63" s="437"/>
      <c r="I63" s="437"/>
      <c r="J63" s="437"/>
      <c r="K63" s="437"/>
      <c r="L63" s="437"/>
      <c r="M63" s="437"/>
      <c r="N63" s="437"/>
      <c r="O63" s="437"/>
      <c r="P63" s="437"/>
      <c r="Q63" s="437"/>
      <c r="R63" s="437"/>
      <c r="S63" s="437"/>
      <c r="T63" s="437"/>
      <c r="U63" s="437"/>
      <c r="V63" s="437"/>
      <c r="W63" s="437"/>
      <c r="X63" s="437"/>
      <c r="Y63" s="437"/>
      <c r="Z63" s="437"/>
      <c r="AA63" s="437"/>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row>
    <row r="64" customFormat="false" ht="12.6" hidden="false" customHeight="true" outlineLevel="0" collapsed="false">
      <c r="A64" s="418" t="s">
        <v>392</v>
      </c>
      <c r="B64" s="419" t="s">
        <v>367</v>
      </c>
      <c r="C64" s="455"/>
      <c r="D64" s="455"/>
      <c r="E64" s="455"/>
      <c r="F64" s="455"/>
      <c r="G64" s="455"/>
      <c r="H64" s="455"/>
      <c r="I64" s="455"/>
      <c r="J64" s="455"/>
      <c r="K64" s="455"/>
      <c r="L64" s="455"/>
      <c r="M64" s="455"/>
      <c r="N64" s="455"/>
      <c r="O64" s="455"/>
      <c r="P64" s="455"/>
      <c r="Q64" s="455"/>
      <c r="R64" s="455"/>
      <c r="S64" s="455"/>
      <c r="T64" s="455"/>
      <c r="U64" s="455"/>
      <c r="V64" s="455"/>
      <c r="W64" s="455"/>
      <c r="X64" s="455"/>
      <c r="Y64" s="455"/>
      <c r="Z64" s="455"/>
      <c r="AA64" s="456"/>
    </row>
    <row r="65" customFormat="false" ht="12.6" hidden="false" customHeight="true" outlineLevel="0" collapsed="false">
      <c r="A65" s="387" t="s">
        <v>393</v>
      </c>
      <c r="B65" s="457" t="n">
        <f aca="false">AVERAGE(C65:V65)</f>
        <v>6.80720164222904</v>
      </c>
      <c r="C65" s="395" t="n">
        <f aca="false">C70*(1+'Project Assumptions'!$I$31)^('PPA Assumptions &amp;Summary'!C4-1998)/12</f>
        <v>5.83495</v>
      </c>
      <c r="D65" s="395" t="n">
        <f aca="false">D70*(1+'Project Assumptions'!$I$31)^('PPA Assumptions &amp;Summary'!D4-1998)/12</f>
        <v>5.91893791666667</v>
      </c>
      <c r="E65" s="395" t="n">
        <f aca="false">E70*(1+'Project Assumptions'!$I$31)^('PPA Assumptions &amp;Summary'!E4-1998)/12</f>
        <v>6.09650605416667</v>
      </c>
      <c r="F65" s="395" t="n">
        <f aca="false">F70*(1+'Project Assumptions'!$I$31)^('PPA Assumptions &amp;Summary'!F4-1998)/12</f>
        <v>6.27940123579167</v>
      </c>
      <c r="G65" s="395" t="n">
        <f aca="false">G70*(1+'Project Assumptions'!$I$31)^('PPA Assumptions &amp;Summary'!G4-1998)/12</f>
        <v>6.36827891482133</v>
      </c>
      <c r="H65" s="395" t="n">
        <f aca="false">H70*(1+'Project Assumptions'!$I$31)^('PPA Assumptions &amp;Summary'!H4-1998)/12</f>
        <v>6.55932728226598</v>
      </c>
      <c r="I65" s="395" t="n">
        <f aca="false">I70*(1+'Project Assumptions'!$I$31)^('PPA Assumptions &amp;Summary'!I4-1998)/12</f>
        <v>6.54497875383602</v>
      </c>
      <c r="J65" s="395" t="n">
        <f aca="false">J70*(1+'Project Assumptions'!$I$31)^('PPA Assumptions &amp;Summary'!J4-1998)/12</f>
        <v>6.63259701779866</v>
      </c>
      <c r="K65" s="395" t="n">
        <f aca="false">K70*(1+'Project Assumptions'!$I$31)^('PPA Assumptions &amp;Summary'!K4-1998)/12</f>
        <v>6.71958189672061</v>
      </c>
      <c r="L65" s="395" t="n">
        <f aca="false">L70*(1+'Project Assumptions'!$I$31)^('PPA Assumptions &amp;Summary'!L4-1998)/12</f>
        <v>6.80581653106186</v>
      </c>
      <c r="M65" s="395" t="n">
        <f aca="false">M70*(1+'Project Assumptions'!$I$31)^('PPA Assumptions &amp;Summary'!M4-1998)/12</f>
        <v>6.89117761975653</v>
      </c>
      <c r="N65" s="395" t="n">
        <f aca="false">N70*(1+'Project Assumptions'!$I$31)^('PPA Assumptions &amp;Summary'!N4-1998)/12</f>
        <v>6.97553513889493</v>
      </c>
      <c r="O65" s="395" t="n">
        <f aca="false">O70*(1+'Project Assumptions'!$I$31)^('PPA Assumptions &amp;Summary'!O4-1998)/12</f>
        <v>7.05875204932386</v>
      </c>
      <c r="P65" s="395" t="n">
        <f aca="false">P70*(1+'Project Assumptions'!$I$31)^('PPA Assumptions &amp;Summary'!P4-1998)/12</f>
        <v>7.14068399275351</v>
      </c>
      <c r="Q65" s="395" t="n">
        <f aca="false">Q70*(1+'Project Assumptions'!$I$31)^('PPA Assumptions &amp;Summary'!Q4-1998)/12</f>
        <v>7.22117897594455</v>
      </c>
      <c r="R65" s="395" t="n">
        <f aca="false">R70*(1+'Project Assumptions'!$I$31)^('PPA Assumptions &amp;Summary'!R4-1998)/12</f>
        <v>7.30007704253357</v>
      </c>
      <c r="S65" s="395" t="n">
        <f aca="false">S70*(1+'Project Assumptions'!$I$31)^('PPA Assumptions &amp;Summary'!S4-1998)/12</f>
        <v>7.37720993203959</v>
      </c>
      <c r="T65" s="395" t="n">
        <f aca="false">T70*(1+'Project Assumptions'!$I$31)^('PPA Assumptions &amp;Summary'!T4-1998)/12</f>
        <v>7.45240072557768</v>
      </c>
      <c r="U65" s="395" t="n">
        <f aca="false">U70*(1+'Project Assumptions'!$I$31)^('PPA Assumptions &amp;Summary'!U4-1998)/12</f>
        <v>7.52546347778923</v>
      </c>
      <c r="V65" s="395" t="n">
        <f aca="false">V70*(1+'Project Assumptions'!$I$31)^('PPA Assumptions &amp;Summary'!V4-1998)/12</f>
        <v>7.44117828683799</v>
      </c>
      <c r="W65" s="395" t="n">
        <f aca="false">W70*(1+'Project Assumptions'!$I$31)^('PPA Assumptions &amp;Summary'!W4-1998)/12</f>
        <v>7.5047383513714</v>
      </c>
      <c r="X65" s="395" t="n">
        <f aca="false">X70*(1+'Project Assumptions'!$I$31)^('PPA Assumptions &amp;Summary'!X4-1998)/12</f>
        <v>6.08358042054776</v>
      </c>
      <c r="Y65" s="432"/>
      <c r="Z65" s="432"/>
      <c r="AA65" s="435"/>
    </row>
    <row r="66" customFormat="false" ht="12.6" hidden="false" customHeight="true" outlineLevel="0" collapsed="false">
      <c r="A66" s="387" t="s">
        <v>394</v>
      </c>
      <c r="B66" s="458" t="n">
        <f aca="false">AVERAGE(C66:V66)</f>
        <v>5.4442757962889</v>
      </c>
      <c r="C66" s="395" t="n">
        <f aca="false">C71*(1+'Project Assumptions'!$I$31)^('PPA Assumptions &amp;Summary'!C4-1998)/12</f>
        <v>4.77405</v>
      </c>
      <c r="D66" s="395" t="n">
        <f aca="false">D71*(1+'Project Assumptions'!$I$31)^('PPA Assumptions &amp;Summary'!D4-1998)/12</f>
        <v>4.9172715</v>
      </c>
      <c r="E66" s="395" t="n">
        <f aca="false">E71*(1+'Project Assumptions'!$I$31)^('PPA Assumptions &amp;Summary'!E4-1998)/12</f>
        <v>5.064789645</v>
      </c>
      <c r="F66" s="395" t="n">
        <f aca="false">F71*(1+'Project Assumptions'!$I$31)^('PPA Assumptions &amp;Summary'!F4-1998)/12</f>
        <v>5.12012716149167</v>
      </c>
      <c r="G66" s="395" t="n">
        <f aca="false">G71*(1+'Project Assumptions'!$I$31)^('PPA Assumptions &amp;Summary'!G4-1998)/12</f>
        <v>5.27373097633642</v>
      </c>
      <c r="H66" s="395" t="n">
        <f aca="false">H71*(1+'Project Assumptions'!$I$31)^('PPA Assumptions &amp;Summary'!H4-1998)/12</f>
        <v>5.3294534168411</v>
      </c>
      <c r="I66" s="395" t="n">
        <f aca="false">I71*(1+'Project Assumptions'!$I$31)^('PPA Assumptions &amp;Summary'!I4-1998)/12</f>
        <v>5.38377284589737</v>
      </c>
      <c r="J66" s="395" t="n">
        <f aca="false">J71*(1+'Project Assumptions'!$I$31)^('PPA Assumptions &amp;Summary'!J4-1998)/12</f>
        <v>5.43655493262185</v>
      </c>
      <c r="K66" s="395" t="n">
        <f aca="false">K71*(1+'Project Assumptions'!$I$31)^('PPA Assumptions &amp;Summary'!K4-1998)/12</f>
        <v>5.4876585489885</v>
      </c>
      <c r="L66" s="395" t="n">
        <f aca="false">L71*(1+'Project Assumptions'!$I$31)^('PPA Assumptions &amp;Summary'!L4-1998)/12</f>
        <v>5.53693548289779</v>
      </c>
      <c r="M66" s="395" t="n">
        <f aca="false">M71*(1+'Project Assumptions'!$I$31)^('PPA Assumptions &amp;Summary'!M4-1998)/12</f>
        <v>5.58423014014754</v>
      </c>
      <c r="N66" s="395" t="n">
        <f aca="false">N71*(1+'Project Assumptions'!$I$31)^('PPA Assumptions &amp;Summary'!N4-1998)/12</f>
        <v>5.62937923489767</v>
      </c>
      <c r="O66" s="395" t="n">
        <f aca="false">O71*(1+'Project Assumptions'!$I$31)^('PPA Assumptions &amp;Summary'!O4-1998)/12</f>
        <v>5.67221146820667</v>
      </c>
      <c r="P66" s="395" t="n">
        <f aca="false">P71*(1+'Project Assumptions'!$I$31)^('PPA Assumptions &amp;Summary'!P4-1998)/12</f>
        <v>5.58271657615274</v>
      </c>
      <c r="Q66" s="395" t="n">
        <f aca="false">Q71*(1+'Project Assumptions'!$I$31)^('PPA Assumptions &amp;Summary'!Q4-1998)/12</f>
        <v>5.61647253684576</v>
      </c>
      <c r="R66" s="395" t="n">
        <f aca="false">R71*(1+'Project Assumptions'!$I$31)^('PPA Assumptions &amp;Summary'!R4-1998)/12</f>
        <v>5.64722941026182</v>
      </c>
      <c r="S66" s="395" t="n">
        <f aca="false">S71*(1+'Project Assumptions'!$I$31)^('PPA Assumptions &amp;Summary'!S4-1998)/12</f>
        <v>5.67477687079968</v>
      </c>
      <c r="T66" s="395" t="n">
        <f aca="false">T71*(1+'Project Assumptions'!$I$31)^('PPA Assumptions &amp;Summary'!T4-1998)/12</f>
        <v>5.69889467250058</v>
      </c>
      <c r="U66" s="395" t="n">
        <f aca="false">U71*(1+'Project Assumptions'!$I$31)^('PPA Assumptions &amp;Summary'!U4-1998)/12</f>
        <v>5.71935224311981</v>
      </c>
      <c r="V66" s="395" t="n">
        <f aca="false">V71*(1+'Project Assumptions'!$I$31)^('PPA Assumptions &amp;Summary'!V4-1998)/12</f>
        <v>5.73590826277095</v>
      </c>
      <c r="W66" s="395" t="n">
        <f aca="false">W71*(1+'Project Assumptions'!$I$31)^('PPA Assumptions &amp;Summary'!W4-1998)/12</f>
        <v>5.74831022658235</v>
      </c>
      <c r="X66" s="395" t="n">
        <f aca="false">X71*(1+'Project Assumptions'!$I$31)^('PPA Assumptions &amp;Summary'!X4-1998)/12</f>
        <v>0</v>
      </c>
      <c r="Y66" s="432"/>
      <c r="Z66" s="432"/>
      <c r="AA66" s="435"/>
    </row>
    <row r="67" customFormat="false" ht="12.6" hidden="false" customHeight="true" outlineLevel="0" collapsed="false">
      <c r="A67" s="387" t="s">
        <v>395</v>
      </c>
      <c r="B67" s="458" t="n">
        <f aca="false">AVERAGE(C67:V67)</f>
        <v>6.1052728001897</v>
      </c>
      <c r="C67" s="395" t="n">
        <f aca="false">AVERAGE(C65:C66)</f>
        <v>5.3045</v>
      </c>
      <c r="D67" s="395" t="n">
        <f aca="false">AVERAGE(D65:D66)</f>
        <v>5.41810470833333</v>
      </c>
      <c r="E67" s="395" t="n">
        <f aca="false">AVERAGE(E65,D66)</f>
        <v>5.50688877708333</v>
      </c>
      <c r="F67" s="395" t="n">
        <f aca="false">AVERAGE(F65,E66)</f>
        <v>5.67209544039583</v>
      </c>
      <c r="G67" s="395" t="n">
        <f aca="false">AVERAGE(G65,F66)</f>
        <v>5.7442030381565</v>
      </c>
      <c r="H67" s="395" t="n">
        <f aca="false">AVERAGE(H65,G66)</f>
        <v>5.9165291293012</v>
      </c>
      <c r="I67" s="395" t="n">
        <f aca="false">AVERAGE(I65,H66)</f>
        <v>5.93721608533856</v>
      </c>
      <c r="J67" s="395" t="n">
        <f aca="false">AVERAGE(J65,I66)</f>
        <v>6.00818493184802</v>
      </c>
      <c r="K67" s="395" t="n">
        <f aca="false">AVERAGE(K65,J66)</f>
        <v>6.07806841467123</v>
      </c>
      <c r="L67" s="395" t="n">
        <f aca="false">AVERAGE(L65,K66)</f>
        <v>6.14673754002518</v>
      </c>
      <c r="M67" s="395" t="n">
        <f aca="false">AVERAGE(M65,L66)</f>
        <v>6.21405655132716</v>
      </c>
      <c r="N67" s="395" t="n">
        <f aca="false">AVERAGE(N65,M66)</f>
        <v>6.27988263952124</v>
      </c>
      <c r="O67" s="395" t="n">
        <f aca="false">AVERAGE(O65,N66)</f>
        <v>6.34406564211076</v>
      </c>
      <c r="P67" s="395" t="n">
        <f aca="false">AVERAGE(P65,O66)</f>
        <v>6.40644773048009</v>
      </c>
      <c r="Q67" s="395" t="n">
        <f aca="false">AVERAGE(Q65,P66)</f>
        <v>6.40194777604864</v>
      </c>
      <c r="R67" s="395" t="n">
        <f aca="false">AVERAGE(R65,Q66)</f>
        <v>6.45827478968966</v>
      </c>
      <c r="S67" s="395" t="n">
        <f aca="false">AVERAGE(S65,R66)</f>
        <v>6.5122196711507</v>
      </c>
      <c r="T67" s="395" t="n">
        <f aca="false">AVERAGE(T65,S66)</f>
        <v>6.56358879818868</v>
      </c>
      <c r="U67" s="395" t="n">
        <f aca="false">AVERAGE(U65,T66)</f>
        <v>6.6121790751449</v>
      </c>
      <c r="V67" s="395" t="n">
        <f aca="false">AVERAGE(V65,U66)</f>
        <v>6.5802652649789</v>
      </c>
      <c r="W67" s="395"/>
      <c r="X67" s="432"/>
      <c r="Y67" s="432"/>
      <c r="Z67" s="432"/>
      <c r="AA67" s="435"/>
    </row>
    <row r="68" customFormat="false" ht="12.6" hidden="false" customHeight="true" outlineLevel="0" collapsed="false">
      <c r="A68" s="387" t="s">
        <v>396</v>
      </c>
      <c r="B68" s="459" t="n">
        <f aca="false">AVERAGE(C68:V68)</f>
        <v>5.7747742982393</v>
      </c>
      <c r="C68" s="395" t="n">
        <f aca="false">C66+(C67-C66)*'Project Assumptions'!$C$74</f>
        <v>5.039275</v>
      </c>
      <c r="D68" s="395" t="n">
        <f aca="false">D66+(D67-D66)*'Project Assumptions'!$C$74</f>
        <v>5.16768810416667</v>
      </c>
      <c r="E68" s="395" t="n">
        <f aca="false">E66+(E67-E66)*'Project Assumptions'!$C$74</f>
        <v>5.28583921104167</v>
      </c>
      <c r="F68" s="395" t="n">
        <f aca="false">F66+(F67-F66)*'Project Assumptions'!$C$74</f>
        <v>5.39611130094375</v>
      </c>
      <c r="G68" s="395" t="n">
        <f aca="false">G66+(G67-G66)*'Project Assumptions'!$C$74</f>
        <v>5.50896700724646</v>
      </c>
      <c r="H68" s="395" t="n">
        <f aca="false">H66+(H67-H66)*'Project Assumptions'!$C$74</f>
        <v>5.62299127307115</v>
      </c>
      <c r="I68" s="395" t="n">
        <f aca="false">I66+(I67-I66)*'Project Assumptions'!$C$74</f>
        <v>5.66049446561797</v>
      </c>
      <c r="J68" s="395" t="n">
        <f aca="false">J66+(J67-J66)*'Project Assumptions'!$C$74</f>
        <v>5.72236993223494</v>
      </c>
      <c r="K68" s="395" t="n">
        <f aca="false">K66+(K67-K66)*'Project Assumptions'!$C$74</f>
        <v>5.78286348182987</v>
      </c>
      <c r="L68" s="395" t="n">
        <f aca="false">L66+(L67-L66)*'Project Assumptions'!$C$74</f>
        <v>5.84183651146148</v>
      </c>
      <c r="M68" s="395" t="n">
        <f aca="false">M66+(M67-M66)*'Project Assumptions'!$C$74</f>
        <v>5.89914334573735</v>
      </c>
      <c r="N68" s="395" t="n">
        <f aca="false">N66+(N67-N66)*'Project Assumptions'!$C$74</f>
        <v>5.95463093720945</v>
      </c>
      <c r="O68" s="395" t="n">
        <f aca="false">O66+(O67-O66)*'Project Assumptions'!$C$74</f>
        <v>6.00813855515872</v>
      </c>
      <c r="P68" s="395" t="n">
        <f aca="false">P66+(P67-P66)*'Project Assumptions'!$C$74</f>
        <v>5.99458215331642</v>
      </c>
      <c r="Q68" s="395" t="n">
        <f aca="false">Q66+(Q67-Q66)*'Project Assumptions'!$C$74</f>
        <v>6.0092101564472</v>
      </c>
      <c r="R68" s="395" t="n">
        <f aca="false">R66+(R67-R66)*'Project Assumptions'!$C$74</f>
        <v>6.05275209997574</v>
      </c>
      <c r="S68" s="395" t="n">
        <f aca="false">S66+(S67-S66)*'Project Assumptions'!$C$74</f>
        <v>6.09349827097519</v>
      </c>
      <c r="T68" s="395" t="n">
        <f aca="false">T66+(T67-T66)*'Project Assumptions'!$C$74</f>
        <v>6.13124173534463</v>
      </c>
      <c r="U68" s="395" t="n">
        <f aca="false">U66+(U67-U66)*'Project Assumptions'!$C$74</f>
        <v>6.16576565913236</v>
      </c>
      <c r="V68" s="395" t="n">
        <f aca="false">V66+(V67-V66)*'Project Assumptions'!$C$74</f>
        <v>6.15808676387493</v>
      </c>
      <c r="W68" s="395"/>
      <c r="X68" s="432"/>
      <c r="Y68" s="432"/>
      <c r="Z68" s="432"/>
      <c r="AA68" s="435"/>
    </row>
    <row r="69" customFormat="false" ht="12.6" hidden="false" customHeight="true" outlineLevel="0" collapsed="false">
      <c r="A69" s="397"/>
      <c r="B69" s="371"/>
      <c r="C69" s="395"/>
      <c r="D69" s="395"/>
      <c r="E69" s="395"/>
      <c r="F69" s="395"/>
      <c r="G69" s="395"/>
      <c r="H69" s="395"/>
      <c r="I69" s="395"/>
      <c r="J69" s="395"/>
      <c r="K69" s="395"/>
      <c r="L69" s="395"/>
      <c r="M69" s="395"/>
      <c r="N69" s="395"/>
      <c r="O69" s="395"/>
      <c r="P69" s="395"/>
      <c r="Q69" s="395"/>
      <c r="R69" s="395"/>
      <c r="S69" s="395"/>
      <c r="T69" s="395"/>
      <c r="U69" s="395"/>
      <c r="V69" s="395"/>
      <c r="W69" s="395"/>
      <c r="X69" s="395"/>
      <c r="Y69" s="395"/>
      <c r="Z69" s="395"/>
      <c r="AA69" s="396"/>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row>
    <row r="70" customFormat="false" ht="12.6" hidden="false" customHeight="true" outlineLevel="0" collapsed="false">
      <c r="A70" s="460" t="s">
        <v>397</v>
      </c>
      <c r="B70" s="371" t="s">
        <v>398</v>
      </c>
      <c r="C70" s="461" t="n">
        <v>66</v>
      </c>
      <c r="D70" s="461" t="n">
        <v>65</v>
      </c>
      <c r="E70" s="461" t="n">
        <v>65</v>
      </c>
      <c r="F70" s="461" t="n">
        <v>65</v>
      </c>
      <c r="G70" s="461" t="n">
        <v>64</v>
      </c>
      <c r="H70" s="461" t="n">
        <v>64</v>
      </c>
      <c r="I70" s="461" t="n">
        <v>62</v>
      </c>
      <c r="J70" s="461" t="n">
        <v>61</v>
      </c>
      <c r="K70" s="461" t="n">
        <v>60</v>
      </c>
      <c r="L70" s="461" t="n">
        <v>59</v>
      </c>
      <c r="M70" s="461" t="n">
        <v>58</v>
      </c>
      <c r="N70" s="461" t="n">
        <v>57</v>
      </c>
      <c r="O70" s="461" t="n">
        <v>56</v>
      </c>
      <c r="P70" s="461" t="n">
        <v>55</v>
      </c>
      <c r="Q70" s="461" t="n">
        <v>54</v>
      </c>
      <c r="R70" s="461" t="n">
        <v>53</v>
      </c>
      <c r="S70" s="461" t="n">
        <v>52</v>
      </c>
      <c r="T70" s="461" t="n">
        <v>51</v>
      </c>
      <c r="U70" s="461" t="n">
        <v>50</v>
      </c>
      <c r="V70" s="461" t="n">
        <v>48</v>
      </c>
      <c r="W70" s="461" t="n">
        <v>47</v>
      </c>
      <c r="X70" s="394" t="n">
        <v>36.99</v>
      </c>
      <c r="Y70" s="432"/>
      <c r="Z70" s="432"/>
      <c r="AA70" s="435"/>
    </row>
    <row r="71" customFormat="false" ht="12.6" hidden="false" customHeight="true" outlineLevel="0" collapsed="false">
      <c r="A71" s="460" t="s">
        <v>399</v>
      </c>
      <c r="B71" s="371"/>
      <c r="C71" s="461" t="n">
        <v>54</v>
      </c>
      <c r="D71" s="461" t="n">
        <v>54</v>
      </c>
      <c r="E71" s="461" t="n">
        <v>54</v>
      </c>
      <c r="F71" s="461" t="n">
        <v>53</v>
      </c>
      <c r="G71" s="461" t="n">
        <v>53</v>
      </c>
      <c r="H71" s="461" t="n">
        <v>52</v>
      </c>
      <c r="I71" s="461" t="n">
        <v>51</v>
      </c>
      <c r="J71" s="461" t="n">
        <v>50</v>
      </c>
      <c r="K71" s="461" t="n">
        <v>49</v>
      </c>
      <c r="L71" s="461" t="n">
        <v>48</v>
      </c>
      <c r="M71" s="461" t="n">
        <v>47</v>
      </c>
      <c r="N71" s="461" t="n">
        <v>46</v>
      </c>
      <c r="O71" s="461" t="n">
        <v>45</v>
      </c>
      <c r="P71" s="461" t="n">
        <v>43</v>
      </c>
      <c r="Q71" s="461" t="n">
        <v>42</v>
      </c>
      <c r="R71" s="461" t="n">
        <v>41</v>
      </c>
      <c r="S71" s="461" t="n">
        <v>40</v>
      </c>
      <c r="T71" s="461" t="n">
        <v>39</v>
      </c>
      <c r="U71" s="461" t="n">
        <v>38</v>
      </c>
      <c r="V71" s="461" t="n">
        <v>37</v>
      </c>
      <c r="W71" s="461" t="n">
        <v>36</v>
      </c>
      <c r="X71" s="394"/>
      <c r="Y71" s="432"/>
      <c r="Z71" s="432"/>
      <c r="AA71" s="435"/>
    </row>
    <row r="72" customFormat="false" ht="12.6" hidden="false" customHeight="true" outlineLevel="0" collapsed="false">
      <c r="A72" s="403"/>
      <c r="B72" s="404"/>
      <c r="C72" s="417"/>
      <c r="D72" s="417"/>
      <c r="E72" s="417"/>
      <c r="F72" s="417"/>
      <c r="G72" s="417"/>
      <c r="H72" s="417"/>
      <c r="I72" s="417"/>
      <c r="J72" s="417"/>
      <c r="K72" s="417"/>
      <c r="L72" s="417"/>
      <c r="M72" s="417"/>
      <c r="N72" s="417"/>
      <c r="O72" s="417"/>
      <c r="P72" s="417"/>
      <c r="Q72" s="417"/>
      <c r="R72" s="417"/>
      <c r="S72" s="417"/>
      <c r="T72" s="417"/>
      <c r="U72" s="417"/>
      <c r="V72" s="417"/>
      <c r="W72" s="417"/>
      <c r="X72" s="417"/>
      <c r="Y72" s="417"/>
      <c r="Z72" s="417"/>
      <c r="AA72" s="462"/>
      <c r="AB72" s="404"/>
      <c r="AC72" s="404"/>
      <c r="AD72" s="404"/>
      <c r="AE72" s="404"/>
      <c r="AF72" s="404"/>
      <c r="AG72" s="404"/>
      <c r="AH72" s="404"/>
      <c r="AI72" s="404"/>
      <c r="AJ72" s="404"/>
      <c r="AK72" s="404"/>
      <c r="AL72" s="404"/>
      <c r="AM72" s="404"/>
      <c r="AN72" s="404"/>
      <c r="AO72" s="404"/>
      <c r="AP72" s="404"/>
      <c r="AQ72" s="404"/>
      <c r="AR72" s="404"/>
      <c r="AS72" s="404"/>
      <c r="AT72" s="404"/>
      <c r="AU72" s="404"/>
      <c r="AV72" s="404"/>
      <c r="AW72" s="404"/>
      <c r="AX72" s="404"/>
      <c r="AY72" s="404"/>
      <c r="AZ72" s="404"/>
      <c r="BA72" s="404"/>
      <c r="BB72" s="404"/>
      <c r="BC72" s="404"/>
      <c r="BD72" s="404"/>
      <c r="BE72" s="404"/>
      <c r="BF72" s="404"/>
      <c r="BG72" s="404"/>
      <c r="BH72" s="404"/>
      <c r="BI72" s="404"/>
      <c r="BJ72" s="404"/>
      <c r="BK72" s="404"/>
      <c r="BL72" s="404"/>
      <c r="BM72" s="404"/>
      <c r="BN72" s="404"/>
      <c r="BO72" s="404"/>
      <c r="BP72" s="404"/>
      <c r="BQ72" s="404"/>
      <c r="BR72" s="404"/>
      <c r="BS72" s="404"/>
      <c r="BT72" s="404"/>
      <c r="BU72" s="404"/>
      <c r="BV72" s="404"/>
      <c r="BW72" s="404"/>
      <c r="BX72" s="404"/>
      <c r="BY72" s="404"/>
      <c r="BZ72" s="404"/>
      <c r="CA72" s="404"/>
      <c r="CB72" s="404"/>
      <c r="CC72" s="404"/>
      <c r="CD72" s="404"/>
      <c r="CE72" s="404"/>
      <c r="CF72" s="404"/>
      <c r="CG72" s="404"/>
      <c r="CH72" s="404"/>
      <c r="CI72" s="404"/>
      <c r="CJ72" s="404"/>
      <c r="CK72" s="404"/>
      <c r="CL72" s="404"/>
      <c r="CM72" s="404"/>
      <c r="CN72" s="404"/>
      <c r="CO72" s="404"/>
      <c r="CP72" s="404"/>
      <c r="CQ72" s="404"/>
      <c r="CR72" s="404"/>
      <c r="CS72" s="404"/>
      <c r="CT72" s="404"/>
      <c r="CU72" s="404"/>
      <c r="CV72" s="404"/>
      <c r="CW72" s="404"/>
      <c r="CX72" s="404"/>
      <c r="CY72" s="404"/>
      <c r="CZ72" s="404"/>
      <c r="DA72" s="404"/>
      <c r="DB72" s="404"/>
      <c r="DC72" s="404"/>
      <c r="DD72" s="404"/>
      <c r="DE72" s="404"/>
      <c r="DF72" s="404"/>
      <c r="DG72" s="404"/>
      <c r="DH72" s="404"/>
      <c r="DI72" s="404"/>
      <c r="DJ72" s="404"/>
      <c r="DK72" s="404"/>
      <c r="DL72" s="404"/>
      <c r="DM72" s="404"/>
      <c r="DN72" s="404"/>
      <c r="DO72" s="404"/>
      <c r="DP72" s="404"/>
      <c r="DQ72" s="404"/>
      <c r="DR72" s="404"/>
      <c r="DS72" s="404"/>
      <c r="DT72" s="404"/>
      <c r="DU72" s="404"/>
      <c r="DV72" s="404"/>
      <c r="DW72" s="404"/>
      <c r="DX72" s="404"/>
      <c r="DY72" s="404"/>
      <c r="DZ72" s="404"/>
      <c r="EA72" s="404"/>
      <c r="EB72" s="404"/>
      <c r="EC72" s="404"/>
      <c r="ED72" s="404"/>
      <c r="EE72" s="404"/>
      <c r="EF72" s="404"/>
      <c r="EG72" s="404"/>
      <c r="EH72" s="404"/>
      <c r="EI72" s="404"/>
      <c r="EJ72" s="404"/>
      <c r="EK72" s="404"/>
      <c r="EL72" s="404"/>
      <c r="EM72" s="404"/>
      <c r="EN72" s="404"/>
      <c r="EO72" s="404"/>
      <c r="EP72" s="404"/>
      <c r="EQ72" s="404"/>
      <c r="ER72" s="404"/>
      <c r="ES72" s="404"/>
      <c r="ET72" s="404"/>
      <c r="EU72" s="404"/>
      <c r="EV72" s="404"/>
      <c r="EW72" s="404"/>
      <c r="EX72" s="404"/>
      <c r="EY72" s="404"/>
      <c r="EZ72" s="404"/>
      <c r="FA72" s="404"/>
      <c r="FB72" s="404"/>
      <c r="FC72" s="404"/>
      <c r="FD72" s="404"/>
      <c r="FE72" s="404"/>
      <c r="FF72" s="404"/>
      <c r="FG72" s="404"/>
      <c r="FH72" s="404"/>
      <c r="FI72" s="404"/>
      <c r="FJ72" s="404"/>
      <c r="FK72" s="404"/>
      <c r="FL72" s="404"/>
      <c r="FM72" s="404"/>
      <c r="FN72" s="404"/>
      <c r="FO72" s="404"/>
      <c r="FP72" s="404"/>
      <c r="FQ72" s="404"/>
      <c r="FR72" s="404"/>
      <c r="FS72" s="404"/>
      <c r="FT72" s="404"/>
      <c r="FU72" s="404"/>
      <c r="FV72" s="404"/>
      <c r="FW72" s="404"/>
      <c r="FX72" s="404"/>
      <c r="FY72" s="404"/>
      <c r="FZ72" s="404"/>
      <c r="GA72" s="404"/>
      <c r="GB72" s="404"/>
      <c r="GC72" s="404"/>
      <c r="GD72" s="404"/>
      <c r="GE72" s="404"/>
      <c r="GF72" s="404"/>
      <c r="GG72" s="404"/>
      <c r="GH72" s="404"/>
      <c r="GI72" s="404"/>
      <c r="GJ72" s="404"/>
      <c r="GK72" s="404"/>
      <c r="GL72" s="404"/>
      <c r="GM72" s="404"/>
      <c r="GN72" s="404"/>
      <c r="GO72" s="404"/>
      <c r="GP72" s="404"/>
      <c r="GQ72" s="404"/>
      <c r="GR72" s="404"/>
      <c r="GS72" s="404"/>
      <c r="GT72" s="404"/>
      <c r="GU72" s="404"/>
      <c r="GV72" s="404"/>
      <c r="GW72" s="404"/>
      <c r="GX72" s="404"/>
      <c r="GY72" s="404"/>
      <c r="GZ72" s="404"/>
      <c r="HA72" s="404"/>
      <c r="HB72" s="404"/>
      <c r="HC72" s="404"/>
      <c r="HD72" s="404"/>
      <c r="HE72" s="404"/>
      <c r="HF72" s="404"/>
      <c r="HG72" s="404"/>
      <c r="HH72" s="404"/>
      <c r="HI72" s="404"/>
      <c r="HJ72" s="404"/>
      <c r="HK72" s="404"/>
      <c r="HL72" s="404"/>
      <c r="HM72" s="404"/>
      <c r="HN72" s="404"/>
      <c r="HO72" s="404"/>
      <c r="HP72" s="404"/>
      <c r="HQ72" s="404"/>
      <c r="HR72" s="404"/>
      <c r="HS72" s="404"/>
      <c r="HT72" s="404"/>
      <c r="HU72" s="404"/>
      <c r="HV72" s="404"/>
      <c r="HW72" s="404"/>
      <c r="HX72" s="404"/>
      <c r="HY72" s="404"/>
      <c r="HZ72" s="404"/>
      <c r="IA72" s="404"/>
      <c r="IB72" s="404"/>
      <c r="IC72" s="404"/>
      <c r="ID72" s="404"/>
      <c r="IE72" s="404"/>
      <c r="IF72" s="404"/>
      <c r="IG72" s="404"/>
      <c r="IH72" s="404"/>
      <c r="II72" s="404"/>
      <c r="IJ72" s="404"/>
      <c r="IK72" s="404"/>
      <c r="IL72" s="404"/>
      <c r="IM72" s="404"/>
      <c r="IN72" s="404"/>
      <c r="IO72" s="404"/>
      <c r="IP72" s="404"/>
      <c r="IQ72" s="404"/>
      <c r="IR72" s="404"/>
      <c r="IS72" s="404"/>
      <c r="IT72" s="404"/>
      <c r="IU72" s="404"/>
      <c r="IV72" s="404"/>
      <c r="IW72" s="404"/>
    </row>
    <row r="73" customFormat="false" ht="12.6" hidden="false" customHeight="true" outlineLevel="0" collapsed="false">
      <c r="A73" s="401" t="s">
        <v>400</v>
      </c>
      <c r="B73" s="371"/>
      <c r="C73" s="432"/>
      <c r="D73" s="432"/>
      <c r="E73" s="432"/>
      <c r="F73" s="432"/>
      <c r="G73" s="432"/>
      <c r="H73" s="432"/>
      <c r="I73" s="432"/>
      <c r="J73" s="432"/>
      <c r="K73" s="432"/>
      <c r="L73" s="432"/>
      <c r="M73" s="432"/>
      <c r="N73" s="432"/>
      <c r="O73" s="432"/>
      <c r="P73" s="432"/>
      <c r="Q73" s="432"/>
      <c r="R73" s="432"/>
      <c r="S73" s="432"/>
      <c r="T73" s="432"/>
      <c r="U73" s="432"/>
      <c r="V73" s="432"/>
      <c r="W73" s="432"/>
      <c r="X73" s="432"/>
      <c r="Y73" s="432"/>
      <c r="Z73" s="432"/>
      <c r="AA73" s="435"/>
    </row>
    <row r="74" customFormat="false" ht="12.6" hidden="false" customHeight="true" outlineLevel="0" collapsed="false">
      <c r="A74" s="403" t="s">
        <v>401</v>
      </c>
      <c r="B74" s="463" t="n">
        <f aca="false">'Project Assumptions'!I31</f>
        <v>0.03</v>
      </c>
      <c r="C74" s="417" t="n">
        <f aca="false">C79*((1+$B$74)^3)</f>
        <v>43.43589825</v>
      </c>
      <c r="D74" s="417" t="n">
        <f aca="false">D79*((1+$B$74)^3)</f>
        <v>46.36440661</v>
      </c>
      <c r="E74" s="417" t="n">
        <f aca="false">E79*((1+$B$74)^3)</f>
        <v>49.48960583</v>
      </c>
      <c r="F74" s="417" t="n">
        <f aca="false">F79*((1+$B$74)^3)</f>
        <v>52.82242318</v>
      </c>
      <c r="G74" s="417" t="n">
        <f aca="false">G79*((1+$B$74)^3)</f>
        <v>56.37378593</v>
      </c>
      <c r="H74" s="417" t="n">
        <f aca="false">H79*((1+$B$74)^3)</f>
        <v>60.17647589</v>
      </c>
      <c r="I74" s="417" t="n">
        <f aca="false">I79*((1+$B$74)^3)</f>
        <v>60.66820304</v>
      </c>
      <c r="J74" s="417" t="n">
        <f aca="false">J79*((1+$B$74)^3)</f>
        <v>61.15993019</v>
      </c>
      <c r="K74" s="417" t="n">
        <f aca="false">K79*((1+$B$74)^3)</f>
        <v>61.66258461</v>
      </c>
      <c r="L74" s="417" t="n">
        <f aca="false">L79*((1+$B$74)^3)</f>
        <v>62.16523903</v>
      </c>
      <c r="M74" s="417" t="n">
        <f aca="false">M79*((1+$B$74)^3)</f>
        <v>62.67882072</v>
      </c>
      <c r="N74" s="417" t="n">
        <f aca="false">N79*((1+$B$74)^3)</f>
        <v>60.26389405</v>
      </c>
      <c r="O74" s="417" t="n">
        <f aca="false">O79*((1+$B$74)^3)</f>
        <v>57.95824008</v>
      </c>
      <c r="P74" s="417" t="n">
        <f aca="false">P79*((1+$B$74)^3)</f>
        <v>55.729077</v>
      </c>
      <c r="Q74" s="417" t="n">
        <f aca="false">Q79*((1+$B$74)^3)</f>
        <v>53.58733208</v>
      </c>
      <c r="R74" s="417" t="n">
        <f aca="false">R79*((1+$B$74)^3)</f>
        <v>51.53300532</v>
      </c>
      <c r="S74" s="417" t="n">
        <f aca="false">S79*((1+$B$74)^3)</f>
        <v>52.2323506</v>
      </c>
      <c r="T74" s="417" t="n">
        <f aca="false">T79*((1+$B$74)^3)</f>
        <v>52.93169588</v>
      </c>
      <c r="U74" s="417" t="n">
        <f aca="false">U79*((1+$B$74)^3)</f>
        <v>53.6528957</v>
      </c>
      <c r="V74" s="417" t="n">
        <f aca="false">V79*((1+$B$74)^3)</f>
        <v>53.6528957</v>
      </c>
      <c r="W74" s="417"/>
      <c r="X74" s="417"/>
      <c r="Y74" s="417"/>
      <c r="Z74" s="417"/>
      <c r="AA74" s="462"/>
      <c r="AB74" s="404"/>
      <c r="AC74" s="404"/>
      <c r="AD74" s="404"/>
      <c r="AE74" s="404"/>
      <c r="AF74" s="404"/>
      <c r="AG74" s="404"/>
      <c r="AH74" s="404"/>
      <c r="AI74" s="404"/>
      <c r="AJ74" s="404"/>
      <c r="AK74" s="404"/>
      <c r="AL74" s="404"/>
      <c r="AM74" s="404"/>
      <c r="AN74" s="404"/>
      <c r="AO74" s="404"/>
      <c r="AP74" s="404"/>
      <c r="AQ74" s="404"/>
      <c r="AR74" s="404"/>
      <c r="AS74" s="404"/>
      <c r="AT74" s="404"/>
      <c r="AU74" s="404"/>
      <c r="AV74" s="404"/>
      <c r="AW74" s="404"/>
      <c r="AX74" s="404"/>
      <c r="AY74" s="404"/>
      <c r="AZ74" s="404"/>
      <c r="BA74" s="404"/>
      <c r="BB74" s="404"/>
      <c r="BC74" s="404"/>
      <c r="BD74" s="404"/>
      <c r="BE74" s="404"/>
      <c r="BF74" s="404"/>
      <c r="BG74" s="404"/>
      <c r="BH74" s="404"/>
      <c r="BI74" s="404"/>
      <c r="BJ74" s="404"/>
      <c r="BK74" s="404"/>
      <c r="BL74" s="404"/>
      <c r="BM74" s="404"/>
      <c r="BN74" s="404"/>
      <c r="BO74" s="404"/>
      <c r="BP74" s="404"/>
      <c r="BQ74" s="404"/>
      <c r="BR74" s="404"/>
      <c r="BS74" s="404"/>
      <c r="BT74" s="404"/>
      <c r="BU74" s="404"/>
      <c r="BV74" s="404"/>
      <c r="BW74" s="404"/>
      <c r="BX74" s="404"/>
      <c r="BY74" s="404"/>
      <c r="BZ74" s="404"/>
      <c r="CA74" s="404"/>
      <c r="CB74" s="404"/>
      <c r="CC74" s="404"/>
      <c r="CD74" s="404"/>
      <c r="CE74" s="404"/>
      <c r="CF74" s="404"/>
      <c r="CG74" s="404"/>
      <c r="CH74" s="404"/>
      <c r="CI74" s="404"/>
      <c r="CJ74" s="404"/>
      <c r="CK74" s="404"/>
      <c r="CL74" s="404"/>
      <c r="CM74" s="404"/>
      <c r="CN74" s="404"/>
      <c r="CO74" s="404"/>
      <c r="CP74" s="404"/>
      <c r="CQ74" s="404"/>
      <c r="CR74" s="404"/>
      <c r="CS74" s="404"/>
      <c r="CT74" s="404"/>
      <c r="CU74" s="404"/>
      <c r="CV74" s="404"/>
      <c r="CW74" s="404"/>
      <c r="CX74" s="404"/>
      <c r="CY74" s="404"/>
      <c r="CZ74" s="404"/>
      <c r="DA74" s="404"/>
      <c r="DB74" s="404"/>
      <c r="DC74" s="404"/>
      <c r="DD74" s="404"/>
      <c r="DE74" s="404"/>
      <c r="DF74" s="404"/>
      <c r="DG74" s="404"/>
      <c r="DH74" s="404"/>
      <c r="DI74" s="404"/>
      <c r="DJ74" s="404"/>
      <c r="DK74" s="404"/>
      <c r="DL74" s="404"/>
      <c r="DM74" s="404"/>
      <c r="DN74" s="404"/>
      <c r="DO74" s="404"/>
      <c r="DP74" s="404"/>
      <c r="DQ74" s="404"/>
      <c r="DR74" s="404"/>
      <c r="DS74" s="404"/>
      <c r="DT74" s="404"/>
      <c r="DU74" s="404"/>
      <c r="DV74" s="404"/>
      <c r="DW74" s="404"/>
      <c r="DX74" s="404"/>
      <c r="DY74" s="404"/>
      <c r="DZ74" s="404"/>
      <c r="EA74" s="404"/>
      <c r="EB74" s="404"/>
      <c r="EC74" s="404"/>
      <c r="ED74" s="404"/>
      <c r="EE74" s="404"/>
      <c r="EF74" s="404"/>
      <c r="EG74" s="404"/>
      <c r="EH74" s="404"/>
      <c r="EI74" s="404"/>
      <c r="EJ74" s="404"/>
      <c r="EK74" s="404"/>
      <c r="EL74" s="404"/>
      <c r="EM74" s="404"/>
      <c r="EN74" s="404"/>
      <c r="EO74" s="404"/>
      <c r="EP74" s="404"/>
      <c r="EQ74" s="404"/>
      <c r="ER74" s="404"/>
      <c r="ES74" s="404"/>
      <c r="ET74" s="404"/>
      <c r="EU74" s="404"/>
      <c r="EV74" s="404"/>
      <c r="EW74" s="404"/>
      <c r="EX74" s="404"/>
      <c r="EY74" s="404"/>
      <c r="EZ74" s="404"/>
      <c r="FA74" s="404"/>
      <c r="FB74" s="404"/>
      <c r="FC74" s="404"/>
      <c r="FD74" s="404"/>
      <c r="FE74" s="404"/>
      <c r="FF74" s="404"/>
      <c r="FG74" s="404"/>
      <c r="FH74" s="404"/>
      <c r="FI74" s="404"/>
      <c r="FJ74" s="404"/>
      <c r="FK74" s="404"/>
      <c r="FL74" s="404"/>
      <c r="FM74" s="404"/>
      <c r="FN74" s="404"/>
      <c r="FO74" s="404"/>
      <c r="FP74" s="404"/>
      <c r="FQ74" s="404"/>
      <c r="FR74" s="404"/>
      <c r="FS74" s="404"/>
      <c r="FT74" s="404"/>
      <c r="FU74" s="404"/>
      <c r="FV74" s="404"/>
      <c r="FW74" s="404"/>
      <c r="FX74" s="404"/>
      <c r="FY74" s="404"/>
      <c r="FZ74" s="404"/>
      <c r="GA74" s="404"/>
      <c r="GB74" s="404"/>
      <c r="GC74" s="404"/>
      <c r="GD74" s="404"/>
      <c r="GE74" s="404"/>
      <c r="GF74" s="404"/>
      <c r="GG74" s="404"/>
      <c r="GH74" s="404"/>
      <c r="GI74" s="404"/>
      <c r="GJ74" s="404"/>
      <c r="GK74" s="404"/>
      <c r="GL74" s="404"/>
      <c r="GM74" s="404"/>
      <c r="GN74" s="404"/>
      <c r="GO74" s="404"/>
      <c r="GP74" s="404"/>
      <c r="GQ74" s="404"/>
      <c r="GR74" s="404"/>
      <c r="GS74" s="404"/>
      <c r="GT74" s="404"/>
      <c r="GU74" s="404"/>
      <c r="GV74" s="404"/>
      <c r="GW74" s="404"/>
      <c r="GX74" s="404"/>
      <c r="GY74" s="404"/>
      <c r="GZ74" s="404"/>
      <c r="HA74" s="404"/>
      <c r="HB74" s="404"/>
      <c r="HC74" s="404"/>
      <c r="HD74" s="404"/>
      <c r="HE74" s="404"/>
      <c r="HF74" s="404"/>
      <c r="HG74" s="404"/>
      <c r="HH74" s="404"/>
      <c r="HI74" s="404"/>
      <c r="HJ74" s="404"/>
      <c r="HK74" s="404"/>
      <c r="HL74" s="404"/>
      <c r="HM74" s="404"/>
      <c r="HN74" s="404"/>
      <c r="HO74" s="404"/>
      <c r="HP74" s="404"/>
      <c r="HQ74" s="404"/>
      <c r="HR74" s="404"/>
      <c r="HS74" s="404"/>
      <c r="HT74" s="404"/>
      <c r="HU74" s="404"/>
      <c r="HV74" s="404"/>
      <c r="HW74" s="404"/>
      <c r="HX74" s="404"/>
      <c r="HY74" s="404"/>
      <c r="HZ74" s="404"/>
      <c r="IA74" s="404"/>
      <c r="IB74" s="404"/>
      <c r="IC74" s="404"/>
      <c r="ID74" s="404"/>
      <c r="IE74" s="404"/>
      <c r="IF74" s="404"/>
      <c r="IG74" s="404"/>
      <c r="IH74" s="404"/>
      <c r="II74" s="404"/>
      <c r="IJ74" s="404"/>
      <c r="IK74" s="404"/>
      <c r="IL74" s="404"/>
      <c r="IM74" s="404"/>
      <c r="IN74" s="404"/>
      <c r="IO74" s="404"/>
      <c r="IP74" s="404"/>
      <c r="IQ74" s="404"/>
      <c r="IR74" s="404"/>
      <c r="IS74" s="404"/>
      <c r="IT74" s="404"/>
      <c r="IU74" s="404"/>
      <c r="IV74" s="404"/>
      <c r="IW74" s="404"/>
    </row>
    <row r="75" customFormat="false" ht="12.75" hidden="false" customHeight="false" outlineLevel="0" collapsed="false">
      <c r="A75" s="403" t="s">
        <v>402</v>
      </c>
      <c r="B75" s="371"/>
      <c r="C75" s="417" t="n">
        <f aca="false">C80*((1+$B$74)^3)</f>
        <v>43.52331641</v>
      </c>
      <c r="D75" s="417" t="n">
        <f aca="false">D80*((1+$B$74)^3)</f>
        <v>46.25513391</v>
      </c>
      <c r="E75" s="417" t="n">
        <f aca="false">E80*((1+$B$74)^3)</f>
        <v>49.15086046</v>
      </c>
      <c r="F75" s="417" t="n">
        <f aca="false">F80*((1+$B$74)^3)</f>
        <v>52.2323506</v>
      </c>
      <c r="G75" s="417" t="n">
        <f aca="false">G80*((1+$B$74)^3)</f>
        <v>55.5105316</v>
      </c>
      <c r="H75" s="417" t="n">
        <f aca="false">H80*((1+$B$74)^3)</f>
        <v>58.98540346</v>
      </c>
      <c r="I75" s="417" t="n">
        <f aca="false">I80*((1+$B$74)^3)</f>
        <v>59.37878518</v>
      </c>
      <c r="J75" s="417" t="n">
        <f aca="false">J80*((1+$B$74)^3)</f>
        <v>59.7721669</v>
      </c>
      <c r="K75" s="417" t="n">
        <f aca="false">K80*((1+$B$74)^3)</f>
        <v>60.17647589</v>
      </c>
      <c r="L75" s="417" t="n">
        <f aca="false">L80*((1+$B$74)^3)</f>
        <v>60.58078488</v>
      </c>
      <c r="M75" s="417" t="n">
        <f aca="false">M80*((1+$B$74)^3)</f>
        <v>60.98509387</v>
      </c>
      <c r="N75" s="417" t="n">
        <f aca="false">N80*((1+$B$74)^3)</f>
        <v>57.87082192</v>
      </c>
      <c r="O75" s="417" t="n">
        <f aca="false">O80*((1+$B$74)^3)</f>
        <v>54.90953175</v>
      </c>
      <c r="P75" s="417" t="n">
        <f aca="false">P80*((1+$B$74)^3)</f>
        <v>52.10122336</v>
      </c>
      <c r="Q75" s="417" t="n">
        <f aca="false">Q80*((1+$B$74)^3)</f>
        <v>49.44589675</v>
      </c>
      <c r="R75" s="417" t="n">
        <f aca="false">R80*((1+$B$74)^3)</f>
        <v>46.92169738</v>
      </c>
      <c r="S75" s="417" t="n">
        <f aca="false">S80*((1+$B$74)^3)</f>
        <v>47.29322456</v>
      </c>
      <c r="T75" s="417" t="n">
        <f aca="false">T80*((1+$B$74)^3)</f>
        <v>47.66475174</v>
      </c>
      <c r="U75" s="417" t="n">
        <f aca="false">U80*((1+$B$74)^3)</f>
        <v>48.03627892</v>
      </c>
      <c r="V75" s="417" t="n">
        <f aca="false">V80*((1+$B$74)^3)</f>
        <v>48.03627892</v>
      </c>
      <c r="W75" s="432"/>
      <c r="X75" s="432"/>
      <c r="Y75" s="432"/>
      <c r="Z75" s="432"/>
      <c r="AA75" s="435"/>
    </row>
    <row r="76" customFormat="false" ht="12.75" hidden="false" customHeight="false" outlineLevel="0" collapsed="false">
      <c r="A76" s="403" t="s">
        <v>403</v>
      </c>
      <c r="B76" s="371"/>
      <c r="C76" s="417" t="n">
        <v>0</v>
      </c>
      <c r="D76" s="417" t="n">
        <v>0</v>
      </c>
      <c r="E76" s="417" t="n">
        <v>0</v>
      </c>
      <c r="F76" s="417" t="n">
        <v>0</v>
      </c>
      <c r="G76" s="417" t="n">
        <v>0</v>
      </c>
      <c r="H76" s="417" t="n">
        <v>0</v>
      </c>
      <c r="I76" s="417" t="n">
        <v>0</v>
      </c>
      <c r="J76" s="417" t="n">
        <v>0</v>
      </c>
      <c r="K76" s="417" t="n">
        <v>0</v>
      </c>
      <c r="L76" s="417" t="n">
        <v>0</v>
      </c>
      <c r="M76" s="417" t="n">
        <v>0</v>
      </c>
      <c r="N76" s="417" t="n">
        <v>0</v>
      </c>
      <c r="O76" s="417" t="n">
        <v>0</v>
      </c>
      <c r="P76" s="417" t="n">
        <v>0</v>
      </c>
      <c r="Q76" s="417" t="n">
        <v>0</v>
      </c>
      <c r="R76" s="417" t="n">
        <v>0</v>
      </c>
      <c r="S76" s="417" t="n">
        <v>0</v>
      </c>
      <c r="T76" s="417" t="n">
        <v>0</v>
      </c>
      <c r="U76" s="417" t="n">
        <v>0</v>
      </c>
      <c r="V76" s="417" t="n">
        <v>0</v>
      </c>
      <c r="W76" s="432"/>
      <c r="X76" s="432"/>
      <c r="Y76" s="432"/>
      <c r="Z76" s="432"/>
      <c r="AA76" s="435"/>
    </row>
    <row r="77" customFormat="false" ht="12.75" hidden="false" customHeight="false" outlineLevel="0" collapsed="false">
      <c r="A77" s="403" t="s">
        <v>324</v>
      </c>
      <c r="B77" s="371"/>
      <c r="C77" s="417" t="n">
        <f aca="false">IF('Project Assumptions'!$C$76="yes",C26,C24)</f>
        <v>29.9325</v>
      </c>
      <c r="D77" s="417" t="n">
        <f aca="false">IF('Project Assumptions'!$C$76="yes",D26,D24)</f>
        <v>29.9325</v>
      </c>
      <c r="E77" s="417" t="n">
        <f aca="false">IF('Project Assumptions'!$C$76="yes",E26,E24)</f>
        <v>29.9325</v>
      </c>
      <c r="F77" s="417" t="n">
        <f aca="false">IF('Project Assumptions'!$C$76="yes",F26,F24)</f>
        <v>29.9325</v>
      </c>
      <c r="G77" s="417" t="n">
        <f aca="false">IF('Project Assumptions'!$C$76="yes",G26,G24)</f>
        <v>29.9325</v>
      </c>
      <c r="H77" s="417" t="n">
        <f aca="false">IF('Project Assumptions'!$C$76="yes",H26,H24)</f>
        <v>29.9325</v>
      </c>
      <c r="I77" s="417" t="n">
        <f aca="false">IF('Project Assumptions'!$C$76="yes",I26,I24)</f>
        <v>29.9325</v>
      </c>
      <c r="J77" s="417" t="n">
        <f aca="false">IF('Project Assumptions'!$C$76="yes",J26,J24)</f>
        <v>29.9325</v>
      </c>
      <c r="K77" s="417" t="n">
        <f aca="false">IF('Project Assumptions'!$C$76="yes",K26,K24)</f>
        <v>29.9325</v>
      </c>
      <c r="L77" s="417" t="n">
        <f aca="false">IF('Project Assumptions'!$C$76="yes",L26,L24)</f>
        <v>29.9325</v>
      </c>
      <c r="M77" s="417" t="n">
        <f aca="false">IF('Project Assumptions'!$C$76="yes",M26,M24)</f>
        <v>29.9325</v>
      </c>
      <c r="N77" s="417" t="n">
        <f aca="false">IF('Project Assumptions'!$C$76="yes",N26,N24)</f>
        <v>29.9325</v>
      </c>
      <c r="O77" s="417" t="n">
        <f aca="false">IF('Project Assumptions'!$C$76="yes",O26,O24)</f>
        <v>29.9325</v>
      </c>
      <c r="P77" s="417" t="n">
        <f aca="false">IF('Project Assumptions'!$C$76="yes",P26,P24)</f>
        <v>29.9325</v>
      </c>
      <c r="Q77" s="417" t="n">
        <f aca="false">IF('Project Assumptions'!$C$76="yes",Q26,Q24)</f>
        <v>29.9325</v>
      </c>
      <c r="R77" s="417" t="n">
        <f aca="false">IF('Project Assumptions'!$C$76="yes",R26,R24)</f>
        <v>29.9325</v>
      </c>
      <c r="S77" s="417" t="n">
        <f aca="false">IF('Project Assumptions'!$C$76="yes",S26,S24)</f>
        <v>29.9325</v>
      </c>
      <c r="T77" s="417" t="n">
        <f aca="false">IF('Project Assumptions'!$C$76="yes",T26,T24)</f>
        <v>29.9325</v>
      </c>
      <c r="U77" s="417" t="n">
        <f aca="false">IF('Project Assumptions'!$C$76="yes",U26,U24)</f>
        <v>29.9325</v>
      </c>
      <c r="V77" s="417" t="n">
        <f aca="false">IF('Project Assumptions'!$C$76="yes",V26,V24)</f>
        <v>29.9325</v>
      </c>
      <c r="W77" s="417"/>
      <c r="X77" s="432"/>
      <c r="Y77" s="432"/>
      <c r="Z77" s="432"/>
      <c r="AA77" s="435"/>
    </row>
    <row r="78" customFormat="false" ht="12.75" hidden="false" customHeight="false" outlineLevel="0" collapsed="false">
      <c r="A78" s="387"/>
      <c r="B78" s="432"/>
      <c r="C78" s="432"/>
      <c r="D78" s="432"/>
      <c r="E78" s="432"/>
      <c r="F78" s="432"/>
      <c r="G78" s="432"/>
      <c r="H78" s="432"/>
      <c r="I78" s="432"/>
      <c r="J78" s="432"/>
      <c r="K78" s="432"/>
      <c r="L78" s="432"/>
      <c r="M78" s="432"/>
      <c r="N78" s="432"/>
      <c r="O78" s="432"/>
      <c r="P78" s="432"/>
      <c r="Q78" s="432"/>
      <c r="R78" s="432"/>
      <c r="S78" s="432"/>
      <c r="T78" s="432"/>
      <c r="U78" s="432"/>
      <c r="V78" s="432"/>
      <c r="W78" s="432"/>
      <c r="X78" s="432"/>
      <c r="Y78" s="432"/>
      <c r="Z78" s="432"/>
      <c r="AA78" s="435"/>
    </row>
    <row r="79" customFormat="false" ht="12.75" hidden="false" customHeight="false" outlineLevel="0" collapsed="false">
      <c r="A79" s="464" t="s">
        <v>404</v>
      </c>
      <c r="B79" s="371" t="s">
        <v>398</v>
      </c>
      <c r="C79" s="465" t="n">
        <v>39.75</v>
      </c>
      <c r="D79" s="465" t="n">
        <v>42.43</v>
      </c>
      <c r="E79" s="465" t="n">
        <v>45.29</v>
      </c>
      <c r="F79" s="465" t="n">
        <v>48.34</v>
      </c>
      <c r="G79" s="465" t="n">
        <v>51.59</v>
      </c>
      <c r="H79" s="465" t="n">
        <v>55.07</v>
      </c>
      <c r="I79" s="465" t="n">
        <v>55.52</v>
      </c>
      <c r="J79" s="465" t="n">
        <v>55.97</v>
      </c>
      <c r="K79" s="465" t="n">
        <v>56.43</v>
      </c>
      <c r="L79" s="465" t="n">
        <v>56.89</v>
      </c>
      <c r="M79" s="465" t="n">
        <v>57.36</v>
      </c>
      <c r="N79" s="465" t="n">
        <v>55.15</v>
      </c>
      <c r="O79" s="465" t="n">
        <v>53.04</v>
      </c>
      <c r="P79" s="465" t="n">
        <v>51</v>
      </c>
      <c r="Q79" s="465" t="n">
        <v>49.04</v>
      </c>
      <c r="R79" s="465" t="n">
        <v>47.16</v>
      </c>
      <c r="S79" s="465" t="n">
        <v>47.8</v>
      </c>
      <c r="T79" s="465" t="n">
        <v>48.44</v>
      </c>
      <c r="U79" s="465" t="n">
        <v>49.1</v>
      </c>
      <c r="V79" s="465" t="n">
        <v>49.1</v>
      </c>
      <c r="W79" s="432"/>
      <c r="X79" s="432"/>
      <c r="Y79" s="432"/>
      <c r="Z79" s="432"/>
      <c r="AA79" s="435"/>
    </row>
    <row r="80" customFormat="false" ht="12.75" hidden="false" customHeight="false" outlineLevel="0" collapsed="false">
      <c r="A80" s="466" t="s">
        <v>405</v>
      </c>
      <c r="B80" s="467" t="s">
        <v>398</v>
      </c>
      <c r="C80" s="468" t="n">
        <v>39.83</v>
      </c>
      <c r="D80" s="468" t="n">
        <v>42.33</v>
      </c>
      <c r="E80" s="468" t="n">
        <v>44.98</v>
      </c>
      <c r="F80" s="468" t="n">
        <v>47.8</v>
      </c>
      <c r="G80" s="468" t="n">
        <v>50.8</v>
      </c>
      <c r="H80" s="468" t="n">
        <v>53.98</v>
      </c>
      <c r="I80" s="468" t="n">
        <v>54.34</v>
      </c>
      <c r="J80" s="468" t="n">
        <v>54.7</v>
      </c>
      <c r="K80" s="468" t="n">
        <v>55.07</v>
      </c>
      <c r="L80" s="468" t="n">
        <v>55.44</v>
      </c>
      <c r="M80" s="468" t="n">
        <v>55.81</v>
      </c>
      <c r="N80" s="468" t="n">
        <v>52.96</v>
      </c>
      <c r="O80" s="468" t="n">
        <v>50.25</v>
      </c>
      <c r="P80" s="468" t="n">
        <v>47.68</v>
      </c>
      <c r="Q80" s="468" t="n">
        <v>45.25</v>
      </c>
      <c r="R80" s="468" t="n">
        <v>42.94</v>
      </c>
      <c r="S80" s="468" t="n">
        <v>43.28</v>
      </c>
      <c r="T80" s="468" t="n">
        <v>43.62</v>
      </c>
      <c r="U80" s="468" t="n">
        <v>43.96</v>
      </c>
      <c r="V80" s="468" t="n">
        <v>43.96</v>
      </c>
      <c r="W80" s="469"/>
      <c r="X80" s="469"/>
      <c r="Y80" s="469"/>
      <c r="Z80" s="469"/>
      <c r="AA80" s="470"/>
    </row>
    <row r="82" customFormat="false" ht="12.6" hidden="false" customHeight="true" outlineLevel="0" collapsed="false"/>
    <row r="84" customFormat="false" ht="12.6" hidden="false" customHeight="true" outlineLevel="0" collapsed="false">
      <c r="A84" s="1"/>
      <c r="B84" s="471"/>
      <c r="C84" s="395"/>
      <c r="D84" s="395"/>
      <c r="E84" s="395"/>
      <c r="F84" s="395"/>
      <c r="G84" s="395"/>
      <c r="H84" s="395"/>
      <c r="I84" s="395"/>
      <c r="J84" s="395"/>
      <c r="K84" s="395"/>
      <c r="L84" s="395"/>
      <c r="M84" s="395"/>
      <c r="N84" s="395"/>
      <c r="O84" s="395"/>
      <c r="P84" s="395"/>
      <c r="Q84" s="395"/>
      <c r="R84" s="395"/>
      <c r="S84" s="395"/>
      <c r="T84" s="395"/>
      <c r="U84" s="395"/>
      <c r="V84" s="395"/>
      <c r="W84" s="395"/>
      <c r="X84" s="395"/>
      <c r="Y84" s="395"/>
      <c r="Z84" s="395"/>
      <c r="AA84" s="395"/>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row>
    <row r="85" customFormat="false" ht="12.6" hidden="false" customHeight="true" outlineLevel="0" collapsed="false">
      <c r="A85" s="28"/>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row>
  </sheetData>
  <printOptions headings="false" gridLines="false" gridLinesSet="true" horizontalCentered="false" verticalCentered="false"/>
  <pageMargins left="0.5" right="0.5" top="0.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71"/>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357" width="18.7"/>
    <col collapsed="false" customWidth="true" hidden="false" outlineLevel="0" max="2" min="2" style="357" width="15.85"/>
    <col collapsed="false" customWidth="true" hidden="false" outlineLevel="0" max="3" min="3" style="357" width="10.41"/>
    <col collapsed="false" customWidth="false" hidden="false" outlineLevel="0" max="257" min="4" style="357" width="9.14"/>
  </cols>
  <sheetData>
    <row r="1" customFormat="false" ht="20.25" hidden="false" customHeight="false" outlineLevel="0" collapsed="false">
      <c r="A1" s="358" t="str">
        <f aca="false">'Project Assumptions'!$A$2</f>
        <v>WILTON CENTER, Will County, IL</v>
      </c>
      <c r="B1" s="359"/>
      <c r="C1" s="359"/>
      <c r="D1" s="360"/>
    </row>
    <row r="2" customFormat="false" ht="12.75" hidden="false" customHeight="false" outlineLevel="0" collapsed="false">
      <c r="A2" s="362" t="s">
        <v>261</v>
      </c>
      <c r="B2" s="363"/>
      <c r="C2" s="363"/>
      <c r="D2" s="364"/>
    </row>
    <row r="3" customFormat="false" ht="12.6" hidden="false" customHeight="true" outlineLevel="0" collapsed="false">
      <c r="A3" s="472"/>
      <c r="C3" s="473" t="n">
        <f aca="false">'Book Income Statement'!D4</f>
        <v>1</v>
      </c>
      <c r="D3" s="473" t="n">
        <f aca="false">'Book Income Statement'!E4</f>
        <v>2</v>
      </c>
      <c r="E3" s="473" t="n">
        <f aca="false">'Book Income Statement'!F4</f>
        <v>3</v>
      </c>
      <c r="F3" s="473" t="n">
        <f aca="false">'Book Income Statement'!G4</f>
        <v>4</v>
      </c>
      <c r="G3" s="473" t="n">
        <f aca="false">'Book Income Statement'!H4</f>
        <v>5</v>
      </c>
      <c r="H3" s="473" t="n">
        <f aca="false">'Book Income Statement'!I4</f>
        <v>6</v>
      </c>
      <c r="I3" s="474" t="n">
        <f aca="false">'Book Income Statement'!J4</f>
        <v>7</v>
      </c>
      <c r="J3" s="473" t="n">
        <f aca="false">'Book Income Statement'!K4</f>
        <v>8</v>
      </c>
      <c r="K3" s="473" t="n">
        <f aca="false">'Book Income Statement'!L4</f>
        <v>9</v>
      </c>
      <c r="L3" s="473" t="n">
        <f aca="false">'Book Income Statement'!M4</f>
        <v>10</v>
      </c>
      <c r="M3" s="473" t="n">
        <f aca="false">'Book Income Statement'!N4</f>
        <v>11</v>
      </c>
      <c r="N3" s="473" t="n">
        <f aca="false">'Book Income Statement'!O4</f>
        <v>12</v>
      </c>
      <c r="O3" s="474" t="n">
        <f aca="false">'Book Income Statement'!P4</f>
        <v>13</v>
      </c>
      <c r="P3" s="473" t="n">
        <f aca="false">'Book Income Statement'!Q4</f>
        <v>14</v>
      </c>
      <c r="Q3" s="473" t="n">
        <f aca="false">'Book Income Statement'!R4</f>
        <v>15</v>
      </c>
      <c r="R3" s="473" t="n">
        <f aca="false">'Book Income Statement'!S4</f>
        <v>16</v>
      </c>
      <c r="S3" s="473" t="n">
        <f aca="false">'Book Income Statement'!T4</f>
        <v>17</v>
      </c>
      <c r="T3" s="473" t="n">
        <f aca="false">'Book Income Statement'!U4</f>
        <v>18</v>
      </c>
      <c r="U3" s="474" t="n">
        <f aca="false">'Book Income Statement'!V4</f>
        <v>19</v>
      </c>
      <c r="V3" s="473" t="n">
        <f aca="false">'Book Income Statement'!W4</f>
        <v>20</v>
      </c>
      <c r="W3" s="473" t="n">
        <f aca="false">'Book Income Statement'!X4</f>
        <v>21</v>
      </c>
      <c r="X3" s="473"/>
      <c r="Y3" s="473"/>
      <c r="Z3" s="473"/>
      <c r="AA3" s="474"/>
      <c r="AB3" s="473"/>
      <c r="AC3" s="475"/>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473"/>
      <c r="BX3" s="473"/>
      <c r="BY3" s="473"/>
      <c r="BZ3" s="473"/>
      <c r="CA3" s="473"/>
      <c r="CB3" s="473"/>
      <c r="CC3" s="473"/>
      <c r="CD3" s="473"/>
      <c r="CE3" s="473"/>
      <c r="CF3" s="473"/>
      <c r="CG3" s="473"/>
      <c r="CH3" s="473"/>
      <c r="CI3" s="473"/>
      <c r="CJ3" s="473"/>
      <c r="CK3" s="473"/>
      <c r="CL3" s="473"/>
      <c r="CM3" s="473"/>
      <c r="CN3" s="473"/>
      <c r="CO3" s="473"/>
      <c r="CP3" s="473"/>
      <c r="CQ3" s="473"/>
      <c r="CR3" s="473"/>
      <c r="CS3" s="473"/>
      <c r="CT3" s="473"/>
      <c r="CU3" s="473"/>
      <c r="CV3" s="473"/>
      <c r="CW3" s="473"/>
      <c r="CX3" s="473"/>
      <c r="CY3" s="473"/>
      <c r="CZ3" s="473"/>
      <c r="DA3" s="473"/>
      <c r="DB3" s="473"/>
      <c r="DC3" s="473"/>
      <c r="DD3" s="473"/>
      <c r="DE3" s="473"/>
      <c r="DF3" s="473"/>
      <c r="DG3" s="473"/>
      <c r="DH3" s="473"/>
      <c r="DI3" s="473"/>
      <c r="DJ3" s="473"/>
      <c r="DK3" s="473"/>
      <c r="DL3" s="473"/>
      <c r="DM3" s="473"/>
      <c r="DN3" s="473"/>
      <c r="DO3" s="473"/>
      <c r="DP3" s="473"/>
      <c r="DQ3" s="473"/>
      <c r="DR3" s="473"/>
      <c r="DS3" s="473"/>
      <c r="DT3" s="473"/>
      <c r="DU3" s="473"/>
      <c r="DV3" s="473"/>
      <c r="DW3" s="473"/>
      <c r="DX3" s="473"/>
      <c r="DY3" s="473"/>
      <c r="DZ3" s="473"/>
      <c r="EA3" s="473"/>
      <c r="EB3" s="473"/>
      <c r="EC3" s="473"/>
      <c r="ED3" s="473"/>
      <c r="EE3" s="473"/>
      <c r="EF3" s="473"/>
      <c r="EG3" s="473"/>
      <c r="EH3" s="473"/>
      <c r="EI3" s="473"/>
      <c r="EJ3" s="473"/>
      <c r="EK3" s="473"/>
      <c r="EL3" s="473"/>
      <c r="EM3" s="473"/>
      <c r="EN3" s="473"/>
      <c r="EO3" s="473"/>
      <c r="EP3" s="473"/>
      <c r="EQ3" s="473"/>
      <c r="ER3" s="473"/>
      <c r="ES3" s="473"/>
      <c r="ET3" s="473"/>
      <c r="EU3" s="473"/>
      <c r="EV3" s="473"/>
      <c r="EW3" s="473"/>
      <c r="EX3" s="473"/>
      <c r="EY3" s="473"/>
      <c r="EZ3" s="473"/>
      <c r="FA3" s="473"/>
      <c r="FB3" s="473"/>
      <c r="FC3" s="473"/>
      <c r="FD3" s="473"/>
      <c r="FE3" s="473"/>
      <c r="FF3" s="473"/>
      <c r="FG3" s="473"/>
      <c r="FH3" s="473"/>
      <c r="FI3" s="473"/>
      <c r="FJ3" s="473"/>
      <c r="FK3" s="473"/>
      <c r="FL3" s="473"/>
      <c r="FM3" s="473"/>
      <c r="FN3" s="473"/>
      <c r="FO3" s="473"/>
      <c r="FP3" s="473"/>
      <c r="FQ3" s="473"/>
      <c r="FR3" s="473"/>
      <c r="FS3" s="473"/>
      <c r="FT3" s="473"/>
      <c r="FU3" s="473"/>
      <c r="FV3" s="473"/>
      <c r="FW3" s="473"/>
      <c r="FX3" s="473"/>
      <c r="FY3" s="473"/>
      <c r="FZ3" s="473"/>
      <c r="GA3" s="473"/>
      <c r="GB3" s="473"/>
      <c r="GC3" s="473"/>
      <c r="GD3" s="473"/>
      <c r="GE3" s="473"/>
      <c r="GF3" s="473"/>
      <c r="GG3" s="473"/>
      <c r="GH3" s="473"/>
      <c r="GI3" s="473"/>
      <c r="GJ3" s="473"/>
      <c r="GK3" s="473"/>
      <c r="GL3" s="473"/>
      <c r="GM3" s="473"/>
      <c r="GN3" s="473"/>
      <c r="GO3" s="473"/>
      <c r="GP3" s="473"/>
      <c r="GQ3" s="473"/>
      <c r="GR3" s="473"/>
      <c r="GS3" s="473"/>
      <c r="GT3" s="473"/>
      <c r="GU3" s="473"/>
      <c r="GV3" s="473"/>
      <c r="GW3" s="473"/>
      <c r="GX3" s="473"/>
      <c r="GY3" s="473"/>
      <c r="GZ3" s="473"/>
      <c r="HA3" s="473"/>
      <c r="HB3" s="473"/>
      <c r="HC3" s="473"/>
      <c r="HD3" s="473"/>
      <c r="HE3" s="473"/>
      <c r="HF3" s="473"/>
      <c r="HG3" s="473"/>
      <c r="HH3" s="473"/>
      <c r="HI3" s="473"/>
      <c r="HJ3" s="473"/>
      <c r="HK3" s="473"/>
      <c r="HL3" s="473"/>
      <c r="HM3" s="473"/>
      <c r="HN3" s="473"/>
      <c r="HO3" s="473"/>
      <c r="HP3" s="473"/>
      <c r="HQ3" s="473"/>
      <c r="HR3" s="473"/>
      <c r="HS3" s="473"/>
      <c r="HT3" s="473"/>
      <c r="HU3" s="473"/>
      <c r="HV3" s="473"/>
      <c r="HW3" s="473"/>
      <c r="HX3" s="473"/>
      <c r="HY3" s="473"/>
      <c r="HZ3" s="473"/>
      <c r="IA3" s="473"/>
      <c r="IB3" s="473"/>
      <c r="IC3" s="473"/>
      <c r="ID3" s="473"/>
      <c r="IE3" s="473"/>
      <c r="IF3" s="473"/>
      <c r="IG3" s="473"/>
      <c r="IH3" s="473"/>
      <c r="II3" s="473"/>
      <c r="IJ3" s="473"/>
      <c r="IK3" s="473"/>
      <c r="IL3" s="473"/>
      <c r="IM3" s="473"/>
      <c r="IN3" s="473"/>
      <c r="IO3" s="473"/>
      <c r="IP3" s="473"/>
      <c r="IQ3" s="473"/>
      <c r="IR3" s="473"/>
      <c r="IS3" s="473"/>
      <c r="IT3" s="473"/>
      <c r="IU3" s="473"/>
      <c r="IV3" s="473"/>
      <c r="IW3" s="473"/>
    </row>
    <row r="4" customFormat="false" ht="12.6" hidden="false" customHeight="true" outlineLevel="0" collapsed="false">
      <c r="A4" s="476"/>
      <c r="B4" s="477"/>
      <c r="C4" s="368" t="n">
        <f aca="false">'Book Income Statement'!D5</f>
        <v>2000</v>
      </c>
      <c r="D4" s="368" t="n">
        <f aca="false">'Book Income Statement'!E5</f>
        <v>2001</v>
      </c>
      <c r="E4" s="368" t="n">
        <f aca="false">'Book Income Statement'!F5</f>
        <v>2002</v>
      </c>
      <c r="F4" s="368" t="n">
        <f aca="false">'Book Income Statement'!G5</f>
        <v>2003</v>
      </c>
      <c r="G4" s="368" t="n">
        <f aca="false">'Book Income Statement'!H5</f>
        <v>2004</v>
      </c>
      <c r="H4" s="368" t="n">
        <f aca="false">'Book Income Statement'!I5</f>
        <v>2005</v>
      </c>
      <c r="I4" s="368" t="n">
        <f aca="false">'Book Income Statement'!J5</f>
        <v>2006</v>
      </c>
      <c r="J4" s="368" t="n">
        <f aca="false">'Book Income Statement'!K5</f>
        <v>2007</v>
      </c>
      <c r="K4" s="368" t="n">
        <f aca="false">'Book Income Statement'!L5</f>
        <v>2008</v>
      </c>
      <c r="L4" s="368" t="n">
        <f aca="false">'Book Income Statement'!M5</f>
        <v>2009</v>
      </c>
      <c r="M4" s="368" t="n">
        <f aca="false">'Book Income Statement'!N5</f>
        <v>2010</v>
      </c>
      <c r="N4" s="368" t="n">
        <f aca="false">'Book Income Statement'!O5</f>
        <v>2011</v>
      </c>
      <c r="O4" s="368" t="n">
        <f aca="false">'Book Income Statement'!P5</f>
        <v>2012</v>
      </c>
      <c r="P4" s="368" t="n">
        <f aca="false">'Book Income Statement'!Q5</f>
        <v>2013</v>
      </c>
      <c r="Q4" s="368" t="n">
        <f aca="false">'Book Income Statement'!R5</f>
        <v>2014</v>
      </c>
      <c r="R4" s="368" t="n">
        <f aca="false">'Book Income Statement'!S5</f>
        <v>2015</v>
      </c>
      <c r="S4" s="368" t="n">
        <f aca="false">'Book Income Statement'!T5</f>
        <v>2016</v>
      </c>
      <c r="T4" s="368" t="n">
        <f aca="false">'Book Income Statement'!U5</f>
        <v>2017</v>
      </c>
      <c r="U4" s="368" t="n">
        <f aca="false">'Book Income Statement'!V5</f>
        <v>2018</v>
      </c>
      <c r="V4" s="368" t="n">
        <f aca="false">'Book Income Statement'!W5</f>
        <v>2019</v>
      </c>
      <c r="W4" s="369" t="n">
        <f aca="false">'Book Income Statement'!X5</f>
        <v>2020</v>
      </c>
      <c r="X4" s="384"/>
      <c r="Y4" s="384"/>
      <c r="Z4" s="384"/>
      <c r="AA4" s="384"/>
      <c r="AB4" s="384"/>
      <c r="AC4" s="384"/>
      <c r="AE4" s="384"/>
      <c r="AF4" s="384"/>
      <c r="AG4" s="384"/>
      <c r="AH4" s="384"/>
      <c r="AI4" s="384"/>
      <c r="AJ4" s="384"/>
      <c r="AK4" s="384"/>
      <c r="AL4" s="384"/>
      <c r="AM4" s="384"/>
      <c r="AN4" s="384"/>
      <c r="AO4" s="384"/>
      <c r="AP4" s="384"/>
      <c r="AQ4" s="384"/>
      <c r="AR4" s="384"/>
      <c r="AS4" s="384"/>
      <c r="AT4" s="384"/>
      <c r="AU4" s="384"/>
      <c r="AV4" s="384"/>
      <c r="AW4" s="384"/>
      <c r="AX4" s="384"/>
      <c r="AY4" s="384"/>
      <c r="AZ4" s="384"/>
      <c r="BA4" s="473"/>
      <c r="BB4" s="473"/>
      <c r="BC4" s="473"/>
      <c r="BD4" s="473"/>
      <c r="BE4" s="473"/>
      <c r="BF4" s="473"/>
      <c r="BG4" s="473"/>
      <c r="BH4" s="473"/>
      <c r="BI4" s="473"/>
      <c r="BJ4" s="473"/>
      <c r="BK4" s="473"/>
      <c r="BL4" s="473"/>
      <c r="BM4" s="473"/>
      <c r="BN4" s="473"/>
      <c r="BO4" s="473"/>
      <c r="BP4" s="473"/>
      <c r="BQ4" s="473"/>
      <c r="BR4" s="473"/>
      <c r="BS4" s="473"/>
      <c r="BT4" s="473"/>
      <c r="BU4" s="473"/>
      <c r="BV4" s="473"/>
      <c r="BW4" s="473"/>
      <c r="BX4" s="473"/>
      <c r="BY4" s="473"/>
      <c r="BZ4" s="473"/>
      <c r="CA4" s="473"/>
      <c r="CB4" s="473"/>
      <c r="CC4" s="473"/>
      <c r="CD4" s="473"/>
      <c r="CE4" s="473"/>
      <c r="CF4" s="473"/>
      <c r="CG4" s="473"/>
      <c r="CH4" s="473"/>
      <c r="CI4" s="473"/>
      <c r="CJ4" s="473"/>
      <c r="CK4" s="473"/>
      <c r="CL4" s="473"/>
      <c r="CM4" s="473"/>
      <c r="CN4" s="473"/>
      <c r="CO4" s="473"/>
      <c r="CP4" s="473"/>
      <c r="CQ4" s="473"/>
      <c r="CR4" s="473"/>
      <c r="CS4" s="473"/>
      <c r="CT4" s="473"/>
      <c r="CU4" s="473"/>
      <c r="CV4" s="473"/>
      <c r="CW4" s="473"/>
      <c r="CX4" s="473"/>
      <c r="CY4" s="473"/>
      <c r="CZ4" s="473"/>
      <c r="DA4" s="473"/>
      <c r="DB4" s="473"/>
      <c r="DC4" s="473"/>
      <c r="DD4" s="473"/>
      <c r="DE4" s="473"/>
      <c r="DF4" s="473"/>
      <c r="DG4" s="473"/>
      <c r="DH4" s="473"/>
      <c r="DI4" s="473"/>
      <c r="DJ4" s="473"/>
      <c r="DK4" s="473"/>
      <c r="DL4" s="473"/>
      <c r="DM4" s="473"/>
      <c r="DN4" s="473"/>
      <c r="DO4" s="473"/>
      <c r="DP4" s="473"/>
      <c r="DQ4" s="473"/>
      <c r="DR4" s="473"/>
      <c r="DS4" s="473"/>
      <c r="DT4" s="473"/>
      <c r="DU4" s="473"/>
      <c r="DV4" s="473"/>
      <c r="DW4" s="473"/>
      <c r="DX4" s="473"/>
      <c r="DY4" s="473"/>
      <c r="DZ4" s="473"/>
      <c r="EA4" s="473"/>
      <c r="EB4" s="473"/>
      <c r="EC4" s="473"/>
      <c r="ED4" s="473"/>
      <c r="EE4" s="473"/>
      <c r="EF4" s="473"/>
      <c r="EG4" s="473"/>
      <c r="EH4" s="473"/>
      <c r="EI4" s="473"/>
      <c r="EJ4" s="473"/>
      <c r="EK4" s="473"/>
      <c r="EL4" s="473"/>
      <c r="EM4" s="473"/>
      <c r="EN4" s="473"/>
      <c r="EO4" s="473"/>
      <c r="EP4" s="473"/>
      <c r="EQ4" s="473"/>
      <c r="ER4" s="473"/>
      <c r="ES4" s="473"/>
      <c r="ET4" s="473"/>
      <c r="EU4" s="473"/>
      <c r="EV4" s="473"/>
      <c r="EW4" s="473"/>
      <c r="EX4" s="473"/>
      <c r="EY4" s="473"/>
      <c r="EZ4" s="473"/>
      <c r="FA4" s="473"/>
      <c r="FB4" s="473"/>
      <c r="FC4" s="473"/>
      <c r="FD4" s="473"/>
      <c r="FE4" s="473"/>
      <c r="FF4" s="473"/>
      <c r="FG4" s="473"/>
      <c r="FH4" s="473"/>
      <c r="FI4" s="473"/>
      <c r="FJ4" s="473"/>
      <c r="FK4" s="473"/>
      <c r="FL4" s="473"/>
      <c r="FM4" s="473"/>
      <c r="FN4" s="473"/>
      <c r="FO4" s="473"/>
      <c r="FP4" s="473"/>
      <c r="FQ4" s="473"/>
      <c r="FR4" s="473"/>
      <c r="FS4" s="473"/>
      <c r="FT4" s="473"/>
      <c r="FU4" s="473"/>
      <c r="FV4" s="473"/>
      <c r="FW4" s="473"/>
      <c r="FX4" s="473"/>
      <c r="FY4" s="473"/>
      <c r="FZ4" s="473"/>
      <c r="GA4" s="473"/>
      <c r="GB4" s="473"/>
      <c r="GC4" s="473"/>
      <c r="GD4" s="473"/>
      <c r="GE4" s="473"/>
      <c r="GF4" s="473"/>
      <c r="GG4" s="473"/>
      <c r="GH4" s="473"/>
      <c r="GI4" s="473"/>
      <c r="GJ4" s="473"/>
      <c r="GK4" s="473"/>
      <c r="GL4" s="473"/>
      <c r="GM4" s="473"/>
      <c r="GN4" s="473"/>
      <c r="GO4" s="473"/>
      <c r="GP4" s="473"/>
      <c r="GQ4" s="473"/>
      <c r="GR4" s="473"/>
      <c r="GS4" s="473"/>
      <c r="GT4" s="473"/>
      <c r="GU4" s="473"/>
      <c r="GV4" s="473"/>
      <c r="GW4" s="473"/>
      <c r="GX4" s="473"/>
      <c r="GY4" s="473"/>
      <c r="GZ4" s="473"/>
      <c r="HA4" s="473"/>
      <c r="HB4" s="473"/>
      <c r="HC4" s="473"/>
      <c r="HD4" s="473"/>
      <c r="HE4" s="473"/>
      <c r="HF4" s="473"/>
      <c r="HG4" s="473"/>
      <c r="HH4" s="473"/>
      <c r="HI4" s="473"/>
      <c r="HJ4" s="473"/>
      <c r="HK4" s="473"/>
      <c r="HL4" s="473"/>
      <c r="HM4" s="473"/>
      <c r="HN4" s="473"/>
      <c r="HO4" s="473"/>
      <c r="HP4" s="473"/>
      <c r="HQ4" s="473"/>
      <c r="HR4" s="473"/>
      <c r="HS4" s="473"/>
      <c r="HT4" s="473"/>
      <c r="HU4" s="473"/>
      <c r="HV4" s="473"/>
      <c r="HW4" s="473"/>
      <c r="HX4" s="473"/>
      <c r="HY4" s="473"/>
      <c r="HZ4" s="473"/>
      <c r="IA4" s="473"/>
      <c r="IB4" s="473"/>
      <c r="IC4" s="473"/>
      <c r="ID4" s="473"/>
      <c r="IE4" s="473"/>
      <c r="IF4" s="473"/>
      <c r="IG4" s="473"/>
      <c r="IH4" s="473"/>
      <c r="II4" s="473"/>
      <c r="IJ4" s="473"/>
      <c r="IK4" s="473"/>
      <c r="IL4" s="473"/>
      <c r="IM4" s="473"/>
      <c r="IN4" s="473"/>
      <c r="IO4" s="473"/>
      <c r="IP4" s="473"/>
      <c r="IQ4" s="473"/>
      <c r="IR4" s="473"/>
      <c r="IS4" s="473"/>
      <c r="IT4" s="473"/>
      <c r="IU4" s="473"/>
      <c r="IV4" s="473"/>
      <c r="IW4" s="473"/>
    </row>
    <row r="5" customFormat="false" ht="15.75" hidden="false" customHeight="false" outlineLevel="0" collapsed="false">
      <c r="A5" s="401" t="s">
        <v>406</v>
      </c>
      <c r="B5" s="422"/>
      <c r="C5" s="422"/>
      <c r="D5" s="422"/>
      <c r="E5" s="422"/>
      <c r="F5" s="422"/>
      <c r="G5" s="422"/>
      <c r="H5" s="422"/>
      <c r="I5" s="422"/>
      <c r="J5" s="422"/>
      <c r="K5" s="422"/>
      <c r="L5" s="422"/>
      <c r="M5" s="422"/>
      <c r="N5" s="422"/>
      <c r="O5" s="422"/>
      <c r="P5" s="422"/>
      <c r="Q5" s="422"/>
      <c r="R5" s="422"/>
      <c r="S5" s="422"/>
      <c r="T5" s="422"/>
      <c r="U5" s="422"/>
      <c r="V5" s="422"/>
      <c r="W5" s="423"/>
      <c r="X5" s="422"/>
      <c r="Y5" s="422"/>
      <c r="Z5" s="422"/>
      <c r="AA5" s="422"/>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c r="DF5" s="371"/>
      <c r="DG5" s="371"/>
      <c r="DH5" s="371"/>
      <c r="DI5" s="371"/>
      <c r="DJ5" s="371"/>
      <c r="DK5" s="371"/>
      <c r="DL5" s="371"/>
      <c r="DM5" s="371"/>
      <c r="DN5" s="371"/>
      <c r="DO5" s="371"/>
      <c r="DP5" s="371"/>
      <c r="DQ5" s="371"/>
      <c r="DR5" s="371"/>
      <c r="DS5" s="371"/>
      <c r="DT5" s="371"/>
      <c r="DU5" s="371"/>
      <c r="DV5" s="371"/>
      <c r="DW5" s="371"/>
      <c r="DX5" s="371"/>
      <c r="DY5" s="371"/>
      <c r="DZ5" s="371"/>
      <c r="EA5" s="371"/>
      <c r="EB5" s="371"/>
      <c r="EC5" s="371"/>
      <c r="ED5" s="371"/>
      <c r="EE5" s="371"/>
      <c r="EF5" s="371"/>
      <c r="EG5" s="371"/>
      <c r="EH5" s="371"/>
      <c r="EI5" s="371"/>
      <c r="EJ5" s="371"/>
      <c r="EK5" s="371"/>
      <c r="EL5" s="371"/>
      <c r="EM5" s="371"/>
      <c r="EN5" s="371"/>
      <c r="EO5" s="371"/>
      <c r="EP5" s="371"/>
      <c r="EQ5" s="371"/>
      <c r="ER5" s="371"/>
      <c r="ES5" s="371"/>
      <c r="ET5" s="371"/>
      <c r="EU5" s="371"/>
      <c r="EV5" s="371"/>
      <c r="EW5" s="371"/>
      <c r="EX5" s="371"/>
      <c r="EY5" s="371"/>
      <c r="EZ5" s="371"/>
      <c r="FA5" s="371"/>
      <c r="FB5" s="371"/>
      <c r="FC5" s="371"/>
      <c r="FD5" s="371"/>
      <c r="FE5" s="371"/>
      <c r="FF5" s="371"/>
      <c r="FG5" s="371"/>
      <c r="FH5" s="371"/>
      <c r="FI5" s="371"/>
      <c r="FJ5" s="371"/>
      <c r="FK5" s="371"/>
      <c r="FL5" s="371"/>
      <c r="FM5" s="371"/>
      <c r="FN5" s="371"/>
      <c r="FO5" s="371"/>
      <c r="FP5" s="371"/>
      <c r="FQ5" s="371"/>
      <c r="FR5" s="371"/>
      <c r="FS5" s="371"/>
      <c r="FT5" s="371"/>
      <c r="FU5" s="371"/>
      <c r="FV5" s="371"/>
      <c r="FW5" s="371"/>
      <c r="FX5" s="371"/>
      <c r="FY5" s="371"/>
      <c r="FZ5" s="371"/>
      <c r="GA5" s="371"/>
      <c r="GB5" s="371"/>
      <c r="GC5" s="371"/>
      <c r="GD5" s="371"/>
      <c r="GE5" s="371"/>
      <c r="GF5" s="371"/>
      <c r="GG5" s="371"/>
      <c r="GH5" s="371"/>
      <c r="GI5" s="371"/>
      <c r="GJ5" s="371"/>
      <c r="GK5" s="371"/>
      <c r="GL5" s="371"/>
      <c r="GM5" s="371"/>
      <c r="GN5" s="371"/>
      <c r="GO5" s="371"/>
      <c r="GP5" s="371"/>
      <c r="GQ5" s="371"/>
      <c r="GR5" s="371"/>
      <c r="GS5" s="371"/>
      <c r="GT5" s="371"/>
      <c r="GU5" s="371"/>
      <c r="GV5" s="371"/>
      <c r="GW5" s="371"/>
      <c r="GX5" s="371"/>
      <c r="GY5" s="371"/>
      <c r="GZ5" s="371"/>
      <c r="HA5" s="371"/>
      <c r="HB5" s="371"/>
      <c r="HC5" s="371"/>
      <c r="HD5" s="371"/>
      <c r="HE5" s="371"/>
      <c r="HF5" s="371"/>
      <c r="HG5" s="371"/>
      <c r="HH5" s="371"/>
      <c r="HI5" s="371"/>
      <c r="HJ5" s="371"/>
      <c r="HK5" s="371"/>
      <c r="HL5" s="371"/>
      <c r="HM5" s="371"/>
      <c r="HN5" s="371"/>
      <c r="HO5" s="371"/>
      <c r="HP5" s="371"/>
      <c r="HQ5" s="371"/>
      <c r="HR5" s="371"/>
      <c r="HS5" s="371"/>
      <c r="HT5" s="371"/>
      <c r="HU5" s="371"/>
      <c r="HV5" s="371"/>
      <c r="HW5" s="371"/>
      <c r="HX5" s="371"/>
      <c r="HY5" s="371"/>
      <c r="HZ5" s="371"/>
      <c r="IA5" s="371"/>
      <c r="IB5" s="371"/>
      <c r="IC5" s="371"/>
      <c r="ID5" s="371"/>
      <c r="IE5" s="371"/>
      <c r="IF5" s="371"/>
      <c r="IG5" s="371"/>
      <c r="IH5" s="371"/>
      <c r="II5" s="371"/>
      <c r="IJ5" s="371"/>
      <c r="IK5" s="371"/>
      <c r="IL5" s="371"/>
      <c r="IM5" s="371"/>
      <c r="IN5" s="371"/>
      <c r="IO5" s="371"/>
      <c r="IP5" s="371"/>
      <c r="IQ5" s="371"/>
      <c r="IR5" s="371"/>
      <c r="IS5" s="371"/>
      <c r="IT5" s="371"/>
      <c r="IU5" s="371"/>
      <c r="IV5" s="371"/>
      <c r="IW5" s="371"/>
    </row>
    <row r="6" customFormat="false" ht="12.6" hidden="false" customHeight="true" outlineLevel="0" collapsed="false">
      <c r="A6" s="403" t="s">
        <v>407</v>
      </c>
      <c r="B6" s="473"/>
      <c r="C6" s="478" t="n">
        <v>0</v>
      </c>
      <c r="D6" s="478" t="n">
        <v>0</v>
      </c>
      <c r="E6" s="478" t="n">
        <v>0</v>
      </c>
      <c r="F6" s="478" t="n">
        <v>0</v>
      </c>
      <c r="G6" s="478" t="n">
        <v>0</v>
      </c>
      <c r="H6" s="478" t="n">
        <v>0</v>
      </c>
      <c r="I6" s="478" t="n">
        <v>0</v>
      </c>
      <c r="J6" s="478" t="n">
        <v>0</v>
      </c>
      <c r="K6" s="478" t="n">
        <v>0</v>
      </c>
      <c r="L6" s="478" t="n">
        <v>0</v>
      </c>
      <c r="M6" s="478" t="n">
        <v>0</v>
      </c>
      <c r="N6" s="478" t="n">
        <v>0</v>
      </c>
      <c r="O6" s="478" t="n">
        <v>0</v>
      </c>
      <c r="P6" s="478" t="n">
        <v>0</v>
      </c>
      <c r="Q6" s="478" t="n">
        <v>0</v>
      </c>
      <c r="R6" s="478" t="n">
        <v>0</v>
      </c>
      <c r="S6" s="478" t="n">
        <v>0</v>
      </c>
      <c r="T6" s="478" t="n">
        <v>0</v>
      </c>
      <c r="U6" s="478" t="n">
        <v>0</v>
      </c>
      <c r="V6" s="478" t="n">
        <v>0</v>
      </c>
      <c r="W6" s="479" t="n">
        <v>0</v>
      </c>
      <c r="X6" s="478"/>
      <c r="Y6" s="478"/>
      <c r="Z6" s="478"/>
      <c r="AA6" s="478"/>
      <c r="AB6" s="473"/>
      <c r="AC6" s="473"/>
      <c r="AD6" s="473"/>
      <c r="AE6" s="473"/>
      <c r="AF6" s="473"/>
      <c r="AG6" s="473"/>
      <c r="AH6" s="473"/>
      <c r="AI6" s="473"/>
      <c r="AJ6" s="473"/>
      <c r="AK6" s="473"/>
      <c r="AL6" s="473"/>
      <c r="AM6" s="473"/>
      <c r="AN6" s="473"/>
      <c r="AO6" s="473"/>
      <c r="AP6" s="473"/>
      <c r="AQ6" s="473"/>
      <c r="AR6" s="473"/>
      <c r="AS6" s="473"/>
      <c r="AT6" s="473"/>
      <c r="AU6" s="473"/>
      <c r="AV6" s="473"/>
      <c r="AW6" s="473"/>
      <c r="AX6" s="473"/>
      <c r="AY6" s="473"/>
      <c r="AZ6" s="473"/>
      <c r="BA6" s="473"/>
      <c r="BB6" s="473"/>
      <c r="BC6" s="473"/>
      <c r="BD6" s="473"/>
      <c r="BE6" s="473"/>
      <c r="BF6" s="473"/>
      <c r="BG6" s="473"/>
      <c r="BH6" s="473"/>
      <c r="BI6" s="473"/>
      <c r="BJ6" s="473"/>
      <c r="BK6" s="473"/>
      <c r="BL6" s="473"/>
      <c r="BM6" s="473"/>
      <c r="BN6" s="473"/>
      <c r="BO6" s="473"/>
      <c r="BP6" s="473"/>
      <c r="BQ6" s="473"/>
      <c r="BR6" s="473"/>
      <c r="BS6" s="473"/>
      <c r="BT6" s="473"/>
      <c r="BU6" s="473"/>
      <c r="BV6" s="473"/>
      <c r="BW6" s="473"/>
      <c r="BX6" s="473"/>
      <c r="BY6" s="473"/>
      <c r="BZ6" s="473"/>
      <c r="CA6" s="473"/>
      <c r="CB6" s="473"/>
      <c r="CC6" s="473"/>
      <c r="CD6" s="473"/>
      <c r="CE6" s="473"/>
      <c r="CF6" s="473"/>
      <c r="CG6" s="473"/>
      <c r="CH6" s="473"/>
      <c r="CI6" s="473"/>
      <c r="CJ6" s="473"/>
      <c r="CK6" s="473"/>
      <c r="CL6" s="473"/>
      <c r="CM6" s="473"/>
      <c r="CN6" s="473"/>
      <c r="CO6" s="473"/>
      <c r="CP6" s="473"/>
      <c r="CQ6" s="473"/>
      <c r="CR6" s="473"/>
      <c r="CS6" s="473"/>
      <c r="CT6" s="473"/>
      <c r="CU6" s="473"/>
      <c r="CV6" s="473"/>
      <c r="CW6" s="473"/>
      <c r="CX6" s="473"/>
      <c r="CY6" s="473"/>
      <c r="CZ6" s="473"/>
      <c r="DA6" s="473"/>
      <c r="DB6" s="473"/>
      <c r="DC6" s="473"/>
      <c r="DD6" s="473"/>
      <c r="DE6" s="473"/>
      <c r="DF6" s="473"/>
      <c r="DG6" s="473"/>
      <c r="DH6" s="473"/>
      <c r="DI6" s="473"/>
      <c r="DJ6" s="473"/>
      <c r="DK6" s="473"/>
      <c r="DL6" s="473"/>
      <c r="DM6" s="473"/>
      <c r="DN6" s="473"/>
      <c r="DO6" s="473"/>
      <c r="DP6" s="473"/>
      <c r="DQ6" s="473"/>
      <c r="DR6" s="473"/>
      <c r="DS6" s="473"/>
      <c r="DT6" s="473"/>
      <c r="DU6" s="473"/>
      <c r="DV6" s="473"/>
      <c r="DW6" s="473"/>
      <c r="DX6" s="473"/>
      <c r="DY6" s="473"/>
      <c r="DZ6" s="473"/>
      <c r="EA6" s="473"/>
      <c r="EB6" s="473"/>
      <c r="EC6" s="473"/>
      <c r="ED6" s="473"/>
      <c r="EE6" s="473"/>
      <c r="EF6" s="473"/>
      <c r="EG6" s="473"/>
      <c r="EH6" s="473"/>
      <c r="EI6" s="473"/>
      <c r="EJ6" s="473"/>
      <c r="EK6" s="473"/>
      <c r="EL6" s="473"/>
      <c r="EM6" s="473"/>
      <c r="EN6" s="473"/>
      <c r="EO6" s="473"/>
      <c r="EP6" s="473"/>
      <c r="EQ6" s="473"/>
      <c r="ER6" s="473"/>
      <c r="ES6" s="473"/>
      <c r="ET6" s="473"/>
      <c r="EU6" s="473"/>
      <c r="EV6" s="473"/>
      <c r="EW6" s="473"/>
      <c r="EX6" s="473"/>
      <c r="EY6" s="473"/>
      <c r="EZ6" s="473"/>
      <c r="FA6" s="473"/>
      <c r="FB6" s="473"/>
      <c r="FC6" s="473"/>
      <c r="FD6" s="473"/>
      <c r="FE6" s="473"/>
      <c r="FF6" s="473"/>
      <c r="FG6" s="473"/>
      <c r="FH6" s="473"/>
      <c r="FI6" s="473"/>
      <c r="FJ6" s="473"/>
      <c r="FK6" s="473"/>
      <c r="FL6" s="473"/>
      <c r="FM6" s="473"/>
      <c r="FN6" s="473"/>
      <c r="FO6" s="473"/>
      <c r="FP6" s="473"/>
      <c r="FQ6" s="473"/>
      <c r="FR6" s="473"/>
      <c r="FS6" s="473"/>
      <c r="FT6" s="473"/>
      <c r="FU6" s="473"/>
      <c r="FV6" s="473"/>
      <c r="FW6" s="473"/>
      <c r="FX6" s="473"/>
      <c r="FY6" s="473"/>
      <c r="FZ6" s="473"/>
      <c r="GA6" s="473"/>
      <c r="GB6" s="473"/>
      <c r="GC6" s="473"/>
      <c r="GD6" s="473"/>
      <c r="GE6" s="473"/>
      <c r="GF6" s="473"/>
      <c r="GG6" s="473"/>
      <c r="GH6" s="473"/>
      <c r="GI6" s="473"/>
      <c r="GJ6" s="473"/>
      <c r="GK6" s="473"/>
      <c r="GL6" s="473"/>
      <c r="GM6" s="473"/>
      <c r="GN6" s="473"/>
      <c r="GO6" s="473"/>
      <c r="GP6" s="473"/>
      <c r="GQ6" s="473"/>
      <c r="GR6" s="473"/>
      <c r="GS6" s="473"/>
      <c r="GT6" s="473"/>
      <c r="GU6" s="473"/>
      <c r="GV6" s="473"/>
      <c r="GW6" s="473"/>
      <c r="GX6" s="473"/>
      <c r="GY6" s="473"/>
      <c r="GZ6" s="473"/>
      <c r="HA6" s="473"/>
      <c r="HB6" s="473"/>
      <c r="HC6" s="473"/>
      <c r="HD6" s="473"/>
      <c r="HE6" s="473"/>
      <c r="HF6" s="473"/>
      <c r="HG6" s="473"/>
      <c r="HH6" s="473"/>
      <c r="HI6" s="473"/>
      <c r="HJ6" s="473"/>
      <c r="HK6" s="473"/>
      <c r="HL6" s="473"/>
      <c r="HM6" s="473"/>
      <c r="HN6" s="473"/>
      <c r="HO6" s="473"/>
      <c r="HP6" s="473"/>
      <c r="HQ6" s="473"/>
      <c r="HR6" s="473"/>
      <c r="HS6" s="473"/>
      <c r="HT6" s="473"/>
      <c r="HU6" s="473"/>
      <c r="HV6" s="473"/>
      <c r="HW6" s="473"/>
      <c r="HX6" s="473"/>
      <c r="HY6" s="473"/>
      <c r="HZ6" s="473"/>
      <c r="IA6" s="473"/>
      <c r="IB6" s="473"/>
      <c r="IC6" s="473"/>
      <c r="ID6" s="473"/>
      <c r="IE6" s="473"/>
      <c r="IF6" s="473"/>
      <c r="IG6" s="473"/>
      <c r="IH6" s="473"/>
      <c r="II6" s="473"/>
      <c r="IJ6" s="473"/>
      <c r="IK6" s="473"/>
      <c r="IL6" s="473"/>
      <c r="IM6" s="473"/>
      <c r="IN6" s="473"/>
      <c r="IO6" s="473"/>
      <c r="IP6" s="473"/>
      <c r="IQ6" s="473"/>
      <c r="IR6" s="473"/>
      <c r="IS6" s="473"/>
      <c r="IT6" s="473"/>
      <c r="IU6" s="473"/>
      <c r="IV6" s="473"/>
      <c r="IW6" s="473"/>
    </row>
    <row r="7" customFormat="false" ht="12.6" hidden="false" customHeight="true" outlineLevel="0" collapsed="false">
      <c r="A7" s="403" t="s">
        <v>408</v>
      </c>
      <c r="B7" s="473"/>
      <c r="C7" s="478" t="n">
        <v>0</v>
      </c>
      <c r="D7" s="478" t="n">
        <v>0</v>
      </c>
      <c r="E7" s="478" t="n">
        <v>0</v>
      </c>
      <c r="F7" s="478" t="n">
        <v>0</v>
      </c>
      <c r="G7" s="478" t="n">
        <v>0</v>
      </c>
      <c r="H7" s="478" t="n">
        <v>0</v>
      </c>
      <c r="I7" s="478" t="n">
        <v>0</v>
      </c>
      <c r="J7" s="478" t="n">
        <v>0</v>
      </c>
      <c r="K7" s="478" t="n">
        <v>0</v>
      </c>
      <c r="L7" s="478" t="n">
        <v>0</v>
      </c>
      <c r="M7" s="478" t="n">
        <v>0</v>
      </c>
      <c r="N7" s="478" t="n">
        <v>0</v>
      </c>
      <c r="O7" s="478" t="n">
        <v>0</v>
      </c>
      <c r="P7" s="478" t="n">
        <v>0</v>
      </c>
      <c r="Q7" s="478" t="n">
        <v>0</v>
      </c>
      <c r="R7" s="478" t="n">
        <v>0</v>
      </c>
      <c r="S7" s="478" t="n">
        <v>0</v>
      </c>
      <c r="T7" s="478" t="n">
        <v>0</v>
      </c>
      <c r="U7" s="478" t="n">
        <v>0</v>
      </c>
      <c r="V7" s="478" t="n">
        <v>0</v>
      </c>
      <c r="W7" s="479" t="n">
        <v>0</v>
      </c>
      <c r="X7" s="478"/>
      <c r="Y7" s="478"/>
      <c r="Z7" s="478"/>
      <c r="AA7" s="478"/>
      <c r="AB7" s="473"/>
      <c r="AC7" s="473"/>
      <c r="AD7" s="473"/>
      <c r="AE7" s="473"/>
      <c r="AF7" s="473"/>
      <c r="AG7" s="473"/>
      <c r="AH7" s="473"/>
      <c r="AI7" s="473"/>
      <c r="AJ7" s="473"/>
      <c r="AK7" s="473"/>
      <c r="AL7" s="473"/>
      <c r="AM7" s="473"/>
      <c r="AN7" s="473"/>
      <c r="AO7" s="473"/>
      <c r="AP7" s="473"/>
      <c r="AQ7" s="473"/>
      <c r="AR7" s="473"/>
      <c r="AS7" s="473"/>
      <c r="AT7" s="473"/>
      <c r="AU7" s="473"/>
      <c r="AV7" s="473"/>
      <c r="AW7" s="473"/>
      <c r="AX7" s="473"/>
      <c r="AY7" s="473"/>
      <c r="AZ7" s="473"/>
      <c r="BA7" s="473"/>
      <c r="BB7" s="473"/>
      <c r="BC7" s="473"/>
      <c r="BD7" s="473"/>
      <c r="BE7" s="473"/>
      <c r="BF7" s="473"/>
      <c r="BG7" s="473"/>
      <c r="BH7" s="473"/>
      <c r="BI7" s="473"/>
      <c r="BJ7" s="473"/>
      <c r="BK7" s="473"/>
      <c r="BL7" s="473"/>
      <c r="BM7" s="473"/>
      <c r="BN7" s="473"/>
      <c r="BO7" s="473"/>
      <c r="BP7" s="473"/>
      <c r="BQ7" s="473"/>
      <c r="BR7" s="473"/>
      <c r="BS7" s="473"/>
      <c r="BT7" s="473"/>
      <c r="BU7" s="473"/>
      <c r="BV7" s="473"/>
      <c r="BW7" s="473"/>
      <c r="BX7" s="473"/>
      <c r="BY7" s="473"/>
      <c r="BZ7" s="473"/>
      <c r="CA7" s="473"/>
      <c r="CB7" s="473"/>
      <c r="CC7" s="473"/>
      <c r="CD7" s="473"/>
      <c r="CE7" s="473"/>
      <c r="CF7" s="473"/>
      <c r="CG7" s="473"/>
      <c r="CH7" s="473"/>
      <c r="CI7" s="473"/>
      <c r="CJ7" s="473"/>
      <c r="CK7" s="473"/>
      <c r="CL7" s="473"/>
      <c r="CM7" s="473"/>
      <c r="CN7" s="473"/>
      <c r="CO7" s="473"/>
      <c r="CP7" s="473"/>
      <c r="CQ7" s="473"/>
      <c r="CR7" s="473"/>
      <c r="CS7" s="473"/>
      <c r="CT7" s="473"/>
      <c r="CU7" s="473"/>
      <c r="CV7" s="473"/>
      <c r="CW7" s="473"/>
      <c r="CX7" s="473"/>
      <c r="CY7" s="473"/>
      <c r="CZ7" s="473"/>
      <c r="DA7" s="473"/>
      <c r="DB7" s="473"/>
      <c r="DC7" s="473"/>
      <c r="DD7" s="473"/>
      <c r="DE7" s="473"/>
      <c r="DF7" s="473"/>
      <c r="DG7" s="473"/>
      <c r="DH7" s="473"/>
      <c r="DI7" s="473"/>
      <c r="DJ7" s="473"/>
      <c r="DK7" s="473"/>
      <c r="DL7" s="473"/>
      <c r="DM7" s="473"/>
      <c r="DN7" s="473"/>
      <c r="DO7" s="473"/>
      <c r="DP7" s="473"/>
      <c r="DQ7" s="473"/>
      <c r="DR7" s="473"/>
      <c r="DS7" s="473"/>
      <c r="DT7" s="473"/>
      <c r="DU7" s="473"/>
      <c r="DV7" s="473"/>
      <c r="DW7" s="473"/>
      <c r="DX7" s="473"/>
      <c r="DY7" s="473"/>
      <c r="DZ7" s="473"/>
      <c r="EA7" s="473"/>
      <c r="EB7" s="473"/>
      <c r="EC7" s="473"/>
      <c r="ED7" s="473"/>
      <c r="EE7" s="473"/>
      <c r="EF7" s="473"/>
      <c r="EG7" s="473"/>
      <c r="EH7" s="473"/>
      <c r="EI7" s="473"/>
      <c r="EJ7" s="473"/>
      <c r="EK7" s="473"/>
      <c r="EL7" s="473"/>
      <c r="EM7" s="473"/>
      <c r="EN7" s="473"/>
      <c r="EO7" s="473"/>
      <c r="EP7" s="473"/>
      <c r="EQ7" s="473"/>
      <c r="ER7" s="473"/>
      <c r="ES7" s="473"/>
      <c r="ET7" s="473"/>
      <c r="EU7" s="473"/>
      <c r="EV7" s="473"/>
      <c r="EW7" s="473"/>
      <c r="EX7" s="473"/>
      <c r="EY7" s="473"/>
      <c r="EZ7" s="473"/>
      <c r="FA7" s="473"/>
      <c r="FB7" s="473"/>
      <c r="FC7" s="473"/>
      <c r="FD7" s="473"/>
      <c r="FE7" s="473"/>
      <c r="FF7" s="473"/>
      <c r="FG7" s="473"/>
      <c r="FH7" s="473"/>
      <c r="FI7" s="473"/>
      <c r="FJ7" s="473"/>
      <c r="FK7" s="473"/>
      <c r="FL7" s="473"/>
      <c r="FM7" s="473"/>
      <c r="FN7" s="473"/>
      <c r="FO7" s="473"/>
      <c r="FP7" s="473"/>
      <c r="FQ7" s="473"/>
      <c r="FR7" s="473"/>
      <c r="FS7" s="473"/>
      <c r="FT7" s="473"/>
      <c r="FU7" s="473"/>
      <c r="FV7" s="473"/>
      <c r="FW7" s="473"/>
      <c r="FX7" s="473"/>
      <c r="FY7" s="473"/>
      <c r="FZ7" s="473"/>
      <c r="GA7" s="473"/>
      <c r="GB7" s="473"/>
      <c r="GC7" s="473"/>
      <c r="GD7" s="473"/>
      <c r="GE7" s="473"/>
      <c r="GF7" s="473"/>
      <c r="GG7" s="473"/>
      <c r="GH7" s="473"/>
      <c r="GI7" s="473"/>
      <c r="GJ7" s="473"/>
      <c r="GK7" s="473"/>
      <c r="GL7" s="473"/>
      <c r="GM7" s="473"/>
      <c r="GN7" s="473"/>
      <c r="GO7" s="473"/>
      <c r="GP7" s="473"/>
      <c r="GQ7" s="473"/>
      <c r="GR7" s="473"/>
      <c r="GS7" s="473"/>
      <c r="GT7" s="473"/>
      <c r="GU7" s="473"/>
      <c r="GV7" s="473"/>
      <c r="GW7" s="473"/>
      <c r="GX7" s="473"/>
      <c r="GY7" s="473"/>
      <c r="GZ7" s="473"/>
      <c r="HA7" s="473"/>
      <c r="HB7" s="473"/>
      <c r="HC7" s="473"/>
      <c r="HD7" s="473"/>
      <c r="HE7" s="473"/>
      <c r="HF7" s="473"/>
      <c r="HG7" s="473"/>
      <c r="HH7" s="473"/>
      <c r="HI7" s="473"/>
      <c r="HJ7" s="473"/>
      <c r="HK7" s="473"/>
      <c r="HL7" s="473"/>
      <c r="HM7" s="473"/>
      <c r="HN7" s="473"/>
      <c r="HO7" s="473"/>
      <c r="HP7" s="473"/>
      <c r="HQ7" s="473"/>
      <c r="HR7" s="473"/>
      <c r="HS7" s="473"/>
      <c r="HT7" s="473"/>
      <c r="HU7" s="473"/>
      <c r="HV7" s="473"/>
      <c r="HW7" s="473"/>
      <c r="HX7" s="473"/>
      <c r="HY7" s="473"/>
      <c r="HZ7" s="473"/>
      <c r="IA7" s="473"/>
      <c r="IB7" s="473"/>
      <c r="IC7" s="473"/>
      <c r="ID7" s="473"/>
      <c r="IE7" s="473"/>
      <c r="IF7" s="473"/>
      <c r="IG7" s="473"/>
      <c r="IH7" s="473"/>
      <c r="II7" s="473"/>
      <c r="IJ7" s="473"/>
      <c r="IK7" s="473"/>
      <c r="IL7" s="473"/>
      <c r="IM7" s="473"/>
      <c r="IN7" s="473"/>
      <c r="IO7" s="473"/>
      <c r="IP7" s="473"/>
      <c r="IQ7" s="473"/>
      <c r="IR7" s="473"/>
      <c r="IS7" s="473"/>
      <c r="IT7" s="473"/>
      <c r="IU7" s="473"/>
      <c r="IV7" s="473"/>
      <c r="IW7" s="473"/>
    </row>
    <row r="8" customFormat="false" ht="12.6" hidden="false" customHeight="true" outlineLevel="0" collapsed="false">
      <c r="A8" s="403" t="s">
        <v>409</v>
      </c>
      <c r="B8" s="473"/>
      <c r="C8" s="404" t="n">
        <f aca="false">'Project Assumptions'!$I$10*(1-C6)</f>
        <v>608</v>
      </c>
      <c r="D8" s="404" t="n">
        <f aca="false">'Project Assumptions'!$I$10*(1-D6)*'PPA Assumptions &amp;Summary'!D6/12</f>
        <v>608</v>
      </c>
      <c r="E8" s="404" t="n">
        <f aca="false">'Project Assumptions'!$I$10*(1-E6)*'PPA Assumptions &amp;Summary'!E6/12</f>
        <v>608</v>
      </c>
      <c r="F8" s="404" t="n">
        <f aca="false">'Project Assumptions'!$I$10*(1-F6)*'PPA Assumptions &amp;Summary'!F6/12</f>
        <v>253.333333333333</v>
      </c>
      <c r="G8" s="404" t="n">
        <f aca="false">'Project Assumptions'!$I$10*(1-G6)*'PPA Assumptions &amp;Summary'!G6/12</f>
        <v>0</v>
      </c>
      <c r="H8" s="404" t="n">
        <f aca="false">'Project Assumptions'!$I$10*(1-H6)*'PPA Assumptions &amp;Summary'!H6/12</f>
        <v>0</v>
      </c>
      <c r="I8" s="404" t="n">
        <f aca="false">'Project Assumptions'!$I$10*(1-I6)*'PPA Assumptions &amp;Summary'!I6/12</f>
        <v>0</v>
      </c>
      <c r="J8" s="404" t="n">
        <f aca="false">'Project Assumptions'!$I$10*(1-J6)*'PPA Assumptions &amp;Summary'!J6/12</f>
        <v>0</v>
      </c>
      <c r="K8" s="404" t="n">
        <f aca="false">'Project Assumptions'!$I$10*(1-K6)*'PPA Assumptions &amp;Summary'!K6/12</f>
        <v>0</v>
      </c>
      <c r="L8" s="404" t="n">
        <f aca="false">'Project Assumptions'!$I$10*(1-L6)*'PPA Assumptions &amp;Summary'!L6/12</f>
        <v>0</v>
      </c>
      <c r="M8" s="404" t="n">
        <f aca="false">'Project Assumptions'!$I$10*(1-M6)*'PPA Assumptions &amp;Summary'!M6/12</f>
        <v>0</v>
      </c>
      <c r="N8" s="404" t="n">
        <f aca="false">'Project Assumptions'!$I$10*(1-N6)*'PPA Assumptions &amp;Summary'!N6/12</f>
        <v>0</v>
      </c>
      <c r="O8" s="404" t="n">
        <f aca="false">'Project Assumptions'!$I$10*(1-O6)*'PPA Assumptions &amp;Summary'!O6/12</f>
        <v>0</v>
      </c>
      <c r="P8" s="404" t="n">
        <f aca="false">'Project Assumptions'!$I$10*(1-P6)*'PPA Assumptions &amp;Summary'!P6/12</f>
        <v>0</v>
      </c>
      <c r="Q8" s="404" t="n">
        <f aca="false">'Project Assumptions'!$I$10*(1-Q6)*'PPA Assumptions &amp;Summary'!Q6/12</f>
        <v>0</v>
      </c>
      <c r="R8" s="404" t="n">
        <f aca="false">'Project Assumptions'!$I$10*(1-R6)*'PPA Assumptions &amp;Summary'!R6/12</f>
        <v>0</v>
      </c>
      <c r="S8" s="404" t="n">
        <f aca="false">'Project Assumptions'!$I$10*(1-S6)*'PPA Assumptions &amp;Summary'!S6/12</f>
        <v>0</v>
      </c>
      <c r="T8" s="404" t="n">
        <f aca="false">'Project Assumptions'!$I$10*(1-T6)*'PPA Assumptions &amp;Summary'!T6/12</f>
        <v>0</v>
      </c>
      <c r="U8" s="404" t="n">
        <f aca="false">'Project Assumptions'!$I$10*(1-U6)*'PPA Assumptions &amp;Summary'!U6/12</f>
        <v>0</v>
      </c>
      <c r="V8" s="404" t="n">
        <f aca="false">'Project Assumptions'!$I$10*(1-V6)*'PPA Assumptions &amp;Summary'!V6/12</f>
        <v>0</v>
      </c>
      <c r="W8" s="480" t="n">
        <f aca="false">'Project Assumptions'!$I$10*(1-W6)*'PPA Assumptions &amp;Summary'!W6/12</f>
        <v>0</v>
      </c>
      <c r="X8" s="404"/>
      <c r="Y8" s="404"/>
      <c r="Z8" s="404"/>
      <c r="AA8" s="404"/>
      <c r="AB8" s="473"/>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473"/>
      <c r="BF8" s="473"/>
      <c r="BG8" s="473"/>
      <c r="BH8" s="473"/>
      <c r="BI8" s="473"/>
      <c r="BJ8" s="473"/>
      <c r="BK8" s="473"/>
      <c r="BL8" s="473"/>
      <c r="BM8" s="473"/>
      <c r="BN8" s="473"/>
      <c r="BO8" s="473"/>
      <c r="BP8" s="473"/>
      <c r="BQ8" s="473"/>
      <c r="BR8" s="473"/>
      <c r="BS8" s="473"/>
      <c r="BT8" s="473"/>
      <c r="BU8" s="473"/>
      <c r="BV8" s="473"/>
      <c r="BW8" s="473"/>
      <c r="BX8" s="473"/>
      <c r="BY8" s="473"/>
      <c r="BZ8" s="473"/>
      <c r="CA8" s="473"/>
      <c r="CB8" s="473"/>
      <c r="CC8" s="473"/>
      <c r="CD8" s="473"/>
      <c r="CE8" s="473"/>
      <c r="CF8" s="473"/>
      <c r="CG8" s="473"/>
      <c r="CH8" s="473"/>
      <c r="CI8" s="473"/>
      <c r="CJ8" s="473"/>
      <c r="CK8" s="473"/>
      <c r="CL8" s="473"/>
      <c r="CM8" s="473"/>
      <c r="CN8" s="473"/>
      <c r="CO8" s="473"/>
      <c r="CP8" s="473"/>
      <c r="CQ8" s="473"/>
      <c r="CR8" s="473"/>
      <c r="CS8" s="473"/>
      <c r="CT8" s="473"/>
      <c r="CU8" s="473"/>
      <c r="CV8" s="473"/>
      <c r="CW8" s="473"/>
      <c r="CX8" s="473"/>
      <c r="CY8" s="473"/>
      <c r="CZ8" s="473"/>
      <c r="DA8" s="473"/>
      <c r="DB8" s="473"/>
      <c r="DC8" s="473"/>
      <c r="DD8" s="473"/>
      <c r="DE8" s="473"/>
      <c r="DF8" s="473"/>
      <c r="DG8" s="473"/>
      <c r="DH8" s="473"/>
      <c r="DI8" s="473"/>
      <c r="DJ8" s="473"/>
      <c r="DK8" s="473"/>
      <c r="DL8" s="473"/>
      <c r="DM8" s="473"/>
      <c r="DN8" s="473"/>
      <c r="DO8" s="473"/>
      <c r="DP8" s="473"/>
      <c r="DQ8" s="473"/>
      <c r="DR8" s="473"/>
      <c r="DS8" s="473"/>
      <c r="DT8" s="473"/>
      <c r="DU8" s="473"/>
      <c r="DV8" s="473"/>
      <c r="DW8" s="473"/>
      <c r="DX8" s="473"/>
      <c r="DY8" s="473"/>
      <c r="DZ8" s="473"/>
      <c r="EA8" s="473"/>
      <c r="EB8" s="473"/>
      <c r="EC8" s="473"/>
      <c r="ED8" s="473"/>
      <c r="EE8" s="473"/>
      <c r="EF8" s="473"/>
      <c r="EG8" s="473"/>
      <c r="EH8" s="473"/>
      <c r="EI8" s="473"/>
      <c r="EJ8" s="473"/>
      <c r="EK8" s="473"/>
      <c r="EL8" s="473"/>
      <c r="EM8" s="473"/>
      <c r="EN8" s="473"/>
      <c r="EO8" s="473"/>
      <c r="EP8" s="473"/>
      <c r="EQ8" s="473"/>
      <c r="ER8" s="473"/>
      <c r="ES8" s="473"/>
      <c r="ET8" s="473"/>
      <c r="EU8" s="473"/>
      <c r="EV8" s="473"/>
      <c r="EW8" s="473"/>
      <c r="EX8" s="473"/>
      <c r="EY8" s="473"/>
      <c r="EZ8" s="473"/>
      <c r="FA8" s="473"/>
      <c r="FB8" s="473"/>
      <c r="FC8" s="473"/>
      <c r="FD8" s="473"/>
      <c r="FE8" s="473"/>
      <c r="FF8" s="473"/>
      <c r="FG8" s="473"/>
      <c r="FH8" s="473"/>
      <c r="FI8" s="473"/>
      <c r="FJ8" s="473"/>
      <c r="FK8" s="473"/>
      <c r="FL8" s="473"/>
      <c r="FM8" s="473"/>
      <c r="FN8" s="473"/>
      <c r="FO8" s="473"/>
      <c r="FP8" s="473"/>
      <c r="FQ8" s="473"/>
      <c r="FR8" s="473"/>
      <c r="FS8" s="473"/>
      <c r="FT8" s="473"/>
      <c r="FU8" s="473"/>
      <c r="FV8" s="473"/>
      <c r="FW8" s="473"/>
      <c r="FX8" s="473"/>
      <c r="FY8" s="473"/>
      <c r="FZ8" s="473"/>
      <c r="GA8" s="473"/>
      <c r="GB8" s="473"/>
      <c r="GC8" s="473"/>
      <c r="GD8" s="473"/>
      <c r="GE8" s="473"/>
      <c r="GF8" s="473"/>
      <c r="GG8" s="473"/>
      <c r="GH8" s="473"/>
      <c r="GI8" s="473"/>
      <c r="GJ8" s="473"/>
      <c r="GK8" s="473"/>
      <c r="GL8" s="473"/>
      <c r="GM8" s="473"/>
      <c r="GN8" s="473"/>
      <c r="GO8" s="473"/>
      <c r="GP8" s="473"/>
      <c r="GQ8" s="473"/>
      <c r="GR8" s="473"/>
      <c r="GS8" s="473"/>
      <c r="GT8" s="473"/>
      <c r="GU8" s="473"/>
      <c r="GV8" s="473"/>
      <c r="GW8" s="473"/>
      <c r="GX8" s="473"/>
      <c r="GY8" s="473"/>
      <c r="GZ8" s="473"/>
      <c r="HA8" s="473"/>
      <c r="HB8" s="473"/>
      <c r="HC8" s="473"/>
      <c r="HD8" s="473"/>
      <c r="HE8" s="473"/>
      <c r="HF8" s="473"/>
      <c r="HG8" s="473"/>
      <c r="HH8" s="473"/>
      <c r="HI8" s="473"/>
      <c r="HJ8" s="473"/>
      <c r="HK8" s="473"/>
      <c r="HL8" s="473"/>
      <c r="HM8" s="473"/>
      <c r="HN8" s="473"/>
      <c r="HO8" s="473"/>
      <c r="HP8" s="473"/>
      <c r="HQ8" s="473"/>
      <c r="HR8" s="473"/>
      <c r="HS8" s="473"/>
      <c r="HT8" s="473"/>
      <c r="HU8" s="473"/>
      <c r="HV8" s="473"/>
      <c r="HW8" s="473"/>
      <c r="HX8" s="473"/>
      <c r="HY8" s="473"/>
      <c r="HZ8" s="473"/>
      <c r="IA8" s="473"/>
      <c r="IB8" s="473"/>
      <c r="IC8" s="473"/>
      <c r="ID8" s="473"/>
      <c r="IE8" s="473"/>
      <c r="IF8" s="473"/>
      <c r="IG8" s="473"/>
      <c r="IH8" s="473"/>
      <c r="II8" s="473"/>
      <c r="IJ8" s="473"/>
      <c r="IK8" s="473"/>
      <c r="IL8" s="473"/>
      <c r="IM8" s="473"/>
      <c r="IN8" s="473"/>
      <c r="IO8" s="473"/>
      <c r="IP8" s="473"/>
      <c r="IQ8" s="473"/>
      <c r="IR8" s="473"/>
      <c r="IS8" s="473"/>
      <c r="IT8" s="473"/>
      <c r="IU8" s="473"/>
      <c r="IV8" s="473"/>
      <c r="IW8" s="473"/>
    </row>
    <row r="9" customFormat="false" ht="12.6" hidden="false" customHeight="true" outlineLevel="0" collapsed="false">
      <c r="A9" s="403"/>
      <c r="B9" s="473"/>
      <c r="C9" s="404"/>
      <c r="D9" s="404"/>
      <c r="E9" s="404"/>
      <c r="F9" s="404"/>
      <c r="G9" s="404"/>
      <c r="H9" s="404"/>
      <c r="I9" s="404"/>
      <c r="J9" s="404"/>
      <c r="K9" s="404"/>
      <c r="L9" s="404"/>
      <c r="M9" s="404"/>
      <c r="N9" s="404"/>
      <c r="O9" s="404"/>
      <c r="P9" s="404"/>
      <c r="Q9" s="404"/>
      <c r="R9" s="404"/>
      <c r="S9" s="404"/>
      <c r="T9" s="404"/>
      <c r="U9" s="404"/>
      <c r="V9" s="404"/>
      <c r="W9" s="480"/>
      <c r="X9" s="404"/>
      <c r="Y9" s="404"/>
      <c r="Z9" s="404"/>
      <c r="AA9" s="404"/>
      <c r="AB9" s="473"/>
      <c r="AC9" s="473"/>
      <c r="AD9" s="473"/>
      <c r="AE9" s="473"/>
      <c r="AF9" s="473"/>
      <c r="AG9" s="473"/>
      <c r="AH9" s="473"/>
      <c r="AI9" s="473"/>
      <c r="AJ9" s="473"/>
      <c r="AK9" s="473"/>
      <c r="AL9" s="473"/>
      <c r="AM9" s="473"/>
      <c r="AN9" s="473"/>
      <c r="AO9" s="473"/>
      <c r="AP9" s="473"/>
      <c r="AQ9" s="473"/>
      <c r="AR9" s="473"/>
      <c r="AS9" s="473"/>
      <c r="AT9" s="473"/>
      <c r="AU9" s="473"/>
      <c r="AV9" s="473"/>
      <c r="AW9" s="473"/>
      <c r="AX9" s="473"/>
      <c r="AY9" s="473"/>
      <c r="AZ9" s="473"/>
      <c r="BA9" s="473"/>
      <c r="BB9" s="473"/>
      <c r="BC9" s="473"/>
      <c r="BD9" s="473"/>
      <c r="BE9" s="473"/>
      <c r="BF9" s="473"/>
      <c r="BG9" s="473"/>
      <c r="BH9" s="473"/>
      <c r="BI9" s="473"/>
      <c r="BJ9" s="473"/>
      <c r="BK9" s="473"/>
      <c r="BL9" s="473"/>
      <c r="BM9" s="473"/>
      <c r="BN9" s="473"/>
      <c r="BO9" s="473"/>
      <c r="BP9" s="473"/>
      <c r="BQ9" s="473"/>
      <c r="BR9" s="473"/>
      <c r="BS9" s="473"/>
      <c r="BT9" s="473"/>
      <c r="BU9" s="473"/>
      <c r="BV9" s="473"/>
      <c r="BW9" s="473"/>
      <c r="BX9" s="473"/>
      <c r="BY9" s="473"/>
      <c r="BZ9" s="473"/>
      <c r="CA9" s="473"/>
      <c r="CB9" s="473"/>
      <c r="CC9" s="473"/>
      <c r="CD9" s="473"/>
      <c r="CE9" s="473"/>
      <c r="CF9" s="473"/>
      <c r="CG9" s="473"/>
      <c r="CH9" s="473"/>
      <c r="CI9" s="473"/>
      <c r="CJ9" s="473"/>
      <c r="CK9" s="473"/>
      <c r="CL9" s="473"/>
      <c r="CM9" s="473"/>
      <c r="CN9" s="473"/>
      <c r="CO9" s="473"/>
      <c r="CP9" s="473"/>
      <c r="CQ9" s="473"/>
      <c r="CR9" s="473"/>
      <c r="CS9" s="473"/>
      <c r="CT9" s="473"/>
      <c r="CU9" s="473"/>
      <c r="CV9" s="473"/>
      <c r="CW9" s="473"/>
      <c r="CX9" s="473"/>
      <c r="CY9" s="473"/>
      <c r="CZ9" s="473"/>
      <c r="DA9" s="473"/>
      <c r="DB9" s="473"/>
      <c r="DC9" s="473"/>
      <c r="DD9" s="473"/>
      <c r="DE9" s="473"/>
      <c r="DF9" s="473"/>
      <c r="DG9" s="473"/>
      <c r="DH9" s="473"/>
      <c r="DI9" s="473"/>
      <c r="DJ9" s="473"/>
      <c r="DK9" s="473"/>
      <c r="DL9" s="473"/>
      <c r="DM9" s="473"/>
      <c r="DN9" s="473"/>
      <c r="DO9" s="473"/>
      <c r="DP9" s="473"/>
      <c r="DQ9" s="473"/>
      <c r="DR9" s="473"/>
      <c r="DS9" s="473"/>
      <c r="DT9" s="473"/>
      <c r="DU9" s="473"/>
      <c r="DV9" s="473"/>
      <c r="DW9" s="473"/>
      <c r="DX9" s="473"/>
      <c r="DY9" s="473"/>
      <c r="DZ9" s="473"/>
      <c r="EA9" s="473"/>
      <c r="EB9" s="473"/>
      <c r="EC9" s="473"/>
      <c r="ED9" s="473"/>
      <c r="EE9" s="473"/>
      <c r="EF9" s="473"/>
      <c r="EG9" s="473"/>
      <c r="EH9" s="473"/>
      <c r="EI9" s="473"/>
      <c r="EJ9" s="473"/>
      <c r="EK9" s="473"/>
      <c r="EL9" s="473"/>
      <c r="EM9" s="473"/>
      <c r="EN9" s="473"/>
      <c r="EO9" s="473"/>
      <c r="EP9" s="473"/>
      <c r="EQ9" s="473"/>
      <c r="ER9" s="473"/>
      <c r="ES9" s="473"/>
      <c r="ET9" s="473"/>
      <c r="EU9" s="473"/>
      <c r="EV9" s="473"/>
      <c r="EW9" s="473"/>
      <c r="EX9" s="473"/>
      <c r="EY9" s="473"/>
      <c r="EZ9" s="473"/>
      <c r="FA9" s="473"/>
      <c r="FB9" s="473"/>
      <c r="FC9" s="473"/>
      <c r="FD9" s="473"/>
      <c r="FE9" s="473"/>
      <c r="FF9" s="473"/>
      <c r="FG9" s="473"/>
      <c r="FH9" s="473"/>
      <c r="FI9" s="473"/>
      <c r="FJ9" s="473"/>
      <c r="FK9" s="473"/>
      <c r="FL9" s="473"/>
      <c r="FM9" s="473"/>
      <c r="FN9" s="473"/>
      <c r="FO9" s="473"/>
      <c r="FP9" s="473"/>
      <c r="FQ9" s="473"/>
      <c r="FR9" s="473"/>
      <c r="FS9" s="473"/>
      <c r="FT9" s="473"/>
      <c r="FU9" s="473"/>
      <c r="FV9" s="473"/>
      <c r="FW9" s="473"/>
      <c r="FX9" s="473"/>
      <c r="FY9" s="473"/>
      <c r="FZ9" s="473"/>
      <c r="GA9" s="473"/>
      <c r="GB9" s="473"/>
      <c r="GC9" s="473"/>
      <c r="GD9" s="473"/>
      <c r="GE9" s="473"/>
      <c r="GF9" s="473"/>
      <c r="GG9" s="473"/>
      <c r="GH9" s="473"/>
      <c r="GI9" s="473"/>
      <c r="GJ9" s="473"/>
      <c r="GK9" s="473"/>
      <c r="GL9" s="473"/>
      <c r="GM9" s="473"/>
      <c r="GN9" s="473"/>
      <c r="GO9" s="473"/>
      <c r="GP9" s="473"/>
      <c r="GQ9" s="473"/>
      <c r="GR9" s="473"/>
      <c r="GS9" s="473"/>
      <c r="GT9" s="473"/>
      <c r="GU9" s="473"/>
      <c r="GV9" s="473"/>
      <c r="GW9" s="473"/>
      <c r="GX9" s="473"/>
      <c r="GY9" s="473"/>
      <c r="GZ9" s="473"/>
      <c r="HA9" s="473"/>
      <c r="HB9" s="473"/>
      <c r="HC9" s="473"/>
      <c r="HD9" s="473"/>
      <c r="HE9" s="473"/>
      <c r="HF9" s="473"/>
      <c r="HG9" s="473"/>
      <c r="HH9" s="473"/>
      <c r="HI9" s="473"/>
      <c r="HJ9" s="473"/>
      <c r="HK9" s="473"/>
      <c r="HL9" s="473"/>
      <c r="HM9" s="473"/>
      <c r="HN9" s="473"/>
      <c r="HO9" s="473"/>
      <c r="HP9" s="473"/>
      <c r="HQ9" s="473"/>
      <c r="HR9" s="473"/>
      <c r="HS9" s="473"/>
      <c r="HT9" s="473"/>
      <c r="HU9" s="473"/>
      <c r="HV9" s="473"/>
      <c r="HW9" s="473"/>
      <c r="HX9" s="473"/>
      <c r="HY9" s="473"/>
      <c r="HZ9" s="473"/>
      <c r="IA9" s="473"/>
      <c r="IB9" s="473"/>
      <c r="IC9" s="473"/>
      <c r="ID9" s="473"/>
      <c r="IE9" s="473"/>
      <c r="IF9" s="473"/>
      <c r="IG9" s="473"/>
      <c r="IH9" s="473"/>
      <c r="II9" s="473"/>
      <c r="IJ9" s="473"/>
      <c r="IK9" s="473"/>
      <c r="IL9" s="473"/>
      <c r="IM9" s="473"/>
      <c r="IN9" s="473"/>
      <c r="IO9" s="473"/>
      <c r="IP9" s="473"/>
      <c r="IQ9" s="473"/>
      <c r="IR9" s="473"/>
      <c r="IS9" s="473"/>
      <c r="IT9" s="473"/>
      <c r="IU9" s="473"/>
      <c r="IV9" s="473"/>
      <c r="IW9" s="473"/>
    </row>
    <row r="10" customFormat="false" ht="12.6" hidden="false" customHeight="true" outlineLevel="0" collapsed="false">
      <c r="A10" s="403" t="s">
        <v>410</v>
      </c>
      <c r="B10" s="473"/>
      <c r="C10" s="404" t="n">
        <f aca="false">IF(C3&gt;ProjectLife+1,0,C8)</f>
        <v>608</v>
      </c>
      <c r="D10" s="404" t="n">
        <f aca="false">IF(D3&gt;ProjectLife+1,0,D8)</f>
        <v>608</v>
      </c>
      <c r="E10" s="404" t="n">
        <f aca="false">IF(E3&gt;ProjectLife+1,0,E8)</f>
        <v>608</v>
      </c>
      <c r="F10" s="404" t="n">
        <f aca="false">IF(F3&gt;ProjectLife+1,0,F8)</f>
        <v>253.333333333333</v>
      </c>
      <c r="G10" s="404" t="n">
        <f aca="false">IF(G3&gt;ProjectLife+1,0,G8)</f>
        <v>0</v>
      </c>
      <c r="H10" s="404" t="n">
        <f aca="false">IF(H3&gt;ProjectLife+1,0,H8)</f>
        <v>0</v>
      </c>
      <c r="I10" s="404" t="n">
        <f aca="false">IF(I3&gt;ProjectLife+1,0,I8)</f>
        <v>0</v>
      </c>
      <c r="J10" s="404" t="n">
        <f aca="false">IF(J3&gt;ProjectLife+1,0,J8)</f>
        <v>0</v>
      </c>
      <c r="K10" s="404" t="n">
        <f aca="false">IF(K3&gt;ProjectLife+1,0,K8)</f>
        <v>0</v>
      </c>
      <c r="L10" s="404" t="n">
        <f aca="false">IF(L3&gt;ProjectLife+1,0,L8)</f>
        <v>0</v>
      </c>
      <c r="M10" s="404" t="n">
        <f aca="false">IF(M3&gt;ProjectLife+1,0,M8)</f>
        <v>0</v>
      </c>
      <c r="N10" s="404" t="n">
        <f aca="false">IF(N3&gt;ProjectLife+1,0,N8)</f>
        <v>0</v>
      </c>
      <c r="O10" s="404" t="n">
        <f aca="false">IF(O3&gt;ProjectLife+1,0,O8)</f>
        <v>0</v>
      </c>
      <c r="P10" s="404" t="n">
        <f aca="false">IF(P3&gt;ProjectLife+1,0,P8)</f>
        <v>0</v>
      </c>
      <c r="Q10" s="404" t="n">
        <f aca="false">IF(Q3&gt;ProjectLife+1,0,Q8)</f>
        <v>0</v>
      </c>
      <c r="R10" s="404" t="n">
        <f aca="false">IF(R3&gt;ProjectLife+1,0,R8)</f>
        <v>0</v>
      </c>
      <c r="S10" s="404" t="n">
        <f aca="false">IF(S3&gt;ProjectLife+1,0,S8)</f>
        <v>0</v>
      </c>
      <c r="T10" s="404" t="n">
        <f aca="false">IF(T3&gt;ProjectLife+1,0,T8)</f>
        <v>0</v>
      </c>
      <c r="U10" s="404" t="n">
        <f aca="false">IF(U3&gt;ProjectLife+1,0,U8)</f>
        <v>0</v>
      </c>
      <c r="V10" s="404" t="n">
        <f aca="false">IF(V3&gt;ProjectLife+1,0,V8)</f>
        <v>0</v>
      </c>
      <c r="W10" s="480" t="n">
        <f aca="false">IF(W3&gt;ProjectLife+1,0,W8)</f>
        <v>0</v>
      </c>
      <c r="X10" s="404"/>
      <c r="Y10" s="404"/>
      <c r="Z10" s="404"/>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04"/>
      <c r="AX10" s="404"/>
      <c r="AY10" s="404"/>
      <c r="AZ10" s="404"/>
      <c r="BA10" s="404"/>
      <c r="BB10" s="404"/>
      <c r="BC10" s="404"/>
      <c r="BD10" s="404"/>
      <c r="BE10" s="404"/>
      <c r="BF10" s="404"/>
      <c r="BG10" s="404"/>
      <c r="BH10" s="404"/>
      <c r="BI10" s="404"/>
      <c r="BJ10" s="404"/>
      <c r="BK10" s="404"/>
      <c r="BL10" s="404"/>
      <c r="BM10" s="404"/>
      <c r="BN10" s="404"/>
      <c r="BO10" s="404"/>
      <c r="BP10" s="404"/>
      <c r="BQ10" s="404"/>
      <c r="BR10" s="404"/>
      <c r="BS10" s="404"/>
      <c r="BT10" s="404"/>
      <c r="BU10" s="404"/>
      <c r="BV10" s="404"/>
      <c r="BW10" s="404"/>
      <c r="BX10" s="404"/>
      <c r="BY10" s="404"/>
      <c r="BZ10" s="404"/>
      <c r="CA10" s="404"/>
      <c r="CB10" s="404"/>
      <c r="CC10" s="404"/>
      <c r="CD10" s="404"/>
      <c r="CE10" s="404"/>
      <c r="CF10" s="404"/>
      <c r="CG10" s="404"/>
      <c r="CH10" s="404"/>
      <c r="CI10" s="404"/>
      <c r="CJ10" s="404"/>
      <c r="CK10" s="404"/>
      <c r="CL10" s="404"/>
      <c r="CM10" s="404"/>
      <c r="CN10" s="404"/>
      <c r="CO10" s="404"/>
      <c r="CP10" s="404"/>
      <c r="CQ10" s="404"/>
      <c r="CR10" s="404"/>
      <c r="CS10" s="404"/>
      <c r="CT10" s="404"/>
      <c r="CU10" s="404"/>
      <c r="CV10" s="404"/>
      <c r="CW10" s="404"/>
      <c r="CX10" s="404"/>
      <c r="CY10" s="404"/>
      <c r="CZ10" s="404"/>
      <c r="DA10" s="404"/>
      <c r="DB10" s="404"/>
      <c r="DC10" s="404"/>
      <c r="DD10" s="404"/>
      <c r="DE10" s="404"/>
      <c r="DF10" s="404"/>
      <c r="DG10" s="404"/>
      <c r="DH10" s="404"/>
      <c r="DI10" s="404"/>
      <c r="DJ10" s="404"/>
      <c r="DK10" s="404"/>
      <c r="DL10" s="404"/>
      <c r="DM10" s="404"/>
      <c r="DN10" s="404"/>
      <c r="DO10" s="404"/>
      <c r="DP10" s="404"/>
      <c r="DQ10" s="404"/>
      <c r="DR10" s="404"/>
      <c r="DS10" s="404"/>
      <c r="DT10" s="404"/>
      <c r="DU10" s="404"/>
      <c r="DV10" s="404"/>
      <c r="DW10" s="404"/>
      <c r="DX10" s="404"/>
      <c r="DY10" s="404"/>
      <c r="DZ10" s="404"/>
      <c r="EA10" s="404"/>
      <c r="EB10" s="404"/>
      <c r="EC10" s="404"/>
      <c r="ED10" s="404"/>
      <c r="EE10" s="404"/>
      <c r="EF10" s="404"/>
      <c r="EG10" s="404"/>
      <c r="EH10" s="404"/>
      <c r="EI10" s="404"/>
      <c r="EJ10" s="404"/>
      <c r="EK10" s="404"/>
      <c r="EL10" s="404"/>
      <c r="EM10" s="404"/>
      <c r="EN10" s="404"/>
      <c r="EO10" s="404"/>
      <c r="EP10" s="404"/>
      <c r="EQ10" s="404"/>
      <c r="ER10" s="404"/>
      <c r="ES10" s="404"/>
      <c r="ET10" s="404"/>
      <c r="EU10" s="404"/>
      <c r="EV10" s="404"/>
      <c r="EW10" s="404"/>
      <c r="EX10" s="404"/>
      <c r="EY10" s="404"/>
      <c r="EZ10" s="404"/>
      <c r="FA10" s="404"/>
      <c r="FB10" s="404"/>
      <c r="FC10" s="404"/>
      <c r="FD10" s="404"/>
      <c r="FE10" s="404"/>
      <c r="FF10" s="404"/>
      <c r="FG10" s="404"/>
      <c r="FH10" s="404"/>
      <c r="FI10" s="404"/>
      <c r="FJ10" s="404"/>
      <c r="FK10" s="404"/>
      <c r="FL10" s="404"/>
      <c r="FM10" s="404"/>
      <c r="FN10" s="404"/>
      <c r="FO10" s="404"/>
      <c r="FP10" s="404"/>
      <c r="FQ10" s="404"/>
      <c r="FR10" s="404"/>
      <c r="FS10" s="404"/>
      <c r="FT10" s="404"/>
      <c r="FU10" s="404"/>
      <c r="FV10" s="404"/>
      <c r="FW10" s="404"/>
      <c r="FX10" s="404"/>
      <c r="FY10" s="404"/>
      <c r="FZ10" s="404"/>
      <c r="GA10" s="404"/>
      <c r="GB10" s="404"/>
      <c r="GC10" s="404"/>
      <c r="GD10" s="404"/>
      <c r="GE10" s="404"/>
      <c r="GF10" s="404"/>
      <c r="GG10" s="404"/>
      <c r="GH10" s="404"/>
      <c r="GI10" s="404"/>
      <c r="GJ10" s="404"/>
      <c r="GK10" s="404"/>
      <c r="GL10" s="404"/>
      <c r="GM10" s="404"/>
      <c r="GN10" s="404"/>
      <c r="GO10" s="404"/>
      <c r="GP10" s="404"/>
      <c r="GQ10" s="404"/>
      <c r="GR10" s="404"/>
      <c r="GS10" s="404"/>
      <c r="GT10" s="404"/>
      <c r="GU10" s="404"/>
      <c r="GV10" s="404"/>
      <c r="GW10" s="404"/>
      <c r="GX10" s="404"/>
      <c r="GY10" s="404"/>
      <c r="GZ10" s="404"/>
      <c r="HA10" s="404"/>
      <c r="HB10" s="404"/>
      <c r="HC10" s="404"/>
      <c r="HD10" s="404"/>
      <c r="HE10" s="404"/>
      <c r="HF10" s="404"/>
      <c r="HG10" s="404"/>
      <c r="HH10" s="404"/>
      <c r="HI10" s="404"/>
      <c r="HJ10" s="404"/>
      <c r="HK10" s="404"/>
      <c r="HL10" s="404"/>
      <c r="HM10" s="404"/>
      <c r="HN10" s="404"/>
      <c r="HO10" s="404"/>
      <c r="HP10" s="404"/>
      <c r="HQ10" s="404"/>
      <c r="HR10" s="404"/>
      <c r="HS10" s="404"/>
      <c r="HT10" s="404"/>
      <c r="HU10" s="473"/>
      <c r="HV10" s="473"/>
      <c r="HW10" s="473"/>
      <c r="HX10" s="473"/>
      <c r="HY10" s="473"/>
      <c r="HZ10" s="473"/>
      <c r="IA10" s="473"/>
      <c r="IB10" s="473"/>
      <c r="IC10" s="473"/>
      <c r="ID10" s="473"/>
      <c r="IE10" s="473"/>
      <c r="IF10" s="473"/>
      <c r="IG10" s="473"/>
      <c r="IH10" s="473"/>
      <c r="II10" s="473"/>
      <c r="IJ10" s="473"/>
      <c r="IK10" s="473"/>
      <c r="IL10" s="473"/>
      <c r="IM10" s="473"/>
      <c r="IN10" s="473"/>
      <c r="IO10" s="473"/>
      <c r="IP10" s="473"/>
      <c r="IQ10" s="473"/>
      <c r="IR10" s="473"/>
      <c r="IS10" s="473"/>
      <c r="IT10" s="473"/>
      <c r="IU10" s="473"/>
      <c r="IV10" s="473"/>
      <c r="IW10" s="473"/>
    </row>
    <row r="11" customFormat="false" ht="12.6" hidden="false" customHeight="true" outlineLevel="0" collapsed="false">
      <c r="A11" s="403" t="s">
        <v>411</v>
      </c>
      <c r="B11" s="473"/>
      <c r="C11" s="481" t="n">
        <f aca="false">IF(C3&gt;'Project Assumptions'!$I$15+1,0,'Project Assumptions'!$G$14)</f>
        <v>1200</v>
      </c>
      <c r="D11" s="481" t="n">
        <f aca="false">IF(D3&gt;'Project Assumptions'!$I$15+1,0,'Project Assumptions'!$G$14)</f>
        <v>1200</v>
      </c>
      <c r="E11" s="481" t="n">
        <f aca="false">IF(E3&gt;'Project Assumptions'!$I$15+1,0,'Project Assumptions'!$G$14)</f>
        <v>1200</v>
      </c>
      <c r="F11" s="481" t="n">
        <f aca="false">IF(F3&gt;'Project Assumptions'!$I$15+1,0,'Project Assumptions'!$G$14)</f>
        <v>1200</v>
      </c>
      <c r="G11" s="481" t="n">
        <f aca="false">IF(G3&gt;'Project Assumptions'!$I$15+1,0,'Project Assumptions'!$G$14)</f>
        <v>1200</v>
      </c>
      <c r="H11" s="481" t="n">
        <f aca="false">IF(H3&gt;'Project Assumptions'!$I$15+1,0,'Project Assumptions'!$G$14)</f>
        <v>1200</v>
      </c>
      <c r="I11" s="481" t="n">
        <f aca="false">IF(I3&gt;'Project Assumptions'!$I$15+1,0,'Project Assumptions'!$G$14)</f>
        <v>1200</v>
      </c>
      <c r="J11" s="481" t="n">
        <f aca="false">IF(J3&gt;'Project Assumptions'!$I$15+1,0,'Project Assumptions'!$G$14)</f>
        <v>1200</v>
      </c>
      <c r="K11" s="481" t="n">
        <f aca="false">IF(K3&gt;'Project Assumptions'!$I$15+1,0,'Project Assumptions'!$G$14)</f>
        <v>1200</v>
      </c>
      <c r="L11" s="481" t="n">
        <f aca="false">IF(L3&gt;'Project Assumptions'!$I$15+1,0,'Project Assumptions'!$G$14)</f>
        <v>1200</v>
      </c>
      <c r="M11" s="481" t="n">
        <f aca="false">IF(M3&gt;'Project Assumptions'!$I$15+1,0,'Project Assumptions'!$G$14)</f>
        <v>1200</v>
      </c>
      <c r="N11" s="481" t="n">
        <f aca="false">IF(N3&gt;'Project Assumptions'!$I$15+1,0,'Project Assumptions'!$G$14)</f>
        <v>1200</v>
      </c>
      <c r="O11" s="481" t="n">
        <f aca="false">IF(O3&gt;'Project Assumptions'!$I$15+1,0,'Project Assumptions'!$G$14)</f>
        <v>1200</v>
      </c>
      <c r="P11" s="481" t="n">
        <f aca="false">IF(P3&gt;'Project Assumptions'!$I$15+1,0,'Project Assumptions'!$G$14)</f>
        <v>1200</v>
      </c>
      <c r="Q11" s="481" t="n">
        <f aca="false">IF(Q3&gt;'Project Assumptions'!$I$15+1,0,'Project Assumptions'!$G$14)</f>
        <v>1200</v>
      </c>
      <c r="R11" s="481" t="n">
        <f aca="false">IF(R3&gt;'Project Assumptions'!$I$15+1,0,'Project Assumptions'!$G$14)</f>
        <v>1200</v>
      </c>
      <c r="S11" s="481" t="n">
        <f aca="false">IF(S3&gt;'Project Assumptions'!$I$15+1,0,'Project Assumptions'!$G$14)</f>
        <v>1200</v>
      </c>
      <c r="T11" s="481" t="n">
        <f aca="false">IF(T3&gt;'Project Assumptions'!$I$15+1,0,'Project Assumptions'!$G$14)</f>
        <v>1200</v>
      </c>
      <c r="U11" s="481" t="n">
        <f aca="false">IF(U3&gt;'Project Assumptions'!$I$15+1,0,'Project Assumptions'!$G$14)</f>
        <v>1200</v>
      </c>
      <c r="V11" s="481" t="n">
        <f aca="false">IF(V3&gt;'Project Assumptions'!$I$15+1,0,'Project Assumptions'!$G$14)</f>
        <v>1200</v>
      </c>
      <c r="W11" s="431" t="n">
        <f aca="false">IF(W3&gt;'Project Assumptions'!$I$15+1,0,'Project Assumptions'!$G$14)</f>
        <v>1200</v>
      </c>
      <c r="X11" s="481"/>
      <c r="Y11" s="481"/>
      <c r="Z11" s="481"/>
      <c r="AA11" s="481"/>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3"/>
      <c r="AY11" s="473"/>
      <c r="AZ11" s="473"/>
      <c r="BA11" s="473"/>
      <c r="BB11" s="473"/>
      <c r="BC11" s="473"/>
      <c r="BD11" s="473"/>
      <c r="BE11" s="473"/>
      <c r="BF11" s="473"/>
      <c r="BG11" s="473"/>
      <c r="BH11" s="473"/>
      <c r="BI11" s="473"/>
      <c r="BJ11" s="473"/>
      <c r="BK11" s="473"/>
      <c r="BL11" s="473"/>
      <c r="BM11" s="473"/>
      <c r="BN11" s="473"/>
      <c r="BO11" s="473"/>
      <c r="BP11" s="473"/>
      <c r="BQ11" s="473"/>
      <c r="BR11" s="473"/>
      <c r="BS11" s="473"/>
      <c r="BT11" s="473"/>
      <c r="BU11" s="473"/>
      <c r="BV11" s="473"/>
      <c r="BW11" s="473"/>
      <c r="BX11" s="473"/>
      <c r="BY11" s="473"/>
      <c r="BZ11" s="473"/>
      <c r="CA11" s="473"/>
      <c r="CB11" s="473"/>
      <c r="CC11" s="473"/>
      <c r="CD11" s="473"/>
      <c r="CE11" s="473"/>
      <c r="CF11" s="473"/>
      <c r="CG11" s="473"/>
      <c r="CH11" s="473"/>
      <c r="CI11" s="473"/>
      <c r="CJ11" s="473"/>
      <c r="CK11" s="473"/>
      <c r="CL11" s="473"/>
      <c r="CM11" s="473"/>
      <c r="CN11" s="473"/>
      <c r="CO11" s="473"/>
      <c r="CP11" s="473"/>
      <c r="CQ11" s="473"/>
      <c r="CR11" s="473"/>
      <c r="CS11" s="473"/>
      <c r="CT11" s="473"/>
      <c r="CU11" s="473"/>
      <c r="CV11" s="473"/>
      <c r="CW11" s="473"/>
      <c r="CX11" s="473"/>
      <c r="CY11" s="473"/>
      <c r="CZ11" s="473"/>
      <c r="DA11" s="473"/>
      <c r="DB11" s="473"/>
      <c r="DC11" s="473"/>
      <c r="DD11" s="473"/>
      <c r="DE11" s="473"/>
      <c r="DF11" s="473"/>
      <c r="DG11" s="473"/>
      <c r="DH11" s="473"/>
      <c r="DI11" s="473"/>
      <c r="DJ11" s="473"/>
      <c r="DK11" s="473"/>
      <c r="DL11" s="473"/>
      <c r="DM11" s="473"/>
      <c r="DN11" s="473"/>
      <c r="DO11" s="473"/>
      <c r="DP11" s="473"/>
      <c r="DQ11" s="473"/>
      <c r="DR11" s="473"/>
      <c r="DS11" s="473"/>
      <c r="DT11" s="473"/>
      <c r="DU11" s="473"/>
      <c r="DV11" s="473"/>
      <c r="DW11" s="473"/>
      <c r="DX11" s="473"/>
      <c r="DY11" s="473"/>
      <c r="DZ11" s="473"/>
      <c r="EA11" s="473"/>
      <c r="EB11" s="473"/>
      <c r="EC11" s="473"/>
      <c r="ED11" s="473"/>
      <c r="EE11" s="473"/>
      <c r="EF11" s="473"/>
      <c r="EG11" s="473"/>
      <c r="EH11" s="473"/>
      <c r="EI11" s="473"/>
      <c r="EJ11" s="473"/>
      <c r="EK11" s="473"/>
      <c r="EL11" s="473"/>
      <c r="EM11" s="473"/>
      <c r="EN11" s="473"/>
      <c r="EO11" s="473"/>
      <c r="EP11" s="473"/>
      <c r="EQ11" s="473"/>
      <c r="ER11" s="473"/>
      <c r="ES11" s="473"/>
      <c r="ET11" s="473"/>
      <c r="EU11" s="473"/>
      <c r="EV11" s="473"/>
      <c r="EW11" s="473"/>
      <c r="EX11" s="473"/>
      <c r="EY11" s="473"/>
      <c r="EZ11" s="473"/>
      <c r="FA11" s="473"/>
      <c r="FB11" s="473"/>
      <c r="FC11" s="473"/>
      <c r="FD11" s="473"/>
      <c r="FE11" s="473"/>
      <c r="FF11" s="473"/>
      <c r="FG11" s="473"/>
      <c r="FH11" s="473"/>
      <c r="FI11" s="473"/>
      <c r="FJ11" s="473"/>
      <c r="FK11" s="473"/>
      <c r="FL11" s="473"/>
      <c r="FM11" s="473"/>
      <c r="FN11" s="473"/>
      <c r="FO11" s="473"/>
      <c r="FP11" s="473"/>
      <c r="FQ11" s="473"/>
      <c r="FR11" s="473"/>
      <c r="FS11" s="473"/>
      <c r="FT11" s="473"/>
      <c r="FU11" s="473"/>
      <c r="FV11" s="473"/>
      <c r="FW11" s="473"/>
      <c r="FX11" s="473"/>
      <c r="FY11" s="473"/>
      <c r="FZ11" s="473"/>
      <c r="GA11" s="473"/>
      <c r="GB11" s="473"/>
      <c r="GC11" s="473"/>
      <c r="GD11" s="473"/>
      <c r="GE11" s="473"/>
      <c r="GF11" s="473"/>
      <c r="GG11" s="473"/>
      <c r="GH11" s="473"/>
      <c r="GI11" s="473"/>
      <c r="GJ11" s="473"/>
      <c r="GK11" s="473"/>
      <c r="GL11" s="473"/>
      <c r="GM11" s="473"/>
      <c r="GN11" s="473"/>
      <c r="GO11" s="473"/>
      <c r="GP11" s="473"/>
      <c r="GQ11" s="473"/>
      <c r="GR11" s="473"/>
      <c r="GS11" s="473"/>
      <c r="GT11" s="473"/>
      <c r="GU11" s="473"/>
      <c r="GV11" s="473"/>
      <c r="GW11" s="473"/>
      <c r="GX11" s="473"/>
      <c r="GY11" s="473"/>
      <c r="GZ11" s="473"/>
      <c r="HA11" s="473"/>
      <c r="HB11" s="473"/>
      <c r="HC11" s="473"/>
      <c r="HD11" s="473"/>
      <c r="HE11" s="473"/>
      <c r="HF11" s="473"/>
      <c r="HG11" s="473"/>
      <c r="HH11" s="473"/>
      <c r="HI11" s="473"/>
      <c r="HJ11" s="473"/>
      <c r="HK11" s="473"/>
      <c r="HL11" s="473"/>
      <c r="HM11" s="473"/>
      <c r="HN11" s="473"/>
      <c r="HO11" s="473"/>
      <c r="HP11" s="473"/>
      <c r="HQ11" s="473"/>
      <c r="HR11" s="473"/>
      <c r="HS11" s="473"/>
      <c r="HT11" s="473"/>
      <c r="HU11" s="473"/>
      <c r="HV11" s="473"/>
      <c r="HW11" s="473"/>
      <c r="HX11" s="473"/>
      <c r="HY11" s="473"/>
      <c r="HZ11" s="473"/>
      <c r="IA11" s="473"/>
      <c r="IB11" s="473"/>
      <c r="IC11" s="473"/>
      <c r="ID11" s="473"/>
      <c r="IE11" s="473"/>
      <c r="IF11" s="473"/>
      <c r="IG11" s="473"/>
      <c r="IH11" s="473"/>
      <c r="II11" s="473"/>
      <c r="IJ11" s="473"/>
      <c r="IK11" s="473"/>
      <c r="IL11" s="473"/>
      <c r="IM11" s="473"/>
      <c r="IN11" s="473"/>
      <c r="IO11" s="473"/>
      <c r="IP11" s="473"/>
      <c r="IQ11" s="473"/>
      <c r="IR11" s="473"/>
      <c r="IS11" s="473"/>
      <c r="IT11" s="473"/>
      <c r="IU11" s="473"/>
      <c r="IV11" s="473"/>
      <c r="IW11" s="473"/>
    </row>
    <row r="12" customFormat="false" ht="12.6" hidden="false" customHeight="true" outlineLevel="0" collapsed="false">
      <c r="A12" s="412" t="s">
        <v>412</v>
      </c>
      <c r="B12" s="482"/>
      <c r="C12" s="483" t="n">
        <f aca="false">IF(C3&gt;'Project Assumptions'!$I$15+1,0,C11*C10)</f>
        <v>729600</v>
      </c>
      <c r="D12" s="483" t="n">
        <f aca="false">IF(D3&gt;'Project Assumptions'!$I$15+1,0,D11*D10)</f>
        <v>729600</v>
      </c>
      <c r="E12" s="483" t="n">
        <f aca="false">IF(E3&gt;'Project Assumptions'!$I$15+1,0,E11*E10)</f>
        <v>729600</v>
      </c>
      <c r="F12" s="483" t="n">
        <f aca="false">IF(F3&gt;'Project Assumptions'!$I$15+1,0,F11*F10)</f>
        <v>304000</v>
      </c>
      <c r="G12" s="483" t="n">
        <f aca="false">IF(G3&gt;'Project Assumptions'!$I$15+1,0,G11*G10)</f>
        <v>0</v>
      </c>
      <c r="H12" s="483" t="n">
        <f aca="false">IF(H3&gt;'Project Assumptions'!$I$15+1,0,H11*H10)</f>
        <v>0</v>
      </c>
      <c r="I12" s="483" t="n">
        <f aca="false">IF(I3&gt;'Project Assumptions'!$I$15+1,0,I11*I10)</f>
        <v>0</v>
      </c>
      <c r="J12" s="483" t="n">
        <f aca="false">IF(J3&gt;'Project Assumptions'!$I$15+1,0,J11*J10)</f>
        <v>0</v>
      </c>
      <c r="K12" s="483" t="n">
        <f aca="false">IF(K3&gt;'Project Assumptions'!$I$15+1,0,K11*K10)</f>
        <v>0</v>
      </c>
      <c r="L12" s="483" t="n">
        <f aca="false">IF(L3&gt;'Project Assumptions'!$I$15+1,0,L11*L10)</f>
        <v>0</v>
      </c>
      <c r="M12" s="483" t="n">
        <f aca="false">IF(M3&gt;'Project Assumptions'!$I$15+1,0,M11*M10)</f>
        <v>0</v>
      </c>
      <c r="N12" s="483" t="n">
        <f aca="false">IF(N3&gt;'Project Assumptions'!$I$15+1,0,N11*N10)</f>
        <v>0</v>
      </c>
      <c r="O12" s="483" t="n">
        <f aca="false">IF(O3&gt;'Project Assumptions'!$I$15+1,0,O11*O10)</f>
        <v>0</v>
      </c>
      <c r="P12" s="483" t="n">
        <f aca="false">IF(P3&gt;'Project Assumptions'!$I$15+1,0,P11*P10)</f>
        <v>0</v>
      </c>
      <c r="Q12" s="483" t="n">
        <f aca="false">IF(Q3&gt;'Project Assumptions'!$I$15+1,0,Q11*Q10)</f>
        <v>0</v>
      </c>
      <c r="R12" s="483" t="n">
        <f aca="false">IF(R3&gt;'Project Assumptions'!$I$15+1,0,R11*R10)</f>
        <v>0</v>
      </c>
      <c r="S12" s="483" t="n">
        <f aca="false">IF(S3&gt;'Project Assumptions'!$I$15+1,0,S11*S10)</f>
        <v>0</v>
      </c>
      <c r="T12" s="483" t="n">
        <f aca="false">IF(T3&gt;'Project Assumptions'!$I$15+1,0,T11*T10)</f>
        <v>0</v>
      </c>
      <c r="U12" s="483" t="n">
        <f aca="false">IF(U3&gt;'Project Assumptions'!$I$15+1,0,U11*U10)</f>
        <v>0</v>
      </c>
      <c r="V12" s="483" t="n">
        <f aca="false">IF(V3&gt;'Project Assumptions'!$I$15+1,0,V11*V10)</f>
        <v>0</v>
      </c>
      <c r="W12" s="484" t="n">
        <f aca="false">IF(W3&gt;'Project Assumptions'!$I$15+1,0,W11*W10)</f>
        <v>0</v>
      </c>
      <c r="X12" s="434"/>
      <c r="Y12" s="434"/>
      <c r="Z12" s="434"/>
      <c r="AA12" s="434"/>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3"/>
      <c r="AY12" s="473"/>
      <c r="AZ12" s="473"/>
      <c r="BA12" s="473"/>
      <c r="BB12" s="473"/>
      <c r="BC12" s="473"/>
      <c r="BD12" s="473"/>
      <c r="BE12" s="473"/>
      <c r="BF12" s="473"/>
      <c r="BG12" s="473"/>
      <c r="BH12" s="473"/>
      <c r="BI12" s="473"/>
      <c r="BJ12" s="473"/>
      <c r="BK12" s="473"/>
      <c r="BL12" s="473"/>
      <c r="BM12" s="473"/>
      <c r="BN12" s="473"/>
      <c r="BO12" s="473"/>
      <c r="BP12" s="473"/>
      <c r="BQ12" s="473"/>
      <c r="BR12" s="473"/>
      <c r="BS12" s="473"/>
      <c r="BT12" s="473"/>
      <c r="BU12" s="473"/>
      <c r="BV12" s="473"/>
      <c r="BW12" s="473"/>
      <c r="BX12" s="473"/>
      <c r="BY12" s="473"/>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3"/>
      <c r="DF12" s="473"/>
      <c r="DG12" s="473"/>
      <c r="DH12" s="473"/>
      <c r="DI12" s="473"/>
      <c r="DJ12" s="473"/>
      <c r="DK12" s="473"/>
      <c r="DL12" s="473"/>
      <c r="DM12" s="473"/>
      <c r="DN12" s="473"/>
      <c r="DO12" s="473"/>
      <c r="DP12" s="473"/>
      <c r="DQ12" s="473"/>
      <c r="DR12" s="473"/>
      <c r="DS12" s="473"/>
      <c r="DT12" s="473"/>
      <c r="DU12" s="473"/>
      <c r="DV12" s="473"/>
      <c r="DW12" s="473"/>
      <c r="DX12" s="473"/>
      <c r="DY12" s="473"/>
      <c r="DZ12" s="473"/>
      <c r="EA12" s="473"/>
      <c r="EB12" s="473"/>
      <c r="EC12" s="473"/>
      <c r="ED12" s="473"/>
      <c r="EE12" s="473"/>
      <c r="EF12" s="473"/>
      <c r="EG12" s="473"/>
      <c r="EH12" s="473"/>
      <c r="EI12" s="473"/>
      <c r="EJ12" s="473"/>
      <c r="EK12" s="473"/>
      <c r="EL12" s="473"/>
      <c r="EM12" s="473"/>
      <c r="EN12" s="473"/>
      <c r="EO12" s="473"/>
      <c r="EP12" s="473"/>
      <c r="EQ12" s="473"/>
      <c r="ER12" s="473"/>
      <c r="ES12" s="473"/>
      <c r="ET12" s="473"/>
      <c r="EU12" s="473"/>
      <c r="EV12" s="473"/>
      <c r="EW12" s="473"/>
      <c r="EX12" s="473"/>
      <c r="EY12" s="473"/>
      <c r="EZ12" s="473"/>
      <c r="FA12" s="473"/>
      <c r="FB12" s="473"/>
      <c r="FC12" s="473"/>
      <c r="FD12" s="473"/>
      <c r="FE12" s="473"/>
      <c r="FF12" s="473"/>
      <c r="FG12" s="473"/>
      <c r="FH12" s="473"/>
      <c r="FI12" s="473"/>
      <c r="FJ12" s="473"/>
      <c r="FK12" s="473"/>
      <c r="FL12" s="473"/>
      <c r="FM12" s="473"/>
      <c r="FN12" s="473"/>
      <c r="FO12" s="473"/>
      <c r="FP12" s="473"/>
      <c r="FQ12" s="473"/>
      <c r="FR12" s="473"/>
      <c r="FS12" s="473"/>
      <c r="FT12" s="473"/>
      <c r="FU12" s="473"/>
      <c r="FV12" s="473"/>
      <c r="FW12" s="473"/>
      <c r="FX12" s="473"/>
      <c r="FY12" s="473"/>
      <c r="FZ12" s="473"/>
      <c r="GA12" s="473"/>
      <c r="GB12" s="473"/>
      <c r="GC12" s="473"/>
      <c r="GD12" s="473"/>
      <c r="GE12" s="473"/>
      <c r="GF12" s="473"/>
      <c r="GG12" s="473"/>
      <c r="GH12" s="473"/>
      <c r="GI12" s="473"/>
      <c r="GJ12" s="473"/>
      <c r="GK12" s="473"/>
      <c r="GL12" s="473"/>
      <c r="GM12" s="473"/>
      <c r="GN12" s="473"/>
      <c r="GO12" s="473"/>
      <c r="GP12" s="473"/>
      <c r="GQ12" s="473"/>
      <c r="GR12" s="473"/>
      <c r="GS12" s="473"/>
      <c r="GT12" s="473"/>
      <c r="GU12" s="473"/>
      <c r="GV12" s="473"/>
      <c r="GW12" s="473"/>
      <c r="GX12" s="473"/>
      <c r="GY12" s="473"/>
      <c r="GZ12" s="473"/>
      <c r="HA12" s="473"/>
      <c r="HB12" s="473"/>
      <c r="HC12" s="473"/>
      <c r="HD12" s="473"/>
      <c r="HE12" s="473"/>
      <c r="HF12" s="473"/>
      <c r="HG12" s="473"/>
      <c r="HH12" s="473"/>
      <c r="HI12" s="473"/>
      <c r="HJ12" s="473"/>
      <c r="HK12" s="473"/>
      <c r="HL12" s="473"/>
      <c r="HM12" s="473"/>
      <c r="HN12" s="473"/>
      <c r="HO12" s="473"/>
      <c r="HP12" s="473"/>
      <c r="HQ12" s="473"/>
      <c r="HR12" s="473"/>
      <c r="HS12" s="473"/>
      <c r="HT12" s="473"/>
      <c r="HU12" s="473"/>
      <c r="HV12" s="473"/>
      <c r="HW12" s="473"/>
      <c r="HX12" s="473"/>
      <c r="HY12" s="473"/>
      <c r="HZ12" s="473"/>
      <c r="IA12" s="473"/>
      <c r="IB12" s="473"/>
      <c r="IC12" s="473"/>
      <c r="ID12" s="473"/>
      <c r="IE12" s="473"/>
      <c r="IF12" s="473"/>
      <c r="IG12" s="473"/>
      <c r="IH12" s="473"/>
      <c r="II12" s="473"/>
      <c r="IJ12" s="473"/>
      <c r="IK12" s="473"/>
      <c r="IL12" s="473"/>
      <c r="IM12" s="473"/>
      <c r="IN12" s="473"/>
      <c r="IO12" s="473"/>
      <c r="IP12" s="473"/>
      <c r="IQ12" s="473"/>
      <c r="IR12" s="473"/>
      <c r="IS12" s="473"/>
      <c r="IT12" s="473"/>
      <c r="IU12" s="473"/>
      <c r="IV12" s="473"/>
      <c r="IW12" s="473"/>
    </row>
    <row r="13" customFormat="false" ht="12.6" hidden="false" customHeight="true" outlineLevel="0" collapsed="false">
      <c r="A13" s="416"/>
      <c r="B13" s="473"/>
      <c r="C13" s="434"/>
      <c r="D13" s="434"/>
      <c r="E13" s="434"/>
      <c r="F13" s="434"/>
      <c r="G13" s="434"/>
      <c r="H13" s="434"/>
      <c r="I13" s="434"/>
      <c r="J13" s="434"/>
      <c r="K13" s="434"/>
      <c r="L13" s="434"/>
      <c r="M13" s="434"/>
      <c r="N13" s="434"/>
      <c r="O13" s="434"/>
      <c r="P13" s="434"/>
      <c r="Q13" s="434"/>
      <c r="R13" s="434"/>
      <c r="S13" s="434"/>
      <c r="T13" s="434"/>
      <c r="U13" s="434"/>
      <c r="V13" s="434"/>
      <c r="W13" s="434"/>
      <c r="X13" s="434"/>
      <c r="Y13" s="434"/>
      <c r="Z13" s="434"/>
      <c r="AA13" s="434"/>
      <c r="AB13" s="473"/>
      <c r="AC13" s="473"/>
      <c r="AD13" s="473"/>
      <c r="AE13" s="473"/>
      <c r="AF13" s="473"/>
      <c r="AG13" s="473"/>
      <c r="AH13" s="473"/>
      <c r="AI13" s="473"/>
      <c r="AJ13" s="473"/>
      <c r="AK13" s="473"/>
      <c r="AL13" s="473"/>
      <c r="AM13" s="473"/>
      <c r="AN13" s="473"/>
      <c r="AO13" s="473"/>
      <c r="AP13" s="473"/>
      <c r="AQ13" s="473"/>
      <c r="AR13" s="473"/>
      <c r="AS13" s="473"/>
      <c r="AT13" s="473"/>
      <c r="AU13" s="473"/>
      <c r="AV13" s="473"/>
      <c r="AW13" s="473"/>
      <c r="AX13" s="473"/>
      <c r="AY13" s="473"/>
      <c r="AZ13" s="473"/>
      <c r="BA13" s="473"/>
      <c r="BB13" s="473"/>
      <c r="BC13" s="473"/>
      <c r="BD13" s="473"/>
      <c r="BE13" s="473"/>
      <c r="BF13" s="473"/>
      <c r="BG13" s="473"/>
      <c r="BH13" s="473"/>
      <c r="BI13" s="473"/>
      <c r="BJ13" s="473"/>
      <c r="BK13" s="473"/>
      <c r="BL13" s="473"/>
      <c r="BM13" s="473"/>
      <c r="BN13" s="473"/>
      <c r="BO13" s="473"/>
      <c r="BP13" s="473"/>
      <c r="BQ13" s="473"/>
      <c r="BR13" s="473"/>
      <c r="BS13" s="473"/>
      <c r="BT13" s="473"/>
      <c r="BU13" s="473"/>
      <c r="BV13" s="473"/>
      <c r="BW13" s="473"/>
      <c r="BX13" s="473"/>
      <c r="BY13" s="473"/>
      <c r="BZ13" s="473"/>
      <c r="CA13" s="473"/>
      <c r="CB13" s="473"/>
      <c r="CC13" s="473"/>
      <c r="CD13" s="473"/>
      <c r="CE13" s="473"/>
      <c r="CF13" s="473"/>
      <c r="CG13" s="473"/>
      <c r="CH13" s="473"/>
      <c r="CI13" s="473"/>
      <c r="CJ13" s="473"/>
      <c r="CK13" s="473"/>
      <c r="CL13" s="473"/>
      <c r="CM13" s="473"/>
      <c r="CN13" s="473"/>
      <c r="CO13" s="473"/>
      <c r="CP13" s="473"/>
      <c r="CQ13" s="473"/>
      <c r="CR13" s="473"/>
      <c r="CS13" s="473"/>
      <c r="CT13" s="473"/>
      <c r="CU13" s="473"/>
      <c r="CV13" s="473"/>
      <c r="CW13" s="473"/>
      <c r="CX13" s="473"/>
      <c r="CY13" s="473"/>
      <c r="CZ13" s="473"/>
      <c r="DA13" s="473"/>
      <c r="DB13" s="473"/>
      <c r="DC13" s="473"/>
      <c r="DD13" s="473"/>
      <c r="DE13" s="473"/>
      <c r="DF13" s="473"/>
      <c r="DG13" s="473"/>
      <c r="DH13" s="473"/>
      <c r="DI13" s="473"/>
      <c r="DJ13" s="473"/>
      <c r="DK13" s="473"/>
      <c r="DL13" s="473"/>
      <c r="DM13" s="473"/>
      <c r="DN13" s="473"/>
      <c r="DO13" s="473"/>
      <c r="DP13" s="473"/>
      <c r="DQ13" s="473"/>
      <c r="DR13" s="473"/>
      <c r="DS13" s="473"/>
      <c r="DT13" s="473"/>
      <c r="DU13" s="473"/>
      <c r="DV13" s="473"/>
      <c r="DW13" s="473"/>
      <c r="DX13" s="473"/>
      <c r="DY13" s="473"/>
      <c r="DZ13" s="473"/>
      <c r="EA13" s="473"/>
      <c r="EB13" s="473"/>
      <c r="EC13" s="473"/>
      <c r="ED13" s="473"/>
      <c r="EE13" s="473"/>
      <c r="EF13" s="473"/>
      <c r="EG13" s="473"/>
      <c r="EH13" s="473"/>
      <c r="EI13" s="473"/>
      <c r="EJ13" s="473"/>
      <c r="EK13" s="473"/>
      <c r="EL13" s="473"/>
      <c r="EM13" s="473"/>
      <c r="EN13" s="473"/>
      <c r="EO13" s="473"/>
      <c r="EP13" s="473"/>
      <c r="EQ13" s="473"/>
      <c r="ER13" s="473"/>
      <c r="ES13" s="473"/>
      <c r="ET13" s="473"/>
      <c r="EU13" s="473"/>
      <c r="EV13" s="473"/>
      <c r="EW13" s="473"/>
      <c r="EX13" s="473"/>
      <c r="EY13" s="473"/>
      <c r="EZ13" s="473"/>
      <c r="FA13" s="473"/>
      <c r="FB13" s="473"/>
      <c r="FC13" s="473"/>
      <c r="FD13" s="473"/>
      <c r="FE13" s="473"/>
      <c r="FF13" s="473"/>
      <c r="FG13" s="473"/>
      <c r="FH13" s="473"/>
      <c r="FI13" s="473"/>
      <c r="FJ13" s="473"/>
      <c r="FK13" s="473"/>
      <c r="FL13" s="473"/>
      <c r="FM13" s="473"/>
      <c r="FN13" s="473"/>
      <c r="FO13" s="473"/>
      <c r="FP13" s="473"/>
      <c r="FQ13" s="473"/>
      <c r="FR13" s="473"/>
      <c r="FS13" s="473"/>
      <c r="FT13" s="473"/>
      <c r="FU13" s="473"/>
      <c r="FV13" s="473"/>
      <c r="FW13" s="473"/>
      <c r="FX13" s="473"/>
      <c r="FY13" s="473"/>
      <c r="FZ13" s="473"/>
      <c r="GA13" s="473"/>
      <c r="GB13" s="473"/>
      <c r="GC13" s="473"/>
      <c r="GD13" s="473"/>
      <c r="GE13" s="473"/>
      <c r="GF13" s="473"/>
      <c r="GG13" s="473"/>
      <c r="GH13" s="473"/>
      <c r="GI13" s="473"/>
      <c r="GJ13" s="473"/>
      <c r="GK13" s="473"/>
      <c r="GL13" s="473"/>
      <c r="GM13" s="473"/>
      <c r="GN13" s="473"/>
      <c r="GO13" s="473"/>
      <c r="GP13" s="473"/>
      <c r="GQ13" s="473"/>
      <c r="GR13" s="473"/>
      <c r="GS13" s="473"/>
      <c r="GT13" s="473"/>
      <c r="GU13" s="473"/>
      <c r="GV13" s="473"/>
      <c r="GW13" s="473"/>
      <c r="GX13" s="473"/>
      <c r="GY13" s="473"/>
      <c r="GZ13" s="473"/>
      <c r="HA13" s="473"/>
      <c r="HB13" s="473"/>
      <c r="HC13" s="473"/>
      <c r="HD13" s="473"/>
      <c r="HE13" s="473"/>
      <c r="HF13" s="473"/>
      <c r="HG13" s="473"/>
      <c r="HH13" s="473"/>
      <c r="HI13" s="473"/>
      <c r="HJ13" s="473"/>
      <c r="HK13" s="473"/>
      <c r="HL13" s="473"/>
      <c r="HM13" s="473"/>
      <c r="HN13" s="473"/>
      <c r="HO13" s="473"/>
      <c r="HP13" s="473"/>
      <c r="HQ13" s="473"/>
      <c r="HR13" s="473"/>
      <c r="HS13" s="473"/>
      <c r="HT13" s="473"/>
      <c r="HU13" s="473"/>
      <c r="HV13" s="473"/>
      <c r="HW13" s="473"/>
      <c r="HX13" s="473"/>
      <c r="HY13" s="473"/>
      <c r="HZ13" s="473"/>
      <c r="IA13" s="473"/>
      <c r="IB13" s="473"/>
      <c r="IC13" s="473"/>
      <c r="ID13" s="473"/>
      <c r="IE13" s="473"/>
      <c r="IF13" s="473"/>
      <c r="IG13" s="473"/>
      <c r="IH13" s="473"/>
      <c r="II13" s="473"/>
      <c r="IJ13" s="473"/>
      <c r="IK13" s="473"/>
      <c r="IL13" s="473"/>
      <c r="IM13" s="473"/>
      <c r="IN13" s="473"/>
      <c r="IO13" s="473"/>
      <c r="IP13" s="473"/>
      <c r="IQ13" s="473"/>
      <c r="IR13" s="473"/>
      <c r="IS13" s="473"/>
      <c r="IT13" s="473"/>
      <c r="IU13" s="473"/>
      <c r="IV13" s="473"/>
      <c r="IW13" s="473"/>
    </row>
    <row r="14" customFormat="false" ht="12.6" hidden="false" customHeight="true" outlineLevel="0" collapsed="false">
      <c r="A14" s="418" t="s">
        <v>413</v>
      </c>
      <c r="B14" s="419"/>
      <c r="C14" s="419"/>
      <c r="D14" s="419"/>
      <c r="E14" s="419"/>
      <c r="F14" s="419"/>
      <c r="G14" s="419"/>
      <c r="H14" s="419"/>
      <c r="I14" s="419"/>
      <c r="J14" s="419"/>
      <c r="K14" s="419"/>
      <c r="L14" s="419"/>
      <c r="M14" s="419"/>
      <c r="N14" s="419"/>
      <c r="O14" s="419"/>
      <c r="P14" s="419"/>
      <c r="Q14" s="419"/>
      <c r="R14" s="419"/>
      <c r="S14" s="419"/>
      <c r="T14" s="419"/>
      <c r="U14" s="419"/>
      <c r="V14" s="419"/>
      <c r="W14" s="420"/>
      <c r="X14" s="434"/>
      <c r="Y14" s="434"/>
      <c r="Z14" s="434"/>
      <c r="AA14" s="434"/>
      <c r="AB14" s="473"/>
      <c r="AC14" s="473"/>
      <c r="AD14" s="473"/>
      <c r="AE14" s="473"/>
      <c r="AF14" s="473"/>
      <c r="AG14" s="473"/>
      <c r="AH14" s="473"/>
      <c r="AI14" s="473"/>
      <c r="AJ14" s="473"/>
      <c r="AK14" s="473"/>
      <c r="AL14" s="473"/>
      <c r="AM14" s="473"/>
      <c r="AN14" s="473"/>
      <c r="AO14" s="473"/>
      <c r="AP14" s="473"/>
      <c r="AQ14" s="473"/>
      <c r="AR14" s="473"/>
      <c r="AS14" s="473"/>
      <c r="AT14" s="473"/>
      <c r="AU14" s="473"/>
      <c r="AV14" s="473"/>
      <c r="AW14" s="473"/>
      <c r="AX14" s="473"/>
      <c r="AY14" s="473"/>
      <c r="AZ14" s="473"/>
      <c r="BA14" s="473"/>
      <c r="BB14" s="473"/>
      <c r="BC14" s="473"/>
      <c r="BD14" s="473"/>
      <c r="BE14" s="473"/>
      <c r="BF14" s="473"/>
      <c r="BG14" s="473"/>
      <c r="BH14" s="473"/>
      <c r="BI14" s="473"/>
      <c r="BJ14" s="473"/>
      <c r="BK14" s="473"/>
      <c r="BL14" s="473"/>
      <c r="BM14" s="473"/>
      <c r="BN14" s="473"/>
      <c r="BO14" s="473"/>
      <c r="BP14" s="473"/>
      <c r="BQ14" s="473"/>
      <c r="BR14" s="473"/>
      <c r="BS14" s="473"/>
      <c r="BT14" s="473"/>
      <c r="BU14" s="473"/>
      <c r="BV14" s="473"/>
      <c r="BW14" s="473"/>
      <c r="BX14" s="473"/>
      <c r="BY14" s="473"/>
      <c r="BZ14" s="473"/>
      <c r="CA14" s="473"/>
      <c r="CB14" s="473"/>
      <c r="CC14" s="473"/>
      <c r="CD14" s="473"/>
      <c r="CE14" s="473"/>
      <c r="CF14" s="473"/>
      <c r="CG14" s="473"/>
      <c r="CH14" s="473"/>
      <c r="CI14" s="473"/>
      <c r="CJ14" s="473"/>
      <c r="CK14" s="473"/>
      <c r="CL14" s="473"/>
      <c r="CM14" s="473"/>
      <c r="CN14" s="473"/>
      <c r="CO14" s="473"/>
      <c r="CP14" s="473"/>
      <c r="CQ14" s="473"/>
      <c r="CR14" s="473"/>
      <c r="CS14" s="473"/>
      <c r="CT14" s="473"/>
      <c r="CU14" s="473"/>
      <c r="CV14" s="473"/>
      <c r="CW14" s="473"/>
      <c r="CX14" s="473"/>
      <c r="CY14" s="473"/>
      <c r="CZ14" s="473"/>
      <c r="DA14" s="473"/>
      <c r="DB14" s="473"/>
      <c r="DC14" s="473"/>
      <c r="DD14" s="473"/>
      <c r="DE14" s="473"/>
      <c r="DF14" s="473"/>
      <c r="DG14" s="473"/>
      <c r="DH14" s="473"/>
      <c r="DI14" s="473"/>
      <c r="DJ14" s="473"/>
      <c r="DK14" s="473"/>
      <c r="DL14" s="473"/>
      <c r="DM14" s="473"/>
      <c r="DN14" s="473"/>
      <c r="DO14" s="473"/>
      <c r="DP14" s="473"/>
      <c r="DQ14" s="473"/>
      <c r="DR14" s="473"/>
      <c r="DS14" s="473"/>
      <c r="DT14" s="473"/>
      <c r="DU14" s="473"/>
      <c r="DV14" s="473"/>
      <c r="DW14" s="473"/>
      <c r="DX14" s="473"/>
      <c r="DY14" s="473"/>
      <c r="DZ14" s="473"/>
      <c r="EA14" s="473"/>
      <c r="EB14" s="473"/>
      <c r="EC14" s="473"/>
      <c r="ED14" s="473"/>
      <c r="EE14" s="473"/>
      <c r="EF14" s="473"/>
      <c r="EG14" s="473"/>
      <c r="EH14" s="473"/>
      <c r="EI14" s="473"/>
      <c r="EJ14" s="473"/>
      <c r="EK14" s="473"/>
      <c r="EL14" s="473"/>
      <c r="EM14" s="473"/>
      <c r="EN14" s="473"/>
      <c r="EO14" s="473"/>
      <c r="EP14" s="473"/>
      <c r="EQ14" s="473"/>
      <c r="ER14" s="473"/>
      <c r="ES14" s="473"/>
      <c r="ET14" s="473"/>
      <c r="EU14" s="473"/>
      <c r="EV14" s="473"/>
      <c r="EW14" s="473"/>
      <c r="EX14" s="473"/>
      <c r="EY14" s="473"/>
      <c r="EZ14" s="473"/>
      <c r="FA14" s="473"/>
      <c r="FB14" s="473"/>
      <c r="FC14" s="473"/>
      <c r="FD14" s="473"/>
      <c r="FE14" s="473"/>
      <c r="FF14" s="473"/>
      <c r="FG14" s="473"/>
      <c r="FH14" s="473"/>
      <c r="FI14" s="473"/>
      <c r="FJ14" s="473"/>
      <c r="FK14" s="473"/>
      <c r="FL14" s="473"/>
      <c r="FM14" s="473"/>
      <c r="FN14" s="473"/>
      <c r="FO14" s="473"/>
      <c r="FP14" s="473"/>
      <c r="FQ14" s="473"/>
      <c r="FR14" s="473"/>
      <c r="FS14" s="473"/>
      <c r="FT14" s="473"/>
      <c r="FU14" s="473"/>
      <c r="FV14" s="473"/>
      <c r="FW14" s="473"/>
      <c r="FX14" s="473"/>
      <c r="FY14" s="473"/>
      <c r="FZ14" s="473"/>
      <c r="GA14" s="473"/>
      <c r="GB14" s="473"/>
      <c r="GC14" s="473"/>
      <c r="GD14" s="473"/>
      <c r="GE14" s="473"/>
      <c r="GF14" s="473"/>
      <c r="GG14" s="473"/>
      <c r="GH14" s="473"/>
      <c r="GI14" s="473"/>
      <c r="GJ14" s="473"/>
      <c r="GK14" s="473"/>
      <c r="GL14" s="473"/>
      <c r="GM14" s="473"/>
      <c r="GN14" s="473"/>
      <c r="GO14" s="473"/>
      <c r="GP14" s="473"/>
      <c r="GQ14" s="473"/>
      <c r="GR14" s="473"/>
      <c r="GS14" s="473"/>
      <c r="GT14" s="473"/>
      <c r="GU14" s="473"/>
      <c r="GV14" s="473"/>
      <c r="GW14" s="473"/>
      <c r="GX14" s="473"/>
      <c r="GY14" s="473"/>
      <c r="GZ14" s="473"/>
      <c r="HA14" s="473"/>
      <c r="HB14" s="473"/>
      <c r="HC14" s="473"/>
      <c r="HD14" s="473"/>
      <c r="HE14" s="473"/>
      <c r="HF14" s="473"/>
      <c r="HG14" s="473"/>
      <c r="HH14" s="473"/>
      <c r="HI14" s="473"/>
      <c r="HJ14" s="473"/>
      <c r="HK14" s="473"/>
      <c r="HL14" s="473"/>
      <c r="HM14" s="473"/>
      <c r="HN14" s="473"/>
      <c r="HO14" s="473"/>
      <c r="HP14" s="473"/>
      <c r="HQ14" s="473"/>
      <c r="HR14" s="473"/>
      <c r="HS14" s="473"/>
      <c r="HT14" s="473"/>
      <c r="HU14" s="473"/>
      <c r="HV14" s="473"/>
      <c r="HW14" s="473"/>
      <c r="HX14" s="473"/>
      <c r="HY14" s="473"/>
      <c r="HZ14" s="473"/>
      <c r="IA14" s="473"/>
      <c r="IB14" s="473"/>
      <c r="IC14" s="473"/>
      <c r="ID14" s="473"/>
      <c r="IE14" s="473"/>
      <c r="IF14" s="473"/>
      <c r="IG14" s="473"/>
      <c r="IH14" s="473"/>
      <c r="II14" s="473"/>
      <c r="IJ14" s="473"/>
      <c r="IK14" s="473"/>
      <c r="IL14" s="473"/>
      <c r="IM14" s="473"/>
      <c r="IN14" s="473"/>
      <c r="IO14" s="473"/>
      <c r="IP14" s="473"/>
      <c r="IQ14" s="473"/>
      <c r="IR14" s="473"/>
      <c r="IS14" s="473"/>
      <c r="IT14" s="473"/>
      <c r="IU14" s="473"/>
      <c r="IV14" s="473"/>
      <c r="IW14" s="473"/>
    </row>
    <row r="15" customFormat="false" ht="12.6" hidden="false" customHeight="true" outlineLevel="0" collapsed="false">
      <c r="A15" s="403" t="s">
        <v>407</v>
      </c>
      <c r="B15" s="473"/>
      <c r="C15" s="485" t="n">
        <f aca="false">Deg_Rate*(1-'PPA Assumptions &amp;Summary'!C19)</f>
        <v>0.02</v>
      </c>
      <c r="D15" s="485" t="n">
        <f aca="false">Deg_Rate*(1-'PPA Assumptions &amp;Summary'!D19)</f>
        <v>0.02</v>
      </c>
      <c r="E15" s="485" t="n">
        <f aca="false">Deg_Rate*(1-'PPA Assumptions &amp;Summary'!E19)</f>
        <v>0.02</v>
      </c>
      <c r="F15" s="485" t="n">
        <f aca="false">Deg_Rate*(1-'PPA Assumptions &amp;Summary'!F19)</f>
        <v>0.02</v>
      </c>
      <c r="G15" s="485" t="n">
        <f aca="false">Deg_Rate*(1-'PPA Assumptions &amp;Summary'!G19)</f>
        <v>0.02</v>
      </c>
      <c r="H15" s="485" t="n">
        <f aca="false">Deg_Rate*(1-'PPA Assumptions &amp;Summary'!H19)</f>
        <v>0.02</v>
      </c>
      <c r="I15" s="485" t="n">
        <f aca="false">Deg_Rate*(1-'PPA Assumptions &amp;Summary'!I19)</f>
        <v>0.02</v>
      </c>
      <c r="J15" s="485" t="n">
        <f aca="false">Deg_Rate*(1-'PPA Assumptions &amp;Summary'!J19)</f>
        <v>0.02</v>
      </c>
      <c r="K15" s="485" t="n">
        <f aca="false">Deg_Rate*(1-'PPA Assumptions &amp;Summary'!K19)</f>
        <v>0.02</v>
      </c>
      <c r="L15" s="485" t="n">
        <f aca="false">Deg_Rate*(1-'PPA Assumptions &amp;Summary'!L19)</f>
        <v>0.02</v>
      </c>
      <c r="M15" s="485" t="n">
        <f aca="false">Deg_Rate*(1-'PPA Assumptions &amp;Summary'!M19)</f>
        <v>0.02</v>
      </c>
      <c r="N15" s="485" t="n">
        <f aca="false">Deg_Rate*(1-'PPA Assumptions &amp;Summary'!N19)</f>
        <v>0.02</v>
      </c>
      <c r="O15" s="485" t="n">
        <f aca="false">Deg_Rate*(1-'PPA Assumptions &amp;Summary'!O19)</f>
        <v>0.02</v>
      </c>
      <c r="P15" s="485" t="n">
        <f aca="false">Deg_Rate*(1-'PPA Assumptions &amp;Summary'!P19)</f>
        <v>0.02</v>
      </c>
      <c r="Q15" s="485" t="n">
        <f aca="false">Deg_Rate*(1-'PPA Assumptions &amp;Summary'!Q19)</f>
        <v>0.02</v>
      </c>
      <c r="R15" s="485" t="n">
        <f aca="false">Deg_Rate*(1-'PPA Assumptions &amp;Summary'!R19)</f>
        <v>0.02</v>
      </c>
      <c r="S15" s="485" t="n">
        <f aca="false">Deg_Rate*(1-'PPA Assumptions &amp;Summary'!S19)</f>
        <v>0.02</v>
      </c>
      <c r="T15" s="485" t="n">
        <f aca="false">Deg_Rate*(1-'PPA Assumptions &amp;Summary'!T19)</f>
        <v>0.02</v>
      </c>
      <c r="U15" s="485" t="n">
        <f aca="false">Deg_Rate*(1-'PPA Assumptions &amp;Summary'!U19)</f>
        <v>0.02</v>
      </c>
      <c r="V15" s="485" t="n">
        <f aca="false">Deg_Rate*(1-'PPA Assumptions &amp;Summary'!V19)</f>
        <v>0.02</v>
      </c>
      <c r="W15" s="486" t="n">
        <f aca="false">Deg_Rate*(1-'PPA Assumptions &amp;Summary'!W19)</f>
        <v>0.02</v>
      </c>
      <c r="X15" s="434"/>
      <c r="Y15" s="434"/>
      <c r="Z15" s="434"/>
      <c r="AA15" s="434"/>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3"/>
      <c r="AY15" s="473"/>
      <c r="AZ15" s="473"/>
      <c r="BA15" s="473"/>
      <c r="BB15" s="473"/>
      <c r="BC15" s="473"/>
      <c r="BD15" s="473"/>
      <c r="BE15" s="473"/>
      <c r="BF15" s="473"/>
      <c r="BG15" s="473"/>
      <c r="BH15" s="473"/>
      <c r="BI15" s="473"/>
      <c r="BJ15" s="473"/>
      <c r="BK15" s="473"/>
      <c r="BL15" s="473"/>
      <c r="BM15" s="473"/>
      <c r="BN15" s="473"/>
      <c r="BO15" s="473"/>
      <c r="BP15" s="473"/>
      <c r="BQ15" s="473"/>
      <c r="BR15" s="473"/>
      <c r="BS15" s="473"/>
      <c r="BT15" s="473"/>
      <c r="BU15" s="473"/>
      <c r="BV15" s="473"/>
      <c r="BW15" s="473"/>
      <c r="BX15" s="473"/>
      <c r="BY15" s="473"/>
      <c r="BZ15" s="473"/>
      <c r="CA15" s="473"/>
      <c r="CB15" s="473"/>
      <c r="CC15" s="473"/>
      <c r="CD15" s="473"/>
      <c r="CE15" s="473"/>
      <c r="CF15" s="473"/>
      <c r="CG15" s="473"/>
      <c r="CH15" s="473"/>
      <c r="CI15" s="473"/>
      <c r="CJ15" s="473"/>
      <c r="CK15" s="473"/>
      <c r="CL15" s="473"/>
      <c r="CM15" s="473"/>
      <c r="CN15" s="473"/>
      <c r="CO15" s="473"/>
      <c r="CP15" s="473"/>
      <c r="CQ15" s="473"/>
      <c r="CR15" s="473"/>
      <c r="CS15" s="473"/>
      <c r="CT15" s="473"/>
      <c r="CU15" s="473"/>
      <c r="CV15" s="473"/>
      <c r="CW15" s="473"/>
      <c r="CX15" s="473"/>
      <c r="CY15" s="473"/>
      <c r="CZ15" s="473"/>
      <c r="DA15" s="473"/>
      <c r="DB15" s="473"/>
      <c r="DC15" s="473"/>
      <c r="DD15" s="473"/>
      <c r="DE15" s="473"/>
      <c r="DF15" s="473"/>
      <c r="DG15" s="473"/>
      <c r="DH15" s="473"/>
      <c r="DI15" s="473"/>
      <c r="DJ15" s="473"/>
      <c r="DK15" s="473"/>
      <c r="DL15" s="473"/>
      <c r="DM15" s="473"/>
      <c r="DN15" s="473"/>
      <c r="DO15" s="473"/>
      <c r="DP15" s="473"/>
      <c r="DQ15" s="473"/>
      <c r="DR15" s="473"/>
      <c r="DS15" s="473"/>
      <c r="DT15" s="473"/>
      <c r="DU15" s="473"/>
      <c r="DV15" s="473"/>
      <c r="DW15" s="473"/>
      <c r="DX15" s="473"/>
      <c r="DY15" s="473"/>
      <c r="DZ15" s="473"/>
      <c r="EA15" s="473"/>
      <c r="EB15" s="473"/>
      <c r="EC15" s="473"/>
      <c r="ED15" s="473"/>
      <c r="EE15" s="473"/>
      <c r="EF15" s="473"/>
      <c r="EG15" s="473"/>
      <c r="EH15" s="473"/>
      <c r="EI15" s="473"/>
      <c r="EJ15" s="473"/>
      <c r="EK15" s="473"/>
      <c r="EL15" s="473"/>
      <c r="EM15" s="473"/>
      <c r="EN15" s="473"/>
      <c r="EO15" s="473"/>
      <c r="EP15" s="473"/>
      <c r="EQ15" s="473"/>
      <c r="ER15" s="473"/>
      <c r="ES15" s="473"/>
      <c r="ET15" s="473"/>
      <c r="EU15" s="473"/>
      <c r="EV15" s="473"/>
      <c r="EW15" s="473"/>
      <c r="EX15" s="473"/>
      <c r="EY15" s="473"/>
      <c r="EZ15" s="473"/>
      <c r="FA15" s="473"/>
      <c r="FB15" s="473"/>
      <c r="FC15" s="473"/>
      <c r="FD15" s="473"/>
      <c r="FE15" s="473"/>
      <c r="FF15" s="473"/>
      <c r="FG15" s="473"/>
      <c r="FH15" s="473"/>
      <c r="FI15" s="473"/>
      <c r="FJ15" s="473"/>
      <c r="FK15" s="473"/>
      <c r="FL15" s="473"/>
      <c r="FM15" s="473"/>
      <c r="FN15" s="473"/>
      <c r="FO15" s="473"/>
      <c r="FP15" s="473"/>
      <c r="FQ15" s="473"/>
      <c r="FR15" s="473"/>
      <c r="FS15" s="473"/>
      <c r="FT15" s="473"/>
      <c r="FU15" s="473"/>
      <c r="FV15" s="473"/>
      <c r="FW15" s="473"/>
      <c r="FX15" s="473"/>
      <c r="FY15" s="473"/>
      <c r="FZ15" s="473"/>
      <c r="GA15" s="473"/>
      <c r="GB15" s="473"/>
      <c r="GC15" s="473"/>
      <c r="GD15" s="473"/>
      <c r="GE15" s="473"/>
      <c r="GF15" s="473"/>
      <c r="GG15" s="473"/>
      <c r="GH15" s="473"/>
      <c r="GI15" s="473"/>
      <c r="GJ15" s="473"/>
      <c r="GK15" s="473"/>
      <c r="GL15" s="473"/>
      <c r="GM15" s="473"/>
      <c r="GN15" s="473"/>
      <c r="GO15" s="473"/>
      <c r="GP15" s="473"/>
      <c r="GQ15" s="473"/>
      <c r="GR15" s="473"/>
      <c r="GS15" s="473"/>
      <c r="GT15" s="473"/>
      <c r="GU15" s="473"/>
      <c r="GV15" s="473"/>
      <c r="GW15" s="473"/>
      <c r="GX15" s="473"/>
      <c r="GY15" s="473"/>
      <c r="GZ15" s="473"/>
      <c r="HA15" s="473"/>
      <c r="HB15" s="473"/>
      <c r="HC15" s="473"/>
      <c r="HD15" s="473"/>
      <c r="HE15" s="473"/>
      <c r="HF15" s="473"/>
      <c r="HG15" s="473"/>
      <c r="HH15" s="473"/>
      <c r="HI15" s="473"/>
      <c r="HJ15" s="473"/>
      <c r="HK15" s="473"/>
      <c r="HL15" s="473"/>
      <c r="HM15" s="473"/>
      <c r="HN15" s="473"/>
      <c r="HO15" s="473"/>
      <c r="HP15" s="473"/>
      <c r="HQ15" s="473"/>
      <c r="HR15" s="473"/>
      <c r="HS15" s="473"/>
      <c r="HT15" s="473"/>
      <c r="HU15" s="473"/>
      <c r="HV15" s="473"/>
      <c r="HW15" s="473"/>
      <c r="HX15" s="473"/>
      <c r="HY15" s="473"/>
      <c r="HZ15" s="473"/>
      <c r="IA15" s="473"/>
      <c r="IB15" s="473"/>
      <c r="IC15" s="473"/>
      <c r="ID15" s="473"/>
      <c r="IE15" s="473"/>
      <c r="IF15" s="473"/>
      <c r="IG15" s="473"/>
      <c r="IH15" s="473"/>
      <c r="II15" s="473"/>
      <c r="IJ15" s="473"/>
      <c r="IK15" s="473"/>
      <c r="IL15" s="473"/>
      <c r="IM15" s="473"/>
      <c r="IN15" s="473"/>
      <c r="IO15" s="473"/>
      <c r="IP15" s="473"/>
      <c r="IQ15" s="473"/>
      <c r="IR15" s="473"/>
      <c r="IS15" s="473"/>
      <c r="IT15" s="473"/>
      <c r="IU15" s="473"/>
      <c r="IV15" s="473"/>
      <c r="IW15" s="473"/>
    </row>
    <row r="16" customFormat="false" ht="12.6" hidden="false" customHeight="true" outlineLevel="0" collapsed="false">
      <c r="A16" s="403" t="s">
        <v>408</v>
      </c>
      <c r="B16" s="473"/>
      <c r="C16" s="478" t="n">
        <v>0</v>
      </c>
      <c r="D16" s="478" t="n">
        <v>0</v>
      </c>
      <c r="E16" s="478" t="n">
        <v>0</v>
      </c>
      <c r="F16" s="478" t="n">
        <v>0</v>
      </c>
      <c r="G16" s="478" t="n">
        <v>0</v>
      </c>
      <c r="H16" s="478" t="n">
        <v>0</v>
      </c>
      <c r="I16" s="478" t="n">
        <v>0</v>
      </c>
      <c r="J16" s="478" t="n">
        <v>0</v>
      </c>
      <c r="K16" s="478" t="n">
        <v>0</v>
      </c>
      <c r="L16" s="478" t="n">
        <v>0</v>
      </c>
      <c r="M16" s="478" t="n">
        <v>0</v>
      </c>
      <c r="N16" s="478" t="n">
        <v>0</v>
      </c>
      <c r="O16" s="478" t="n">
        <v>0</v>
      </c>
      <c r="P16" s="478" t="n">
        <v>0</v>
      </c>
      <c r="Q16" s="478" t="n">
        <v>0</v>
      </c>
      <c r="R16" s="478" t="n">
        <v>0</v>
      </c>
      <c r="S16" s="478" t="n">
        <v>0</v>
      </c>
      <c r="T16" s="478" t="n">
        <v>0</v>
      </c>
      <c r="U16" s="478" t="n">
        <v>0</v>
      </c>
      <c r="V16" s="478" t="n">
        <v>0</v>
      </c>
      <c r="W16" s="479" t="n">
        <v>0</v>
      </c>
      <c r="X16" s="434"/>
      <c r="Y16" s="434"/>
      <c r="Z16" s="434"/>
      <c r="AA16" s="434"/>
      <c r="AB16" s="473"/>
      <c r="AC16" s="473"/>
      <c r="AD16" s="473"/>
      <c r="AE16" s="473"/>
      <c r="AF16" s="473"/>
      <c r="AG16" s="473"/>
      <c r="AH16" s="473"/>
      <c r="AI16" s="473"/>
      <c r="AJ16" s="473"/>
      <c r="AK16" s="473"/>
      <c r="AL16" s="473"/>
      <c r="AM16" s="473"/>
      <c r="AN16" s="473"/>
      <c r="AO16" s="473"/>
      <c r="AP16" s="473"/>
      <c r="AQ16" s="473"/>
      <c r="AR16" s="473"/>
      <c r="AS16" s="473"/>
      <c r="AT16" s="473"/>
      <c r="AU16" s="473"/>
      <c r="AV16" s="473"/>
      <c r="AW16" s="473"/>
      <c r="AX16" s="473"/>
      <c r="AY16" s="473"/>
      <c r="AZ16" s="473"/>
      <c r="BA16" s="473"/>
      <c r="BB16" s="473"/>
      <c r="BC16" s="473"/>
      <c r="BD16" s="473"/>
      <c r="BE16" s="473"/>
      <c r="BF16" s="473"/>
      <c r="BG16" s="473"/>
      <c r="BH16" s="473"/>
      <c r="BI16" s="473"/>
      <c r="BJ16" s="473"/>
      <c r="BK16" s="473"/>
      <c r="BL16" s="473"/>
      <c r="BM16" s="473"/>
      <c r="BN16" s="473"/>
      <c r="BO16" s="473"/>
      <c r="BP16" s="473"/>
      <c r="BQ16" s="473"/>
      <c r="BR16" s="473"/>
      <c r="BS16" s="473"/>
      <c r="BT16" s="473"/>
      <c r="BU16" s="473"/>
      <c r="BV16" s="473"/>
      <c r="BW16" s="473"/>
      <c r="BX16" s="473"/>
      <c r="BY16" s="473"/>
      <c r="BZ16" s="473"/>
      <c r="CA16" s="473"/>
      <c r="CB16" s="473"/>
      <c r="CC16" s="473"/>
      <c r="CD16" s="473"/>
      <c r="CE16" s="473"/>
      <c r="CF16" s="473"/>
      <c r="CG16" s="473"/>
      <c r="CH16" s="473"/>
      <c r="CI16" s="473"/>
      <c r="CJ16" s="473"/>
      <c r="CK16" s="473"/>
      <c r="CL16" s="473"/>
      <c r="CM16" s="473"/>
      <c r="CN16" s="473"/>
      <c r="CO16" s="473"/>
      <c r="CP16" s="473"/>
      <c r="CQ16" s="473"/>
      <c r="CR16" s="473"/>
      <c r="CS16" s="473"/>
      <c r="CT16" s="473"/>
      <c r="CU16" s="473"/>
      <c r="CV16" s="473"/>
      <c r="CW16" s="473"/>
      <c r="CX16" s="473"/>
      <c r="CY16" s="473"/>
      <c r="CZ16" s="473"/>
      <c r="DA16" s="473"/>
      <c r="DB16" s="473"/>
      <c r="DC16" s="473"/>
      <c r="DD16" s="473"/>
      <c r="DE16" s="473"/>
      <c r="DF16" s="473"/>
      <c r="DG16" s="473"/>
      <c r="DH16" s="473"/>
      <c r="DI16" s="473"/>
      <c r="DJ16" s="473"/>
      <c r="DK16" s="473"/>
      <c r="DL16" s="473"/>
      <c r="DM16" s="473"/>
      <c r="DN16" s="473"/>
      <c r="DO16" s="473"/>
      <c r="DP16" s="473"/>
      <c r="DQ16" s="473"/>
      <c r="DR16" s="473"/>
      <c r="DS16" s="473"/>
      <c r="DT16" s="473"/>
      <c r="DU16" s="473"/>
      <c r="DV16" s="473"/>
      <c r="DW16" s="473"/>
      <c r="DX16" s="473"/>
      <c r="DY16" s="473"/>
      <c r="DZ16" s="473"/>
      <c r="EA16" s="473"/>
      <c r="EB16" s="473"/>
      <c r="EC16" s="473"/>
      <c r="ED16" s="473"/>
      <c r="EE16" s="473"/>
      <c r="EF16" s="473"/>
      <c r="EG16" s="473"/>
      <c r="EH16" s="473"/>
      <c r="EI16" s="473"/>
      <c r="EJ16" s="473"/>
      <c r="EK16" s="473"/>
      <c r="EL16" s="473"/>
      <c r="EM16" s="473"/>
      <c r="EN16" s="473"/>
      <c r="EO16" s="473"/>
      <c r="EP16" s="473"/>
      <c r="EQ16" s="473"/>
      <c r="ER16" s="473"/>
      <c r="ES16" s="473"/>
      <c r="ET16" s="473"/>
      <c r="EU16" s="473"/>
      <c r="EV16" s="473"/>
      <c r="EW16" s="473"/>
      <c r="EX16" s="473"/>
      <c r="EY16" s="473"/>
      <c r="EZ16" s="473"/>
      <c r="FA16" s="473"/>
      <c r="FB16" s="473"/>
      <c r="FC16" s="473"/>
      <c r="FD16" s="473"/>
      <c r="FE16" s="473"/>
      <c r="FF16" s="473"/>
      <c r="FG16" s="473"/>
      <c r="FH16" s="473"/>
      <c r="FI16" s="473"/>
      <c r="FJ16" s="473"/>
      <c r="FK16" s="473"/>
      <c r="FL16" s="473"/>
      <c r="FM16" s="473"/>
      <c r="FN16" s="473"/>
      <c r="FO16" s="473"/>
      <c r="FP16" s="473"/>
      <c r="FQ16" s="473"/>
      <c r="FR16" s="473"/>
      <c r="FS16" s="473"/>
      <c r="FT16" s="473"/>
      <c r="FU16" s="473"/>
      <c r="FV16" s="473"/>
      <c r="FW16" s="473"/>
      <c r="FX16" s="473"/>
      <c r="FY16" s="473"/>
      <c r="FZ16" s="473"/>
      <c r="GA16" s="473"/>
      <c r="GB16" s="473"/>
      <c r="GC16" s="473"/>
      <c r="GD16" s="473"/>
      <c r="GE16" s="473"/>
      <c r="GF16" s="473"/>
      <c r="GG16" s="473"/>
      <c r="GH16" s="473"/>
      <c r="GI16" s="473"/>
      <c r="GJ16" s="473"/>
      <c r="GK16" s="473"/>
      <c r="GL16" s="473"/>
      <c r="GM16" s="473"/>
      <c r="GN16" s="473"/>
      <c r="GO16" s="473"/>
      <c r="GP16" s="473"/>
      <c r="GQ16" s="473"/>
      <c r="GR16" s="473"/>
      <c r="GS16" s="473"/>
      <c r="GT16" s="473"/>
      <c r="GU16" s="473"/>
      <c r="GV16" s="473"/>
      <c r="GW16" s="473"/>
      <c r="GX16" s="473"/>
      <c r="GY16" s="473"/>
      <c r="GZ16" s="473"/>
      <c r="HA16" s="473"/>
      <c r="HB16" s="473"/>
      <c r="HC16" s="473"/>
      <c r="HD16" s="473"/>
      <c r="HE16" s="473"/>
      <c r="HF16" s="473"/>
      <c r="HG16" s="473"/>
      <c r="HH16" s="473"/>
      <c r="HI16" s="473"/>
      <c r="HJ16" s="473"/>
      <c r="HK16" s="473"/>
      <c r="HL16" s="473"/>
      <c r="HM16" s="473"/>
      <c r="HN16" s="473"/>
      <c r="HO16" s="473"/>
      <c r="HP16" s="473"/>
      <c r="HQ16" s="473"/>
      <c r="HR16" s="473"/>
      <c r="HS16" s="473"/>
      <c r="HT16" s="473"/>
      <c r="HU16" s="473"/>
      <c r="HV16" s="473"/>
      <c r="HW16" s="473"/>
      <c r="HX16" s="473"/>
      <c r="HY16" s="473"/>
      <c r="HZ16" s="473"/>
      <c r="IA16" s="473"/>
      <c r="IB16" s="473"/>
      <c r="IC16" s="473"/>
      <c r="ID16" s="473"/>
      <c r="IE16" s="473"/>
      <c r="IF16" s="473"/>
      <c r="IG16" s="473"/>
      <c r="IH16" s="473"/>
      <c r="II16" s="473"/>
      <c r="IJ16" s="473"/>
      <c r="IK16" s="473"/>
      <c r="IL16" s="473"/>
      <c r="IM16" s="473"/>
      <c r="IN16" s="473"/>
      <c r="IO16" s="473"/>
      <c r="IP16" s="473"/>
      <c r="IQ16" s="473"/>
      <c r="IR16" s="473"/>
      <c r="IS16" s="473"/>
      <c r="IT16" s="473"/>
      <c r="IU16" s="473"/>
      <c r="IV16" s="473"/>
      <c r="IW16" s="473"/>
    </row>
    <row r="17" customFormat="false" ht="12.6" hidden="false" customHeight="true" outlineLevel="0" collapsed="false">
      <c r="A17" s="403" t="s">
        <v>409</v>
      </c>
      <c r="B17" s="473"/>
      <c r="C17" s="404" t="n">
        <f aca="false">ISO_NetMW*(1-C15)</f>
        <v>652.582</v>
      </c>
      <c r="D17" s="404" t="n">
        <f aca="false">ISO_NetMW*(1-D15)</f>
        <v>652.582</v>
      </c>
      <c r="E17" s="404" t="n">
        <f aca="false">ISO_NetMW*(1-E15)</f>
        <v>652.582</v>
      </c>
      <c r="F17" s="404" t="n">
        <f aca="false">ISO_NetMW*(1-F15)</f>
        <v>652.582</v>
      </c>
      <c r="G17" s="404" t="n">
        <f aca="false">ISO_NetMW*(1-G15)</f>
        <v>652.582</v>
      </c>
      <c r="H17" s="404" t="n">
        <f aca="false">ISO_NetMW*(1-H15)</f>
        <v>652.582</v>
      </c>
      <c r="I17" s="404" t="n">
        <f aca="false">ISO_NetMW*(1-I15)</f>
        <v>652.582</v>
      </c>
      <c r="J17" s="404" t="n">
        <f aca="false">ISO_NetMW*(1-J15)</f>
        <v>652.582</v>
      </c>
      <c r="K17" s="404" t="n">
        <f aca="false">ISO_NetMW*(1-K15)</f>
        <v>652.582</v>
      </c>
      <c r="L17" s="404" t="n">
        <f aca="false">ISO_NetMW*(1-L15)</f>
        <v>652.582</v>
      </c>
      <c r="M17" s="404" t="n">
        <f aca="false">ISO_NetMW*(1-M15)</f>
        <v>652.582</v>
      </c>
      <c r="N17" s="404" t="n">
        <f aca="false">ISO_NetMW*(1-N15)</f>
        <v>652.582</v>
      </c>
      <c r="O17" s="404" t="n">
        <f aca="false">ISO_NetMW*(1-O15)</f>
        <v>652.582</v>
      </c>
      <c r="P17" s="404" t="n">
        <f aca="false">ISO_NetMW*(1-P15)</f>
        <v>652.582</v>
      </c>
      <c r="Q17" s="404" t="n">
        <f aca="false">ISO_NetMW*(1-Q15)</f>
        <v>652.582</v>
      </c>
      <c r="R17" s="404" t="n">
        <f aca="false">ISO_NetMW*(1-R15)</f>
        <v>652.582</v>
      </c>
      <c r="S17" s="404" t="n">
        <f aca="false">ISO_NetMW*(1-S15)</f>
        <v>652.582</v>
      </c>
      <c r="T17" s="404" t="n">
        <f aca="false">ISO_NetMW*(1-T15)</f>
        <v>652.582</v>
      </c>
      <c r="U17" s="404" t="n">
        <f aca="false">ISO_NetMW*(1-U15)</f>
        <v>652.582</v>
      </c>
      <c r="V17" s="404" t="n">
        <f aca="false">ISO_NetMW*(1-V15)</f>
        <v>652.582</v>
      </c>
      <c r="W17" s="480" t="n">
        <f aca="false">ISO_NetMW*(1-W15)</f>
        <v>652.582</v>
      </c>
      <c r="X17" s="434"/>
      <c r="Y17" s="434"/>
      <c r="Z17" s="434"/>
      <c r="AA17" s="434"/>
      <c r="AB17" s="473"/>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c r="BF17" s="473"/>
      <c r="BG17" s="473"/>
      <c r="BH17" s="473"/>
      <c r="BI17" s="473"/>
      <c r="BJ17" s="473"/>
      <c r="BK17" s="473"/>
      <c r="BL17" s="473"/>
      <c r="BM17" s="473"/>
      <c r="BN17" s="473"/>
      <c r="BO17" s="473"/>
      <c r="BP17" s="473"/>
      <c r="BQ17" s="473"/>
      <c r="BR17" s="473"/>
      <c r="BS17" s="473"/>
      <c r="BT17" s="473"/>
      <c r="BU17" s="473"/>
      <c r="BV17" s="473"/>
      <c r="BW17" s="473"/>
      <c r="BX17" s="473"/>
      <c r="BY17" s="473"/>
      <c r="BZ17" s="473"/>
      <c r="CA17" s="473"/>
      <c r="CB17" s="473"/>
      <c r="CC17" s="473"/>
      <c r="CD17" s="473"/>
      <c r="CE17" s="473"/>
      <c r="CF17" s="473"/>
      <c r="CG17" s="473"/>
      <c r="CH17" s="473"/>
      <c r="CI17" s="473"/>
      <c r="CJ17" s="473"/>
      <c r="CK17" s="473"/>
      <c r="CL17" s="473"/>
      <c r="CM17" s="473"/>
      <c r="CN17" s="473"/>
      <c r="CO17" s="473"/>
      <c r="CP17" s="473"/>
      <c r="CQ17" s="473"/>
      <c r="CR17" s="473"/>
      <c r="CS17" s="473"/>
      <c r="CT17" s="473"/>
      <c r="CU17" s="473"/>
      <c r="CV17" s="473"/>
      <c r="CW17" s="473"/>
      <c r="CX17" s="473"/>
      <c r="CY17" s="473"/>
      <c r="CZ17" s="473"/>
      <c r="DA17" s="473"/>
      <c r="DB17" s="473"/>
      <c r="DC17" s="473"/>
      <c r="DD17" s="473"/>
      <c r="DE17" s="473"/>
      <c r="DF17" s="473"/>
      <c r="DG17" s="473"/>
      <c r="DH17" s="473"/>
      <c r="DI17" s="473"/>
      <c r="DJ17" s="473"/>
      <c r="DK17" s="473"/>
      <c r="DL17" s="473"/>
      <c r="DM17" s="473"/>
      <c r="DN17" s="473"/>
      <c r="DO17" s="473"/>
      <c r="DP17" s="473"/>
      <c r="DQ17" s="473"/>
      <c r="DR17" s="473"/>
      <c r="DS17" s="473"/>
      <c r="DT17" s="473"/>
      <c r="DU17" s="473"/>
      <c r="DV17" s="473"/>
      <c r="DW17" s="473"/>
      <c r="DX17" s="473"/>
      <c r="DY17" s="473"/>
      <c r="DZ17" s="473"/>
      <c r="EA17" s="473"/>
      <c r="EB17" s="473"/>
      <c r="EC17" s="473"/>
      <c r="ED17" s="473"/>
      <c r="EE17" s="473"/>
      <c r="EF17" s="473"/>
      <c r="EG17" s="473"/>
      <c r="EH17" s="473"/>
      <c r="EI17" s="473"/>
      <c r="EJ17" s="473"/>
      <c r="EK17" s="473"/>
      <c r="EL17" s="473"/>
      <c r="EM17" s="473"/>
      <c r="EN17" s="473"/>
      <c r="EO17" s="473"/>
      <c r="EP17" s="473"/>
      <c r="EQ17" s="473"/>
      <c r="ER17" s="473"/>
      <c r="ES17" s="473"/>
      <c r="ET17" s="473"/>
      <c r="EU17" s="473"/>
      <c r="EV17" s="473"/>
      <c r="EW17" s="473"/>
      <c r="EX17" s="473"/>
      <c r="EY17" s="473"/>
      <c r="EZ17" s="473"/>
      <c r="FA17" s="473"/>
      <c r="FB17" s="473"/>
      <c r="FC17" s="473"/>
      <c r="FD17" s="473"/>
      <c r="FE17" s="473"/>
      <c r="FF17" s="473"/>
      <c r="FG17" s="473"/>
      <c r="FH17" s="473"/>
      <c r="FI17" s="473"/>
      <c r="FJ17" s="473"/>
      <c r="FK17" s="473"/>
      <c r="FL17" s="473"/>
      <c r="FM17" s="473"/>
      <c r="FN17" s="473"/>
      <c r="FO17" s="473"/>
      <c r="FP17" s="473"/>
      <c r="FQ17" s="473"/>
      <c r="FR17" s="473"/>
      <c r="FS17" s="473"/>
      <c r="FT17" s="473"/>
      <c r="FU17" s="473"/>
      <c r="FV17" s="473"/>
      <c r="FW17" s="473"/>
      <c r="FX17" s="473"/>
      <c r="FY17" s="473"/>
      <c r="FZ17" s="473"/>
      <c r="GA17" s="473"/>
      <c r="GB17" s="473"/>
      <c r="GC17" s="473"/>
      <c r="GD17" s="473"/>
      <c r="GE17" s="473"/>
      <c r="GF17" s="473"/>
      <c r="GG17" s="473"/>
      <c r="GH17" s="473"/>
      <c r="GI17" s="473"/>
      <c r="GJ17" s="473"/>
      <c r="GK17" s="473"/>
      <c r="GL17" s="473"/>
      <c r="GM17" s="473"/>
      <c r="GN17" s="473"/>
      <c r="GO17" s="473"/>
      <c r="GP17" s="473"/>
      <c r="GQ17" s="473"/>
      <c r="GR17" s="473"/>
      <c r="GS17" s="473"/>
      <c r="GT17" s="473"/>
      <c r="GU17" s="473"/>
      <c r="GV17" s="473"/>
      <c r="GW17" s="473"/>
      <c r="GX17" s="473"/>
      <c r="GY17" s="473"/>
      <c r="GZ17" s="473"/>
      <c r="HA17" s="473"/>
      <c r="HB17" s="473"/>
      <c r="HC17" s="473"/>
      <c r="HD17" s="473"/>
      <c r="HE17" s="473"/>
      <c r="HF17" s="473"/>
      <c r="HG17" s="473"/>
      <c r="HH17" s="473"/>
      <c r="HI17" s="473"/>
      <c r="HJ17" s="473"/>
      <c r="HK17" s="473"/>
      <c r="HL17" s="473"/>
      <c r="HM17" s="473"/>
      <c r="HN17" s="473"/>
      <c r="HO17" s="473"/>
      <c r="HP17" s="473"/>
      <c r="HQ17" s="473"/>
      <c r="HR17" s="473"/>
      <c r="HS17" s="473"/>
      <c r="HT17" s="473"/>
      <c r="HU17" s="473"/>
      <c r="HV17" s="473"/>
      <c r="HW17" s="473"/>
      <c r="HX17" s="473"/>
      <c r="HY17" s="473"/>
      <c r="HZ17" s="473"/>
      <c r="IA17" s="473"/>
      <c r="IB17" s="473"/>
      <c r="IC17" s="473"/>
      <c r="ID17" s="473"/>
      <c r="IE17" s="473"/>
      <c r="IF17" s="473"/>
      <c r="IG17" s="473"/>
      <c r="IH17" s="473"/>
      <c r="II17" s="473"/>
      <c r="IJ17" s="473"/>
      <c r="IK17" s="473"/>
      <c r="IL17" s="473"/>
      <c r="IM17" s="473"/>
      <c r="IN17" s="473"/>
      <c r="IO17" s="473"/>
      <c r="IP17" s="473"/>
      <c r="IQ17" s="473"/>
      <c r="IR17" s="473"/>
      <c r="IS17" s="473"/>
      <c r="IT17" s="473"/>
      <c r="IU17" s="473"/>
      <c r="IV17" s="473"/>
      <c r="IW17" s="473"/>
    </row>
    <row r="18" customFormat="false" ht="12.6" hidden="false" customHeight="true" outlineLevel="0" collapsed="false">
      <c r="A18" s="403"/>
      <c r="B18" s="473"/>
      <c r="C18" s="404"/>
      <c r="D18" s="404"/>
      <c r="E18" s="404"/>
      <c r="F18" s="404"/>
      <c r="G18" s="404"/>
      <c r="H18" s="404"/>
      <c r="I18" s="404"/>
      <c r="J18" s="404"/>
      <c r="K18" s="404"/>
      <c r="L18" s="404"/>
      <c r="M18" s="404"/>
      <c r="N18" s="404"/>
      <c r="O18" s="404"/>
      <c r="P18" s="404"/>
      <c r="Q18" s="404"/>
      <c r="R18" s="404"/>
      <c r="S18" s="404"/>
      <c r="T18" s="404"/>
      <c r="U18" s="404"/>
      <c r="V18" s="404"/>
      <c r="W18" s="480"/>
      <c r="X18" s="434"/>
      <c r="Y18" s="434"/>
      <c r="Z18" s="434"/>
      <c r="AA18" s="434"/>
      <c r="AB18" s="473"/>
      <c r="AC18" s="473"/>
      <c r="AD18" s="473"/>
      <c r="AE18" s="473"/>
      <c r="AF18" s="473"/>
      <c r="AG18" s="473"/>
      <c r="AH18" s="473"/>
      <c r="AI18" s="473"/>
      <c r="AJ18" s="473"/>
      <c r="AK18" s="473"/>
      <c r="AL18" s="473"/>
      <c r="AM18" s="473"/>
      <c r="AN18" s="473"/>
      <c r="AO18" s="473"/>
      <c r="AP18" s="473"/>
      <c r="AQ18" s="473"/>
      <c r="AR18" s="473"/>
      <c r="AS18" s="473"/>
      <c r="AT18" s="473"/>
      <c r="AU18" s="473"/>
      <c r="AV18" s="473"/>
      <c r="AW18" s="473"/>
      <c r="AX18" s="473"/>
      <c r="AY18" s="473"/>
      <c r="AZ18" s="473"/>
      <c r="BA18" s="473"/>
      <c r="BB18" s="473"/>
      <c r="BC18" s="473"/>
      <c r="BD18" s="473"/>
      <c r="BE18" s="473"/>
      <c r="BF18" s="473"/>
      <c r="BG18" s="473"/>
      <c r="BH18" s="473"/>
      <c r="BI18" s="473"/>
      <c r="BJ18" s="473"/>
      <c r="BK18" s="473"/>
      <c r="BL18" s="473"/>
      <c r="BM18" s="473"/>
      <c r="BN18" s="473"/>
      <c r="BO18" s="473"/>
      <c r="BP18" s="473"/>
      <c r="BQ18" s="473"/>
      <c r="BR18" s="473"/>
      <c r="BS18" s="473"/>
      <c r="BT18" s="473"/>
      <c r="BU18" s="473"/>
      <c r="BV18" s="473"/>
      <c r="BW18" s="473"/>
      <c r="BX18" s="473"/>
      <c r="BY18" s="473"/>
      <c r="BZ18" s="473"/>
      <c r="CA18" s="473"/>
      <c r="CB18" s="473"/>
      <c r="CC18" s="473"/>
      <c r="CD18" s="473"/>
      <c r="CE18" s="473"/>
      <c r="CF18" s="473"/>
      <c r="CG18" s="473"/>
      <c r="CH18" s="473"/>
      <c r="CI18" s="473"/>
      <c r="CJ18" s="473"/>
      <c r="CK18" s="473"/>
      <c r="CL18" s="473"/>
      <c r="CM18" s="473"/>
      <c r="CN18" s="473"/>
      <c r="CO18" s="473"/>
      <c r="CP18" s="473"/>
      <c r="CQ18" s="473"/>
      <c r="CR18" s="473"/>
      <c r="CS18" s="473"/>
      <c r="CT18" s="473"/>
      <c r="CU18" s="473"/>
      <c r="CV18" s="473"/>
      <c r="CW18" s="473"/>
      <c r="CX18" s="473"/>
      <c r="CY18" s="473"/>
      <c r="CZ18" s="473"/>
      <c r="DA18" s="473"/>
      <c r="DB18" s="473"/>
      <c r="DC18" s="473"/>
      <c r="DD18" s="473"/>
      <c r="DE18" s="473"/>
      <c r="DF18" s="473"/>
      <c r="DG18" s="473"/>
      <c r="DH18" s="473"/>
      <c r="DI18" s="473"/>
      <c r="DJ18" s="473"/>
      <c r="DK18" s="473"/>
      <c r="DL18" s="473"/>
      <c r="DM18" s="473"/>
      <c r="DN18" s="473"/>
      <c r="DO18" s="473"/>
      <c r="DP18" s="473"/>
      <c r="DQ18" s="473"/>
      <c r="DR18" s="473"/>
      <c r="DS18" s="473"/>
      <c r="DT18" s="473"/>
      <c r="DU18" s="473"/>
      <c r="DV18" s="473"/>
      <c r="DW18" s="473"/>
      <c r="DX18" s="473"/>
      <c r="DY18" s="473"/>
      <c r="DZ18" s="473"/>
      <c r="EA18" s="473"/>
      <c r="EB18" s="473"/>
      <c r="EC18" s="473"/>
      <c r="ED18" s="473"/>
      <c r="EE18" s="473"/>
      <c r="EF18" s="473"/>
      <c r="EG18" s="473"/>
      <c r="EH18" s="473"/>
      <c r="EI18" s="473"/>
      <c r="EJ18" s="473"/>
      <c r="EK18" s="473"/>
      <c r="EL18" s="473"/>
      <c r="EM18" s="473"/>
      <c r="EN18" s="473"/>
      <c r="EO18" s="473"/>
      <c r="EP18" s="473"/>
      <c r="EQ18" s="473"/>
      <c r="ER18" s="473"/>
      <c r="ES18" s="473"/>
      <c r="ET18" s="473"/>
      <c r="EU18" s="473"/>
      <c r="EV18" s="473"/>
      <c r="EW18" s="473"/>
      <c r="EX18" s="473"/>
      <c r="EY18" s="473"/>
      <c r="EZ18" s="473"/>
      <c r="FA18" s="473"/>
      <c r="FB18" s="473"/>
      <c r="FC18" s="473"/>
      <c r="FD18" s="473"/>
      <c r="FE18" s="473"/>
      <c r="FF18" s="473"/>
      <c r="FG18" s="473"/>
      <c r="FH18" s="473"/>
      <c r="FI18" s="473"/>
      <c r="FJ18" s="473"/>
      <c r="FK18" s="473"/>
      <c r="FL18" s="473"/>
      <c r="FM18" s="473"/>
      <c r="FN18" s="473"/>
      <c r="FO18" s="473"/>
      <c r="FP18" s="473"/>
      <c r="FQ18" s="473"/>
      <c r="FR18" s="473"/>
      <c r="FS18" s="473"/>
      <c r="FT18" s="473"/>
      <c r="FU18" s="473"/>
      <c r="FV18" s="473"/>
      <c r="FW18" s="473"/>
      <c r="FX18" s="473"/>
      <c r="FY18" s="473"/>
      <c r="FZ18" s="473"/>
      <c r="GA18" s="473"/>
      <c r="GB18" s="473"/>
      <c r="GC18" s="473"/>
      <c r="GD18" s="473"/>
      <c r="GE18" s="473"/>
      <c r="GF18" s="473"/>
      <c r="GG18" s="473"/>
      <c r="GH18" s="473"/>
      <c r="GI18" s="473"/>
      <c r="GJ18" s="473"/>
      <c r="GK18" s="473"/>
      <c r="GL18" s="473"/>
      <c r="GM18" s="473"/>
      <c r="GN18" s="473"/>
      <c r="GO18" s="473"/>
      <c r="GP18" s="473"/>
      <c r="GQ18" s="473"/>
      <c r="GR18" s="473"/>
      <c r="GS18" s="473"/>
      <c r="GT18" s="473"/>
      <c r="GU18" s="473"/>
      <c r="GV18" s="473"/>
      <c r="GW18" s="473"/>
      <c r="GX18" s="473"/>
      <c r="GY18" s="473"/>
      <c r="GZ18" s="473"/>
      <c r="HA18" s="473"/>
      <c r="HB18" s="473"/>
      <c r="HC18" s="473"/>
      <c r="HD18" s="473"/>
      <c r="HE18" s="473"/>
      <c r="HF18" s="473"/>
      <c r="HG18" s="473"/>
      <c r="HH18" s="473"/>
      <c r="HI18" s="473"/>
      <c r="HJ18" s="473"/>
      <c r="HK18" s="473"/>
      <c r="HL18" s="473"/>
      <c r="HM18" s="473"/>
      <c r="HN18" s="473"/>
      <c r="HO18" s="473"/>
      <c r="HP18" s="473"/>
      <c r="HQ18" s="473"/>
      <c r="HR18" s="473"/>
      <c r="HS18" s="473"/>
      <c r="HT18" s="473"/>
      <c r="HU18" s="473"/>
      <c r="HV18" s="473"/>
      <c r="HW18" s="473"/>
      <c r="HX18" s="473"/>
      <c r="HY18" s="473"/>
      <c r="HZ18" s="473"/>
      <c r="IA18" s="473"/>
      <c r="IB18" s="473"/>
      <c r="IC18" s="473"/>
      <c r="ID18" s="473"/>
      <c r="IE18" s="473"/>
      <c r="IF18" s="473"/>
      <c r="IG18" s="473"/>
      <c r="IH18" s="473"/>
      <c r="II18" s="473"/>
      <c r="IJ18" s="473"/>
      <c r="IK18" s="473"/>
      <c r="IL18" s="473"/>
      <c r="IM18" s="473"/>
      <c r="IN18" s="473"/>
      <c r="IO18" s="473"/>
      <c r="IP18" s="473"/>
      <c r="IQ18" s="473"/>
      <c r="IR18" s="473"/>
      <c r="IS18" s="473"/>
      <c r="IT18" s="473"/>
      <c r="IU18" s="473"/>
      <c r="IV18" s="473"/>
      <c r="IW18" s="473"/>
    </row>
    <row r="19" customFormat="false" ht="12.6" hidden="false" customHeight="true" outlineLevel="0" collapsed="false">
      <c r="A19" s="403" t="s">
        <v>410</v>
      </c>
      <c r="B19" s="473"/>
      <c r="C19" s="404" t="n">
        <f aca="false">IF(C3&gt;ProjectLife+1,0,(C17-C20)*'PPA Assumptions &amp;Summary'!C7/12)</f>
        <v>0</v>
      </c>
      <c r="D19" s="404" t="n">
        <f aca="false">IF(D3&gt;ProjectLife+1,0,(D17-D20)*'PPA Assumptions &amp;Summary'!D7/12)</f>
        <v>0</v>
      </c>
      <c r="E19" s="404" t="n">
        <f aca="false">IF(E3&gt;ProjectLife+1,0,(E17-E20)*'PPA Assumptions &amp;Summary'!E7/12)</f>
        <v>0</v>
      </c>
      <c r="F19" s="404" t="n">
        <f aca="false">IF(F3&gt;ProjectLife+1,0,(F17-F20)*'PPA Assumptions &amp;Summary'!F7/12)</f>
        <v>376.231650277778</v>
      </c>
      <c r="G19" s="404" t="n">
        <f aca="false">IF(G3&gt;ProjectLife+1,0,(G17-G20)*'PPA Assumptions &amp;Summary'!G7/12)</f>
        <v>639.53036</v>
      </c>
      <c r="H19" s="404" t="n">
        <f aca="false">IF(H3&gt;ProjectLife+1,0,(H17-H20)*'PPA Assumptions &amp;Summary'!H7/12)</f>
        <v>639.53036</v>
      </c>
      <c r="I19" s="404" t="n">
        <f aca="false">IF(I3&gt;ProjectLife+1,0,(I17-I20)*'PPA Assumptions &amp;Summary'!I7/12)</f>
        <v>639.53036</v>
      </c>
      <c r="J19" s="404" t="n">
        <f aca="false">IF(J3&gt;ProjectLife+1,0,(J17-J20)*'PPA Assumptions &amp;Summary'!J7/12)</f>
        <v>639.53036</v>
      </c>
      <c r="K19" s="404" t="n">
        <f aca="false">IF(K3&gt;ProjectLife+1,0,(K17-K20)*'PPA Assumptions &amp;Summary'!K7/12)</f>
        <v>639.53036</v>
      </c>
      <c r="L19" s="404" t="n">
        <f aca="false">IF(L3&gt;ProjectLife+1,0,(L17-L20)*'PPA Assumptions &amp;Summary'!L7/12)</f>
        <v>639.53036</v>
      </c>
      <c r="M19" s="404" t="n">
        <f aca="false">IF(M3&gt;ProjectLife+1,0,(M17-M20)*'PPA Assumptions &amp;Summary'!M7/12)</f>
        <v>639.53036</v>
      </c>
      <c r="N19" s="404" t="n">
        <f aca="false">IF(N3&gt;ProjectLife+1,0,(N17-N20)*'PPA Assumptions &amp;Summary'!N7/12)</f>
        <v>639.53036</v>
      </c>
      <c r="O19" s="404" t="n">
        <f aca="false">IF(O3&gt;ProjectLife+1,0,(O17-O20)*'PPA Assumptions &amp;Summary'!O7/12)</f>
        <v>639.53036</v>
      </c>
      <c r="P19" s="404" t="n">
        <f aca="false">IF(P3&gt;ProjectLife+1,0,(P17-P20)*'PPA Assumptions &amp;Summary'!P7/12)</f>
        <v>639.53036</v>
      </c>
      <c r="Q19" s="404" t="n">
        <f aca="false">IF(Q3&gt;ProjectLife+1,0,(Q17-Q20)*'PPA Assumptions &amp;Summary'!Q7/12)</f>
        <v>639.53036</v>
      </c>
      <c r="R19" s="404" t="n">
        <f aca="false">IF(R3&gt;ProjectLife+1,0,(R17-R20)*'PPA Assumptions &amp;Summary'!R7/12)</f>
        <v>639.53036</v>
      </c>
      <c r="S19" s="404" t="n">
        <f aca="false">IF(S3&gt;ProjectLife+1,0,(S17-S20)*'PPA Assumptions &amp;Summary'!S7/12)</f>
        <v>639.53036</v>
      </c>
      <c r="T19" s="404" t="n">
        <f aca="false">IF(T3&gt;ProjectLife+1,0,(T17-T20)*'PPA Assumptions &amp;Summary'!T7/12)</f>
        <v>639.53036</v>
      </c>
      <c r="U19" s="404" t="n">
        <f aca="false">IF(U3&gt;ProjectLife+1,0,(U17-U20)*'PPA Assumptions &amp;Summary'!U7/12)</f>
        <v>639.53036</v>
      </c>
      <c r="V19" s="404" t="n">
        <f aca="false">IF(V3&gt;ProjectLife+1,0,(V17-V20)*'PPA Assumptions &amp;Summary'!V7/12)</f>
        <v>639.53036</v>
      </c>
      <c r="W19" s="480" t="n">
        <f aca="false">IF(W3&gt;ProjectLife+1,0,(W17-W20)*'PPA Assumptions &amp;Summary'!W7/12)</f>
        <v>269.643256944444</v>
      </c>
      <c r="X19" s="434"/>
      <c r="Y19" s="434"/>
      <c r="Z19" s="434"/>
      <c r="AA19" s="434"/>
      <c r="AB19" s="473"/>
      <c r="AC19" s="473"/>
      <c r="AD19" s="473"/>
      <c r="AE19" s="473"/>
      <c r="AF19" s="473"/>
      <c r="AG19" s="473"/>
      <c r="AH19" s="473"/>
      <c r="AI19" s="473"/>
      <c r="AJ19" s="473"/>
      <c r="AK19" s="473"/>
      <c r="AL19" s="473"/>
      <c r="AM19" s="473"/>
      <c r="AN19" s="473"/>
      <c r="AO19" s="473"/>
      <c r="AP19" s="473"/>
      <c r="AQ19" s="473"/>
      <c r="AR19" s="473"/>
      <c r="AS19" s="473"/>
      <c r="AT19" s="473"/>
      <c r="AU19" s="473"/>
      <c r="AV19" s="473"/>
      <c r="AW19" s="473"/>
      <c r="AX19" s="473"/>
      <c r="AY19" s="473"/>
      <c r="AZ19" s="473"/>
      <c r="BA19" s="473"/>
      <c r="BB19" s="473"/>
      <c r="BC19" s="473"/>
      <c r="BD19" s="473"/>
      <c r="BE19" s="473"/>
      <c r="BF19" s="473"/>
      <c r="BG19" s="473"/>
      <c r="BH19" s="473"/>
      <c r="BI19" s="473"/>
      <c r="BJ19" s="473"/>
      <c r="BK19" s="473"/>
      <c r="BL19" s="473"/>
      <c r="BM19" s="473"/>
      <c r="BN19" s="473"/>
      <c r="BO19" s="473"/>
      <c r="BP19" s="473"/>
      <c r="BQ19" s="473"/>
      <c r="BR19" s="473"/>
      <c r="BS19" s="473"/>
      <c r="BT19" s="473"/>
      <c r="BU19" s="473"/>
      <c r="BV19" s="473"/>
      <c r="BW19" s="473"/>
      <c r="BX19" s="473"/>
      <c r="BY19" s="473"/>
      <c r="BZ19" s="473"/>
      <c r="CA19" s="473"/>
      <c r="CB19" s="473"/>
      <c r="CC19" s="473"/>
      <c r="CD19" s="473"/>
      <c r="CE19" s="473"/>
      <c r="CF19" s="473"/>
      <c r="CG19" s="473"/>
      <c r="CH19" s="473"/>
      <c r="CI19" s="473"/>
      <c r="CJ19" s="473"/>
      <c r="CK19" s="473"/>
      <c r="CL19" s="473"/>
      <c r="CM19" s="473"/>
      <c r="CN19" s="473"/>
      <c r="CO19" s="473"/>
      <c r="CP19" s="473"/>
      <c r="CQ19" s="473"/>
      <c r="CR19" s="473"/>
      <c r="CS19" s="473"/>
      <c r="CT19" s="473"/>
      <c r="CU19" s="473"/>
      <c r="CV19" s="473"/>
      <c r="CW19" s="473"/>
      <c r="CX19" s="473"/>
      <c r="CY19" s="473"/>
      <c r="CZ19" s="473"/>
      <c r="DA19" s="473"/>
      <c r="DB19" s="473"/>
      <c r="DC19" s="473"/>
      <c r="DD19" s="473"/>
      <c r="DE19" s="473"/>
      <c r="DF19" s="473"/>
      <c r="DG19" s="473"/>
      <c r="DH19" s="473"/>
      <c r="DI19" s="473"/>
      <c r="DJ19" s="473"/>
      <c r="DK19" s="473"/>
      <c r="DL19" s="473"/>
      <c r="DM19" s="473"/>
      <c r="DN19" s="473"/>
      <c r="DO19" s="473"/>
      <c r="DP19" s="473"/>
      <c r="DQ19" s="473"/>
      <c r="DR19" s="473"/>
      <c r="DS19" s="473"/>
      <c r="DT19" s="473"/>
      <c r="DU19" s="473"/>
      <c r="DV19" s="473"/>
      <c r="DW19" s="473"/>
      <c r="DX19" s="473"/>
      <c r="DY19" s="473"/>
      <c r="DZ19" s="473"/>
      <c r="EA19" s="473"/>
      <c r="EB19" s="473"/>
      <c r="EC19" s="473"/>
      <c r="ED19" s="473"/>
      <c r="EE19" s="473"/>
      <c r="EF19" s="473"/>
      <c r="EG19" s="473"/>
      <c r="EH19" s="473"/>
      <c r="EI19" s="473"/>
      <c r="EJ19" s="473"/>
      <c r="EK19" s="473"/>
      <c r="EL19" s="473"/>
      <c r="EM19" s="473"/>
      <c r="EN19" s="473"/>
      <c r="EO19" s="473"/>
      <c r="EP19" s="473"/>
      <c r="EQ19" s="473"/>
      <c r="ER19" s="473"/>
      <c r="ES19" s="473"/>
      <c r="ET19" s="473"/>
      <c r="EU19" s="473"/>
      <c r="EV19" s="473"/>
      <c r="EW19" s="473"/>
      <c r="EX19" s="473"/>
      <c r="EY19" s="473"/>
      <c r="EZ19" s="473"/>
      <c r="FA19" s="473"/>
      <c r="FB19" s="473"/>
      <c r="FC19" s="473"/>
      <c r="FD19" s="473"/>
      <c r="FE19" s="473"/>
      <c r="FF19" s="473"/>
      <c r="FG19" s="473"/>
      <c r="FH19" s="473"/>
      <c r="FI19" s="473"/>
      <c r="FJ19" s="473"/>
      <c r="FK19" s="473"/>
      <c r="FL19" s="473"/>
      <c r="FM19" s="473"/>
      <c r="FN19" s="473"/>
      <c r="FO19" s="473"/>
      <c r="FP19" s="473"/>
      <c r="FQ19" s="473"/>
      <c r="FR19" s="473"/>
      <c r="FS19" s="473"/>
      <c r="FT19" s="473"/>
      <c r="FU19" s="473"/>
      <c r="FV19" s="473"/>
      <c r="FW19" s="473"/>
      <c r="FX19" s="473"/>
      <c r="FY19" s="473"/>
      <c r="FZ19" s="473"/>
      <c r="GA19" s="473"/>
      <c r="GB19" s="473"/>
      <c r="GC19" s="473"/>
      <c r="GD19" s="473"/>
      <c r="GE19" s="473"/>
      <c r="GF19" s="473"/>
      <c r="GG19" s="473"/>
      <c r="GH19" s="473"/>
      <c r="GI19" s="473"/>
      <c r="GJ19" s="473"/>
      <c r="GK19" s="473"/>
      <c r="GL19" s="473"/>
      <c r="GM19" s="473"/>
      <c r="GN19" s="473"/>
      <c r="GO19" s="473"/>
      <c r="GP19" s="473"/>
      <c r="GQ19" s="473"/>
      <c r="GR19" s="473"/>
      <c r="GS19" s="473"/>
      <c r="GT19" s="473"/>
      <c r="GU19" s="473"/>
      <c r="GV19" s="473"/>
      <c r="GW19" s="473"/>
      <c r="GX19" s="473"/>
      <c r="GY19" s="473"/>
      <c r="GZ19" s="473"/>
      <c r="HA19" s="473"/>
      <c r="HB19" s="473"/>
      <c r="HC19" s="473"/>
      <c r="HD19" s="473"/>
      <c r="HE19" s="473"/>
      <c r="HF19" s="473"/>
      <c r="HG19" s="473"/>
      <c r="HH19" s="473"/>
      <c r="HI19" s="473"/>
      <c r="HJ19" s="473"/>
      <c r="HK19" s="473"/>
      <c r="HL19" s="473"/>
      <c r="HM19" s="473"/>
      <c r="HN19" s="473"/>
      <c r="HO19" s="473"/>
      <c r="HP19" s="473"/>
      <c r="HQ19" s="473"/>
      <c r="HR19" s="473"/>
      <c r="HS19" s="473"/>
      <c r="HT19" s="473"/>
      <c r="HU19" s="473"/>
      <c r="HV19" s="473"/>
      <c r="HW19" s="473"/>
      <c r="HX19" s="473"/>
      <c r="HY19" s="473"/>
      <c r="HZ19" s="473"/>
      <c r="IA19" s="473"/>
      <c r="IB19" s="473"/>
      <c r="IC19" s="473"/>
      <c r="ID19" s="473"/>
      <c r="IE19" s="473"/>
      <c r="IF19" s="473"/>
      <c r="IG19" s="473"/>
      <c r="IH19" s="473"/>
      <c r="II19" s="473"/>
      <c r="IJ19" s="473"/>
      <c r="IK19" s="473"/>
      <c r="IL19" s="473"/>
      <c r="IM19" s="473"/>
      <c r="IN19" s="473"/>
      <c r="IO19" s="473"/>
      <c r="IP19" s="473"/>
      <c r="IQ19" s="473"/>
      <c r="IR19" s="473"/>
      <c r="IS19" s="473"/>
      <c r="IT19" s="473"/>
      <c r="IU19" s="473"/>
      <c r="IV19" s="473"/>
      <c r="IW19" s="473"/>
    </row>
    <row r="20" customFormat="false" ht="12.6" hidden="false" customHeight="true" outlineLevel="0" collapsed="false">
      <c r="A20" s="403" t="s">
        <v>414</v>
      </c>
      <c r="B20" s="473"/>
      <c r="C20" s="404" t="n">
        <f aca="false">C17*Cap_Factor_Energy*'PPA Assumptions &amp;Summary'!C7/12</f>
        <v>0</v>
      </c>
      <c r="D20" s="404" t="n">
        <f aca="false">D17*Cap_Factor_Energy*'PPA Assumptions &amp;Summary'!D7/12</f>
        <v>0</v>
      </c>
      <c r="E20" s="404" t="n">
        <f aca="false">E17*Cap_Factor_Energy*'PPA Assumptions &amp;Summary'!E7/12</f>
        <v>0</v>
      </c>
      <c r="F20" s="404" t="n">
        <f aca="false">F17*Cap_Factor_Energy*'PPA Assumptions &amp;Summary'!F7/12</f>
        <v>7.61345666666667</v>
      </c>
      <c r="G20" s="404" t="n">
        <f aca="false">G17*Cap_Factor_Energy*'PPA Assumptions &amp;Summary'!G7/12</f>
        <v>13.05164</v>
      </c>
      <c r="H20" s="404" t="n">
        <f aca="false">H17*Cap_Factor_Energy*'PPA Assumptions &amp;Summary'!H7/12</f>
        <v>13.05164</v>
      </c>
      <c r="I20" s="404" t="n">
        <f aca="false">I17*Cap_Factor_Energy*'PPA Assumptions &amp;Summary'!I7/12</f>
        <v>13.05164</v>
      </c>
      <c r="J20" s="404" t="n">
        <f aca="false">J17*Cap_Factor_Energy*'PPA Assumptions &amp;Summary'!J7/12</f>
        <v>13.05164</v>
      </c>
      <c r="K20" s="404" t="n">
        <f aca="false">K17*Cap_Factor_Energy*'PPA Assumptions &amp;Summary'!K7/12</f>
        <v>13.05164</v>
      </c>
      <c r="L20" s="404" t="n">
        <f aca="false">L17*Cap_Factor_Energy*'PPA Assumptions &amp;Summary'!L7/12</f>
        <v>13.05164</v>
      </c>
      <c r="M20" s="404" t="n">
        <f aca="false">M17*Cap_Factor_Energy*'PPA Assumptions &amp;Summary'!M7/12</f>
        <v>13.05164</v>
      </c>
      <c r="N20" s="404" t="n">
        <f aca="false">N17*Cap_Factor_Energy*'PPA Assumptions &amp;Summary'!N7/12</f>
        <v>13.05164</v>
      </c>
      <c r="O20" s="404" t="n">
        <f aca="false">O17*Cap_Factor_Energy*'PPA Assumptions &amp;Summary'!O7/12</f>
        <v>13.05164</v>
      </c>
      <c r="P20" s="404" t="n">
        <f aca="false">P17*Cap_Factor_Energy*'PPA Assumptions &amp;Summary'!P7/12</f>
        <v>13.05164</v>
      </c>
      <c r="Q20" s="404" t="n">
        <f aca="false">Q17*Cap_Factor_Energy*'PPA Assumptions &amp;Summary'!Q7/12</f>
        <v>13.05164</v>
      </c>
      <c r="R20" s="404" t="n">
        <f aca="false">R17*Cap_Factor_Energy*'PPA Assumptions &amp;Summary'!R7/12</f>
        <v>13.05164</v>
      </c>
      <c r="S20" s="404" t="n">
        <f aca="false">S17*Cap_Factor_Energy*'PPA Assumptions &amp;Summary'!S7/12</f>
        <v>13.05164</v>
      </c>
      <c r="T20" s="404" t="n">
        <f aca="false">T17*Cap_Factor_Energy*'PPA Assumptions &amp;Summary'!T7/12</f>
        <v>13.05164</v>
      </c>
      <c r="U20" s="404" t="n">
        <f aca="false">U17*Cap_Factor_Energy*'PPA Assumptions &amp;Summary'!U7/12</f>
        <v>13.05164</v>
      </c>
      <c r="V20" s="404" t="n">
        <f aca="false">V17*Cap_Factor_Energy*'PPA Assumptions &amp;Summary'!V7/12</f>
        <v>13.05164</v>
      </c>
      <c r="W20" s="480" t="n">
        <f aca="false">W17*Cap_Factor_Energy*'PPA Assumptions &amp;Summary'!W7/12</f>
        <v>5.43818333333333</v>
      </c>
      <c r="X20" s="434"/>
      <c r="Y20" s="434"/>
      <c r="Z20" s="434"/>
      <c r="AA20" s="434"/>
      <c r="AB20" s="473"/>
      <c r="AC20" s="473"/>
      <c r="AD20" s="473"/>
      <c r="AE20" s="473"/>
      <c r="AF20" s="473"/>
      <c r="AG20" s="473"/>
      <c r="AH20" s="473"/>
      <c r="AI20" s="473"/>
      <c r="AJ20" s="473"/>
      <c r="AK20" s="473"/>
      <c r="AL20" s="473"/>
      <c r="AM20" s="473"/>
      <c r="AN20" s="473"/>
      <c r="AO20" s="473"/>
      <c r="AP20" s="473"/>
      <c r="AQ20" s="473"/>
      <c r="AR20" s="473"/>
      <c r="AS20" s="473"/>
      <c r="AT20" s="473"/>
      <c r="AU20" s="473"/>
      <c r="AV20" s="473"/>
      <c r="AW20" s="473"/>
      <c r="AX20" s="473"/>
      <c r="AY20" s="473"/>
      <c r="AZ20" s="473"/>
      <c r="BA20" s="473"/>
      <c r="BB20" s="473"/>
      <c r="BC20" s="473"/>
      <c r="BD20" s="473"/>
      <c r="BE20" s="473"/>
      <c r="BF20" s="473"/>
      <c r="BG20" s="473"/>
      <c r="BH20" s="473"/>
      <c r="BI20" s="473"/>
      <c r="BJ20" s="473"/>
      <c r="BK20" s="473"/>
      <c r="BL20" s="473"/>
      <c r="BM20" s="473"/>
      <c r="BN20" s="473"/>
      <c r="BO20" s="473"/>
      <c r="BP20" s="473"/>
      <c r="BQ20" s="473"/>
      <c r="BR20" s="473"/>
      <c r="BS20" s="473"/>
      <c r="BT20" s="473"/>
      <c r="BU20" s="473"/>
      <c r="BV20" s="473"/>
      <c r="BW20" s="473"/>
      <c r="BX20" s="473"/>
      <c r="BY20" s="473"/>
      <c r="BZ20" s="473"/>
      <c r="CA20" s="473"/>
      <c r="CB20" s="473"/>
      <c r="CC20" s="473"/>
      <c r="CD20" s="473"/>
      <c r="CE20" s="473"/>
      <c r="CF20" s="473"/>
      <c r="CG20" s="473"/>
      <c r="CH20" s="473"/>
      <c r="CI20" s="473"/>
      <c r="CJ20" s="473"/>
      <c r="CK20" s="473"/>
      <c r="CL20" s="473"/>
      <c r="CM20" s="473"/>
      <c r="CN20" s="473"/>
      <c r="CO20" s="473"/>
      <c r="CP20" s="473"/>
      <c r="CQ20" s="473"/>
      <c r="CR20" s="473"/>
      <c r="CS20" s="473"/>
      <c r="CT20" s="473"/>
      <c r="CU20" s="473"/>
      <c r="CV20" s="473"/>
      <c r="CW20" s="473"/>
      <c r="CX20" s="473"/>
      <c r="CY20" s="473"/>
      <c r="CZ20" s="473"/>
      <c r="DA20" s="473"/>
      <c r="DB20" s="473"/>
      <c r="DC20" s="473"/>
      <c r="DD20" s="473"/>
      <c r="DE20" s="473"/>
      <c r="DF20" s="473"/>
      <c r="DG20" s="473"/>
      <c r="DH20" s="473"/>
      <c r="DI20" s="473"/>
      <c r="DJ20" s="473"/>
      <c r="DK20" s="473"/>
      <c r="DL20" s="473"/>
      <c r="DM20" s="473"/>
      <c r="DN20" s="473"/>
      <c r="DO20" s="473"/>
      <c r="DP20" s="473"/>
      <c r="DQ20" s="473"/>
      <c r="DR20" s="473"/>
      <c r="DS20" s="473"/>
      <c r="DT20" s="473"/>
      <c r="DU20" s="473"/>
      <c r="DV20" s="473"/>
      <c r="DW20" s="473"/>
      <c r="DX20" s="473"/>
      <c r="DY20" s="473"/>
      <c r="DZ20" s="473"/>
      <c r="EA20" s="473"/>
      <c r="EB20" s="473"/>
      <c r="EC20" s="473"/>
      <c r="ED20" s="473"/>
      <c r="EE20" s="473"/>
      <c r="EF20" s="473"/>
      <c r="EG20" s="473"/>
      <c r="EH20" s="473"/>
      <c r="EI20" s="473"/>
      <c r="EJ20" s="473"/>
      <c r="EK20" s="473"/>
      <c r="EL20" s="473"/>
      <c r="EM20" s="473"/>
      <c r="EN20" s="473"/>
      <c r="EO20" s="473"/>
      <c r="EP20" s="473"/>
      <c r="EQ20" s="473"/>
      <c r="ER20" s="473"/>
      <c r="ES20" s="473"/>
      <c r="ET20" s="473"/>
      <c r="EU20" s="473"/>
      <c r="EV20" s="473"/>
      <c r="EW20" s="473"/>
      <c r="EX20" s="473"/>
      <c r="EY20" s="473"/>
      <c r="EZ20" s="473"/>
      <c r="FA20" s="473"/>
      <c r="FB20" s="473"/>
      <c r="FC20" s="473"/>
      <c r="FD20" s="473"/>
      <c r="FE20" s="473"/>
      <c r="FF20" s="473"/>
      <c r="FG20" s="473"/>
      <c r="FH20" s="473"/>
      <c r="FI20" s="473"/>
      <c r="FJ20" s="473"/>
      <c r="FK20" s="473"/>
      <c r="FL20" s="473"/>
      <c r="FM20" s="473"/>
      <c r="FN20" s="473"/>
      <c r="FO20" s="473"/>
      <c r="FP20" s="473"/>
      <c r="FQ20" s="473"/>
      <c r="FR20" s="473"/>
      <c r="FS20" s="473"/>
      <c r="FT20" s="473"/>
      <c r="FU20" s="473"/>
      <c r="FV20" s="473"/>
      <c r="FW20" s="473"/>
      <c r="FX20" s="473"/>
      <c r="FY20" s="473"/>
      <c r="FZ20" s="473"/>
      <c r="GA20" s="473"/>
      <c r="GB20" s="473"/>
      <c r="GC20" s="473"/>
      <c r="GD20" s="473"/>
      <c r="GE20" s="473"/>
      <c r="GF20" s="473"/>
      <c r="GG20" s="473"/>
      <c r="GH20" s="473"/>
      <c r="GI20" s="473"/>
      <c r="GJ20" s="473"/>
      <c r="GK20" s="473"/>
      <c r="GL20" s="473"/>
      <c r="GM20" s="473"/>
      <c r="GN20" s="473"/>
      <c r="GO20" s="473"/>
      <c r="GP20" s="473"/>
      <c r="GQ20" s="473"/>
      <c r="GR20" s="473"/>
      <c r="GS20" s="473"/>
      <c r="GT20" s="473"/>
      <c r="GU20" s="473"/>
      <c r="GV20" s="473"/>
      <c r="GW20" s="473"/>
      <c r="GX20" s="473"/>
      <c r="GY20" s="473"/>
      <c r="GZ20" s="473"/>
      <c r="HA20" s="473"/>
      <c r="HB20" s="473"/>
      <c r="HC20" s="473"/>
      <c r="HD20" s="473"/>
      <c r="HE20" s="473"/>
      <c r="HF20" s="473"/>
      <c r="HG20" s="473"/>
      <c r="HH20" s="473"/>
      <c r="HI20" s="473"/>
      <c r="HJ20" s="473"/>
      <c r="HK20" s="473"/>
      <c r="HL20" s="473"/>
      <c r="HM20" s="473"/>
      <c r="HN20" s="473"/>
      <c r="HO20" s="473"/>
      <c r="HP20" s="473"/>
      <c r="HQ20" s="473"/>
      <c r="HR20" s="473"/>
      <c r="HS20" s="473"/>
      <c r="HT20" s="473"/>
      <c r="HU20" s="473"/>
      <c r="HV20" s="473"/>
      <c r="HW20" s="473"/>
      <c r="HX20" s="473"/>
      <c r="HY20" s="473"/>
      <c r="HZ20" s="473"/>
      <c r="IA20" s="473"/>
      <c r="IB20" s="473"/>
      <c r="IC20" s="473"/>
      <c r="ID20" s="473"/>
      <c r="IE20" s="473"/>
      <c r="IF20" s="473"/>
      <c r="IG20" s="473"/>
      <c r="IH20" s="473"/>
      <c r="II20" s="473"/>
      <c r="IJ20" s="473"/>
      <c r="IK20" s="473"/>
      <c r="IL20" s="473"/>
      <c r="IM20" s="473"/>
      <c r="IN20" s="473"/>
      <c r="IO20" s="473"/>
      <c r="IP20" s="473"/>
      <c r="IQ20" s="473"/>
      <c r="IR20" s="473"/>
      <c r="IS20" s="473"/>
      <c r="IT20" s="473"/>
      <c r="IU20" s="473"/>
      <c r="IV20" s="473"/>
      <c r="IW20" s="473"/>
    </row>
    <row r="21" customFormat="false" ht="12.6" hidden="false" customHeight="true" outlineLevel="0" collapsed="false">
      <c r="A21" s="403" t="s">
        <v>411</v>
      </c>
      <c r="B21" s="473"/>
      <c r="C21" s="481" t="n">
        <f aca="false">IF(C3&gt;'Project Assumptions'!$I$15+1,0,'Project Assumptions'!$G$14)</f>
        <v>1200</v>
      </c>
      <c r="D21" s="481" t="n">
        <f aca="false">IF(D3&gt;'Project Assumptions'!$I$15+1,0,'Project Assumptions'!$G$14)</f>
        <v>1200</v>
      </c>
      <c r="E21" s="481" t="n">
        <f aca="false">IF(E3&gt;'Project Assumptions'!$I$15+1,0,'Project Assumptions'!$G$14)</f>
        <v>1200</v>
      </c>
      <c r="F21" s="481" t="n">
        <f aca="false">IF(F3&gt;'Project Assumptions'!$I$15+1,0,'Project Assumptions'!$G$14)</f>
        <v>1200</v>
      </c>
      <c r="G21" s="481" t="n">
        <f aca="false">IF(G3&gt;'Project Assumptions'!$I$15+1,0,'Project Assumptions'!$G$14)</f>
        <v>1200</v>
      </c>
      <c r="H21" s="481" t="n">
        <f aca="false">IF(H3&gt;'Project Assumptions'!$I$15+1,0,'Project Assumptions'!$G$14)</f>
        <v>1200</v>
      </c>
      <c r="I21" s="481" t="n">
        <f aca="false">IF(I3&gt;'Project Assumptions'!$I$15+1,0,'Project Assumptions'!$G$14)</f>
        <v>1200</v>
      </c>
      <c r="J21" s="481" t="n">
        <f aca="false">IF(J3&gt;'Project Assumptions'!$I$15+1,0,'Project Assumptions'!$G$14)</f>
        <v>1200</v>
      </c>
      <c r="K21" s="481" t="n">
        <f aca="false">IF(K3&gt;'Project Assumptions'!$I$15+1,0,'Project Assumptions'!$G$14)</f>
        <v>1200</v>
      </c>
      <c r="L21" s="481" t="n">
        <f aca="false">IF(L3&gt;'Project Assumptions'!$I$15+1,0,'Project Assumptions'!$G$14)</f>
        <v>1200</v>
      </c>
      <c r="M21" s="481" t="n">
        <f aca="false">IF(M3&gt;'Project Assumptions'!$I$15+1,0,'Project Assumptions'!$G$14)</f>
        <v>1200</v>
      </c>
      <c r="N21" s="481" t="n">
        <f aca="false">IF(N3&gt;'Project Assumptions'!$I$15+1,0,'Project Assumptions'!$G$14)</f>
        <v>1200</v>
      </c>
      <c r="O21" s="481" t="n">
        <f aca="false">IF(O3&gt;'Project Assumptions'!$I$15+1,0,'Project Assumptions'!$G$14)</f>
        <v>1200</v>
      </c>
      <c r="P21" s="481" t="n">
        <f aca="false">IF(P3&gt;'Project Assumptions'!$I$15+1,0,'Project Assumptions'!$G$14)</f>
        <v>1200</v>
      </c>
      <c r="Q21" s="481" t="n">
        <f aca="false">IF(Q3&gt;'Project Assumptions'!$I$15+1,0,'Project Assumptions'!$G$14)</f>
        <v>1200</v>
      </c>
      <c r="R21" s="481" t="n">
        <f aca="false">IF(R3&gt;'Project Assumptions'!$I$15+1,0,'Project Assumptions'!$G$14)</f>
        <v>1200</v>
      </c>
      <c r="S21" s="481" t="n">
        <f aca="false">IF(S3&gt;'Project Assumptions'!$I$15+1,0,'Project Assumptions'!$G$14)</f>
        <v>1200</v>
      </c>
      <c r="T21" s="481" t="n">
        <f aca="false">IF(T3&gt;'Project Assumptions'!$I$15+1,0,'Project Assumptions'!$G$14)</f>
        <v>1200</v>
      </c>
      <c r="U21" s="481" t="n">
        <f aca="false">IF(U3&gt;'Project Assumptions'!$I$15+1,0,'Project Assumptions'!$G$14)</f>
        <v>1200</v>
      </c>
      <c r="V21" s="481" t="n">
        <f aca="false">IF(V3&gt;'Project Assumptions'!$I$15+1,0,'Project Assumptions'!$G$14)</f>
        <v>1200</v>
      </c>
      <c r="W21" s="431" t="n">
        <f aca="false">IF(W3&gt;'Project Assumptions'!$I$15+1,0,'Project Assumptions'!$G$14)</f>
        <v>1200</v>
      </c>
      <c r="X21" s="434"/>
      <c r="Y21" s="434"/>
      <c r="Z21" s="434"/>
      <c r="AA21" s="434"/>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3"/>
      <c r="AY21" s="473"/>
      <c r="AZ21" s="473"/>
      <c r="BA21" s="473"/>
      <c r="BB21" s="473"/>
      <c r="BC21" s="473"/>
      <c r="BD21" s="473"/>
      <c r="BE21" s="473"/>
      <c r="BF21" s="473"/>
      <c r="BG21" s="473"/>
      <c r="BH21" s="473"/>
      <c r="BI21" s="473"/>
      <c r="BJ21" s="473"/>
      <c r="BK21" s="473"/>
      <c r="BL21" s="473"/>
      <c r="BM21" s="473"/>
      <c r="BN21" s="473"/>
      <c r="BO21" s="473"/>
      <c r="BP21" s="473"/>
      <c r="BQ21" s="473"/>
      <c r="BR21" s="473"/>
      <c r="BS21" s="473"/>
      <c r="BT21" s="473"/>
      <c r="BU21" s="473"/>
      <c r="BV21" s="473"/>
      <c r="BW21" s="473"/>
      <c r="BX21" s="473"/>
      <c r="BY21" s="473"/>
      <c r="BZ21" s="473"/>
      <c r="CA21" s="473"/>
      <c r="CB21" s="473"/>
      <c r="CC21" s="473"/>
      <c r="CD21" s="473"/>
      <c r="CE21" s="473"/>
      <c r="CF21" s="473"/>
      <c r="CG21" s="473"/>
      <c r="CH21" s="473"/>
      <c r="CI21" s="473"/>
      <c r="CJ21" s="473"/>
      <c r="CK21" s="473"/>
      <c r="CL21" s="473"/>
      <c r="CM21" s="473"/>
      <c r="CN21" s="473"/>
      <c r="CO21" s="473"/>
      <c r="CP21" s="473"/>
      <c r="CQ21" s="473"/>
      <c r="CR21" s="473"/>
      <c r="CS21" s="473"/>
      <c r="CT21" s="473"/>
      <c r="CU21" s="473"/>
      <c r="CV21" s="473"/>
      <c r="CW21" s="473"/>
      <c r="CX21" s="473"/>
      <c r="CY21" s="473"/>
      <c r="CZ21" s="473"/>
      <c r="DA21" s="473"/>
      <c r="DB21" s="473"/>
      <c r="DC21" s="473"/>
      <c r="DD21" s="473"/>
      <c r="DE21" s="473"/>
      <c r="DF21" s="473"/>
      <c r="DG21" s="473"/>
      <c r="DH21" s="473"/>
      <c r="DI21" s="473"/>
      <c r="DJ21" s="473"/>
      <c r="DK21" s="473"/>
      <c r="DL21" s="473"/>
      <c r="DM21" s="473"/>
      <c r="DN21" s="473"/>
      <c r="DO21" s="473"/>
      <c r="DP21" s="473"/>
      <c r="DQ21" s="473"/>
      <c r="DR21" s="473"/>
      <c r="DS21" s="473"/>
      <c r="DT21" s="473"/>
      <c r="DU21" s="473"/>
      <c r="DV21" s="473"/>
      <c r="DW21" s="473"/>
      <c r="DX21" s="473"/>
      <c r="DY21" s="473"/>
      <c r="DZ21" s="473"/>
      <c r="EA21" s="473"/>
      <c r="EB21" s="473"/>
      <c r="EC21" s="473"/>
      <c r="ED21" s="473"/>
      <c r="EE21" s="473"/>
      <c r="EF21" s="473"/>
      <c r="EG21" s="473"/>
      <c r="EH21" s="473"/>
      <c r="EI21" s="473"/>
      <c r="EJ21" s="473"/>
      <c r="EK21" s="473"/>
      <c r="EL21" s="473"/>
      <c r="EM21" s="473"/>
      <c r="EN21" s="473"/>
      <c r="EO21" s="473"/>
      <c r="EP21" s="473"/>
      <c r="EQ21" s="473"/>
      <c r="ER21" s="473"/>
      <c r="ES21" s="473"/>
      <c r="ET21" s="473"/>
      <c r="EU21" s="473"/>
      <c r="EV21" s="473"/>
      <c r="EW21" s="473"/>
      <c r="EX21" s="473"/>
      <c r="EY21" s="473"/>
      <c r="EZ21" s="473"/>
      <c r="FA21" s="473"/>
      <c r="FB21" s="473"/>
      <c r="FC21" s="473"/>
      <c r="FD21" s="473"/>
      <c r="FE21" s="473"/>
      <c r="FF21" s="473"/>
      <c r="FG21" s="473"/>
      <c r="FH21" s="473"/>
      <c r="FI21" s="473"/>
      <c r="FJ21" s="473"/>
      <c r="FK21" s="473"/>
      <c r="FL21" s="473"/>
      <c r="FM21" s="473"/>
      <c r="FN21" s="473"/>
      <c r="FO21" s="473"/>
      <c r="FP21" s="473"/>
      <c r="FQ21" s="473"/>
      <c r="FR21" s="473"/>
      <c r="FS21" s="473"/>
      <c r="FT21" s="473"/>
      <c r="FU21" s="473"/>
      <c r="FV21" s="473"/>
      <c r="FW21" s="473"/>
      <c r="FX21" s="473"/>
      <c r="FY21" s="473"/>
      <c r="FZ21" s="473"/>
      <c r="GA21" s="473"/>
      <c r="GB21" s="473"/>
      <c r="GC21" s="473"/>
      <c r="GD21" s="473"/>
      <c r="GE21" s="473"/>
      <c r="GF21" s="473"/>
      <c r="GG21" s="473"/>
      <c r="GH21" s="473"/>
      <c r="GI21" s="473"/>
      <c r="GJ21" s="473"/>
      <c r="GK21" s="473"/>
      <c r="GL21" s="473"/>
      <c r="GM21" s="473"/>
      <c r="GN21" s="473"/>
      <c r="GO21" s="473"/>
      <c r="GP21" s="473"/>
      <c r="GQ21" s="473"/>
      <c r="GR21" s="473"/>
      <c r="GS21" s="473"/>
      <c r="GT21" s="473"/>
      <c r="GU21" s="473"/>
      <c r="GV21" s="473"/>
      <c r="GW21" s="473"/>
      <c r="GX21" s="473"/>
      <c r="GY21" s="473"/>
      <c r="GZ21" s="473"/>
      <c r="HA21" s="473"/>
      <c r="HB21" s="473"/>
      <c r="HC21" s="473"/>
      <c r="HD21" s="473"/>
      <c r="HE21" s="473"/>
      <c r="HF21" s="473"/>
      <c r="HG21" s="473"/>
      <c r="HH21" s="473"/>
      <c r="HI21" s="473"/>
      <c r="HJ21" s="473"/>
      <c r="HK21" s="473"/>
      <c r="HL21" s="473"/>
      <c r="HM21" s="473"/>
      <c r="HN21" s="473"/>
      <c r="HO21" s="473"/>
      <c r="HP21" s="473"/>
      <c r="HQ21" s="473"/>
      <c r="HR21" s="473"/>
      <c r="HS21" s="473"/>
      <c r="HT21" s="473"/>
      <c r="HU21" s="473"/>
      <c r="HV21" s="473"/>
      <c r="HW21" s="473"/>
      <c r="HX21" s="473"/>
      <c r="HY21" s="473"/>
      <c r="HZ21" s="473"/>
      <c r="IA21" s="473"/>
      <c r="IB21" s="473"/>
      <c r="IC21" s="473"/>
      <c r="ID21" s="473"/>
      <c r="IE21" s="473"/>
      <c r="IF21" s="473"/>
      <c r="IG21" s="473"/>
      <c r="IH21" s="473"/>
      <c r="II21" s="473"/>
      <c r="IJ21" s="473"/>
      <c r="IK21" s="473"/>
      <c r="IL21" s="473"/>
      <c r="IM21" s="473"/>
      <c r="IN21" s="473"/>
      <c r="IO21" s="473"/>
      <c r="IP21" s="473"/>
      <c r="IQ21" s="473"/>
      <c r="IR21" s="473"/>
      <c r="IS21" s="473"/>
      <c r="IT21" s="473"/>
      <c r="IU21" s="473"/>
      <c r="IV21" s="473"/>
      <c r="IW21" s="473"/>
    </row>
    <row r="22" customFormat="false" ht="12.6" hidden="false" customHeight="true" outlineLevel="0" collapsed="false">
      <c r="A22" s="412" t="s">
        <v>412</v>
      </c>
      <c r="B22" s="482"/>
      <c r="C22" s="483" t="n">
        <f aca="false">IF(C3&gt;'Project Assumptions'!$I$15+1,0,C21*(C19+C20))</f>
        <v>0</v>
      </c>
      <c r="D22" s="483" t="n">
        <f aca="false">IF(D3&gt;'Project Assumptions'!$I$15+1,0,D21*(D19+D20))</f>
        <v>0</v>
      </c>
      <c r="E22" s="483" t="n">
        <f aca="false">IF(E3&gt;'Project Assumptions'!$I$15+1,0,E21*(E19+E20))</f>
        <v>0</v>
      </c>
      <c r="F22" s="483" t="n">
        <f aca="false">IF(F3&gt;'Project Assumptions'!$I$15+1,0,F21*(F19+F20))</f>
        <v>460614.128333333</v>
      </c>
      <c r="G22" s="483" t="n">
        <f aca="false">IF(G3&gt;'Project Assumptions'!$I$15+1,0,G21*(G19+G20))</f>
        <v>783098.4</v>
      </c>
      <c r="H22" s="483" t="n">
        <f aca="false">IF(H3&gt;'Project Assumptions'!$I$15+1,0,H21*(H19+H20))</f>
        <v>783098.4</v>
      </c>
      <c r="I22" s="483" t="n">
        <f aca="false">IF(I3&gt;'Project Assumptions'!$I$15+1,0,I21*(I19+I20))</f>
        <v>783098.4</v>
      </c>
      <c r="J22" s="483" t="n">
        <f aca="false">IF(J3&gt;'Project Assumptions'!$I$15+1,0,J21*(J19+J20))</f>
        <v>783098.4</v>
      </c>
      <c r="K22" s="483" t="n">
        <f aca="false">IF(K3&gt;'Project Assumptions'!$I$15+1,0,K21*(K19+K20))</f>
        <v>783098.4</v>
      </c>
      <c r="L22" s="483" t="n">
        <f aca="false">IF(L3&gt;'Project Assumptions'!$I$15+1,0,L21*(L19+L20))</f>
        <v>783098.4</v>
      </c>
      <c r="M22" s="483" t="n">
        <f aca="false">IF(M3&gt;'Project Assumptions'!$I$15+1,0,M21*(M19+M20))</f>
        <v>783098.4</v>
      </c>
      <c r="N22" s="483" t="n">
        <f aca="false">IF(N3&gt;'Project Assumptions'!$I$15+1,0,N21*(N19+N20))</f>
        <v>783098.4</v>
      </c>
      <c r="O22" s="483" t="n">
        <f aca="false">IF(O3&gt;'Project Assumptions'!$I$15+1,0,O21*(O19+O20))</f>
        <v>783098.4</v>
      </c>
      <c r="P22" s="483" t="n">
        <f aca="false">IF(P3&gt;'Project Assumptions'!$I$15+1,0,P21*(P19+P20))</f>
        <v>783098.4</v>
      </c>
      <c r="Q22" s="483" t="n">
        <f aca="false">IF(Q3&gt;'Project Assumptions'!$I$15+1,0,Q21*(Q19+Q20))</f>
        <v>783098.4</v>
      </c>
      <c r="R22" s="483" t="n">
        <f aca="false">IF(R3&gt;'Project Assumptions'!$I$15+1,0,R21*(R19+R20))</f>
        <v>783098.4</v>
      </c>
      <c r="S22" s="483" t="n">
        <f aca="false">IF(S3&gt;'Project Assumptions'!$I$15+1,0,S21*(S19+S20))</f>
        <v>783098.4</v>
      </c>
      <c r="T22" s="483" t="n">
        <f aca="false">IF(T3&gt;'Project Assumptions'!$I$15+1,0,T21*(T19+T20))</f>
        <v>783098.4</v>
      </c>
      <c r="U22" s="483" t="n">
        <f aca="false">IF(U3&gt;'Project Assumptions'!$I$15+1,0,U21*(U19+U20))</f>
        <v>783098.4</v>
      </c>
      <c r="V22" s="483" t="n">
        <f aca="false">IF(V3&gt;'Project Assumptions'!$I$15+1,0,V21*(V19+V20))</f>
        <v>783098.4</v>
      </c>
      <c r="W22" s="484" t="n">
        <f aca="false">IF(W3&gt;'Project Assumptions'!$I$15+1,0,W21*(W19+W20))</f>
        <v>330097.728333333</v>
      </c>
      <c r="X22" s="434"/>
      <c r="Y22" s="434"/>
      <c r="Z22" s="434"/>
      <c r="AA22" s="434"/>
      <c r="AB22" s="473"/>
      <c r="AC22" s="473"/>
      <c r="AD22" s="473"/>
      <c r="AE22" s="473"/>
      <c r="AF22" s="473"/>
      <c r="AG22" s="473"/>
      <c r="AH22" s="473"/>
      <c r="AI22" s="473"/>
      <c r="AJ22" s="473"/>
      <c r="AK22" s="473"/>
      <c r="AL22" s="473"/>
      <c r="AM22" s="473"/>
      <c r="AN22" s="473"/>
      <c r="AO22" s="473"/>
      <c r="AP22" s="473"/>
      <c r="AQ22" s="473"/>
      <c r="AR22" s="473"/>
      <c r="AS22" s="473"/>
      <c r="AT22" s="473"/>
      <c r="AU22" s="473"/>
      <c r="AV22" s="473"/>
      <c r="AW22" s="473"/>
      <c r="AX22" s="473"/>
      <c r="AY22" s="473"/>
      <c r="AZ22" s="473"/>
      <c r="BA22" s="473"/>
      <c r="BB22" s="473"/>
      <c r="BC22" s="473"/>
      <c r="BD22" s="473"/>
      <c r="BE22" s="473"/>
      <c r="BF22" s="473"/>
      <c r="BG22" s="473"/>
      <c r="BH22" s="473"/>
      <c r="BI22" s="473"/>
      <c r="BJ22" s="473"/>
      <c r="BK22" s="473"/>
      <c r="BL22" s="473"/>
      <c r="BM22" s="473"/>
      <c r="BN22" s="473"/>
      <c r="BO22" s="473"/>
      <c r="BP22" s="473"/>
      <c r="BQ22" s="473"/>
      <c r="BR22" s="473"/>
      <c r="BS22" s="473"/>
      <c r="BT22" s="473"/>
      <c r="BU22" s="473"/>
      <c r="BV22" s="473"/>
      <c r="BW22" s="473"/>
      <c r="BX22" s="473"/>
      <c r="BY22" s="473"/>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3"/>
      <c r="DF22" s="473"/>
      <c r="DG22" s="473"/>
      <c r="DH22" s="473"/>
      <c r="DI22" s="473"/>
      <c r="DJ22" s="473"/>
      <c r="DK22" s="473"/>
      <c r="DL22" s="473"/>
      <c r="DM22" s="473"/>
      <c r="DN22" s="473"/>
      <c r="DO22" s="473"/>
      <c r="DP22" s="473"/>
      <c r="DQ22" s="473"/>
      <c r="DR22" s="473"/>
      <c r="DS22" s="473"/>
      <c r="DT22" s="473"/>
      <c r="DU22" s="473"/>
      <c r="DV22" s="473"/>
      <c r="DW22" s="473"/>
      <c r="DX22" s="473"/>
      <c r="DY22" s="473"/>
      <c r="DZ22" s="473"/>
      <c r="EA22" s="473"/>
      <c r="EB22" s="473"/>
      <c r="EC22" s="473"/>
      <c r="ED22" s="473"/>
      <c r="EE22" s="473"/>
      <c r="EF22" s="473"/>
      <c r="EG22" s="473"/>
      <c r="EH22" s="473"/>
      <c r="EI22" s="473"/>
      <c r="EJ22" s="473"/>
      <c r="EK22" s="473"/>
      <c r="EL22" s="473"/>
      <c r="EM22" s="473"/>
      <c r="EN22" s="473"/>
      <c r="EO22" s="473"/>
      <c r="EP22" s="473"/>
      <c r="EQ22" s="473"/>
      <c r="ER22" s="473"/>
      <c r="ES22" s="473"/>
      <c r="ET22" s="473"/>
      <c r="EU22" s="473"/>
      <c r="EV22" s="473"/>
      <c r="EW22" s="473"/>
      <c r="EX22" s="473"/>
      <c r="EY22" s="473"/>
      <c r="EZ22" s="473"/>
      <c r="FA22" s="473"/>
      <c r="FB22" s="473"/>
      <c r="FC22" s="473"/>
      <c r="FD22" s="473"/>
      <c r="FE22" s="473"/>
      <c r="FF22" s="473"/>
      <c r="FG22" s="473"/>
      <c r="FH22" s="473"/>
      <c r="FI22" s="473"/>
      <c r="FJ22" s="473"/>
      <c r="FK22" s="473"/>
      <c r="FL22" s="473"/>
      <c r="FM22" s="473"/>
      <c r="FN22" s="473"/>
      <c r="FO22" s="473"/>
      <c r="FP22" s="473"/>
      <c r="FQ22" s="473"/>
      <c r="FR22" s="473"/>
      <c r="FS22" s="473"/>
      <c r="FT22" s="473"/>
      <c r="FU22" s="473"/>
      <c r="FV22" s="473"/>
      <c r="FW22" s="473"/>
      <c r="FX22" s="473"/>
      <c r="FY22" s="473"/>
      <c r="FZ22" s="473"/>
      <c r="GA22" s="473"/>
      <c r="GB22" s="473"/>
      <c r="GC22" s="473"/>
      <c r="GD22" s="473"/>
      <c r="GE22" s="473"/>
      <c r="GF22" s="473"/>
      <c r="GG22" s="473"/>
      <c r="GH22" s="473"/>
      <c r="GI22" s="473"/>
      <c r="GJ22" s="473"/>
      <c r="GK22" s="473"/>
      <c r="GL22" s="473"/>
      <c r="GM22" s="473"/>
      <c r="GN22" s="473"/>
      <c r="GO22" s="473"/>
      <c r="GP22" s="473"/>
      <c r="GQ22" s="473"/>
      <c r="GR22" s="473"/>
      <c r="GS22" s="473"/>
      <c r="GT22" s="473"/>
      <c r="GU22" s="473"/>
      <c r="GV22" s="473"/>
      <c r="GW22" s="473"/>
      <c r="GX22" s="473"/>
      <c r="GY22" s="473"/>
      <c r="GZ22" s="473"/>
      <c r="HA22" s="473"/>
      <c r="HB22" s="473"/>
      <c r="HC22" s="473"/>
      <c r="HD22" s="473"/>
      <c r="HE22" s="473"/>
      <c r="HF22" s="473"/>
      <c r="HG22" s="473"/>
      <c r="HH22" s="473"/>
      <c r="HI22" s="473"/>
      <c r="HJ22" s="473"/>
      <c r="HK22" s="473"/>
      <c r="HL22" s="473"/>
      <c r="HM22" s="473"/>
      <c r="HN22" s="473"/>
      <c r="HO22" s="473"/>
      <c r="HP22" s="473"/>
      <c r="HQ22" s="473"/>
      <c r="HR22" s="473"/>
      <c r="HS22" s="473"/>
      <c r="HT22" s="473"/>
      <c r="HU22" s="473"/>
      <c r="HV22" s="473"/>
      <c r="HW22" s="473"/>
      <c r="HX22" s="473"/>
      <c r="HY22" s="473"/>
      <c r="HZ22" s="473"/>
      <c r="IA22" s="473"/>
      <c r="IB22" s="473"/>
      <c r="IC22" s="473"/>
      <c r="ID22" s="473"/>
      <c r="IE22" s="473"/>
      <c r="IF22" s="473"/>
      <c r="IG22" s="473"/>
      <c r="IH22" s="473"/>
      <c r="II22" s="473"/>
      <c r="IJ22" s="473"/>
      <c r="IK22" s="473"/>
      <c r="IL22" s="473"/>
      <c r="IM22" s="473"/>
      <c r="IN22" s="473"/>
      <c r="IO22" s="473"/>
      <c r="IP22" s="473"/>
      <c r="IQ22" s="473"/>
      <c r="IR22" s="473"/>
      <c r="IS22" s="473"/>
      <c r="IT22" s="473"/>
      <c r="IU22" s="473"/>
      <c r="IV22" s="473"/>
      <c r="IW22" s="473"/>
    </row>
    <row r="23" customFormat="false" ht="12.6" hidden="false" customHeight="true" outlineLevel="0" collapsed="false">
      <c r="A23" s="416"/>
      <c r="B23" s="473"/>
      <c r="C23" s="404"/>
      <c r="D23" s="404"/>
      <c r="E23" s="404"/>
      <c r="F23" s="404"/>
      <c r="G23" s="404"/>
      <c r="H23" s="404"/>
      <c r="I23" s="404"/>
      <c r="J23" s="404"/>
      <c r="K23" s="404"/>
      <c r="L23" s="404"/>
      <c r="M23" s="404"/>
      <c r="N23" s="404"/>
      <c r="O23" s="404"/>
      <c r="P23" s="404"/>
      <c r="Q23" s="404"/>
      <c r="R23" s="404"/>
      <c r="S23" s="404"/>
      <c r="T23" s="404"/>
      <c r="U23" s="404"/>
      <c r="V23" s="404"/>
      <c r="W23" s="404"/>
      <c r="X23" s="404"/>
      <c r="Y23" s="404"/>
      <c r="Z23" s="404"/>
      <c r="AA23" s="404"/>
      <c r="AB23" s="473"/>
      <c r="AC23" s="473"/>
      <c r="AD23" s="473"/>
      <c r="AE23" s="473"/>
      <c r="AF23" s="473"/>
      <c r="AG23" s="473"/>
      <c r="AH23" s="473"/>
      <c r="AI23" s="473"/>
      <c r="AJ23" s="473"/>
      <c r="AK23" s="473"/>
      <c r="AL23" s="473"/>
      <c r="AM23" s="473"/>
      <c r="AN23" s="473"/>
      <c r="AO23" s="473"/>
      <c r="AP23" s="473"/>
      <c r="AQ23" s="473"/>
      <c r="AR23" s="473"/>
      <c r="AS23" s="473"/>
      <c r="AT23" s="473"/>
      <c r="AU23" s="473"/>
      <c r="AV23" s="473"/>
      <c r="AW23" s="473"/>
      <c r="AX23" s="473"/>
      <c r="AY23" s="473"/>
      <c r="AZ23" s="473"/>
      <c r="BA23" s="473"/>
      <c r="BB23" s="473"/>
      <c r="BC23" s="473"/>
      <c r="BD23" s="473"/>
      <c r="BE23" s="473"/>
      <c r="BF23" s="473"/>
      <c r="BG23" s="473"/>
      <c r="BH23" s="473"/>
      <c r="BI23" s="473"/>
      <c r="BJ23" s="473"/>
      <c r="BK23" s="473"/>
      <c r="BL23" s="473"/>
      <c r="BM23" s="473"/>
      <c r="BN23" s="473"/>
      <c r="BO23" s="473"/>
      <c r="BP23" s="473"/>
      <c r="BQ23" s="473"/>
      <c r="BR23" s="473"/>
      <c r="BS23" s="473"/>
      <c r="BT23" s="473"/>
      <c r="BU23" s="473"/>
      <c r="BV23" s="473"/>
      <c r="BW23" s="473"/>
      <c r="BX23" s="473"/>
      <c r="BY23" s="473"/>
      <c r="BZ23" s="473"/>
      <c r="CA23" s="473"/>
      <c r="CB23" s="473"/>
      <c r="CC23" s="473"/>
      <c r="CD23" s="473"/>
      <c r="CE23" s="473"/>
      <c r="CF23" s="473"/>
      <c r="CG23" s="473"/>
      <c r="CH23" s="473"/>
      <c r="CI23" s="473"/>
      <c r="CJ23" s="473"/>
      <c r="CK23" s="473"/>
      <c r="CL23" s="473"/>
      <c r="CM23" s="473"/>
      <c r="CN23" s="473"/>
      <c r="CO23" s="473"/>
      <c r="CP23" s="473"/>
      <c r="CQ23" s="473"/>
      <c r="CR23" s="473"/>
      <c r="CS23" s="473"/>
      <c r="CT23" s="473"/>
      <c r="CU23" s="473"/>
      <c r="CV23" s="473"/>
      <c r="CW23" s="473"/>
      <c r="CX23" s="473"/>
      <c r="CY23" s="473"/>
      <c r="CZ23" s="473"/>
      <c r="DA23" s="473"/>
      <c r="DB23" s="473"/>
      <c r="DC23" s="473"/>
      <c r="DD23" s="473"/>
      <c r="DE23" s="473"/>
      <c r="DF23" s="473"/>
      <c r="DG23" s="473"/>
      <c r="DH23" s="473"/>
      <c r="DI23" s="473"/>
      <c r="DJ23" s="473"/>
      <c r="DK23" s="473"/>
      <c r="DL23" s="473"/>
      <c r="DM23" s="473"/>
      <c r="DN23" s="473"/>
      <c r="DO23" s="473"/>
      <c r="DP23" s="473"/>
      <c r="DQ23" s="473"/>
      <c r="DR23" s="473"/>
      <c r="DS23" s="473"/>
      <c r="DT23" s="473"/>
      <c r="DU23" s="473"/>
      <c r="DV23" s="473"/>
      <c r="DW23" s="473"/>
      <c r="DX23" s="473"/>
      <c r="DY23" s="473"/>
      <c r="DZ23" s="473"/>
      <c r="EA23" s="473"/>
      <c r="EB23" s="473"/>
      <c r="EC23" s="473"/>
      <c r="ED23" s="473"/>
      <c r="EE23" s="473"/>
      <c r="EF23" s="473"/>
      <c r="EG23" s="473"/>
      <c r="EH23" s="473"/>
      <c r="EI23" s="473"/>
      <c r="EJ23" s="473"/>
      <c r="EK23" s="473"/>
      <c r="EL23" s="473"/>
      <c r="EM23" s="473"/>
      <c r="EN23" s="473"/>
      <c r="EO23" s="473"/>
      <c r="EP23" s="473"/>
      <c r="EQ23" s="473"/>
      <c r="ER23" s="473"/>
      <c r="ES23" s="473"/>
      <c r="ET23" s="473"/>
      <c r="EU23" s="473"/>
      <c r="EV23" s="473"/>
      <c r="EW23" s="473"/>
      <c r="EX23" s="473"/>
      <c r="EY23" s="473"/>
      <c r="EZ23" s="473"/>
      <c r="FA23" s="473"/>
      <c r="FB23" s="473"/>
      <c r="FC23" s="473"/>
      <c r="FD23" s="473"/>
      <c r="FE23" s="473"/>
      <c r="FF23" s="473"/>
      <c r="FG23" s="473"/>
      <c r="FH23" s="473"/>
      <c r="FI23" s="473"/>
      <c r="FJ23" s="473"/>
      <c r="FK23" s="473"/>
      <c r="FL23" s="473"/>
      <c r="FM23" s="473"/>
      <c r="FN23" s="473"/>
      <c r="FO23" s="473"/>
      <c r="FP23" s="473"/>
      <c r="FQ23" s="473"/>
      <c r="FR23" s="473"/>
      <c r="FS23" s="473"/>
      <c r="FT23" s="473"/>
      <c r="FU23" s="473"/>
      <c r="FV23" s="473"/>
      <c r="FW23" s="473"/>
      <c r="FX23" s="473"/>
      <c r="FY23" s="473"/>
      <c r="FZ23" s="473"/>
      <c r="GA23" s="473"/>
      <c r="GB23" s="473"/>
      <c r="GC23" s="473"/>
      <c r="GD23" s="473"/>
      <c r="GE23" s="473"/>
      <c r="GF23" s="473"/>
      <c r="GG23" s="473"/>
      <c r="GH23" s="473"/>
      <c r="GI23" s="473"/>
      <c r="GJ23" s="473"/>
      <c r="GK23" s="473"/>
      <c r="GL23" s="473"/>
      <c r="GM23" s="473"/>
      <c r="GN23" s="473"/>
      <c r="GO23" s="473"/>
      <c r="GP23" s="473"/>
      <c r="GQ23" s="473"/>
      <c r="GR23" s="473"/>
      <c r="GS23" s="473"/>
      <c r="GT23" s="473"/>
      <c r="GU23" s="473"/>
      <c r="GV23" s="473"/>
      <c r="GW23" s="473"/>
      <c r="GX23" s="473"/>
      <c r="GY23" s="473"/>
      <c r="GZ23" s="473"/>
      <c r="HA23" s="473"/>
      <c r="HB23" s="473"/>
      <c r="HC23" s="473"/>
      <c r="HD23" s="473"/>
      <c r="HE23" s="473"/>
      <c r="HF23" s="473"/>
      <c r="HG23" s="473"/>
      <c r="HH23" s="473"/>
      <c r="HI23" s="473"/>
      <c r="HJ23" s="473"/>
      <c r="HK23" s="473"/>
      <c r="HL23" s="473"/>
      <c r="HM23" s="473"/>
      <c r="HN23" s="473"/>
      <c r="HO23" s="473"/>
      <c r="HP23" s="473"/>
      <c r="HQ23" s="473"/>
      <c r="HR23" s="473"/>
      <c r="HS23" s="473"/>
      <c r="HT23" s="473"/>
      <c r="HU23" s="473"/>
      <c r="HV23" s="473"/>
      <c r="HW23" s="473"/>
      <c r="HX23" s="473"/>
      <c r="HY23" s="473"/>
      <c r="HZ23" s="473"/>
      <c r="IA23" s="473"/>
      <c r="IB23" s="473"/>
      <c r="IC23" s="473"/>
      <c r="ID23" s="473"/>
      <c r="IE23" s="473"/>
      <c r="IF23" s="473"/>
      <c r="IG23" s="473"/>
      <c r="IH23" s="473"/>
      <c r="II23" s="473"/>
      <c r="IJ23" s="473"/>
      <c r="IK23" s="473"/>
      <c r="IL23" s="473"/>
      <c r="IM23" s="473"/>
      <c r="IN23" s="473"/>
      <c r="IO23" s="473"/>
      <c r="IP23" s="473"/>
      <c r="IQ23" s="473"/>
      <c r="IR23" s="473"/>
      <c r="IS23" s="473"/>
      <c r="IT23" s="473"/>
      <c r="IU23" s="473"/>
      <c r="IV23" s="473"/>
      <c r="IW23" s="473"/>
    </row>
    <row r="24" customFormat="false" ht="15.75" hidden="false" customHeight="false" outlineLevel="0" collapsed="false">
      <c r="A24" s="418" t="s">
        <v>415</v>
      </c>
      <c r="B24" s="477"/>
      <c r="C24" s="487"/>
      <c r="D24" s="487"/>
      <c r="E24" s="487"/>
      <c r="F24" s="487"/>
      <c r="G24" s="487"/>
      <c r="H24" s="487"/>
      <c r="I24" s="487"/>
      <c r="J24" s="487"/>
      <c r="K24" s="487"/>
      <c r="L24" s="487"/>
      <c r="M24" s="487"/>
      <c r="N24" s="487"/>
      <c r="O24" s="487"/>
      <c r="P24" s="487"/>
      <c r="Q24" s="487"/>
      <c r="R24" s="487"/>
      <c r="S24" s="487"/>
      <c r="T24" s="487"/>
      <c r="U24" s="487"/>
      <c r="V24" s="487"/>
      <c r="W24" s="488"/>
      <c r="X24" s="425"/>
      <c r="Y24" s="425"/>
      <c r="Z24" s="425"/>
      <c r="AA24" s="425"/>
      <c r="AB24" s="473"/>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3"/>
      <c r="AY24" s="473"/>
      <c r="AZ24" s="473"/>
      <c r="BA24" s="473"/>
      <c r="BB24" s="473"/>
      <c r="BC24" s="473"/>
      <c r="BD24" s="473"/>
      <c r="BE24" s="473"/>
      <c r="BF24" s="473"/>
      <c r="BG24" s="473"/>
      <c r="BH24" s="473"/>
      <c r="BI24" s="473"/>
      <c r="BJ24" s="473"/>
      <c r="BK24" s="473"/>
      <c r="BL24" s="473"/>
      <c r="BM24" s="473"/>
      <c r="BN24" s="473"/>
      <c r="BO24" s="473"/>
      <c r="BP24" s="473"/>
      <c r="BQ24" s="473"/>
      <c r="BR24" s="473"/>
      <c r="BS24" s="473"/>
      <c r="BT24" s="473"/>
      <c r="BU24" s="473"/>
      <c r="BV24" s="473"/>
      <c r="BW24" s="473"/>
      <c r="BX24" s="473"/>
      <c r="BY24" s="473"/>
      <c r="BZ24" s="473"/>
      <c r="CA24" s="473"/>
      <c r="CB24" s="473"/>
      <c r="CC24" s="473"/>
      <c r="CD24" s="473"/>
      <c r="CE24" s="473"/>
      <c r="CF24" s="473"/>
      <c r="CG24" s="473"/>
      <c r="CH24" s="473"/>
      <c r="CI24" s="473"/>
      <c r="CJ24" s="473"/>
      <c r="CK24" s="473"/>
      <c r="CL24" s="473"/>
      <c r="CM24" s="473"/>
      <c r="CN24" s="473"/>
      <c r="CO24" s="473"/>
      <c r="CP24" s="473"/>
      <c r="CQ24" s="473"/>
      <c r="CR24" s="473"/>
      <c r="CS24" s="473"/>
      <c r="CT24" s="473"/>
      <c r="CU24" s="473"/>
      <c r="CV24" s="473"/>
      <c r="CW24" s="473"/>
      <c r="CX24" s="473"/>
      <c r="CY24" s="473"/>
      <c r="CZ24" s="473"/>
      <c r="DA24" s="473"/>
      <c r="DB24" s="473"/>
      <c r="DC24" s="473"/>
      <c r="DD24" s="473"/>
      <c r="DE24" s="473"/>
      <c r="DF24" s="473"/>
      <c r="DG24" s="473"/>
      <c r="DH24" s="473"/>
      <c r="DI24" s="473"/>
      <c r="DJ24" s="473"/>
      <c r="DK24" s="473"/>
      <c r="DL24" s="473"/>
      <c r="DM24" s="473"/>
      <c r="DN24" s="473"/>
      <c r="DO24" s="473"/>
      <c r="DP24" s="473"/>
      <c r="DQ24" s="473"/>
      <c r="DR24" s="473"/>
      <c r="DS24" s="473"/>
      <c r="DT24" s="473"/>
      <c r="DU24" s="473"/>
      <c r="DV24" s="473"/>
      <c r="DW24" s="473"/>
      <c r="DX24" s="473"/>
      <c r="DY24" s="473"/>
      <c r="DZ24" s="473"/>
      <c r="EA24" s="473"/>
      <c r="EB24" s="473"/>
      <c r="EC24" s="473"/>
      <c r="ED24" s="473"/>
      <c r="EE24" s="473"/>
      <c r="EF24" s="473"/>
      <c r="EG24" s="473"/>
      <c r="EH24" s="473"/>
      <c r="EI24" s="473"/>
      <c r="EJ24" s="473"/>
      <c r="EK24" s="473"/>
      <c r="EL24" s="473"/>
      <c r="EM24" s="473"/>
      <c r="EN24" s="473"/>
      <c r="EO24" s="473"/>
      <c r="EP24" s="473"/>
      <c r="EQ24" s="473"/>
      <c r="ER24" s="473"/>
      <c r="ES24" s="473"/>
      <c r="ET24" s="473"/>
      <c r="EU24" s="473"/>
      <c r="EV24" s="473"/>
      <c r="EW24" s="473"/>
      <c r="EX24" s="473"/>
      <c r="EY24" s="473"/>
      <c r="EZ24" s="473"/>
      <c r="FA24" s="473"/>
      <c r="FB24" s="473"/>
      <c r="FC24" s="473"/>
      <c r="FD24" s="473"/>
      <c r="FE24" s="473"/>
      <c r="FF24" s="473"/>
      <c r="FG24" s="473"/>
      <c r="FH24" s="473"/>
      <c r="FI24" s="473"/>
      <c r="FJ24" s="473"/>
      <c r="FK24" s="473"/>
      <c r="FL24" s="473"/>
      <c r="FM24" s="473"/>
      <c r="FN24" s="473"/>
      <c r="FO24" s="473"/>
      <c r="FP24" s="473"/>
      <c r="FQ24" s="473"/>
      <c r="FR24" s="473"/>
      <c r="FS24" s="473"/>
      <c r="FT24" s="473"/>
      <c r="FU24" s="473"/>
      <c r="FV24" s="473"/>
      <c r="FW24" s="473"/>
      <c r="FX24" s="473"/>
      <c r="FY24" s="473"/>
      <c r="FZ24" s="473"/>
      <c r="GA24" s="473"/>
      <c r="GB24" s="473"/>
      <c r="GC24" s="473"/>
      <c r="GD24" s="473"/>
      <c r="GE24" s="473"/>
      <c r="GF24" s="473"/>
      <c r="GG24" s="473"/>
      <c r="GH24" s="473"/>
      <c r="GI24" s="473"/>
      <c r="GJ24" s="473"/>
      <c r="GK24" s="473"/>
      <c r="GL24" s="473"/>
      <c r="GM24" s="473"/>
      <c r="GN24" s="473"/>
      <c r="GO24" s="473"/>
      <c r="GP24" s="473"/>
      <c r="GQ24" s="473"/>
      <c r="GR24" s="473"/>
      <c r="GS24" s="473"/>
      <c r="GT24" s="473"/>
      <c r="GU24" s="473"/>
      <c r="GV24" s="473"/>
      <c r="GW24" s="473"/>
      <c r="GX24" s="473"/>
      <c r="GY24" s="473"/>
      <c r="GZ24" s="473"/>
      <c r="HA24" s="473"/>
      <c r="HB24" s="473"/>
      <c r="HC24" s="473"/>
      <c r="HD24" s="473"/>
      <c r="HE24" s="473"/>
      <c r="HF24" s="473"/>
      <c r="HG24" s="473"/>
      <c r="HH24" s="473"/>
      <c r="HI24" s="473"/>
      <c r="HJ24" s="473"/>
      <c r="HK24" s="473"/>
      <c r="HL24" s="473"/>
      <c r="HM24" s="473"/>
      <c r="HN24" s="473"/>
      <c r="HO24" s="473"/>
      <c r="HP24" s="473"/>
      <c r="HQ24" s="473"/>
      <c r="HR24" s="473"/>
      <c r="HS24" s="473"/>
      <c r="HT24" s="473"/>
      <c r="HU24" s="473"/>
      <c r="HV24" s="473"/>
      <c r="HW24" s="473"/>
      <c r="HX24" s="473"/>
      <c r="HY24" s="473"/>
      <c r="HZ24" s="473"/>
      <c r="IA24" s="473"/>
      <c r="IB24" s="473"/>
      <c r="IC24" s="473"/>
      <c r="ID24" s="473"/>
      <c r="IE24" s="473"/>
      <c r="IF24" s="473"/>
      <c r="IG24" s="473"/>
      <c r="IH24" s="473"/>
      <c r="II24" s="473"/>
      <c r="IJ24" s="473"/>
      <c r="IK24" s="473"/>
      <c r="IL24" s="473"/>
      <c r="IM24" s="473"/>
      <c r="IN24" s="473"/>
      <c r="IO24" s="473"/>
      <c r="IP24" s="473"/>
      <c r="IQ24" s="473"/>
      <c r="IR24" s="473"/>
      <c r="IS24" s="473"/>
      <c r="IT24" s="473"/>
      <c r="IU24" s="473"/>
      <c r="IV24" s="473"/>
      <c r="IW24" s="473"/>
    </row>
    <row r="25" customFormat="false" ht="12.6" hidden="false" customHeight="true" outlineLevel="0" collapsed="false">
      <c r="A25" s="397" t="s">
        <v>416</v>
      </c>
      <c r="B25" s="371"/>
      <c r="C25" s="21" t="n">
        <f aca="false">IF(C3&lt;=ProjectLife+1,IF('Project Assumptions'!$C$68="Assumed",NetMW*AnnualHours,0),0)</f>
        <v>729600</v>
      </c>
      <c r="D25" s="21" t="n">
        <f aca="false">IF(D3&lt;=ProjectLife+1,IF('Project Assumptions'!$C$68="Assumed",NetMW*AnnualHours*'PPA Assumptions &amp;Summary'!D6/12,0),0)</f>
        <v>729600</v>
      </c>
      <c r="E25" s="21" t="n">
        <f aca="false">IF(E3&lt;=ProjectLife+1,IF('Project Assumptions'!$C$68="Assumed",NetMW*AnnualHours*'PPA Assumptions &amp;Summary'!E6/12,0),0)</f>
        <v>729600</v>
      </c>
      <c r="F25" s="21" t="n">
        <f aca="false">IF(F3&lt;=ProjectLife+1,IF('Project Assumptions'!$C$68="Assumed",NetMW*AnnualHours*'PPA Assumptions &amp;Summary'!F6/12,0),0)</f>
        <v>304000</v>
      </c>
      <c r="G25" s="21" t="n">
        <f aca="false">IF(G3&lt;=ProjectLife+1,IF('Project Assumptions'!$C$68="Assumed",NetMW*AnnualHours*'PPA Assumptions &amp;Summary'!G6/12,0),0)</f>
        <v>0</v>
      </c>
      <c r="H25" s="21" t="n">
        <f aca="false">IF(H3&lt;=ProjectLife+1,IF('Project Assumptions'!$C$68="Assumed",NetMW*AnnualHours*'PPA Assumptions &amp;Summary'!H6/12,0),0)</f>
        <v>0</v>
      </c>
      <c r="I25" s="21" t="n">
        <f aca="false">IF(I3&lt;=ProjectLife+1,IF('Project Assumptions'!$C$68="Assumed",NetMW*AnnualHours*'PPA Assumptions &amp;Summary'!I6/12,0),0)</f>
        <v>0</v>
      </c>
      <c r="J25" s="21" t="n">
        <f aca="false">IF(J3&lt;=ProjectLife+1,IF('Project Assumptions'!$C$68="Assumed",NetMW*AnnualHours*'PPA Assumptions &amp;Summary'!J6/12,0),0)</f>
        <v>0</v>
      </c>
      <c r="K25" s="21" t="n">
        <f aca="false">IF(K3&lt;=ProjectLife+1,IF('Project Assumptions'!$C$68="Assumed",NetMW*AnnualHours*'PPA Assumptions &amp;Summary'!K6/12,0),0)</f>
        <v>0</v>
      </c>
      <c r="L25" s="21" t="n">
        <f aca="false">IF(L3&lt;=ProjectLife+1,IF('Project Assumptions'!$C$68="Assumed",NetMW*AnnualHours*'PPA Assumptions &amp;Summary'!L6/12,0),0)</f>
        <v>0</v>
      </c>
      <c r="M25" s="21" t="n">
        <f aca="false">IF(M3&lt;=ProjectLife+1,IF('Project Assumptions'!$C$68="Assumed",NetMW*AnnualHours*'PPA Assumptions &amp;Summary'!M6/12,0),0)</f>
        <v>0</v>
      </c>
      <c r="N25" s="21" t="n">
        <f aca="false">IF(N3&lt;=ProjectLife+1,IF('Project Assumptions'!$C$68="Assumed",NetMW*AnnualHours*'PPA Assumptions &amp;Summary'!N6/12,0),0)</f>
        <v>0</v>
      </c>
      <c r="O25" s="21" t="n">
        <f aca="false">IF(O3&lt;=ProjectLife+1,IF('Project Assumptions'!$C$68="Assumed",NetMW*AnnualHours*'PPA Assumptions &amp;Summary'!O6/12,0),0)</f>
        <v>0</v>
      </c>
      <c r="P25" s="21" t="n">
        <f aca="false">IF(P3&lt;=ProjectLife+1,IF('Project Assumptions'!$C$68="Assumed",NetMW*AnnualHours*'PPA Assumptions &amp;Summary'!P6/12,0),0)</f>
        <v>0</v>
      </c>
      <c r="Q25" s="21" t="n">
        <f aca="false">IF(Q3&lt;=ProjectLife+1,IF('Project Assumptions'!$C$68="Assumed",NetMW*AnnualHours*'PPA Assumptions &amp;Summary'!Q6/12,0),0)</f>
        <v>0</v>
      </c>
      <c r="R25" s="21" t="n">
        <f aca="false">IF(R3&lt;=ProjectLife+1,IF('Project Assumptions'!$C$68="Assumed",NetMW*AnnualHours*'PPA Assumptions &amp;Summary'!R6/12,0),0)</f>
        <v>0</v>
      </c>
      <c r="S25" s="21" t="n">
        <f aca="false">IF(S3&lt;=ProjectLife+1,IF('Project Assumptions'!$C$68="Assumed",NetMW*AnnualHours*'PPA Assumptions &amp;Summary'!S6/12,0),0)</f>
        <v>0</v>
      </c>
      <c r="T25" s="21" t="n">
        <f aca="false">IF(T3&lt;=ProjectLife+1,IF('Project Assumptions'!$C$68="Assumed",NetMW*AnnualHours*'PPA Assumptions &amp;Summary'!T6/12,0),0)</f>
        <v>0</v>
      </c>
      <c r="U25" s="21" t="n">
        <f aca="false">IF(U3&lt;=ProjectLife+1,IF('Project Assumptions'!$C$68="Assumed",NetMW*AnnualHours*'PPA Assumptions &amp;Summary'!U6/12,0),0)</f>
        <v>0</v>
      </c>
      <c r="V25" s="21" t="n">
        <f aca="false">IF(V3&lt;=ProjectLife+1,IF('Project Assumptions'!$C$68="Assumed",NetMW*AnnualHours*'PPA Assumptions &amp;Summary'!V6/12,0),0)</f>
        <v>0</v>
      </c>
      <c r="W25" s="22" t="n">
        <f aca="false">IF(W3&lt;=ProjectLife+1,IF('Project Assumptions'!$C$68="Assumed",NetMW*AnnualHours*'PPA Assumptions &amp;Summary'!W6/12,0),0)</f>
        <v>0</v>
      </c>
      <c r="X25" s="489"/>
      <c r="Y25" s="489"/>
      <c r="Z25" s="489"/>
      <c r="AA25" s="489"/>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row>
    <row r="26" customFormat="false" ht="12.6" hidden="false" customHeight="true" outlineLevel="0" collapsed="false">
      <c r="A26" s="397" t="s">
        <v>417</v>
      </c>
      <c r="B26" s="371"/>
      <c r="C26" s="490" t="n">
        <f aca="false">IF(C3&gt;'Project Assumptions'!$I$15+1,0,C25/C30)</f>
        <v>1</v>
      </c>
      <c r="D26" s="490" t="n">
        <f aca="false">IF(D3&gt;'Project Assumptions'!$I$15+1,0,D25/D30)</f>
        <v>1</v>
      </c>
      <c r="E26" s="490" t="n">
        <f aca="false">IF(E3&gt;'Project Assumptions'!$I$15+1,0,E25/E30)</f>
        <v>1</v>
      </c>
      <c r="F26" s="490" t="n">
        <f aca="false">IF(F3&gt;'Project Assumptions'!$I$15+1,0,F25/F30)</f>
        <v>0.397586166322408</v>
      </c>
      <c r="G26" s="490" t="n">
        <f aca="false">IF(G3&gt;'Project Assumptions'!$I$15+1,0,G25/G30)</f>
        <v>0</v>
      </c>
      <c r="H26" s="490" t="n">
        <f aca="false">IF(H3&gt;'Project Assumptions'!$I$15+1,0,H25/H30)</f>
        <v>0</v>
      </c>
      <c r="I26" s="490" t="n">
        <f aca="false">IF(I3&gt;'Project Assumptions'!$I$15+1,0,I25/I30)</f>
        <v>0</v>
      </c>
      <c r="J26" s="490" t="n">
        <f aca="false">IF(J3&gt;'Project Assumptions'!$I$15+1,0,J25/J30)</f>
        <v>0</v>
      </c>
      <c r="K26" s="490" t="n">
        <f aca="false">IF(K3&gt;'Project Assumptions'!$I$15+1,0,K25/K30)</f>
        <v>0</v>
      </c>
      <c r="L26" s="490" t="n">
        <f aca="false">IF(L3&gt;'Project Assumptions'!$I$15+1,0,L25/L30)</f>
        <v>0</v>
      </c>
      <c r="M26" s="490" t="n">
        <f aca="false">IF(M3&gt;'Project Assumptions'!$I$15+1,0,M25/M30)</f>
        <v>0</v>
      </c>
      <c r="N26" s="490" t="n">
        <f aca="false">IF(N3&gt;'Project Assumptions'!$I$15+1,0,N25/N30)</f>
        <v>0</v>
      </c>
      <c r="O26" s="490" t="n">
        <f aca="false">IF(O3&gt;'Project Assumptions'!$I$15+1,0,O25/O30)</f>
        <v>0</v>
      </c>
      <c r="P26" s="490" t="n">
        <f aca="false">IF(P3&gt;'Project Assumptions'!$I$15+1,0,P25/P30)</f>
        <v>0</v>
      </c>
      <c r="Q26" s="490" t="n">
        <f aca="false">IF(Q3&gt;'Project Assumptions'!$I$15+1,0,Q25/Q30)</f>
        <v>0</v>
      </c>
      <c r="R26" s="490" t="n">
        <f aca="false">IF(R3&gt;'Project Assumptions'!$I$15+1,0,R25/R30)</f>
        <v>0</v>
      </c>
      <c r="S26" s="490" t="n">
        <f aca="false">IF(S3&gt;'Project Assumptions'!$I$15+1,0,S25/S30)</f>
        <v>0</v>
      </c>
      <c r="T26" s="490" t="n">
        <f aca="false">IF(T3&gt;'Project Assumptions'!$I$15+1,0,T25/T30)</f>
        <v>0</v>
      </c>
      <c r="U26" s="490" t="n">
        <f aca="false">IF(U3&gt;'Project Assumptions'!$I$15+1,0,U25/U30)</f>
        <v>0</v>
      </c>
      <c r="V26" s="490" t="n">
        <f aca="false">IF(V3&gt;'Project Assumptions'!$I$15+1,0,V25/V30)</f>
        <v>0</v>
      </c>
      <c r="W26" s="491" t="n">
        <f aca="false">IF(W3&gt;'Project Assumptions'!$I$15+1,0,W25/W30)</f>
        <v>0</v>
      </c>
      <c r="X26" s="490"/>
      <c r="Y26" s="490"/>
      <c r="Z26" s="490"/>
      <c r="AA26" s="490"/>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row>
    <row r="27" customFormat="false" ht="12.6" hidden="false" customHeight="true" outlineLevel="0" collapsed="false">
      <c r="A27" s="397" t="s">
        <v>418</v>
      </c>
      <c r="B27" s="371"/>
      <c r="C27" s="21" t="n">
        <f aca="false">IF(C3&gt;'Project Assumptions'!$I$15+1,0,IF('Project Assumptions'!$C$68="Assumed",C22,0))</f>
        <v>0</v>
      </c>
      <c r="D27" s="21" t="n">
        <f aca="false">IF(D3&gt;'Project Assumptions'!$I$15+1,0,IF('Project Assumptions'!$C$68="Assumed",D22,0))</f>
        <v>0</v>
      </c>
      <c r="E27" s="21" t="n">
        <f aca="false">IF(E3&gt;'Project Assumptions'!$I$15+1,0,IF('Project Assumptions'!$C$68="Assumed",E22,0))</f>
        <v>0</v>
      </c>
      <c r="F27" s="21" t="n">
        <f aca="false">IF(F3&gt;'Project Assumptions'!$I$15+1,0,IF('Project Assumptions'!$C$68="Assumed",F22,0))</f>
        <v>460614.128333333</v>
      </c>
      <c r="G27" s="21" t="n">
        <f aca="false">IF(G3&gt;'Project Assumptions'!$I$15+1,0,IF('Project Assumptions'!$C$68="Assumed",G22,0))</f>
        <v>783098.4</v>
      </c>
      <c r="H27" s="21" t="n">
        <f aca="false">IF(H3&gt;'Project Assumptions'!$I$15+1,0,IF('Project Assumptions'!$C$68="Assumed",H22,0))</f>
        <v>783098.4</v>
      </c>
      <c r="I27" s="21" t="n">
        <f aca="false">IF(I3&gt;'Project Assumptions'!$I$15+1,0,IF('Project Assumptions'!$C$68="Assumed",I22,0))</f>
        <v>783098.4</v>
      </c>
      <c r="J27" s="21" t="n">
        <f aca="false">IF(J3&gt;'Project Assumptions'!$I$15+1,0,IF('Project Assumptions'!$C$68="Assumed",J22,0))</f>
        <v>783098.4</v>
      </c>
      <c r="K27" s="21" t="n">
        <f aca="false">IF(K3&gt;'Project Assumptions'!$I$15+1,0,IF('Project Assumptions'!$C$68="Assumed",K22,0))</f>
        <v>783098.4</v>
      </c>
      <c r="L27" s="21" t="n">
        <f aca="false">IF(L3&gt;'Project Assumptions'!$I$15+1,0,IF('Project Assumptions'!$C$68="Assumed",L22,0))</f>
        <v>783098.4</v>
      </c>
      <c r="M27" s="21" t="n">
        <f aca="false">IF(M3&gt;'Project Assumptions'!$I$15+1,0,IF('Project Assumptions'!$C$68="Assumed",M22,0))</f>
        <v>783098.4</v>
      </c>
      <c r="N27" s="21" t="n">
        <f aca="false">IF(N3&gt;'Project Assumptions'!$I$15+1,0,IF('Project Assumptions'!$C$68="Assumed",N22,0))</f>
        <v>783098.4</v>
      </c>
      <c r="O27" s="21" t="n">
        <f aca="false">IF(O3&gt;'Project Assumptions'!$I$15+1,0,IF('Project Assumptions'!$C$68="Assumed",O22,0))</f>
        <v>783098.4</v>
      </c>
      <c r="P27" s="21" t="n">
        <f aca="false">IF(P3&gt;'Project Assumptions'!$I$15+1,0,IF('Project Assumptions'!$C$68="Assumed",P22,0))</f>
        <v>783098.4</v>
      </c>
      <c r="Q27" s="21" t="n">
        <f aca="false">IF(Q3&gt;'Project Assumptions'!$I$15+1,0,IF('Project Assumptions'!$C$68="Assumed",Q22,0))</f>
        <v>783098.4</v>
      </c>
      <c r="R27" s="21" t="n">
        <f aca="false">IF(R3&gt;'Project Assumptions'!$I$15+1,0,IF('Project Assumptions'!$C$68="Assumed",R22,0))</f>
        <v>783098.4</v>
      </c>
      <c r="S27" s="21" t="n">
        <f aca="false">IF(S3&gt;'Project Assumptions'!$I$15+1,0,IF('Project Assumptions'!$C$68="Assumed",S22,0))</f>
        <v>783098.4</v>
      </c>
      <c r="T27" s="21" t="n">
        <f aca="false">IF(T3&gt;'Project Assumptions'!$I$15+1,0,IF('Project Assumptions'!$C$68="Assumed",T22,0))</f>
        <v>783098.4</v>
      </c>
      <c r="U27" s="21" t="n">
        <f aca="false">IF(U3&gt;'Project Assumptions'!$I$15+1,0,IF('Project Assumptions'!$C$68="Assumed",U22,0))</f>
        <v>783098.4</v>
      </c>
      <c r="V27" s="21" t="n">
        <f aca="false">IF(V3&gt;'Project Assumptions'!$I$15+1,0,IF('Project Assumptions'!$C$68="Assumed",V22,0))</f>
        <v>783098.4</v>
      </c>
      <c r="W27" s="22" t="n">
        <f aca="false">IF(W3&gt;'Project Assumptions'!$I$15+1,0,IF('Project Assumptions'!$C$68="Assumed",W22,0))</f>
        <v>330097.728333333</v>
      </c>
      <c r="X27" s="23"/>
      <c r="Y27" s="23"/>
      <c r="Z27" s="23"/>
      <c r="AA27" s="23"/>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row>
    <row r="28" customFormat="false" ht="12.6" hidden="false" customHeight="true" outlineLevel="0" collapsed="false">
      <c r="A28" s="397" t="s">
        <v>417</v>
      </c>
      <c r="B28" s="371"/>
      <c r="C28" s="492" t="n">
        <f aca="false">IF(C3&gt;'Project Assumptions'!$I$15+1,0,C27/C30)</f>
        <v>0</v>
      </c>
      <c r="D28" s="492" t="n">
        <f aca="false">IF(D3&gt;'Project Assumptions'!$I$15+1,0,D27/D30)</f>
        <v>0</v>
      </c>
      <c r="E28" s="492" t="n">
        <f aca="false">IF(E3&gt;'Project Assumptions'!$I$15+1,0,E27/E30)</f>
        <v>0</v>
      </c>
      <c r="F28" s="492" t="n">
        <f aca="false">IF(F3&gt;'Project Assumptions'!$I$15+1,0,F27/F30)</f>
        <v>0.602413833677592</v>
      </c>
      <c r="G28" s="492" t="n">
        <f aca="false">IF(G3&gt;'Project Assumptions'!$I$15+1,0,G27/G30)</f>
        <v>1</v>
      </c>
      <c r="H28" s="492" t="n">
        <f aca="false">IF(H3&gt;'Project Assumptions'!$I$15+1,0,H27/H30)</f>
        <v>1</v>
      </c>
      <c r="I28" s="492" t="n">
        <f aca="false">IF(I3&gt;'Project Assumptions'!$I$15+1,0,I27/I30)</f>
        <v>1</v>
      </c>
      <c r="J28" s="492" t="n">
        <f aca="false">IF(J3&gt;'Project Assumptions'!$I$15+1,0,J27/J30)</f>
        <v>1</v>
      </c>
      <c r="K28" s="492" t="n">
        <f aca="false">IF(K3&gt;'Project Assumptions'!$I$15+1,0,K27/K30)</f>
        <v>1</v>
      </c>
      <c r="L28" s="492" t="n">
        <f aca="false">IF(L3&gt;'Project Assumptions'!$I$15+1,0,L27/L30)</f>
        <v>1</v>
      </c>
      <c r="M28" s="492" t="n">
        <f aca="false">IF(M3&gt;'Project Assumptions'!$I$15+1,0,M27/M30)</f>
        <v>1</v>
      </c>
      <c r="N28" s="492" t="n">
        <f aca="false">IF(N3&gt;'Project Assumptions'!$I$15+1,0,N27/N30)</f>
        <v>1</v>
      </c>
      <c r="O28" s="492" t="n">
        <f aca="false">IF(O3&gt;'Project Assumptions'!$I$15+1,0,O27/O30)</f>
        <v>1</v>
      </c>
      <c r="P28" s="492" t="n">
        <f aca="false">IF(P3&gt;'Project Assumptions'!$I$15+1,0,P27/P30)</f>
        <v>1</v>
      </c>
      <c r="Q28" s="492" t="n">
        <f aca="false">IF(Q3&gt;'Project Assumptions'!$I$15+1,0,Q27/Q30)</f>
        <v>1</v>
      </c>
      <c r="R28" s="492" t="n">
        <f aca="false">IF(R3&gt;'Project Assumptions'!$I$15+1,0,R27/R30)</f>
        <v>1</v>
      </c>
      <c r="S28" s="492" t="n">
        <f aca="false">IF(S3&gt;'Project Assumptions'!$I$15+1,0,S27/S30)</f>
        <v>1</v>
      </c>
      <c r="T28" s="492" t="n">
        <f aca="false">IF(T3&gt;'Project Assumptions'!$I$15+1,0,T27/T30)</f>
        <v>1</v>
      </c>
      <c r="U28" s="492" t="n">
        <f aca="false">IF(U3&gt;'Project Assumptions'!$I$15+1,0,U27/U30)</f>
        <v>1</v>
      </c>
      <c r="V28" s="492" t="n">
        <f aca="false">IF(V3&gt;'Project Assumptions'!$I$15+1,0,V27/V30)</f>
        <v>1</v>
      </c>
      <c r="W28" s="493" t="n">
        <f aca="false">IF(W3&gt;'Project Assumptions'!$I$15+1,0,W27/W30)</f>
        <v>1</v>
      </c>
      <c r="X28" s="492"/>
      <c r="Y28" s="492"/>
      <c r="Z28" s="492"/>
      <c r="AA28" s="492"/>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row>
    <row r="29" customFormat="false" ht="12.6" hidden="false" customHeight="true" outlineLevel="0" collapsed="false">
      <c r="A29" s="403"/>
      <c r="B29" s="473"/>
      <c r="C29" s="434"/>
      <c r="D29" s="434"/>
      <c r="E29" s="434"/>
      <c r="F29" s="434"/>
      <c r="G29" s="434"/>
      <c r="H29" s="434"/>
      <c r="I29" s="434"/>
      <c r="J29" s="434"/>
      <c r="K29" s="434"/>
      <c r="L29" s="434"/>
      <c r="M29" s="434"/>
      <c r="N29" s="434"/>
      <c r="O29" s="434"/>
      <c r="P29" s="434"/>
      <c r="Q29" s="434"/>
      <c r="R29" s="434"/>
      <c r="S29" s="434"/>
      <c r="T29" s="434"/>
      <c r="U29" s="434"/>
      <c r="V29" s="434"/>
      <c r="W29" s="428"/>
      <c r="X29" s="434"/>
      <c r="Y29" s="434"/>
      <c r="Z29" s="434"/>
      <c r="AA29" s="434"/>
      <c r="AB29" s="473"/>
      <c r="AC29" s="473"/>
      <c r="AD29" s="473"/>
      <c r="AE29" s="473"/>
      <c r="AF29" s="473"/>
      <c r="AG29" s="473"/>
      <c r="AH29" s="473"/>
      <c r="AI29" s="473"/>
      <c r="AJ29" s="473"/>
      <c r="AK29" s="473"/>
      <c r="AL29" s="473"/>
      <c r="AM29" s="473"/>
      <c r="AN29" s="473"/>
      <c r="AO29" s="473"/>
      <c r="AP29" s="473"/>
      <c r="AQ29" s="473"/>
      <c r="AR29" s="473"/>
      <c r="AS29" s="473"/>
      <c r="AT29" s="473"/>
      <c r="AU29" s="473"/>
      <c r="AV29" s="473"/>
      <c r="AW29" s="473"/>
      <c r="AX29" s="473"/>
      <c r="AY29" s="473"/>
      <c r="AZ29" s="473"/>
      <c r="BA29" s="473"/>
      <c r="BB29" s="473"/>
      <c r="BC29" s="473"/>
      <c r="BD29" s="473"/>
      <c r="BE29" s="473"/>
      <c r="BF29" s="473"/>
      <c r="BG29" s="473"/>
      <c r="BH29" s="473"/>
      <c r="BI29" s="473"/>
      <c r="BJ29" s="473"/>
      <c r="BK29" s="473"/>
      <c r="BL29" s="473"/>
      <c r="BM29" s="473"/>
      <c r="BN29" s="473"/>
      <c r="BO29" s="473"/>
      <c r="BP29" s="473"/>
      <c r="BQ29" s="473"/>
      <c r="BR29" s="473"/>
      <c r="BS29" s="473"/>
      <c r="BT29" s="473"/>
      <c r="BU29" s="473"/>
      <c r="BV29" s="473"/>
      <c r="BW29" s="473"/>
      <c r="BX29" s="473"/>
      <c r="BY29" s="473"/>
      <c r="BZ29" s="473"/>
      <c r="CA29" s="473"/>
      <c r="CB29" s="473"/>
      <c r="CC29" s="473"/>
      <c r="CD29" s="473"/>
      <c r="CE29" s="473"/>
      <c r="CF29" s="473"/>
      <c r="CG29" s="473"/>
      <c r="CH29" s="473"/>
      <c r="CI29" s="473"/>
      <c r="CJ29" s="473"/>
      <c r="CK29" s="473"/>
      <c r="CL29" s="473"/>
      <c r="CM29" s="473"/>
      <c r="CN29" s="473"/>
      <c r="CO29" s="473"/>
      <c r="CP29" s="473"/>
      <c r="CQ29" s="473"/>
      <c r="CR29" s="473"/>
      <c r="CS29" s="473"/>
      <c r="CT29" s="473"/>
      <c r="CU29" s="473"/>
      <c r="CV29" s="473"/>
      <c r="CW29" s="473"/>
      <c r="CX29" s="473"/>
      <c r="CY29" s="473"/>
      <c r="CZ29" s="473"/>
      <c r="DA29" s="473"/>
      <c r="DB29" s="473"/>
      <c r="DC29" s="473"/>
      <c r="DD29" s="473"/>
      <c r="DE29" s="473"/>
      <c r="DF29" s="473"/>
      <c r="DG29" s="473"/>
      <c r="DH29" s="473"/>
      <c r="DI29" s="473"/>
      <c r="DJ29" s="473"/>
      <c r="DK29" s="473"/>
      <c r="DL29" s="473"/>
      <c r="DM29" s="473"/>
      <c r="DN29" s="473"/>
      <c r="DO29" s="473"/>
      <c r="DP29" s="473"/>
      <c r="DQ29" s="473"/>
      <c r="DR29" s="473"/>
      <c r="DS29" s="473"/>
      <c r="DT29" s="473"/>
      <c r="DU29" s="473"/>
      <c r="DV29" s="473"/>
      <c r="DW29" s="473"/>
      <c r="DX29" s="473"/>
      <c r="DY29" s="473"/>
      <c r="DZ29" s="473"/>
      <c r="EA29" s="473"/>
      <c r="EB29" s="473"/>
      <c r="EC29" s="473"/>
      <c r="ED29" s="473"/>
      <c r="EE29" s="473"/>
      <c r="EF29" s="473"/>
      <c r="EG29" s="473"/>
      <c r="EH29" s="473"/>
      <c r="EI29" s="473"/>
      <c r="EJ29" s="473"/>
      <c r="EK29" s="473"/>
      <c r="EL29" s="473"/>
      <c r="EM29" s="473"/>
      <c r="EN29" s="473"/>
      <c r="EO29" s="473"/>
      <c r="EP29" s="473"/>
      <c r="EQ29" s="473"/>
      <c r="ER29" s="473"/>
      <c r="ES29" s="473"/>
      <c r="ET29" s="473"/>
      <c r="EU29" s="473"/>
      <c r="EV29" s="473"/>
      <c r="EW29" s="473"/>
      <c r="EX29" s="473"/>
      <c r="EY29" s="473"/>
      <c r="EZ29" s="473"/>
      <c r="FA29" s="473"/>
      <c r="FB29" s="473"/>
      <c r="FC29" s="473"/>
      <c r="FD29" s="473"/>
      <c r="FE29" s="473"/>
      <c r="FF29" s="473"/>
      <c r="FG29" s="473"/>
      <c r="FH29" s="473"/>
      <c r="FI29" s="473"/>
      <c r="FJ29" s="473"/>
      <c r="FK29" s="473"/>
      <c r="FL29" s="473"/>
      <c r="FM29" s="473"/>
      <c r="FN29" s="473"/>
      <c r="FO29" s="473"/>
      <c r="FP29" s="473"/>
      <c r="FQ29" s="473"/>
      <c r="FR29" s="473"/>
      <c r="FS29" s="473"/>
      <c r="FT29" s="473"/>
      <c r="FU29" s="473"/>
      <c r="FV29" s="473"/>
      <c r="FW29" s="473"/>
      <c r="FX29" s="473"/>
      <c r="FY29" s="473"/>
      <c r="FZ29" s="473"/>
      <c r="GA29" s="473"/>
      <c r="GB29" s="473"/>
      <c r="GC29" s="473"/>
      <c r="GD29" s="473"/>
      <c r="GE29" s="473"/>
      <c r="GF29" s="473"/>
      <c r="GG29" s="473"/>
      <c r="GH29" s="473"/>
      <c r="GI29" s="473"/>
      <c r="GJ29" s="473"/>
      <c r="GK29" s="473"/>
      <c r="GL29" s="473"/>
      <c r="GM29" s="473"/>
      <c r="GN29" s="473"/>
      <c r="GO29" s="473"/>
      <c r="GP29" s="473"/>
      <c r="GQ29" s="473"/>
      <c r="GR29" s="473"/>
      <c r="GS29" s="473"/>
      <c r="GT29" s="473"/>
      <c r="GU29" s="473"/>
      <c r="GV29" s="473"/>
      <c r="GW29" s="473"/>
      <c r="GX29" s="473"/>
      <c r="GY29" s="473"/>
      <c r="GZ29" s="473"/>
      <c r="HA29" s="473"/>
      <c r="HB29" s="473"/>
      <c r="HC29" s="473"/>
      <c r="HD29" s="473"/>
      <c r="HE29" s="473"/>
      <c r="HF29" s="473"/>
      <c r="HG29" s="473"/>
      <c r="HH29" s="473"/>
      <c r="HI29" s="473"/>
      <c r="HJ29" s="473"/>
      <c r="HK29" s="473"/>
      <c r="HL29" s="473"/>
      <c r="HM29" s="473"/>
      <c r="HN29" s="473"/>
      <c r="HO29" s="473"/>
      <c r="HP29" s="473"/>
      <c r="HQ29" s="473"/>
      <c r="HR29" s="473"/>
      <c r="HS29" s="473"/>
      <c r="HT29" s="473"/>
      <c r="HU29" s="473"/>
      <c r="HV29" s="473"/>
      <c r="HW29" s="473"/>
      <c r="HX29" s="473"/>
      <c r="HY29" s="473"/>
      <c r="HZ29" s="473"/>
      <c r="IA29" s="473"/>
      <c r="IB29" s="473"/>
      <c r="IC29" s="473"/>
      <c r="ID29" s="473"/>
      <c r="IE29" s="473"/>
      <c r="IF29" s="473"/>
      <c r="IG29" s="473"/>
      <c r="IH29" s="473"/>
      <c r="II29" s="473"/>
      <c r="IJ29" s="473"/>
      <c r="IK29" s="473"/>
      <c r="IL29" s="473"/>
      <c r="IM29" s="473"/>
      <c r="IN29" s="473"/>
      <c r="IO29" s="473"/>
      <c r="IP29" s="473"/>
      <c r="IQ29" s="473"/>
      <c r="IR29" s="473"/>
      <c r="IS29" s="473"/>
      <c r="IT29" s="473"/>
      <c r="IU29" s="473"/>
      <c r="IV29" s="473"/>
      <c r="IW29" s="473"/>
    </row>
    <row r="30" customFormat="false" ht="12.6" hidden="false" customHeight="true" outlineLevel="0" collapsed="false">
      <c r="A30" s="397" t="s">
        <v>419</v>
      </c>
      <c r="B30" s="371"/>
      <c r="C30" s="21" t="n">
        <f aca="false">IF(C3&gt;'Project Assumptions'!$I$15+1,0,IF('Project Assumptions'!$C$68="Assumed",C25+C27,C25+C27))</f>
        <v>729600</v>
      </c>
      <c r="D30" s="21" t="n">
        <f aca="false">IF(D3&gt;'Project Assumptions'!$I$15+1,0,IF('Project Assumptions'!$C$68="Assumed",D25+D27,D25+D27))</f>
        <v>729600</v>
      </c>
      <c r="E30" s="21" t="n">
        <f aca="false">IF(E3&gt;'Project Assumptions'!$I$15+1,0,IF('Project Assumptions'!$C$68="Assumed",E25+E27,E25+E27))</f>
        <v>729600</v>
      </c>
      <c r="F30" s="21" t="n">
        <f aca="false">IF(F3&gt;'Project Assumptions'!$I$15+1,0,IF('Project Assumptions'!$C$68="Assumed",F25+F27,F25+F27))</f>
        <v>764614.128333333</v>
      </c>
      <c r="G30" s="21" t="n">
        <f aca="false">IF(G3&gt;'Project Assumptions'!$I$15+1,0,IF('Project Assumptions'!$C$68="Assumed",G25+G27,G25+G27))</f>
        <v>783098.4</v>
      </c>
      <c r="H30" s="21" t="n">
        <f aca="false">IF(H3&gt;'Project Assumptions'!$I$15+1,0,IF('Project Assumptions'!$C$68="Assumed",H25+H27,H25+H27))</f>
        <v>783098.4</v>
      </c>
      <c r="I30" s="21" t="n">
        <f aca="false">IF(I3&gt;'Project Assumptions'!$I$15+1,0,IF('Project Assumptions'!$C$68="Assumed",I25+I27,I25+I27))</f>
        <v>783098.4</v>
      </c>
      <c r="J30" s="21" t="n">
        <f aca="false">IF(J3&gt;'Project Assumptions'!$I$15+1,0,IF('Project Assumptions'!$C$68="Assumed",J25+J27,J25+J27))</f>
        <v>783098.4</v>
      </c>
      <c r="K30" s="21" t="n">
        <f aca="false">IF(K3&gt;'Project Assumptions'!$I$15+1,0,IF('Project Assumptions'!$C$68="Assumed",K25+K27,K25+K27))</f>
        <v>783098.4</v>
      </c>
      <c r="L30" s="21" t="n">
        <f aca="false">IF(L3&gt;'Project Assumptions'!$I$15+1,0,IF('Project Assumptions'!$C$68="Assumed",L25+L27,L25+L27))</f>
        <v>783098.4</v>
      </c>
      <c r="M30" s="21" t="n">
        <f aca="false">IF(M3&gt;'Project Assumptions'!$I$15+1,0,IF('Project Assumptions'!$C$68="Assumed",M25+M27,M25+M27))</f>
        <v>783098.4</v>
      </c>
      <c r="N30" s="21" t="n">
        <f aca="false">IF(N3&gt;'Project Assumptions'!$I$15+1,0,IF('Project Assumptions'!$C$68="Assumed",N25+N27,N25+N27))</f>
        <v>783098.4</v>
      </c>
      <c r="O30" s="21" t="n">
        <f aca="false">IF(O3&gt;'Project Assumptions'!$I$15+1,0,IF('Project Assumptions'!$C$68="Assumed",O25+O27,O25+O27))</f>
        <v>783098.4</v>
      </c>
      <c r="P30" s="21" t="n">
        <f aca="false">IF(P3&gt;'Project Assumptions'!$I$15+1,0,IF('Project Assumptions'!$C$68="Assumed",P25+P27,P25+P27))</f>
        <v>783098.4</v>
      </c>
      <c r="Q30" s="21" t="n">
        <f aca="false">IF(Q3&gt;'Project Assumptions'!$I$15+1,0,IF('Project Assumptions'!$C$68="Assumed",Q25+Q27,Q25+Q27))</f>
        <v>783098.4</v>
      </c>
      <c r="R30" s="21" t="n">
        <f aca="false">IF(R3&gt;'Project Assumptions'!$I$15+1,0,IF('Project Assumptions'!$C$68="Assumed",R25+R27,R25+R27))</f>
        <v>783098.4</v>
      </c>
      <c r="S30" s="21" t="n">
        <f aca="false">IF(S3&gt;'Project Assumptions'!$I$15+1,0,IF('Project Assumptions'!$C$68="Assumed",S25+S27,S25+S27))</f>
        <v>783098.4</v>
      </c>
      <c r="T30" s="21" t="n">
        <f aca="false">IF(T3&gt;'Project Assumptions'!$I$15+1,0,IF('Project Assumptions'!$C$68="Assumed",T25+T27,T25+T27))</f>
        <v>783098.4</v>
      </c>
      <c r="U30" s="21" t="n">
        <f aca="false">IF(U3&gt;'Project Assumptions'!$I$15+1,0,IF('Project Assumptions'!$C$68="Assumed",U25+U27,U25+U27))</f>
        <v>783098.4</v>
      </c>
      <c r="V30" s="21" t="n">
        <f aca="false">IF(V3&gt;'Project Assumptions'!$I$15+1,0,IF('Project Assumptions'!$C$68="Assumed",V25+V27,V25+V27))</f>
        <v>783098.4</v>
      </c>
      <c r="W30" s="22" t="n">
        <f aca="false">IF(W3&gt;'Project Assumptions'!$I$15+1,0,IF('Project Assumptions'!$C$68="Assumed",W25+W27,W25+W27))</f>
        <v>330097.728333333</v>
      </c>
      <c r="X30" s="23"/>
      <c r="Y30" s="23"/>
      <c r="Z30" s="23"/>
      <c r="AA30" s="23"/>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row>
    <row r="31" customFormat="false" ht="12.6" hidden="false" customHeight="true" outlineLevel="0" collapsed="false">
      <c r="A31" s="397" t="s">
        <v>420</v>
      </c>
      <c r="B31" s="371"/>
      <c r="C31" s="490" t="n">
        <f aca="false">IF(C3&gt;'Project Assumptions'!$I$15+1,0,C26+C28)</f>
        <v>1</v>
      </c>
      <c r="D31" s="490" t="n">
        <f aca="false">IF(D3&gt;'Project Assumptions'!$I$15+1,0,D26+D28)</f>
        <v>1</v>
      </c>
      <c r="E31" s="490" t="n">
        <f aca="false">IF(E3&gt;'Project Assumptions'!$I$15+1,0,E26+E28)</f>
        <v>1</v>
      </c>
      <c r="F31" s="490" t="n">
        <f aca="false">IF(F3&gt;'Project Assumptions'!$I$15+1,0,F26+F28)</f>
        <v>1</v>
      </c>
      <c r="G31" s="490" t="n">
        <f aca="false">IF(G3&gt;'Project Assumptions'!$I$15+1,0,G26+G28)</f>
        <v>1</v>
      </c>
      <c r="H31" s="490" t="n">
        <f aca="false">IF(H3&gt;'Project Assumptions'!$I$15+1,0,H26+H28)</f>
        <v>1</v>
      </c>
      <c r="I31" s="490" t="n">
        <f aca="false">IF(I3&gt;'Project Assumptions'!$I$15+1,0,I26+I28)</f>
        <v>1</v>
      </c>
      <c r="J31" s="490" t="n">
        <f aca="false">IF(J3&gt;'Project Assumptions'!$I$15+1,0,J26+J28)</f>
        <v>1</v>
      </c>
      <c r="K31" s="490" t="n">
        <f aca="false">IF(K3&gt;'Project Assumptions'!$I$15+1,0,K26+K28)</f>
        <v>1</v>
      </c>
      <c r="L31" s="490" t="n">
        <f aca="false">IF(L3&gt;'Project Assumptions'!$I$15+1,0,L26+L28)</f>
        <v>1</v>
      </c>
      <c r="M31" s="490" t="n">
        <f aca="false">IF(M3&gt;'Project Assumptions'!$I$15+1,0,M26+M28)</f>
        <v>1</v>
      </c>
      <c r="N31" s="490" t="n">
        <f aca="false">IF(N3&gt;'Project Assumptions'!$I$15+1,0,N26+N28)</f>
        <v>1</v>
      </c>
      <c r="O31" s="490" t="n">
        <f aca="false">IF(O3&gt;'Project Assumptions'!$I$15+1,0,O26+O28)</f>
        <v>1</v>
      </c>
      <c r="P31" s="490" t="n">
        <f aca="false">IF(P3&gt;'Project Assumptions'!$I$15+1,0,P26+P28)</f>
        <v>1</v>
      </c>
      <c r="Q31" s="490" t="n">
        <f aca="false">IF(Q3&gt;'Project Assumptions'!$I$15+1,0,Q26+Q28)</f>
        <v>1</v>
      </c>
      <c r="R31" s="490" t="n">
        <f aca="false">IF(R3&gt;'Project Assumptions'!$I$15+1,0,R26+R28)</f>
        <v>1</v>
      </c>
      <c r="S31" s="490" t="n">
        <f aca="false">IF(S3&gt;'Project Assumptions'!$I$15+1,0,S26+S28)</f>
        <v>1</v>
      </c>
      <c r="T31" s="490" t="n">
        <f aca="false">IF(T3&gt;'Project Assumptions'!$I$15+1,0,T26+T28)</f>
        <v>1</v>
      </c>
      <c r="U31" s="490" t="n">
        <f aca="false">IF(U3&gt;'Project Assumptions'!$I$15+1,0,U26+U28)</f>
        <v>1</v>
      </c>
      <c r="V31" s="490" t="n">
        <f aca="false">IF(V3&gt;'Project Assumptions'!$I$15+1,0,V26+V28)</f>
        <v>1</v>
      </c>
      <c r="W31" s="491" t="n">
        <f aca="false">IF(W3&gt;'Project Assumptions'!$I$15+1,0,W26+W28)</f>
        <v>1</v>
      </c>
      <c r="X31" s="490"/>
      <c r="Y31" s="490"/>
      <c r="Z31" s="490"/>
      <c r="AA31" s="490"/>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row>
    <row r="32" customFormat="false" ht="12.6" hidden="false" customHeight="true" outlineLevel="0" collapsed="false">
      <c r="A32" s="403" t="s">
        <v>421</v>
      </c>
      <c r="B32" s="473"/>
      <c r="C32" s="494" t="n">
        <f aca="false">IF(C3&gt;'Project Assumptions'!$I$15+1,0,'Project Assumptions'!$I$12*(1+C7))</f>
        <v>11973</v>
      </c>
      <c r="D32" s="494" t="n">
        <f aca="false">IF(D3&gt;'Project Assumptions'!$I$15+1,0,'Project Assumptions'!$I$12*(1+D7))</f>
        <v>11973</v>
      </c>
      <c r="E32" s="494" t="n">
        <f aca="false">IF(E3&gt;'Project Assumptions'!$I$15+1,0,'Project Assumptions'!$I$12*(1+E7))</f>
        <v>11973</v>
      </c>
      <c r="F32" s="494" t="n">
        <f aca="false">IF(F3&gt;'Project Assumptions'!$I$15+1,0,'Project Assumptions'!$I$12*(1+F7))</f>
        <v>11973</v>
      </c>
      <c r="G32" s="494" t="n">
        <f aca="false">IF(G3&gt;'Project Assumptions'!$I$15+1,0,'Project Assumptions'!$I$12*(1+G7))</f>
        <v>11973</v>
      </c>
      <c r="H32" s="494" t="n">
        <f aca="false">IF(H3&gt;'Project Assumptions'!$I$15+1,0,'Project Assumptions'!$I$12*(1+H7))</f>
        <v>11973</v>
      </c>
      <c r="I32" s="494" t="n">
        <f aca="false">IF(I3&gt;'Project Assumptions'!$I$15+1,0,'Project Assumptions'!$I$12*(1+I7))</f>
        <v>11973</v>
      </c>
      <c r="J32" s="494" t="n">
        <f aca="false">IF(J3&gt;'Project Assumptions'!$I$15+1,0,'Project Assumptions'!$I$12*(1+J7))</f>
        <v>11973</v>
      </c>
      <c r="K32" s="494" t="n">
        <f aca="false">IF(K3&gt;'Project Assumptions'!$I$15+1,0,'Project Assumptions'!$I$12*(1+K7))</f>
        <v>11973</v>
      </c>
      <c r="L32" s="494" t="n">
        <f aca="false">IF(L3&gt;'Project Assumptions'!$I$15+1,0,'Project Assumptions'!$I$12*(1+L7))</f>
        <v>11973</v>
      </c>
      <c r="M32" s="494" t="n">
        <f aca="false">IF(M3&gt;'Project Assumptions'!$I$15+1,0,'Project Assumptions'!$I$12*(1+M7))</f>
        <v>11973</v>
      </c>
      <c r="N32" s="494" t="n">
        <f aca="false">IF(N3&gt;'Project Assumptions'!$I$15+1,0,'Project Assumptions'!$I$12*(1+N7))</f>
        <v>11973</v>
      </c>
      <c r="O32" s="494" t="n">
        <f aca="false">IF(O3&gt;'Project Assumptions'!$I$15+1,0,'Project Assumptions'!$I$12*(1+O7))</f>
        <v>11973</v>
      </c>
      <c r="P32" s="494" t="n">
        <f aca="false">IF(P3&gt;'Project Assumptions'!$I$15+1,0,'Project Assumptions'!$I$12*(1+P7))</f>
        <v>11973</v>
      </c>
      <c r="Q32" s="494" t="n">
        <f aca="false">IF(Q3&gt;'Project Assumptions'!$I$15+1,0,'Project Assumptions'!$I$12*(1+Q7))</f>
        <v>11973</v>
      </c>
      <c r="R32" s="494" t="n">
        <f aca="false">IF(R3&gt;'Project Assumptions'!$I$15+1,0,'Project Assumptions'!$I$12*(1+R7))</f>
        <v>11973</v>
      </c>
      <c r="S32" s="494" t="n">
        <f aca="false">IF(S3&gt;'Project Assumptions'!$I$15+1,0,'Project Assumptions'!$I$12*(1+S7))</f>
        <v>11973</v>
      </c>
      <c r="T32" s="494" t="n">
        <f aca="false">IF(T3&gt;'Project Assumptions'!$I$15+1,0,'Project Assumptions'!$I$12*(1+T7))</f>
        <v>11973</v>
      </c>
      <c r="U32" s="494" t="n">
        <f aca="false">IF(U3&gt;'Project Assumptions'!$I$15+1,0,'Project Assumptions'!$I$12*(1+U7))</f>
        <v>11973</v>
      </c>
      <c r="V32" s="494" t="n">
        <f aca="false">IF(V3&gt;'Project Assumptions'!$I$15+1,0,'Project Assumptions'!$I$12*(1+V7))</f>
        <v>11973</v>
      </c>
      <c r="W32" s="495" t="n">
        <f aca="false">IF(W3&gt;'Project Assumptions'!$I$15+1,0,'Project Assumptions'!$I$12*(1+W7))</f>
        <v>11973</v>
      </c>
      <c r="X32" s="494"/>
      <c r="Y32" s="494"/>
      <c r="Z32" s="494"/>
      <c r="AA32" s="494"/>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73"/>
      <c r="BB32" s="473"/>
      <c r="BC32" s="473"/>
      <c r="BD32" s="473"/>
      <c r="BE32" s="473"/>
      <c r="BF32" s="473"/>
      <c r="BG32" s="473"/>
      <c r="BH32" s="473"/>
      <c r="BI32" s="473"/>
      <c r="BJ32" s="473"/>
      <c r="BK32" s="473"/>
      <c r="BL32" s="473"/>
      <c r="BM32" s="473"/>
      <c r="BN32" s="473"/>
      <c r="BO32" s="473"/>
      <c r="BP32" s="473"/>
      <c r="BQ32" s="473"/>
      <c r="BR32" s="473"/>
      <c r="BS32" s="473"/>
      <c r="BT32" s="473"/>
      <c r="BU32" s="473"/>
      <c r="BV32" s="473"/>
      <c r="BW32" s="473"/>
      <c r="BX32" s="473"/>
      <c r="BY32" s="473"/>
      <c r="BZ32" s="473"/>
      <c r="CA32" s="473"/>
      <c r="CB32" s="473"/>
      <c r="CC32" s="473"/>
      <c r="CD32" s="473"/>
      <c r="CE32" s="473"/>
      <c r="CF32" s="473"/>
      <c r="CG32" s="473"/>
      <c r="CH32" s="473"/>
      <c r="CI32" s="473"/>
      <c r="CJ32" s="473"/>
      <c r="CK32" s="473"/>
      <c r="CL32" s="473"/>
      <c r="CM32" s="473"/>
      <c r="CN32" s="473"/>
      <c r="CO32" s="473"/>
      <c r="CP32" s="473"/>
      <c r="CQ32" s="473"/>
      <c r="CR32" s="473"/>
      <c r="CS32" s="473"/>
      <c r="CT32" s="473"/>
      <c r="CU32" s="473"/>
      <c r="CV32" s="473"/>
      <c r="CW32" s="473"/>
      <c r="CX32" s="473"/>
      <c r="CY32" s="473"/>
      <c r="CZ32" s="473"/>
      <c r="DA32" s="473"/>
      <c r="DB32" s="473"/>
      <c r="DC32" s="473"/>
      <c r="DD32" s="473"/>
      <c r="DE32" s="473"/>
      <c r="DF32" s="473"/>
      <c r="DG32" s="473"/>
      <c r="DH32" s="473"/>
      <c r="DI32" s="473"/>
      <c r="DJ32" s="473"/>
      <c r="DK32" s="473"/>
      <c r="DL32" s="473"/>
      <c r="DM32" s="473"/>
      <c r="DN32" s="473"/>
      <c r="DO32" s="473"/>
      <c r="DP32" s="473"/>
      <c r="DQ32" s="473"/>
      <c r="DR32" s="473"/>
      <c r="DS32" s="473"/>
      <c r="DT32" s="473"/>
      <c r="DU32" s="473"/>
      <c r="DV32" s="473"/>
      <c r="DW32" s="473"/>
      <c r="DX32" s="473"/>
      <c r="DY32" s="473"/>
      <c r="DZ32" s="473"/>
      <c r="EA32" s="473"/>
      <c r="EB32" s="473"/>
      <c r="EC32" s="473"/>
      <c r="ED32" s="473"/>
      <c r="EE32" s="473"/>
      <c r="EF32" s="473"/>
      <c r="EG32" s="473"/>
      <c r="EH32" s="473"/>
      <c r="EI32" s="473"/>
      <c r="EJ32" s="473"/>
      <c r="EK32" s="473"/>
      <c r="EL32" s="473"/>
      <c r="EM32" s="473"/>
      <c r="EN32" s="473"/>
      <c r="EO32" s="473"/>
      <c r="EP32" s="473"/>
      <c r="EQ32" s="473"/>
      <c r="ER32" s="473"/>
      <c r="ES32" s="473"/>
      <c r="ET32" s="473"/>
      <c r="EU32" s="473"/>
      <c r="EV32" s="473"/>
      <c r="EW32" s="473"/>
      <c r="EX32" s="473"/>
      <c r="EY32" s="473"/>
      <c r="EZ32" s="473"/>
      <c r="FA32" s="473"/>
      <c r="FB32" s="473"/>
      <c r="FC32" s="473"/>
      <c r="FD32" s="473"/>
      <c r="FE32" s="473"/>
      <c r="FF32" s="473"/>
      <c r="FG32" s="473"/>
      <c r="FH32" s="473"/>
      <c r="FI32" s="473"/>
      <c r="FJ32" s="473"/>
      <c r="FK32" s="473"/>
      <c r="FL32" s="473"/>
      <c r="FM32" s="473"/>
      <c r="FN32" s="473"/>
      <c r="FO32" s="473"/>
      <c r="FP32" s="473"/>
      <c r="FQ32" s="473"/>
      <c r="FR32" s="473"/>
      <c r="FS32" s="473"/>
      <c r="FT32" s="473"/>
      <c r="FU32" s="473"/>
      <c r="FV32" s="473"/>
      <c r="FW32" s="473"/>
      <c r="FX32" s="473"/>
      <c r="FY32" s="473"/>
      <c r="FZ32" s="473"/>
      <c r="GA32" s="473"/>
      <c r="GB32" s="473"/>
      <c r="GC32" s="473"/>
      <c r="GD32" s="473"/>
      <c r="GE32" s="473"/>
      <c r="GF32" s="473"/>
      <c r="GG32" s="473"/>
      <c r="GH32" s="473"/>
      <c r="GI32" s="473"/>
      <c r="GJ32" s="473"/>
      <c r="GK32" s="473"/>
      <c r="GL32" s="473"/>
      <c r="GM32" s="473"/>
      <c r="GN32" s="473"/>
      <c r="GO32" s="473"/>
      <c r="GP32" s="473"/>
      <c r="GQ32" s="473"/>
      <c r="GR32" s="473"/>
      <c r="GS32" s="473"/>
      <c r="GT32" s="473"/>
      <c r="GU32" s="473"/>
      <c r="GV32" s="473"/>
      <c r="GW32" s="473"/>
      <c r="GX32" s="473"/>
      <c r="GY32" s="473"/>
      <c r="GZ32" s="473"/>
      <c r="HA32" s="473"/>
      <c r="HB32" s="473"/>
      <c r="HC32" s="473"/>
      <c r="HD32" s="473"/>
      <c r="HE32" s="473"/>
      <c r="HF32" s="473"/>
      <c r="HG32" s="473"/>
      <c r="HH32" s="473"/>
      <c r="HI32" s="473"/>
      <c r="HJ32" s="473"/>
      <c r="HK32" s="473"/>
      <c r="HL32" s="473"/>
      <c r="HM32" s="473"/>
      <c r="HN32" s="473"/>
      <c r="HO32" s="473"/>
      <c r="HP32" s="473"/>
      <c r="HQ32" s="473"/>
      <c r="HR32" s="473"/>
      <c r="HS32" s="473"/>
      <c r="HT32" s="473"/>
      <c r="HU32" s="473"/>
      <c r="HV32" s="473"/>
      <c r="HW32" s="473"/>
      <c r="HX32" s="473"/>
      <c r="HY32" s="473"/>
      <c r="HZ32" s="473"/>
      <c r="IA32" s="473"/>
      <c r="IB32" s="473"/>
      <c r="IC32" s="473"/>
      <c r="ID32" s="473"/>
      <c r="IE32" s="473"/>
      <c r="IF32" s="473"/>
      <c r="IG32" s="473"/>
      <c r="IH32" s="473"/>
      <c r="II32" s="473"/>
      <c r="IJ32" s="473"/>
      <c r="IK32" s="473"/>
      <c r="IL32" s="473"/>
      <c r="IM32" s="473"/>
      <c r="IN32" s="473"/>
      <c r="IO32" s="473"/>
      <c r="IP32" s="473"/>
      <c r="IQ32" s="473"/>
      <c r="IR32" s="473"/>
      <c r="IS32" s="473"/>
      <c r="IT32" s="473"/>
      <c r="IU32" s="473"/>
      <c r="IV32" s="473"/>
      <c r="IW32" s="473"/>
    </row>
    <row r="33" customFormat="false" ht="12.6" hidden="false" customHeight="true" outlineLevel="0" collapsed="false">
      <c r="A33" s="403" t="s">
        <v>422</v>
      </c>
      <c r="B33" s="473"/>
      <c r="C33" s="434" t="n">
        <f aca="false">IF(C3&gt;'Project Assumptions'!$I$15+1,0,C32*C30/1000000)</f>
        <v>8735.5008</v>
      </c>
      <c r="D33" s="434" t="n">
        <f aca="false">IF(D3&gt;'Project Assumptions'!$I$15+1,0,D32*D30/1000000)</f>
        <v>8735.5008</v>
      </c>
      <c r="E33" s="434" t="n">
        <f aca="false">IF(E3&gt;'Project Assumptions'!$I$15+1,0,E32*E30/1000000)</f>
        <v>8735.5008</v>
      </c>
      <c r="F33" s="434" t="n">
        <f aca="false">IF(F3&gt;'Project Assumptions'!$I$15+1,0,F32*F30/1000000)</f>
        <v>9154.724958535</v>
      </c>
      <c r="G33" s="434" t="n">
        <f aca="false">IF(G3&gt;'Project Assumptions'!$I$15+1,0,G32*G30/1000000)</f>
        <v>9376.0371432</v>
      </c>
      <c r="H33" s="434" t="n">
        <f aca="false">IF(H3&gt;'Project Assumptions'!$I$15+1,0,H32*H30/1000000)</f>
        <v>9376.0371432</v>
      </c>
      <c r="I33" s="434" t="n">
        <f aca="false">IF(I3&gt;'Project Assumptions'!$I$15+1,0,I32*I30/1000000)</f>
        <v>9376.0371432</v>
      </c>
      <c r="J33" s="434" t="n">
        <f aca="false">IF(J3&gt;'Project Assumptions'!$I$15+1,0,J32*J30/1000000)</f>
        <v>9376.0371432</v>
      </c>
      <c r="K33" s="434" t="n">
        <f aca="false">IF(K3&gt;'Project Assumptions'!$I$15+1,0,K32*K30/1000000)</f>
        <v>9376.0371432</v>
      </c>
      <c r="L33" s="434" t="n">
        <f aca="false">IF(L3&gt;'Project Assumptions'!$I$15+1,0,L32*L30/1000000)</f>
        <v>9376.0371432</v>
      </c>
      <c r="M33" s="434" t="n">
        <f aca="false">IF(M3&gt;'Project Assumptions'!$I$15+1,0,M32*M30/1000000)</f>
        <v>9376.0371432</v>
      </c>
      <c r="N33" s="434" t="n">
        <f aca="false">IF(N3&gt;'Project Assumptions'!$I$15+1,0,N32*N30/1000000)</f>
        <v>9376.0371432</v>
      </c>
      <c r="O33" s="434" t="n">
        <f aca="false">IF(O3&gt;'Project Assumptions'!$I$15+1,0,O32*O30/1000000)</f>
        <v>9376.0371432</v>
      </c>
      <c r="P33" s="434" t="n">
        <f aca="false">IF(P3&gt;'Project Assumptions'!$I$15+1,0,P32*P30/1000000)</f>
        <v>9376.0371432</v>
      </c>
      <c r="Q33" s="434" t="n">
        <f aca="false">IF(Q3&gt;'Project Assumptions'!$I$15+1,0,Q32*Q30/1000000)</f>
        <v>9376.0371432</v>
      </c>
      <c r="R33" s="434" t="n">
        <f aca="false">IF(R3&gt;'Project Assumptions'!$I$15+1,0,R32*R30/1000000)</f>
        <v>9376.0371432</v>
      </c>
      <c r="S33" s="434" t="n">
        <f aca="false">IF(S3&gt;'Project Assumptions'!$I$15+1,0,S32*S30/1000000)</f>
        <v>9376.0371432</v>
      </c>
      <c r="T33" s="434" t="n">
        <f aca="false">IF(T3&gt;'Project Assumptions'!$I$15+1,0,T32*T30/1000000)</f>
        <v>9376.0371432</v>
      </c>
      <c r="U33" s="434" t="n">
        <f aca="false">IF(U3&gt;'Project Assumptions'!$I$15+1,0,U32*U30/1000000)</f>
        <v>9376.0371432</v>
      </c>
      <c r="V33" s="434" t="n">
        <f aca="false">IF(V3&gt;'Project Assumptions'!$I$15+1,0,V32*V30/1000000)</f>
        <v>9376.0371432</v>
      </c>
      <c r="W33" s="428" t="n">
        <f aca="false">IF(W3&gt;'Project Assumptions'!$I$15+1,0,W32*W30/1000000)</f>
        <v>3952.260101335</v>
      </c>
      <c r="X33" s="434"/>
      <c r="Y33" s="434"/>
      <c r="Z33" s="434"/>
      <c r="AA33" s="434"/>
      <c r="AB33" s="473"/>
      <c r="AC33" s="473"/>
      <c r="AD33" s="473"/>
      <c r="AE33" s="473"/>
      <c r="AF33" s="473"/>
      <c r="AG33" s="473"/>
      <c r="AH33" s="473"/>
      <c r="AI33" s="473"/>
      <c r="AJ33" s="473"/>
      <c r="AK33" s="473"/>
      <c r="AL33" s="473"/>
      <c r="AM33" s="473"/>
      <c r="AN33" s="473"/>
      <c r="AO33" s="473"/>
      <c r="AP33" s="473"/>
      <c r="AQ33" s="473"/>
      <c r="AR33" s="473"/>
      <c r="AS33" s="473"/>
      <c r="AT33" s="473"/>
      <c r="AU33" s="473"/>
      <c r="AV33" s="473"/>
      <c r="AW33" s="473"/>
      <c r="AX33" s="473"/>
      <c r="AY33" s="473"/>
      <c r="AZ33" s="473"/>
      <c r="BA33" s="473"/>
      <c r="BB33" s="473"/>
      <c r="BC33" s="473"/>
      <c r="BD33" s="473"/>
      <c r="BE33" s="473"/>
      <c r="BF33" s="473"/>
      <c r="BG33" s="473"/>
      <c r="BH33" s="473"/>
      <c r="BI33" s="473"/>
      <c r="BJ33" s="473"/>
      <c r="BK33" s="473"/>
      <c r="BL33" s="473"/>
      <c r="BM33" s="473"/>
      <c r="BN33" s="473"/>
      <c r="BO33" s="473"/>
      <c r="BP33" s="473"/>
      <c r="BQ33" s="473"/>
      <c r="BR33" s="473"/>
      <c r="BS33" s="473"/>
      <c r="BT33" s="473"/>
      <c r="BU33" s="473"/>
      <c r="BV33" s="473"/>
      <c r="BW33" s="473"/>
      <c r="BX33" s="473"/>
      <c r="BY33" s="473"/>
      <c r="BZ33" s="473"/>
      <c r="CA33" s="473"/>
      <c r="CB33" s="473"/>
      <c r="CC33" s="473"/>
      <c r="CD33" s="473"/>
      <c r="CE33" s="473"/>
      <c r="CF33" s="473"/>
      <c r="CG33" s="473"/>
      <c r="CH33" s="473"/>
      <c r="CI33" s="473"/>
      <c r="CJ33" s="473"/>
      <c r="CK33" s="473"/>
      <c r="CL33" s="473"/>
      <c r="CM33" s="473"/>
      <c r="CN33" s="473"/>
      <c r="CO33" s="473"/>
      <c r="CP33" s="473"/>
      <c r="CQ33" s="473"/>
      <c r="CR33" s="473"/>
      <c r="CS33" s="473"/>
      <c r="CT33" s="473"/>
      <c r="CU33" s="473"/>
      <c r="CV33" s="473"/>
      <c r="CW33" s="473"/>
      <c r="CX33" s="473"/>
      <c r="CY33" s="473"/>
      <c r="CZ33" s="473"/>
      <c r="DA33" s="473"/>
      <c r="DB33" s="473"/>
      <c r="DC33" s="473"/>
      <c r="DD33" s="473"/>
      <c r="DE33" s="473"/>
      <c r="DF33" s="473"/>
      <c r="DG33" s="473"/>
      <c r="DH33" s="473"/>
      <c r="DI33" s="473"/>
      <c r="DJ33" s="473"/>
      <c r="DK33" s="473"/>
      <c r="DL33" s="473"/>
      <c r="DM33" s="473"/>
      <c r="DN33" s="473"/>
      <c r="DO33" s="473"/>
      <c r="DP33" s="473"/>
      <c r="DQ33" s="473"/>
      <c r="DR33" s="473"/>
      <c r="DS33" s="473"/>
      <c r="DT33" s="473"/>
      <c r="DU33" s="473"/>
      <c r="DV33" s="473"/>
      <c r="DW33" s="473"/>
      <c r="DX33" s="473"/>
      <c r="DY33" s="473"/>
      <c r="DZ33" s="473"/>
      <c r="EA33" s="473"/>
      <c r="EB33" s="473"/>
      <c r="EC33" s="473"/>
      <c r="ED33" s="473"/>
      <c r="EE33" s="473"/>
      <c r="EF33" s="473"/>
      <c r="EG33" s="473"/>
      <c r="EH33" s="473"/>
      <c r="EI33" s="473"/>
      <c r="EJ33" s="473"/>
      <c r="EK33" s="473"/>
      <c r="EL33" s="473"/>
      <c r="EM33" s="473"/>
      <c r="EN33" s="473"/>
      <c r="EO33" s="473"/>
      <c r="EP33" s="473"/>
      <c r="EQ33" s="473"/>
      <c r="ER33" s="473"/>
      <c r="ES33" s="473"/>
      <c r="ET33" s="473"/>
      <c r="EU33" s="473"/>
      <c r="EV33" s="473"/>
      <c r="EW33" s="473"/>
      <c r="EX33" s="473"/>
      <c r="EY33" s="473"/>
      <c r="EZ33" s="473"/>
      <c r="FA33" s="473"/>
      <c r="FB33" s="473"/>
      <c r="FC33" s="473"/>
      <c r="FD33" s="473"/>
      <c r="FE33" s="473"/>
      <c r="FF33" s="473"/>
      <c r="FG33" s="473"/>
      <c r="FH33" s="473"/>
      <c r="FI33" s="473"/>
      <c r="FJ33" s="473"/>
      <c r="FK33" s="473"/>
      <c r="FL33" s="473"/>
      <c r="FM33" s="473"/>
      <c r="FN33" s="473"/>
      <c r="FO33" s="473"/>
      <c r="FP33" s="473"/>
      <c r="FQ33" s="473"/>
      <c r="FR33" s="473"/>
      <c r="FS33" s="473"/>
      <c r="FT33" s="473"/>
      <c r="FU33" s="473"/>
      <c r="FV33" s="473"/>
      <c r="FW33" s="473"/>
      <c r="FX33" s="473"/>
      <c r="FY33" s="473"/>
      <c r="FZ33" s="473"/>
      <c r="GA33" s="473"/>
      <c r="GB33" s="473"/>
      <c r="GC33" s="473"/>
      <c r="GD33" s="473"/>
      <c r="GE33" s="473"/>
      <c r="GF33" s="473"/>
      <c r="GG33" s="473"/>
      <c r="GH33" s="473"/>
      <c r="GI33" s="473"/>
      <c r="GJ33" s="473"/>
      <c r="GK33" s="473"/>
      <c r="GL33" s="473"/>
      <c r="GM33" s="473"/>
      <c r="GN33" s="473"/>
      <c r="GO33" s="473"/>
      <c r="GP33" s="473"/>
      <c r="GQ33" s="473"/>
      <c r="GR33" s="473"/>
      <c r="GS33" s="473"/>
      <c r="GT33" s="473"/>
      <c r="GU33" s="473"/>
      <c r="GV33" s="473"/>
      <c r="GW33" s="473"/>
      <c r="GX33" s="473"/>
      <c r="GY33" s="473"/>
      <c r="GZ33" s="473"/>
      <c r="HA33" s="473"/>
      <c r="HB33" s="473"/>
      <c r="HC33" s="473"/>
      <c r="HD33" s="473"/>
      <c r="HE33" s="473"/>
      <c r="HF33" s="473"/>
      <c r="HG33" s="473"/>
      <c r="HH33" s="473"/>
      <c r="HI33" s="473"/>
      <c r="HJ33" s="473"/>
      <c r="HK33" s="473"/>
      <c r="HL33" s="473"/>
      <c r="HM33" s="473"/>
      <c r="HN33" s="473"/>
      <c r="HO33" s="473"/>
      <c r="HP33" s="473"/>
      <c r="HQ33" s="473"/>
      <c r="HR33" s="473"/>
      <c r="HS33" s="473"/>
      <c r="HT33" s="473"/>
      <c r="HU33" s="473"/>
      <c r="HV33" s="473"/>
      <c r="HW33" s="473"/>
      <c r="HX33" s="473"/>
      <c r="HY33" s="473"/>
      <c r="HZ33" s="473"/>
      <c r="IA33" s="473"/>
      <c r="IB33" s="473"/>
      <c r="IC33" s="473"/>
      <c r="ID33" s="473"/>
      <c r="IE33" s="473"/>
      <c r="IF33" s="473"/>
      <c r="IG33" s="473"/>
      <c r="IH33" s="473"/>
      <c r="II33" s="473"/>
      <c r="IJ33" s="473"/>
      <c r="IK33" s="473"/>
      <c r="IL33" s="473"/>
      <c r="IM33" s="473"/>
      <c r="IN33" s="473"/>
      <c r="IO33" s="473"/>
      <c r="IP33" s="473"/>
      <c r="IQ33" s="473"/>
      <c r="IR33" s="473"/>
      <c r="IS33" s="473"/>
      <c r="IT33" s="473"/>
      <c r="IU33" s="473"/>
      <c r="IV33" s="473"/>
      <c r="IW33" s="473"/>
    </row>
    <row r="34" customFormat="false" ht="12.6" hidden="false" customHeight="true" outlineLevel="0" collapsed="false">
      <c r="A34" s="403"/>
      <c r="B34" s="473"/>
      <c r="C34" s="404"/>
      <c r="D34" s="404"/>
      <c r="E34" s="404"/>
      <c r="F34" s="404"/>
      <c r="G34" s="404"/>
      <c r="H34" s="404"/>
      <c r="I34" s="404"/>
      <c r="J34" s="404"/>
      <c r="K34" s="404"/>
      <c r="L34" s="404"/>
      <c r="M34" s="404"/>
      <c r="N34" s="404"/>
      <c r="O34" s="404"/>
      <c r="P34" s="404"/>
      <c r="Q34" s="404"/>
      <c r="R34" s="404"/>
      <c r="S34" s="404"/>
      <c r="T34" s="404"/>
      <c r="U34" s="404"/>
      <c r="V34" s="404"/>
      <c r="W34" s="480"/>
      <c r="X34" s="404"/>
      <c r="Y34" s="404"/>
      <c r="Z34" s="404"/>
      <c r="AA34" s="404"/>
      <c r="AB34" s="404"/>
      <c r="AC34" s="473"/>
      <c r="AD34" s="473"/>
      <c r="AE34" s="473"/>
      <c r="AF34" s="473"/>
      <c r="AG34" s="473"/>
      <c r="AH34" s="473"/>
      <c r="AI34" s="473"/>
      <c r="AJ34" s="473"/>
      <c r="AK34" s="473"/>
      <c r="AL34" s="473"/>
      <c r="AM34" s="473"/>
      <c r="AN34" s="473"/>
      <c r="AO34" s="473"/>
      <c r="AP34" s="473"/>
      <c r="AQ34" s="473"/>
      <c r="AR34" s="473"/>
      <c r="AS34" s="473"/>
      <c r="AT34" s="473"/>
      <c r="AU34" s="473"/>
      <c r="AV34" s="473"/>
      <c r="AW34" s="473"/>
      <c r="AX34" s="473"/>
      <c r="AY34" s="473"/>
      <c r="AZ34" s="473"/>
      <c r="BA34" s="473"/>
      <c r="BB34" s="473"/>
      <c r="BC34" s="473"/>
      <c r="BD34" s="473"/>
      <c r="BE34" s="473"/>
      <c r="BF34" s="473"/>
      <c r="BG34" s="473"/>
      <c r="BH34" s="473"/>
      <c r="BI34" s="473"/>
      <c r="BJ34" s="473"/>
      <c r="BK34" s="473"/>
      <c r="BL34" s="473"/>
      <c r="BM34" s="473"/>
      <c r="BN34" s="473"/>
      <c r="BO34" s="473"/>
      <c r="BP34" s="473"/>
      <c r="BQ34" s="473"/>
      <c r="BR34" s="473"/>
      <c r="BS34" s="473"/>
      <c r="BT34" s="473"/>
      <c r="BU34" s="473"/>
      <c r="BV34" s="473"/>
      <c r="BW34" s="473"/>
      <c r="BX34" s="473"/>
      <c r="BY34" s="473"/>
      <c r="BZ34" s="473"/>
      <c r="CA34" s="473"/>
      <c r="CB34" s="473"/>
      <c r="CC34" s="473"/>
      <c r="CD34" s="473"/>
      <c r="CE34" s="473"/>
      <c r="CF34" s="473"/>
      <c r="CG34" s="473"/>
      <c r="CH34" s="473"/>
      <c r="CI34" s="473"/>
      <c r="CJ34" s="473"/>
      <c r="CK34" s="473"/>
      <c r="CL34" s="473"/>
      <c r="CM34" s="473"/>
      <c r="CN34" s="473"/>
      <c r="CO34" s="473"/>
      <c r="CP34" s="473"/>
      <c r="CQ34" s="473"/>
      <c r="CR34" s="473"/>
      <c r="CS34" s="473"/>
      <c r="CT34" s="473"/>
      <c r="CU34" s="473"/>
      <c r="CV34" s="473"/>
      <c r="CW34" s="473"/>
      <c r="CX34" s="473"/>
      <c r="CY34" s="473"/>
      <c r="CZ34" s="473"/>
      <c r="DA34" s="473"/>
      <c r="DB34" s="473"/>
      <c r="DC34" s="473"/>
      <c r="DD34" s="473"/>
      <c r="DE34" s="473"/>
      <c r="DF34" s="473"/>
      <c r="DG34" s="473"/>
      <c r="DH34" s="473"/>
      <c r="DI34" s="473"/>
      <c r="DJ34" s="473"/>
      <c r="DK34" s="473"/>
      <c r="DL34" s="473"/>
      <c r="DM34" s="473"/>
      <c r="DN34" s="473"/>
      <c r="DO34" s="473"/>
      <c r="DP34" s="473"/>
      <c r="DQ34" s="473"/>
      <c r="DR34" s="473"/>
      <c r="DS34" s="473"/>
      <c r="DT34" s="473"/>
      <c r="DU34" s="473"/>
      <c r="DV34" s="473"/>
      <c r="DW34" s="473"/>
      <c r="DX34" s="473"/>
      <c r="DY34" s="473"/>
      <c r="DZ34" s="473"/>
      <c r="EA34" s="473"/>
      <c r="EB34" s="473"/>
      <c r="EC34" s="473"/>
      <c r="ED34" s="473"/>
      <c r="EE34" s="473"/>
      <c r="EF34" s="473"/>
      <c r="EG34" s="473"/>
      <c r="EH34" s="473"/>
      <c r="EI34" s="473"/>
      <c r="EJ34" s="473"/>
      <c r="EK34" s="473"/>
      <c r="EL34" s="473"/>
      <c r="EM34" s="473"/>
      <c r="EN34" s="473"/>
      <c r="EO34" s="473"/>
      <c r="EP34" s="473"/>
      <c r="EQ34" s="473"/>
      <c r="ER34" s="473"/>
      <c r="ES34" s="473"/>
      <c r="ET34" s="473"/>
      <c r="EU34" s="473"/>
      <c r="EV34" s="473"/>
      <c r="EW34" s="473"/>
      <c r="EX34" s="473"/>
      <c r="EY34" s="473"/>
      <c r="EZ34" s="473"/>
      <c r="FA34" s="473"/>
      <c r="FB34" s="473"/>
      <c r="FC34" s="473"/>
      <c r="FD34" s="473"/>
      <c r="FE34" s="473"/>
      <c r="FF34" s="473"/>
      <c r="FG34" s="473"/>
      <c r="FH34" s="473"/>
      <c r="FI34" s="473"/>
      <c r="FJ34" s="473"/>
      <c r="FK34" s="473"/>
      <c r="FL34" s="473"/>
      <c r="FM34" s="473"/>
      <c r="FN34" s="473"/>
      <c r="FO34" s="473"/>
      <c r="FP34" s="473"/>
      <c r="FQ34" s="473"/>
      <c r="FR34" s="473"/>
      <c r="FS34" s="473"/>
      <c r="FT34" s="473"/>
      <c r="FU34" s="473"/>
      <c r="FV34" s="473"/>
      <c r="FW34" s="473"/>
      <c r="FX34" s="473"/>
      <c r="FY34" s="473"/>
      <c r="FZ34" s="473"/>
      <c r="GA34" s="473"/>
      <c r="GB34" s="473"/>
      <c r="GC34" s="473"/>
      <c r="GD34" s="473"/>
      <c r="GE34" s="473"/>
      <c r="GF34" s="473"/>
      <c r="GG34" s="473"/>
      <c r="GH34" s="473"/>
      <c r="GI34" s="473"/>
      <c r="GJ34" s="473"/>
      <c r="GK34" s="473"/>
      <c r="GL34" s="473"/>
      <c r="GM34" s="473"/>
      <c r="GN34" s="473"/>
      <c r="GO34" s="473"/>
      <c r="GP34" s="473"/>
      <c r="GQ34" s="473"/>
      <c r="GR34" s="473"/>
      <c r="GS34" s="473"/>
      <c r="GT34" s="473"/>
      <c r="GU34" s="473"/>
      <c r="GV34" s="473"/>
      <c r="GW34" s="473"/>
      <c r="GX34" s="473"/>
      <c r="GY34" s="473"/>
      <c r="GZ34" s="473"/>
      <c r="HA34" s="473"/>
      <c r="HB34" s="473"/>
      <c r="HC34" s="473"/>
      <c r="HD34" s="473"/>
      <c r="HE34" s="473"/>
      <c r="HF34" s="473"/>
      <c r="HG34" s="473"/>
      <c r="HH34" s="473"/>
      <c r="HI34" s="473"/>
      <c r="HJ34" s="473"/>
      <c r="HK34" s="473"/>
      <c r="HL34" s="473"/>
      <c r="HM34" s="473"/>
      <c r="HN34" s="473"/>
      <c r="HO34" s="473"/>
      <c r="HP34" s="473"/>
      <c r="HQ34" s="473"/>
      <c r="HR34" s="473"/>
      <c r="HS34" s="473"/>
      <c r="HT34" s="473"/>
      <c r="HU34" s="473"/>
      <c r="HV34" s="473"/>
      <c r="HW34" s="473"/>
      <c r="HX34" s="473"/>
      <c r="HY34" s="473"/>
      <c r="HZ34" s="473"/>
      <c r="IA34" s="473"/>
      <c r="IB34" s="473"/>
      <c r="IC34" s="473"/>
      <c r="ID34" s="473"/>
      <c r="IE34" s="473"/>
      <c r="IF34" s="473"/>
      <c r="IG34" s="473"/>
      <c r="IH34" s="473"/>
      <c r="II34" s="473"/>
      <c r="IJ34" s="473"/>
      <c r="IK34" s="473"/>
      <c r="IL34" s="473"/>
      <c r="IM34" s="473"/>
      <c r="IN34" s="473"/>
      <c r="IO34" s="473"/>
      <c r="IP34" s="473"/>
      <c r="IQ34" s="473"/>
      <c r="IR34" s="473"/>
      <c r="IS34" s="473"/>
      <c r="IT34" s="473"/>
      <c r="IU34" s="473"/>
      <c r="IV34" s="473"/>
      <c r="IW34" s="473"/>
    </row>
    <row r="35" customFormat="false" ht="12.6" hidden="false" customHeight="true" outlineLevel="0" collapsed="false">
      <c r="A35" s="403" t="s">
        <v>423</v>
      </c>
      <c r="B35" s="473"/>
      <c r="C35" s="425" t="n">
        <f aca="false">IF(C3&gt;'Project Assumptions'!$I$15+1,0,IF(AND('Project Assumptions'!$C$69="No",Operations!C3&gt;ProjectLife+1),0,Operations!C$43*C33))</f>
        <v>21838.752</v>
      </c>
      <c r="D35" s="425" t="n">
        <f aca="false">IF(D3&gt;'Project Assumptions'!$I$15+1,0,IF(AND('Project Assumptions'!$C$69="No",Operations!D3&gt;ProjectLife+1),0,Operations!D$43*D33))</f>
        <v>21838.752</v>
      </c>
      <c r="E35" s="425" t="n">
        <f aca="false">IF(E3&gt;'Project Assumptions'!$I$15+1,0,IF(AND('Project Assumptions'!$C$69="No",Operations!E3&gt;ProjectLife+1),0,Operations!E$43*E33))</f>
        <v>21838.752</v>
      </c>
      <c r="F35" s="425" t="n">
        <f aca="false">IF(F3&gt;'Project Assumptions'!$I$15+1,0,IF(AND('Project Assumptions'!$C$69="No",Operations!F3&gt;ProjectLife+1),0,Operations!F$43*F33))</f>
        <v>22886.8123963375</v>
      </c>
      <c r="G35" s="425" t="n">
        <f aca="false">IF(G3&gt;'Project Assumptions'!$I$15+1,0,IF(AND('Project Assumptions'!$C$69="No",Operations!G3&gt;ProjectLife+1),0,Operations!G$43*G33))</f>
        <v>23440.092858</v>
      </c>
      <c r="H35" s="425" t="n">
        <f aca="false">IF(H3&gt;'Project Assumptions'!$I$15+1,0,IF(AND('Project Assumptions'!$C$69="No",Operations!H3&gt;ProjectLife+1),0,Operations!H$43*H33))</f>
        <v>23440.092858</v>
      </c>
      <c r="I35" s="425" t="n">
        <f aca="false">IF(I3&gt;'Project Assumptions'!$I$15+1,0,IF(AND('Project Assumptions'!$C$69="No",Operations!I3&gt;ProjectLife+1),0,Operations!I$43*I33))</f>
        <v>23440.092858</v>
      </c>
      <c r="J35" s="425" t="n">
        <f aca="false">IF(J3&gt;'Project Assumptions'!$I$15+1,0,IF(AND('Project Assumptions'!$C$69="No",Operations!J3&gt;ProjectLife+1),0,Operations!J$43*J33))</f>
        <v>23440.092858</v>
      </c>
      <c r="K35" s="425" t="n">
        <f aca="false">IF(K3&gt;'Project Assumptions'!$I$15+1,0,IF(AND('Project Assumptions'!$C$69="No",Operations!K3&gt;ProjectLife+1),0,Operations!K$43*K33))</f>
        <v>23440.092858</v>
      </c>
      <c r="L35" s="425" t="n">
        <f aca="false">IF(L3&gt;'Project Assumptions'!$I$15+1,0,IF(AND('Project Assumptions'!$C$69="No",Operations!L3&gt;ProjectLife+1),0,Operations!L$43*L33))</f>
        <v>23440.092858</v>
      </c>
      <c r="M35" s="425" t="n">
        <f aca="false">IF(M3&gt;'Project Assumptions'!$I$15+1,0,IF(AND('Project Assumptions'!$C$69="No",Operations!M3&gt;ProjectLife+1),0,Operations!M$43*M33))</f>
        <v>23440.092858</v>
      </c>
      <c r="N35" s="425" t="n">
        <f aca="false">IF(N3&gt;'Project Assumptions'!$I$15+1,0,IF(AND('Project Assumptions'!$C$69="No",Operations!N3&gt;ProjectLife+1),0,Operations!N$43*N33))</f>
        <v>23440.092858</v>
      </c>
      <c r="O35" s="425" t="n">
        <f aca="false">IF(O3&gt;'Project Assumptions'!$I$15+1,0,IF(AND('Project Assumptions'!$C$69="No",Operations!O3&gt;ProjectLife+1),0,Operations!O$43*O33))</f>
        <v>23440.092858</v>
      </c>
      <c r="P35" s="425" t="n">
        <f aca="false">IF(P3&gt;'Project Assumptions'!$I$15+1,0,IF(AND('Project Assumptions'!$C$69="No",Operations!P3&gt;ProjectLife+1),0,Operations!P$43*P33))</f>
        <v>23440.092858</v>
      </c>
      <c r="Q35" s="425" t="n">
        <f aca="false">IF(Q3&gt;'Project Assumptions'!$I$15+1,0,IF(AND('Project Assumptions'!$C$69="No",Operations!Q3&gt;ProjectLife+1),0,Operations!Q$43*Q33))</f>
        <v>23440.092858</v>
      </c>
      <c r="R35" s="425" t="n">
        <f aca="false">IF(R3&gt;'Project Assumptions'!$I$15+1,0,IF(AND('Project Assumptions'!$C$69="No",Operations!R3&gt;ProjectLife+1),0,Operations!R$43*R33))</f>
        <v>23440.092858</v>
      </c>
      <c r="S35" s="425" t="n">
        <f aca="false">IF(S3&gt;'Project Assumptions'!$I$15+1,0,IF(AND('Project Assumptions'!$C$69="No",Operations!S3&gt;ProjectLife+1),0,Operations!S$43*S33))</f>
        <v>23440.092858</v>
      </c>
      <c r="T35" s="425" t="n">
        <f aca="false">IF(T3&gt;'Project Assumptions'!$I$15+1,0,IF(AND('Project Assumptions'!$C$69="No",Operations!T3&gt;ProjectLife+1),0,Operations!T$43*T33))</f>
        <v>23440.092858</v>
      </c>
      <c r="U35" s="425" t="n">
        <f aca="false">IF(U3&gt;'Project Assumptions'!$I$15+1,0,IF(AND('Project Assumptions'!$C$69="No",Operations!U3&gt;ProjectLife+1),0,Operations!U$43*U33))</f>
        <v>23440.092858</v>
      </c>
      <c r="V35" s="425" t="n">
        <f aca="false">IF(V3&gt;'Project Assumptions'!$I$15+1,0,IF(AND('Project Assumptions'!$C$69="No",Operations!V3&gt;ProjectLife+1),0,Operations!V$43*V33))</f>
        <v>23440.092858</v>
      </c>
      <c r="W35" s="426" t="n">
        <f aca="false">IF(W3&gt;'Project Assumptions'!$I$15+1,0,IF(AND('Project Assumptions'!$C$69="No",Operations!W3&gt;ProjectLife+1),0,Operations!W$43*W33))</f>
        <v>9880.6502533375</v>
      </c>
      <c r="X35" s="425"/>
      <c r="Y35" s="425"/>
      <c r="Z35" s="425"/>
      <c r="AA35" s="425"/>
      <c r="AB35" s="473"/>
      <c r="AC35" s="473"/>
      <c r="AD35" s="473"/>
      <c r="AE35" s="473"/>
      <c r="AF35" s="473"/>
      <c r="AG35" s="473"/>
      <c r="AH35" s="473"/>
      <c r="AI35" s="473"/>
      <c r="AJ35" s="473"/>
      <c r="AK35" s="473"/>
      <c r="AL35" s="473"/>
      <c r="AM35" s="473"/>
      <c r="AN35" s="473"/>
      <c r="AO35" s="473"/>
      <c r="AP35" s="473"/>
      <c r="AQ35" s="473"/>
      <c r="AR35" s="473"/>
      <c r="AS35" s="473"/>
      <c r="AT35" s="473"/>
      <c r="AU35" s="473"/>
      <c r="AV35" s="473"/>
      <c r="AW35" s="473"/>
      <c r="AX35" s="473"/>
      <c r="AY35" s="473"/>
      <c r="AZ35" s="473"/>
      <c r="BA35" s="473"/>
      <c r="BB35" s="473"/>
      <c r="BC35" s="473"/>
      <c r="BD35" s="473"/>
      <c r="BE35" s="473"/>
      <c r="BF35" s="473"/>
      <c r="BG35" s="473"/>
      <c r="BH35" s="473"/>
      <c r="BI35" s="473"/>
      <c r="BJ35" s="473"/>
      <c r="BK35" s="473"/>
      <c r="BL35" s="473"/>
      <c r="BM35" s="473"/>
      <c r="BN35" s="473"/>
      <c r="BO35" s="473"/>
      <c r="BP35" s="473"/>
      <c r="BQ35" s="473"/>
      <c r="BR35" s="473"/>
      <c r="BS35" s="473"/>
      <c r="BT35" s="473"/>
      <c r="BU35" s="473"/>
      <c r="BV35" s="473"/>
      <c r="BW35" s="473"/>
      <c r="BX35" s="473"/>
      <c r="BY35" s="473"/>
      <c r="BZ35" s="473"/>
      <c r="CA35" s="473"/>
      <c r="CB35" s="473"/>
      <c r="CC35" s="473"/>
      <c r="CD35" s="473"/>
      <c r="CE35" s="473"/>
      <c r="CF35" s="473"/>
      <c r="CG35" s="473"/>
      <c r="CH35" s="473"/>
      <c r="CI35" s="473"/>
      <c r="CJ35" s="473"/>
      <c r="CK35" s="473"/>
      <c r="CL35" s="473"/>
      <c r="CM35" s="473"/>
      <c r="CN35" s="473"/>
      <c r="CO35" s="473"/>
      <c r="CP35" s="473"/>
      <c r="CQ35" s="473"/>
      <c r="CR35" s="473"/>
      <c r="CS35" s="473"/>
      <c r="CT35" s="473"/>
      <c r="CU35" s="473"/>
      <c r="CV35" s="473"/>
      <c r="CW35" s="473"/>
      <c r="CX35" s="473"/>
      <c r="CY35" s="473"/>
      <c r="CZ35" s="473"/>
      <c r="DA35" s="473"/>
      <c r="DB35" s="473"/>
      <c r="DC35" s="473"/>
      <c r="DD35" s="473"/>
      <c r="DE35" s="473"/>
      <c r="DF35" s="473"/>
      <c r="DG35" s="473"/>
      <c r="DH35" s="473"/>
      <c r="DI35" s="473"/>
      <c r="DJ35" s="473"/>
      <c r="DK35" s="473"/>
      <c r="DL35" s="473"/>
      <c r="DM35" s="473"/>
      <c r="DN35" s="473"/>
      <c r="DO35" s="473"/>
      <c r="DP35" s="473"/>
      <c r="DQ35" s="473"/>
      <c r="DR35" s="473"/>
      <c r="DS35" s="473"/>
      <c r="DT35" s="473"/>
      <c r="DU35" s="473"/>
      <c r="DV35" s="473"/>
      <c r="DW35" s="473"/>
      <c r="DX35" s="473"/>
      <c r="DY35" s="473"/>
      <c r="DZ35" s="473"/>
      <c r="EA35" s="473"/>
      <c r="EB35" s="473"/>
      <c r="EC35" s="473"/>
      <c r="ED35" s="473"/>
      <c r="EE35" s="473"/>
      <c r="EF35" s="473"/>
      <c r="EG35" s="473"/>
      <c r="EH35" s="473"/>
      <c r="EI35" s="473"/>
      <c r="EJ35" s="473"/>
      <c r="EK35" s="473"/>
      <c r="EL35" s="473"/>
      <c r="EM35" s="473"/>
      <c r="EN35" s="473"/>
      <c r="EO35" s="473"/>
      <c r="EP35" s="473"/>
      <c r="EQ35" s="473"/>
      <c r="ER35" s="473"/>
      <c r="ES35" s="473"/>
      <c r="ET35" s="473"/>
      <c r="EU35" s="473"/>
      <c r="EV35" s="473"/>
      <c r="EW35" s="473"/>
      <c r="EX35" s="473"/>
      <c r="EY35" s="473"/>
      <c r="EZ35" s="473"/>
      <c r="FA35" s="473"/>
      <c r="FB35" s="473"/>
      <c r="FC35" s="473"/>
      <c r="FD35" s="473"/>
      <c r="FE35" s="473"/>
      <c r="FF35" s="473"/>
      <c r="FG35" s="473"/>
      <c r="FH35" s="473"/>
      <c r="FI35" s="473"/>
      <c r="FJ35" s="473"/>
      <c r="FK35" s="473"/>
      <c r="FL35" s="473"/>
      <c r="FM35" s="473"/>
      <c r="FN35" s="473"/>
      <c r="FO35" s="473"/>
      <c r="FP35" s="473"/>
      <c r="FQ35" s="473"/>
      <c r="FR35" s="473"/>
      <c r="FS35" s="473"/>
      <c r="FT35" s="473"/>
      <c r="FU35" s="473"/>
      <c r="FV35" s="473"/>
      <c r="FW35" s="473"/>
      <c r="FX35" s="473"/>
      <c r="FY35" s="473"/>
      <c r="FZ35" s="473"/>
      <c r="GA35" s="473"/>
      <c r="GB35" s="473"/>
      <c r="GC35" s="473"/>
      <c r="GD35" s="473"/>
      <c r="GE35" s="473"/>
      <c r="GF35" s="473"/>
      <c r="GG35" s="473"/>
      <c r="GH35" s="473"/>
      <c r="GI35" s="473"/>
      <c r="GJ35" s="473"/>
      <c r="GK35" s="473"/>
      <c r="GL35" s="473"/>
      <c r="GM35" s="473"/>
      <c r="GN35" s="473"/>
      <c r="GO35" s="473"/>
      <c r="GP35" s="473"/>
      <c r="GQ35" s="473"/>
      <c r="GR35" s="473"/>
      <c r="GS35" s="473"/>
      <c r="GT35" s="473"/>
      <c r="GU35" s="473"/>
      <c r="GV35" s="473"/>
      <c r="GW35" s="473"/>
      <c r="GX35" s="473"/>
      <c r="GY35" s="473"/>
      <c r="GZ35" s="473"/>
      <c r="HA35" s="473"/>
      <c r="HB35" s="473"/>
      <c r="HC35" s="473"/>
      <c r="HD35" s="473"/>
      <c r="HE35" s="473"/>
      <c r="HF35" s="473"/>
      <c r="HG35" s="473"/>
      <c r="HH35" s="473"/>
      <c r="HI35" s="473"/>
      <c r="HJ35" s="473"/>
      <c r="HK35" s="473"/>
      <c r="HL35" s="473"/>
      <c r="HM35" s="473"/>
      <c r="HN35" s="473"/>
      <c r="HO35" s="473"/>
      <c r="HP35" s="473"/>
      <c r="HQ35" s="473"/>
      <c r="HR35" s="473"/>
      <c r="HS35" s="473"/>
      <c r="HT35" s="473"/>
      <c r="HU35" s="473"/>
      <c r="HV35" s="473"/>
      <c r="HW35" s="473"/>
      <c r="HX35" s="473"/>
      <c r="HY35" s="473"/>
      <c r="HZ35" s="473"/>
      <c r="IA35" s="473"/>
      <c r="IB35" s="473"/>
      <c r="IC35" s="473"/>
      <c r="ID35" s="473"/>
      <c r="IE35" s="473"/>
      <c r="IF35" s="473"/>
      <c r="IG35" s="473"/>
      <c r="IH35" s="473"/>
      <c r="II35" s="473"/>
      <c r="IJ35" s="473"/>
      <c r="IK35" s="473"/>
      <c r="IL35" s="473"/>
      <c r="IM35" s="473"/>
      <c r="IN35" s="473"/>
      <c r="IO35" s="473"/>
      <c r="IP35" s="473"/>
      <c r="IQ35" s="473"/>
      <c r="IR35" s="473"/>
      <c r="IS35" s="473"/>
      <c r="IT35" s="473"/>
      <c r="IU35" s="473"/>
      <c r="IV35" s="473"/>
      <c r="IW35" s="473"/>
    </row>
    <row r="36" customFormat="false" ht="12.75" hidden="false" customHeight="false" outlineLevel="0" collapsed="false">
      <c r="A36" s="387" t="s">
        <v>424</v>
      </c>
      <c r="B36" s="432"/>
      <c r="C36" s="496" t="n">
        <f aca="false">C43*'Maintenance Reserves'!D7*('Project Assumptions'!$H$8+'Project Assumptions'!$I$8)*'Project Assumptions'!$N$60/1000</f>
        <v>0</v>
      </c>
      <c r="D36" s="496" t="n">
        <f aca="false">D43*'Maintenance Reserves'!E7*('Project Assumptions'!$H$8+'Project Assumptions'!$I$8)*'Project Assumptions'!$N$60/1000</f>
        <v>0</v>
      </c>
      <c r="E36" s="496" t="n">
        <f aca="false">E43*'Maintenance Reserves'!F7*('Project Assumptions'!$H$8+'Project Assumptions'!$I$8)*'Project Assumptions'!$N$60/1000</f>
        <v>0</v>
      </c>
      <c r="F36" s="496" t="n">
        <f aca="false">F43*'Maintenance Reserves'!G7*('Project Assumptions'!$H$8+'Project Assumptions'!$I$8)*'Project Assumptions'!$N$60/1000</f>
        <v>0</v>
      </c>
      <c r="G36" s="496" t="n">
        <f aca="false">G43*'Maintenance Reserves'!H7*('Project Assumptions'!$H$8+'Project Assumptions'!$I$8)*'Project Assumptions'!$N$60/1000</f>
        <v>0</v>
      </c>
      <c r="H36" s="496" t="n">
        <f aca="false">H43*'Maintenance Reserves'!I7*('Project Assumptions'!$H$8+'Project Assumptions'!$I$8)*'Project Assumptions'!$N$60/1000</f>
        <v>0</v>
      </c>
      <c r="I36" s="496" t="n">
        <f aca="false">I43*'Maintenance Reserves'!J7*('Project Assumptions'!$H$8+'Project Assumptions'!$I$8)*'Project Assumptions'!$N$60/1000</f>
        <v>0</v>
      </c>
      <c r="J36" s="496" t="n">
        <f aca="false">J43*'Maintenance Reserves'!K7*('Project Assumptions'!$H$8+'Project Assumptions'!$I$8)*'Project Assumptions'!$N$60/1000</f>
        <v>0</v>
      </c>
      <c r="K36" s="496" t="n">
        <f aca="false">K43*'Maintenance Reserves'!L7*('Project Assumptions'!$H$8+'Project Assumptions'!$I$8)*'Project Assumptions'!$N$60/1000</f>
        <v>0</v>
      </c>
      <c r="L36" s="496" t="n">
        <f aca="false">L43*'Maintenance Reserves'!M7*('Project Assumptions'!$H$8+'Project Assumptions'!$I$8)*'Project Assumptions'!$N$60/1000</f>
        <v>0</v>
      </c>
      <c r="M36" s="496" t="n">
        <f aca="false">M43*'Maintenance Reserves'!N7*('Project Assumptions'!$H$8+'Project Assumptions'!$I$8)*'Project Assumptions'!$N$60/1000</f>
        <v>0</v>
      </c>
      <c r="N36" s="496" t="n">
        <f aca="false">N43*'Maintenance Reserves'!O7*('Project Assumptions'!$H$8+'Project Assumptions'!$I$8)*'Project Assumptions'!$N$60/1000</f>
        <v>0</v>
      </c>
      <c r="O36" s="496" t="n">
        <f aca="false">O43*'Maintenance Reserves'!P7*('Project Assumptions'!$H$8+'Project Assumptions'!$I$8)*'Project Assumptions'!$N$60/1000</f>
        <v>0</v>
      </c>
      <c r="P36" s="496" t="n">
        <f aca="false">P43*'Maintenance Reserves'!Q7*('Project Assumptions'!$H$8+'Project Assumptions'!$I$8)*'Project Assumptions'!$N$60/1000</f>
        <v>0</v>
      </c>
      <c r="Q36" s="496" t="n">
        <f aca="false">Q43*'Maintenance Reserves'!R7*('Project Assumptions'!$H$8+'Project Assumptions'!$I$8)*'Project Assumptions'!$N$60/1000</f>
        <v>0</v>
      </c>
      <c r="R36" s="496" t="n">
        <f aca="false">R43*'Maintenance Reserves'!S7*('Project Assumptions'!$H$8+'Project Assumptions'!$I$8)*'Project Assumptions'!$N$60/1000</f>
        <v>0</v>
      </c>
      <c r="S36" s="496" t="n">
        <f aca="false">S43*'Maintenance Reserves'!T7*('Project Assumptions'!$H$8+'Project Assumptions'!$I$8)*'Project Assumptions'!$N$60/1000</f>
        <v>0</v>
      </c>
      <c r="T36" s="496" t="n">
        <f aca="false">T43*'Maintenance Reserves'!U7*('Project Assumptions'!$H$8+'Project Assumptions'!$I$8)*'Project Assumptions'!$N$60/1000</f>
        <v>0</v>
      </c>
      <c r="U36" s="496" t="n">
        <f aca="false">U43*'Maintenance Reserves'!V7*('Project Assumptions'!$H$8+'Project Assumptions'!$I$8)*'Project Assumptions'!$N$60/1000</f>
        <v>0</v>
      </c>
      <c r="V36" s="496" t="n">
        <f aca="false">V43*'Maintenance Reserves'!W7*('Project Assumptions'!$H$8+'Project Assumptions'!$I$8)*'Project Assumptions'!$N$60/1000</f>
        <v>0</v>
      </c>
      <c r="W36" s="497" t="n">
        <f aca="false">W43*'Maintenance Reserves'!X7*('Project Assumptions'!$H$8+'Project Assumptions'!$I$8)*'Project Assumptions'!$N$60/1000</f>
        <v>0</v>
      </c>
      <c r="X36" s="498"/>
      <c r="Y36" s="498"/>
      <c r="Z36" s="498"/>
      <c r="AA36" s="498"/>
    </row>
    <row r="37" customFormat="false" ht="12.75" hidden="false" customHeight="false" outlineLevel="0" collapsed="false">
      <c r="A37" s="499" t="s">
        <v>425</v>
      </c>
      <c r="B37" s="469"/>
      <c r="C37" s="500" t="n">
        <f aca="false">SUM(C35:C36)</f>
        <v>21838.752</v>
      </c>
      <c r="D37" s="500" t="n">
        <f aca="false">SUM(D35:D36)</f>
        <v>21838.752</v>
      </c>
      <c r="E37" s="500" t="n">
        <f aca="false">SUM(E35:E36)</f>
        <v>21838.752</v>
      </c>
      <c r="F37" s="500" t="n">
        <f aca="false">SUM(F35:F36)</f>
        <v>22886.8123963375</v>
      </c>
      <c r="G37" s="500" t="n">
        <f aca="false">SUM(G35:G36)</f>
        <v>23440.092858</v>
      </c>
      <c r="H37" s="500" t="n">
        <f aca="false">SUM(H35:H36)</f>
        <v>23440.092858</v>
      </c>
      <c r="I37" s="500" t="n">
        <f aca="false">SUM(I35:I36)</f>
        <v>23440.092858</v>
      </c>
      <c r="J37" s="500" t="n">
        <f aca="false">SUM(J35:J36)</f>
        <v>23440.092858</v>
      </c>
      <c r="K37" s="500" t="n">
        <f aca="false">SUM(K35:K36)</f>
        <v>23440.092858</v>
      </c>
      <c r="L37" s="500" t="n">
        <f aca="false">SUM(L35:L36)</f>
        <v>23440.092858</v>
      </c>
      <c r="M37" s="500" t="n">
        <f aca="false">SUM(M35:M36)</f>
        <v>23440.092858</v>
      </c>
      <c r="N37" s="500" t="n">
        <f aca="false">SUM(N35:N36)</f>
        <v>23440.092858</v>
      </c>
      <c r="O37" s="500" t="n">
        <f aca="false">SUM(O35:O36)</f>
        <v>23440.092858</v>
      </c>
      <c r="P37" s="500" t="n">
        <f aca="false">SUM(P35:P36)</f>
        <v>23440.092858</v>
      </c>
      <c r="Q37" s="500" t="n">
        <f aca="false">SUM(Q35:Q36)</f>
        <v>23440.092858</v>
      </c>
      <c r="R37" s="500" t="n">
        <f aca="false">SUM(R35:R36)</f>
        <v>23440.092858</v>
      </c>
      <c r="S37" s="500" t="n">
        <f aca="false">SUM(S35:S36)</f>
        <v>23440.092858</v>
      </c>
      <c r="T37" s="500" t="n">
        <f aca="false">SUM(T35:T36)</f>
        <v>23440.092858</v>
      </c>
      <c r="U37" s="500" t="n">
        <f aca="false">SUM(U35:U36)</f>
        <v>23440.092858</v>
      </c>
      <c r="V37" s="500" t="n">
        <f aca="false">SUM(V35:V36)</f>
        <v>23440.092858</v>
      </c>
      <c r="W37" s="501" t="n">
        <f aca="false">SUM(W35:W36)</f>
        <v>9880.6502533375</v>
      </c>
      <c r="X37" s="498"/>
      <c r="Y37" s="498"/>
      <c r="Z37" s="498"/>
      <c r="AA37" s="498"/>
    </row>
    <row r="38" customFormat="false" ht="12.6" hidden="false" customHeight="true" outlineLevel="0" collapsed="false">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row>
    <row r="39" customFormat="false" ht="15.75" hidden="false" customHeight="false" outlineLevel="0" collapsed="false">
      <c r="A39" s="418" t="s">
        <v>426</v>
      </c>
      <c r="B39" s="367"/>
      <c r="C39" s="367"/>
      <c r="D39" s="367"/>
      <c r="E39" s="367"/>
      <c r="F39" s="367"/>
      <c r="G39" s="367"/>
      <c r="H39" s="367"/>
      <c r="I39" s="367"/>
      <c r="J39" s="367"/>
      <c r="K39" s="367"/>
      <c r="L39" s="367"/>
      <c r="M39" s="367"/>
      <c r="N39" s="367"/>
      <c r="O39" s="367"/>
      <c r="P39" s="367"/>
      <c r="Q39" s="367"/>
      <c r="R39" s="367"/>
      <c r="S39" s="367"/>
      <c r="T39" s="367"/>
      <c r="U39" s="367"/>
      <c r="V39" s="367"/>
      <c r="W39" s="502"/>
      <c r="X39" s="503"/>
      <c r="Y39" s="503"/>
      <c r="Z39" s="503"/>
      <c r="AA39" s="503"/>
      <c r="AB39" s="503"/>
      <c r="AC39" s="503"/>
      <c r="AD39" s="503"/>
      <c r="AE39" s="503"/>
      <c r="AF39" s="503"/>
      <c r="AG39" s="503"/>
      <c r="AH39" s="503"/>
      <c r="AI39" s="503"/>
      <c r="AJ39" s="503"/>
      <c r="AK39" s="503"/>
      <c r="AL39" s="503"/>
      <c r="AM39" s="503"/>
      <c r="AN39" s="503"/>
      <c r="AO39" s="503"/>
      <c r="AP39" s="503"/>
      <c r="AQ39" s="503"/>
      <c r="AR39" s="503"/>
      <c r="AS39" s="503"/>
      <c r="AT39" s="503"/>
      <c r="AU39" s="503"/>
      <c r="AV39" s="503"/>
      <c r="AW39" s="503"/>
      <c r="AX39" s="503"/>
      <c r="AY39" s="503"/>
      <c r="AZ39" s="503"/>
      <c r="BA39" s="503"/>
      <c r="BB39" s="503"/>
      <c r="BC39" s="503"/>
      <c r="BD39" s="503"/>
      <c r="BE39" s="503"/>
      <c r="BF39" s="503"/>
      <c r="BG39" s="503"/>
      <c r="BH39" s="503"/>
      <c r="BI39" s="503"/>
      <c r="BJ39" s="503"/>
      <c r="BK39" s="503"/>
      <c r="BL39" s="503"/>
      <c r="BM39" s="503"/>
      <c r="BN39" s="503"/>
      <c r="BO39" s="503"/>
      <c r="BP39" s="503"/>
      <c r="BQ39" s="503"/>
      <c r="BR39" s="503"/>
      <c r="BS39" s="503"/>
      <c r="BT39" s="503"/>
      <c r="BU39" s="503"/>
      <c r="BV39" s="503"/>
      <c r="BW39" s="503"/>
      <c r="BX39" s="503"/>
      <c r="BY39" s="503"/>
      <c r="BZ39" s="503"/>
      <c r="CA39" s="503"/>
      <c r="CB39" s="503"/>
      <c r="CC39" s="503"/>
      <c r="CD39" s="503"/>
      <c r="CE39" s="503"/>
      <c r="CF39" s="503"/>
      <c r="CG39" s="503"/>
      <c r="CH39" s="503"/>
      <c r="CI39" s="503"/>
      <c r="CJ39" s="503"/>
      <c r="CK39" s="503"/>
      <c r="CL39" s="503"/>
      <c r="CM39" s="503"/>
      <c r="CN39" s="503"/>
      <c r="CO39" s="503"/>
      <c r="CP39" s="503"/>
      <c r="CQ39" s="503"/>
      <c r="CR39" s="503"/>
      <c r="CS39" s="503"/>
      <c r="CT39" s="503"/>
      <c r="CU39" s="503"/>
      <c r="CV39" s="503"/>
      <c r="CW39" s="503"/>
      <c r="CX39" s="503"/>
      <c r="CY39" s="503"/>
      <c r="CZ39" s="503"/>
      <c r="DA39" s="503"/>
      <c r="DB39" s="503"/>
      <c r="DC39" s="503"/>
      <c r="DD39" s="503"/>
      <c r="DE39" s="503"/>
      <c r="DF39" s="503"/>
      <c r="DG39" s="503"/>
      <c r="DH39" s="503"/>
      <c r="DI39" s="503"/>
      <c r="DJ39" s="503"/>
      <c r="DK39" s="503"/>
      <c r="DL39" s="503"/>
      <c r="DM39" s="503"/>
      <c r="DN39" s="503"/>
      <c r="DO39" s="503"/>
      <c r="DP39" s="503"/>
      <c r="DQ39" s="503"/>
      <c r="DR39" s="503"/>
      <c r="DS39" s="503"/>
      <c r="DT39" s="503"/>
      <c r="DU39" s="503"/>
      <c r="DV39" s="503"/>
      <c r="DW39" s="503"/>
      <c r="DX39" s="503"/>
      <c r="DY39" s="503"/>
      <c r="DZ39" s="503"/>
      <c r="EA39" s="503"/>
      <c r="EB39" s="503"/>
      <c r="EC39" s="503"/>
      <c r="ED39" s="503"/>
      <c r="EE39" s="503"/>
      <c r="EF39" s="503"/>
      <c r="EG39" s="503"/>
      <c r="EH39" s="503"/>
      <c r="EI39" s="503"/>
      <c r="EJ39" s="503"/>
      <c r="EK39" s="503"/>
      <c r="EL39" s="503"/>
      <c r="EM39" s="503"/>
      <c r="EN39" s="503"/>
      <c r="EO39" s="503"/>
      <c r="EP39" s="503"/>
      <c r="EQ39" s="503"/>
      <c r="ER39" s="503"/>
      <c r="ES39" s="503"/>
      <c r="ET39" s="503"/>
      <c r="EU39" s="503"/>
      <c r="EV39" s="503"/>
      <c r="EW39" s="503"/>
      <c r="EX39" s="503"/>
      <c r="EY39" s="503"/>
      <c r="EZ39" s="503"/>
      <c r="FA39" s="503"/>
      <c r="FB39" s="503"/>
      <c r="FC39" s="503"/>
      <c r="FD39" s="503"/>
      <c r="FE39" s="503"/>
      <c r="FF39" s="503"/>
      <c r="FG39" s="503"/>
      <c r="FH39" s="503"/>
      <c r="FI39" s="503"/>
      <c r="FJ39" s="503"/>
      <c r="FK39" s="503"/>
      <c r="FL39" s="503"/>
      <c r="FM39" s="503"/>
      <c r="FN39" s="503"/>
      <c r="FO39" s="503"/>
      <c r="FP39" s="503"/>
      <c r="FQ39" s="503"/>
      <c r="FR39" s="503"/>
      <c r="FS39" s="503"/>
      <c r="FT39" s="503"/>
      <c r="FU39" s="503"/>
      <c r="FV39" s="503"/>
      <c r="FW39" s="503"/>
      <c r="FX39" s="503"/>
      <c r="FY39" s="503"/>
      <c r="FZ39" s="503"/>
      <c r="GA39" s="503"/>
      <c r="GB39" s="503"/>
      <c r="GC39" s="503"/>
      <c r="GD39" s="503"/>
      <c r="GE39" s="503"/>
      <c r="GF39" s="503"/>
      <c r="GG39" s="503"/>
      <c r="GH39" s="503"/>
      <c r="GI39" s="503"/>
      <c r="GJ39" s="503"/>
      <c r="GK39" s="503"/>
      <c r="GL39" s="503"/>
      <c r="GM39" s="503"/>
      <c r="GN39" s="503"/>
      <c r="GO39" s="503"/>
      <c r="GP39" s="503"/>
      <c r="GQ39" s="503"/>
      <c r="GR39" s="503"/>
      <c r="GS39" s="503"/>
      <c r="GT39" s="503"/>
      <c r="GU39" s="503"/>
      <c r="GV39" s="503"/>
      <c r="GW39" s="503"/>
      <c r="GX39" s="503"/>
      <c r="GY39" s="503"/>
      <c r="GZ39" s="503"/>
      <c r="HA39" s="503"/>
      <c r="HB39" s="503"/>
      <c r="HC39" s="503"/>
      <c r="HD39" s="503"/>
      <c r="HE39" s="503"/>
      <c r="HF39" s="503"/>
      <c r="HG39" s="503"/>
      <c r="HH39" s="503"/>
      <c r="HI39" s="503"/>
      <c r="HJ39" s="503"/>
      <c r="HK39" s="503"/>
      <c r="HL39" s="503"/>
      <c r="HM39" s="503"/>
      <c r="HN39" s="503"/>
      <c r="HO39" s="503"/>
      <c r="HP39" s="503"/>
      <c r="HQ39" s="503"/>
      <c r="HR39" s="503"/>
      <c r="HS39" s="503"/>
      <c r="HT39" s="503"/>
      <c r="HU39" s="503"/>
      <c r="HV39" s="503"/>
      <c r="HW39" s="503"/>
      <c r="HX39" s="503"/>
      <c r="HY39" s="503"/>
      <c r="HZ39" s="503"/>
      <c r="IA39" s="503"/>
      <c r="IB39" s="503"/>
      <c r="IC39" s="503"/>
      <c r="ID39" s="503"/>
      <c r="IE39" s="503"/>
      <c r="IF39" s="503"/>
      <c r="IG39" s="503"/>
      <c r="IH39" s="503"/>
      <c r="II39" s="503"/>
      <c r="IJ39" s="503"/>
      <c r="IK39" s="503"/>
      <c r="IL39" s="503"/>
      <c r="IM39" s="503"/>
      <c r="IN39" s="503"/>
      <c r="IO39" s="503"/>
      <c r="IP39" s="503"/>
      <c r="IQ39" s="503"/>
      <c r="IR39" s="503"/>
      <c r="IS39" s="503"/>
      <c r="IT39" s="503"/>
      <c r="IU39" s="503"/>
      <c r="IV39" s="503"/>
      <c r="IW39" s="503"/>
    </row>
    <row r="40" customFormat="false" ht="12.6" hidden="false" customHeight="true" outlineLevel="0" collapsed="false">
      <c r="A40" s="403" t="s">
        <v>427</v>
      </c>
      <c r="B40" s="473"/>
      <c r="C40" s="504" t="n">
        <v>2.00713208333333</v>
      </c>
      <c r="D40" s="504" t="n">
        <v>2.30475916666667</v>
      </c>
      <c r="E40" s="504" t="n">
        <v>2.34312666666667</v>
      </c>
      <c r="F40" s="504" t="n">
        <v>2.37128</v>
      </c>
      <c r="G40" s="504" t="n">
        <v>2.408875</v>
      </c>
      <c r="H40" s="504" t="n">
        <v>2.45711333333333</v>
      </c>
      <c r="I40" s="504" t="n">
        <v>2.51530833333333</v>
      </c>
      <c r="J40" s="504" t="n">
        <v>2.5888675</v>
      </c>
      <c r="K40" s="504" t="n">
        <v>2.67753333333333</v>
      </c>
      <c r="L40" s="504" t="n">
        <v>2.7819925</v>
      </c>
      <c r="M40" s="504" t="n">
        <v>2.906365</v>
      </c>
      <c r="N40" s="504" t="n">
        <v>3.05193833333333</v>
      </c>
      <c r="O40" s="504" t="n">
        <v>3.21811166666667</v>
      </c>
      <c r="P40" s="504" t="n">
        <v>3.39544333333333</v>
      </c>
      <c r="Q40" s="504" t="n">
        <v>3.583075</v>
      </c>
      <c r="R40" s="504" t="n">
        <v>3.77628583333333</v>
      </c>
      <c r="S40" s="504" t="n">
        <v>3.97705</v>
      </c>
      <c r="T40" s="504" t="n">
        <v>4.2069975</v>
      </c>
      <c r="U40" s="504" t="n">
        <v>4.40458583333333</v>
      </c>
      <c r="V40" s="504" t="n">
        <v>4.60517833333333</v>
      </c>
      <c r="W40" s="505" t="n">
        <v>4.71246586666667</v>
      </c>
      <c r="X40" s="506"/>
      <c r="Y40" s="506"/>
      <c r="Z40" s="506"/>
      <c r="AA40" s="506"/>
      <c r="AB40" s="404"/>
      <c r="AC40" s="404"/>
      <c r="AD40" s="404"/>
      <c r="AE40" s="404"/>
      <c r="AF40" s="404"/>
      <c r="AG40" s="404"/>
      <c r="AH40" s="404"/>
      <c r="AI40" s="404"/>
      <c r="AJ40" s="404"/>
      <c r="AK40" s="404"/>
      <c r="AL40" s="404"/>
      <c r="AM40" s="404"/>
      <c r="AN40" s="404"/>
      <c r="AO40" s="404"/>
      <c r="AP40" s="404"/>
      <c r="AQ40" s="404"/>
      <c r="AR40" s="404"/>
      <c r="AS40" s="404"/>
      <c r="AT40" s="404"/>
      <c r="AU40" s="404"/>
      <c r="AV40" s="404"/>
      <c r="AW40" s="404"/>
      <c r="AX40" s="404"/>
      <c r="AY40" s="404"/>
      <c r="AZ40" s="404"/>
      <c r="BA40" s="404"/>
      <c r="BB40" s="404"/>
      <c r="BC40" s="404"/>
      <c r="BD40" s="404"/>
      <c r="BE40" s="404"/>
      <c r="BF40" s="404"/>
      <c r="BG40" s="404"/>
      <c r="BH40" s="404"/>
      <c r="BI40" s="404"/>
      <c r="BJ40" s="404"/>
      <c r="BK40" s="404"/>
      <c r="BL40" s="404"/>
      <c r="BM40" s="404"/>
      <c r="BN40" s="404"/>
      <c r="BO40" s="404"/>
      <c r="BP40" s="404"/>
      <c r="BQ40" s="404"/>
      <c r="BR40" s="404"/>
      <c r="BS40" s="404"/>
      <c r="BT40" s="404"/>
      <c r="BU40" s="404"/>
      <c r="BV40" s="404"/>
      <c r="BW40" s="404"/>
      <c r="BX40" s="404"/>
      <c r="BY40" s="404"/>
      <c r="BZ40" s="404"/>
      <c r="CA40" s="404"/>
      <c r="CB40" s="404"/>
      <c r="CC40" s="404"/>
      <c r="CD40" s="404"/>
      <c r="CE40" s="404"/>
      <c r="CF40" s="404"/>
      <c r="CG40" s="404"/>
      <c r="CH40" s="404"/>
      <c r="CI40" s="404"/>
      <c r="CJ40" s="404"/>
      <c r="CK40" s="404"/>
      <c r="CL40" s="404"/>
      <c r="CM40" s="404"/>
      <c r="CN40" s="404"/>
      <c r="CO40" s="404"/>
      <c r="CP40" s="404"/>
      <c r="CQ40" s="404"/>
      <c r="CR40" s="404"/>
      <c r="CS40" s="404"/>
      <c r="CT40" s="404"/>
      <c r="CU40" s="404"/>
      <c r="CV40" s="404"/>
      <c r="CW40" s="404"/>
      <c r="CX40" s="404"/>
      <c r="CY40" s="404"/>
      <c r="CZ40" s="404"/>
      <c r="DA40" s="404"/>
      <c r="DB40" s="404"/>
      <c r="DC40" s="404"/>
      <c r="DD40" s="404"/>
      <c r="DE40" s="404"/>
      <c r="DF40" s="404"/>
      <c r="DG40" s="404"/>
      <c r="DH40" s="404"/>
      <c r="DI40" s="404"/>
      <c r="DJ40" s="404"/>
      <c r="DK40" s="404"/>
      <c r="DL40" s="404"/>
      <c r="DM40" s="404"/>
      <c r="DN40" s="404"/>
      <c r="DO40" s="404"/>
      <c r="DP40" s="404"/>
      <c r="DQ40" s="404"/>
      <c r="DR40" s="404"/>
      <c r="DS40" s="404"/>
      <c r="DT40" s="404"/>
      <c r="DU40" s="404"/>
      <c r="DV40" s="404"/>
      <c r="DW40" s="404"/>
      <c r="DX40" s="404"/>
      <c r="DY40" s="404"/>
      <c r="DZ40" s="404"/>
      <c r="EA40" s="404"/>
      <c r="EB40" s="404"/>
      <c r="EC40" s="404"/>
      <c r="ED40" s="404"/>
      <c r="EE40" s="404"/>
      <c r="EF40" s="404"/>
      <c r="EG40" s="404"/>
      <c r="EH40" s="404"/>
      <c r="EI40" s="404"/>
      <c r="EJ40" s="404"/>
      <c r="EK40" s="404"/>
      <c r="EL40" s="404"/>
      <c r="EM40" s="404"/>
      <c r="EN40" s="404"/>
      <c r="EO40" s="404"/>
      <c r="EP40" s="404"/>
      <c r="EQ40" s="404"/>
      <c r="ER40" s="404"/>
      <c r="ES40" s="404"/>
      <c r="ET40" s="404"/>
      <c r="EU40" s="404"/>
      <c r="EV40" s="404"/>
      <c r="EW40" s="404"/>
      <c r="EX40" s="404"/>
      <c r="EY40" s="404"/>
      <c r="EZ40" s="404"/>
      <c r="FA40" s="404"/>
      <c r="FB40" s="404"/>
      <c r="FC40" s="404"/>
      <c r="FD40" s="404"/>
      <c r="FE40" s="404"/>
      <c r="FF40" s="404"/>
      <c r="FG40" s="404"/>
      <c r="FH40" s="404"/>
      <c r="FI40" s="404"/>
      <c r="FJ40" s="404"/>
      <c r="FK40" s="404"/>
      <c r="FL40" s="404"/>
      <c r="FM40" s="404"/>
      <c r="FN40" s="404"/>
      <c r="FO40" s="404"/>
      <c r="FP40" s="404"/>
      <c r="FQ40" s="404"/>
      <c r="FR40" s="404"/>
      <c r="FS40" s="404"/>
      <c r="FT40" s="404"/>
      <c r="FU40" s="404"/>
      <c r="FV40" s="404"/>
      <c r="FW40" s="404"/>
      <c r="FX40" s="404"/>
      <c r="FY40" s="404"/>
      <c r="FZ40" s="404"/>
      <c r="GA40" s="404"/>
      <c r="GB40" s="404"/>
      <c r="GC40" s="404"/>
      <c r="GD40" s="404"/>
      <c r="GE40" s="404"/>
      <c r="GF40" s="404"/>
      <c r="GG40" s="404"/>
      <c r="GH40" s="404"/>
      <c r="GI40" s="404"/>
      <c r="GJ40" s="404"/>
      <c r="GK40" s="404"/>
      <c r="GL40" s="404"/>
      <c r="GM40" s="404"/>
      <c r="GN40" s="404"/>
      <c r="GO40" s="404"/>
      <c r="GP40" s="404"/>
      <c r="GQ40" s="404"/>
      <c r="GR40" s="404"/>
      <c r="GS40" s="404"/>
      <c r="GT40" s="404"/>
      <c r="GU40" s="404"/>
      <c r="GV40" s="404"/>
      <c r="GW40" s="404"/>
      <c r="GX40" s="404"/>
      <c r="GY40" s="404"/>
      <c r="GZ40" s="404"/>
      <c r="HA40" s="404"/>
      <c r="HB40" s="404"/>
      <c r="HC40" s="404"/>
      <c r="HD40" s="404"/>
      <c r="HE40" s="404"/>
      <c r="HF40" s="404"/>
      <c r="HG40" s="404"/>
      <c r="HH40" s="404"/>
      <c r="HI40" s="404"/>
      <c r="HJ40" s="404"/>
      <c r="HK40" s="404"/>
      <c r="HL40" s="404"/>
      <c r="HM40" s="404"/>
      <c r="HN40" s="404"/>
      <c r="HO40" s="404"/>
      <c r="HP40" s="404"/>
      <c r="HQ40" s="404"/>
      <c r="HR40" s="404"/>
      <c r="HS40" s="404"/>
      <c r="HT40" s="404"/>
      <c r="HU40" s="404"/>
      <c r="HV40" s="404"/>
      <c r="HW40" s="404"/>
      <c r="HX40" s="404"/>
      <c r="HY40" s="404"/>
      <c r="HZ40" s="404"/>
      <c r="IA40" s="404"/>
      <c r="IB40" s="404"/>
      <c r="IC40" s="404"/>
      <c r="ID40" s="404"/>
      <c r="IE40" s="404"/>
      <c r="IF40" s="404"/>
      <c r="IG40" s="404"/>
      <c r="IH40" s="404"/>
      <c r="II40" s="404"/>
      <c r="IJ40" s="404"/>
      <c r="IK40" s="404"/>
      <c r="IL40" s="404"/>
      <c r="IM40" s="404"/>
      <c r="IN40" s="404"/>
      <c r="IO40" s="404"/>
      <c r="IP40" s="404"/>
      <c r="IQ40" s="404"/>
      <c r="IR40" s="404"/>
      <c r="IS40" s="404"/>
      <c r="IT40" s="404"/>
      <c r="IU40" s="404"/>
      <c r="IV40" s="404"/>
      <c r="IW40" s="404"/>
    </row>
    <row r="41" customFormat="false" ht="12.6" hidden="false" customHeight="true" outlineLevel="0" collapsed="false">
      <c r="A41" s="403" t="s">
        <v>428</v>
      </c>
      <c r="B41" s="473"/>
      <c r="C41" s="506" t="n">
        <f aca="false">IF('PPA Assumptions &amp;Summary'!C3&gt;'Project Assumptions'!$I$15+1,0,'Project Assumptions'!$C$64)</f>
        <v>2.5</v>
      </c>
      <c r="D41" s="506" t="n">
        <f aca="false">IF('PPA Assumptions &amp;Summary'!D3&gt;'Project Assumptions'!$I$15+1,0,'Project Assumptions'!$C$64)</f>
        <v>2.5</v>
      </c>
      <c r="E41" s="506" t="n">
        <f aca="false">IF('PPA Assumptions &amp;Summary'!E3&gt;'Project Assumptions'!$I$15+1,0,'Project Assumptions'!$C$64)</f>
        <v>2.5</v>
      </c>
      <c r="F41" s="506" t="n">
        <f aca="false">IF('PPA Assumptions &amp;Summary'!F3&gt;'Project Assumptions'!$I$15+1,0,'Project Assumptions'!$C$64)</f>
        <v>2.5</v>
      </c>
      <c r="G41" s="506" t="n">
        <f aca="false">IF('PPA Assumptions &amp;Summary'!G3&gt;'Project Assumptions'!$I$15+1,0,'Project Assumptions'!$C$64)</f>
        <v>2.5</v>
      </c>
      <c r="H41" s="506" t="n">
        <f aca="false">IF('PPA Assumptions &amp;Summary'!H3&gt;'Project Assumptions'!$I$15+1,0,'Project Assumptions'!$C$64)</f>
        <v>2.5</v>
      </c>
      <c r="I41" s="506" t="n">
        <f aca="false">IF('PPA Assumptions &amp;Summary'!I3&gt;'Project Assumptions'!$I$15+1,0,'Project Assumptions'!$C$64)</f>
        <v>2.5</v>
      </c>
      <c r="J41" s="506" t="n">
        <f aca="false">IF('PPA Assumptions &amp;Summary'!J3&gt;'Project Assumptions'!$I$15+1,0,'Project Assumptions'!$C$64)</f>
        <v>2.5</v>
      </c>
      <c r="K41" s="506" t="n">
        <f aca="false">IF('PPA Assumptions &amp;Summary'!K3&gt;'Project Assumptions'!$I$15+1,0,'Project Assumptions'!$C$64)</f>
        <v>2.5</v>
      </c>
      <c r="L41" s="506" t="n">
        <f aca="false">IF('PPA Assumptions &amp;Summary'!L3&gt;'Project Assumptions'!$I$15+1,0,'Project Assumptions'!$C$64)</f>
        <v>2.5</v>
      </c>
      <c r="M41" s="506" t="n">
        <f aca="false">IF('PPA Assumptions &amp;Summary'!M3&gt;'Project Assumptions'!$I$15+1,0,'Project Assumptions'!$C$64)</f>
        <v>2.5</v>
      </c>
      <c r="N41" s="506" t="n">
        <f aca="false">IF('PPA Assumptions &amp;Summary'!N3&gt;'Project Assumptions'!$I$15+1,0,'Project Assumptions'!$C$64)</f>
        <v>2.5</v>
      </c>
      <c r="O41" s="506" t="n">
        <f aca="false">IF('PPA Assumptions &amp;Summary'!O3&gt;'Project Assumptions'!$I$15+1,0,'Project Assumptions'!$C$64)</f>
        <v>2.5</v>
      </c>
      <c r="P41" s="506" t="n">
        <f aca="false">IF('PPA Assumptions &amp;Summary'!P3&gt;'Project Assumptions'!$I$15+1,0,'Project Assumptions'!$C$64)</f>
        <v>2.5</v>
      </c>
      <c r="Q41" s="506" t="n">
        <f aca="false">IF('PPA Assumptions &amp;Summary'!Q3&gt;'Project Assumptions'!$I$15+1,0,'Project Assumptions'!$C$64)</f>
        <v>2.5</v>
      </c>
      <c r="R41" s="506" t="n">
        <f aca="false">IF('PPA Assumptions &amp;Summary'!R3&gt;'Project Assumptions'!$I$15+1,0,'Project Assumptions'!$C$64)</f>
        <v>2.5</v>
      </c>
      <c r="S41" s="506" t="n">
        <f aca="false">IF('PPA Assumptions &amp;Summary'!S3&gt;'Project Assumptions'!$I$15+1,0,'Project Assumptions'!$C$64)</f>
        <v>2.5</v>
      </c>
      <c r="T41" s="506" t="n">
        <f aca="false">IF('PPA Assumptions &amp;Summary'!T3&gt;'Project Assumptions'!$I$15+1,0,'Project Assumptions'!$C$64)</f>
        <v>2.5</v>
      </c>
      <c r="U41" s="506" t="n">
        <f aca="false">IF('PPA Assumptions &amp;Summary'!U3&gt;'Project Assumptions'!$I$15+1,0,'Project Assumptions'!$C$64)</f>
        <v>2.5</v>
      </c>
      <c r="V41" s="506" t="n">
        <f aca="false">IF('PPA Assumptions &amp;Summary'!V3&gt;'Project Assumptions'!$I$15+1,0,'Project Assumptions'!$C$64)</f>
        <v>2.5</v>
      </c>
      <c r="W41" s="507" t="n">
        <f aca="false">IF('PPA Assumptions &amp;Summary'!W3&gt;'Project Assumptions'!$I$15+1,0,'Project Assumptions'!$C$64)</f>
        <v>2.5</v>
      </c>
      <c r="X41" s="506"/>
      <c r="Y41" s="506"/>
      <c r="Z41" s="506"/>
      <c r="AA41" s="506"/>
      <c r="AB41" s="473"/>
      <c r="AC41" s="1"/>
      <c r="AD41" s="473"/>
      <c r="AE41" s="473"/>
      <c r="AF41" s="473"/>
      <c r="AG41" s="473"/>
      <c r="AH41" s="473"/>
      <c r="AI41" s="473"/>
      <c r="AJ41" s="473"/>
      <c r="AK41" s="473"/>
      <c r="AL41" s="473"/>
      <c r="AM41" s="473"/>
      <c r="AN41" s="473"/>
      <c r="AO41" s="473"/>
      <c r="AP41" s="473"/>
      <c r="AQ41" s="473"/>
      <c r="AR41" s="473"/>
      <c r="AS41" s="473"/>
      <c r="AT41" s="473"/>
      <c r="AU41" s="473"/>
      <c r="AV41" s="473"/>
      <c r="AW41" s="473"/>
      <c r="AX41" s="473"/>
      <c r="AY41" s="473"/>
      <c r="AZ41" s="473"/>
      <c r="BA41" s="473"/>
      <c r="BB41" s="473"/>
      <c r="BC41" s="473"/>
      <c r="BD41" s="473"/>
      <c r="BE41" s="473"/>
      <c r="BF41" s="473"/>
      <c r="BG41" s="473"/>
      <c r="BH41" s="473"/>
      <c r="BI41" s="473"/>
      <c r="BJ41" s="473"/>
      <c r="BK41" s="473"/>
      <c r="BL41" s="473"/>
      <c r="BM41" s="473"/>
      <c r="BN41" s="473"/>
      <c r="BO41" s="473"/>
      <c r="BP41" s="473"/>
      <c r="BQ41" s="473"/>
      <c r="BR41" s="473"/>
      <c r="BS41" s="473"/>
      <c r="BT41" s="473"/>
      <c r="BU41" s="473"/>
      <c r="BV41" s="473"/>
      <c r="BW41" s="473"/>
      <c r="BX41" s="473"/>
      <c r="BY41" s="473"/>
      <c r="BZ41" s="473"/>
      <c r="CA41" s="473"/>
      <c r="CB41" s="473"/>
      <c r="CC41" s="473"/>
      <c r="CD41" s="473"/>
      <c r="CE41" s="473"/>
      <c r="CF41" s="473"/>
      <c r="CG41" s="473"/>
      <c r="CH41" s="473"/>
      <c r="CI41" s="473"/>
      <c r="CJ41" s="473"/>
      <c r="CK41" s="473"/>
      <c r="CL41" s="473"/>
      <c r="CM41" s="473"/>
      <c r="CN41" s="473"/>
      <c r="CO41" s="473"/>
      <c r="CP41" s="473"/>
      <c r="CQ41" s="473"/>
      <c r="CR41" s="473"/>
      <c r="CS41" s="473"/>
      <c r="CT41" s="473"/>
      <c r="CU41" s="473"/>
      <c r="CV41" s="473"/>
      <c r="CW41" s="473"/>
      <c r="CX41" s="473"/>
      <c r="CY41" s="473"/>
      <c r="CZ41" s="473"/>
      <c r="DA41" s="473"/>
      <c r="DB41" s="473"/>
      <c r="DC41" s="473"/>
      <c r="DD41" s="473"/>
      <c r="DE41" s="473"/>
      <c r="DF41" s="473"/>
      <c r="DG41" s="473"/>
      <c r="DH41" s="473"/>
      <c r="DI41" s="473"/>
      <c r="DJ41" s="473"/>
      <c r="DK41" s="473"/>
      <c r="DL41" s="473"/>
      <c r="DM41" s="473"/>
      <c r="DN41" s="473"/>
      <c r="DO41" s="473"/>
      <c r="DP41" s="473"/>
      <c r="DQ41" s="473"/>
      <c r="DR41" s="473"/>
      <c r="DS41" s="473"/>
      <c r="DT41" s="473"/>
      <c r="DU41" s="473"/>
      <c r="DV41" s="473"/>
      <c r="DW41" s="473"/>
      <c r="DX41" s="473"/>
      <c r="DY41" s="473"/>
      <c r="DZ41" s="473"/>
      <c r="EA41" s="473"/>
      <c r="EB41" s="473"/>
      <c r="EC41" s="473"/>
      <c r="ED41" s="473"/>
      <c r="EE41" s="473"/>
      <c r="EF41" s="473"/>
      <c r="EG41" s="473"/>
      <c r="EH41" s="473"/>
      <c r="EI41" s="473"/>
      <c r="EJ41" s="473"/>
      <c r="EK41" s="473"/>
      <c r="EL41" s="473"/>
      <c r="EM41" s="473"/>
      <c r="EN41" s="473"/>
      <c r="EO41" s="473"/>
      <c r="EP41" s="473"/>
      <c r="EQ41" s="473"/>
      <c r="ER41" s="473"/>
      <c r="ES41" s="473"/>
      <c r="ET41" s="473"/>
      <c r="EU41" s="473"/>
      <c r="EV41" s="473"/>
      <c r="EW41" s="473"/>
      <c r="EX41" s="473"/>
      <c r="EY41" s="473"/>
      <c r="EZ41" s="473"/>
      <c r="FA41" s="473"/>
      <c r="FB41" s="473"/>
      <c r="FC41" s="473"/>
      <c r="FD41" s="473"/>
      <c r="FE41" s="473"/>
      <c r="FF41" s="473"/>
      <c r="FG41" s="473"/>
      <c r="FH41" s="473"/>
      <c r="FI41" s="473"/>
      <c r="FJ41" s="473"/>
      <c r="FK41" s="473"/>
      <c r="FL41" s="473"/>
      <c r="FM41" s="473"/>
      <c r="FN41" s="473"/>
      <c r="FO41" s="473"/>
      <c r="FP41" s="473"/>
      <c r="FQ41" s="473"/>
      <c r="FR41" s="473"/>
      <c r="FS41" s="473"/>
      <c r="FT41" s="473"/>
      <c r="FU41" s="473"/>
      <c r="FV41" s="473"/>
      <c r="FW41" s="473"/>
      <c r="FX41" s="473"/>
      <c r="FY41" s="473"/>
      <c r="FZ41" s="473"/>
      <c r="GA41" s="473"/>
      <c r="GB41" s="473"/>
      <c r="GC41" s="473"/>
      <c r="GD41" s="473"/>
      <c r="GE41" s="473"/>
      <c r="GF41" s="473"/>
      <c r="GG41" s="473"/>
      <c r="GH41" s="473"/>
      <c r="GI41" s="473"/>
      <c r="GJ41" s="473"/>
      <c r="GK41" s="473"/>
      <c r="GL41" s="473"/>
      <c r="GM41" s="473"/>
      <c r="GN41" s="473"/>
      <c r="GO41" s="473"/>
      <c r="GP41" s="473"/>
      <c r="GQ41" s="473"/>
      <c r="GR41" s="473"/>
      <c r="GS41" s="473"/>
      <c r="GT41" s="473"/>
      <c r="GU41" s="473"/>
      <c r="GV41" s="473"/>
      <c r="GW41" s="473"/>
      <c r="GX41" s="473"/>
      <c r="GY41" s="473"/>
      <c r="GZ41" s="473"/>
      <c r="HA41" s="473"/>
      <c r="HB41" s="473"/>
      <c r="HC41" s="473"/>
      <c r="HD41" s="473"/>
      <c r="HE41" s="473"/>
      <c r="HF41" s="473"/>
      <c r="HG41" s="473"/>
      <c r="HH41" s="473"/>
      <c r="HI41" s="473"/>
      <c r="HJ41" s="473"/>
      <c r="HK41" s="473"/>
      <c r="HL41" s="473"/>
      <c r="HM41" s="473"/>
      <c r="HN41" s="473"/>
      <c r="HO41" s="473"/>
      <c r="HP41" s="473"/>
      <c r="HQ41" s="473"/>
      <c r="HR41" s="473"/>
      <c r="HS41" s="473"/>
      <c r="HT41" s="473"/>
      <c r="HU41" s="473"/>
      <c r="HV41" s="473"/>
      <c r="HW41" s="473"/>
      <c r="HX41" s="473"/>
      <c r="HY41" s="473"/>
      <c r="HZ41" s="473"/>
      <c r="IA41" s="473"/>
      <c r="IB41" s="473"/>
      <c r="IC41" s="473"/>
      <c r="ID41" s="473"/>
      <c r="IE41" s="473"/>
      <c r="IF41" s="473"/>
      <c r="IG41" s="473"/>
      <c r="IH41" s="473"/>
      <c r="II41" s="473"/>
      <c r="IJ41" s="473"/>
      <c r="IK41" s="473"/>
      <c r="IL41" s="473"/>
      <c r="IM41" s="473"/>
      <c r="IN41" s="473"/>
      <c r="IO41" s="473"/>
      <c r="IP41" s="473"/>
      <c r="IQ41" s="473"/>
      <c r="IR41" s="473"/>
      <c r="IS41" s="473"/>
      <c r="IT41" s="473"/>
      <c r="IU41" s="473"/>
      <c r="IV41" s="473"/>
      <c r="IW41" s="473"/>
    </row>
    <row r="42" customFormat="false" ht="12.6" hidden="false" customHeight="true" outlineLevel="0" collapsed="false">
      <c r="A42" s="407" t="s">
        <v>429</v>
      </c>
      <c r="B42" s="404"/>
      <c r="C42" s="463" t="n">
        <f aca="false">IF('PPA Assumptions &amp;Summary'!C3&gt;'Project Assumptions'!$I$15+1,0,IF('Project Assumptions'!$N$70&gt;0,'Project Assumptions'!$N$70,0))</f>
        <v>0</v>
      </c>
      <c r="D42" s="463" t="n">
        <f aca="false">IF('PPA Assumptions &amp;Summary'!D3&gt;'Project Assumptions'!$I$15+1,0,IF('Project Assumptions'!$N$70&gt;0,'Project Assumptions'!$N$70,0))</f>
        <v>0</v>
      </c>
      <c r="E42" s="463" t="n">
        <f aca="false">IF('PPA Assumptions &amp;Summary'!E3&gt;'Project Assumptions'!$I$15+1,0,IF('Project Assumptions'!$N$70&gt;0,'Project Assumptions'!$N$70,0))</f>
        <v>0</v>
      </c>
      <c r="F42" s="463" t="n">
        <f aca="false">IF('PPA Assumptions &amp;Summary'!F3&gt;'Project Assumptions'!$I$15+1,0,IF('Project Assumptions'!$N$70&gt;0,'Project Assumptions'!$N$70,0))</f>
        <v>0</v>
      </c>
      <c r="G42" s="463" t="n">
        <f aca="false">IF('PPA Assumptions &amp;Summary'!G3&gt;'Project Assumptions'!$I$15+1,0,IF('Project Assumptions'!$N$70&gt;0,'Project Assumptions'!$N$70,0))</f>
        <v>0</v>
      </c>
      <c r="H42" s="463" t="n">
        <f aca="false">IF('PPA Assumptions &amp;Summary'!H3&gt;'Project Assumptions'!$I$15+1,0,IF('Project Assumptions'!$N$70&gt;0,'Project Assumptions'!$N$70,0))</f>
        <v>0</v>
      </c>
      <c r="I42" s="463" t="n">
        <f aca="false">IF('PPA Assumptions &amp;Summary'!I3&gt;'Project Assumptions'!$I$15+1,0,IF('Project Assumptions'!$N$70&gt;0,'Project Assumptions'!$N$70,0))</f>
        <v>0</v>
      </c>
      <c r="J42" s="463" t="n">
        <f aca="false">IF('PPA Assumptions &amp;Summary'!J3&gt;'Project Assumptions'!$I$15+1,0,IF('Project Assumptions'!$N$70&gt;0,'Project Assumptions'!$N$70,0))</f>
        <v>0</v>
      </c>
      <c r="K42" s="463" t="n">
        <f aca="false">IF('PPA Assumptions &amp;Summary'!K3&gt;'Project Assumptions'!$I$15+1,0,IF('Project Assumptions'!$N$70&gt;0,'Project Assumptions'!$N$70,0))</f>
        <v>0</v>
      </c>
      <c r="L42" s="463" t="n">
        <f aca="false">IF('PPA Assumptions &amp;Summary'!L3&gt;'Project Assumptions'!$I$15+1,0,IF('Project Assumptions'!$N$70&gt;0,'Project Assumptions'!$N$70,0))</f>
        <v>0</v>
      </c>
      <c r="M42" s="463" t="n">
        <f aca="false">IF('PPA Assumptions &amp;Summary'!M3&gt;'Project Assumptions'!$I$15+1,0,IF('Project Assumptions'!$N$70&gt;0,'Project Assumptions'!$N$70,0))</f>
        <v>0</v>
      </c>
      <c r="N42" s="463" t="n">
        <f aca="false">IF('PPA Assumptions &amp;Summary'!N3&gt;'Project Assumptions'!$I$15+1,0,IF('Project Assumptions'!$N$70&gt;0,'Project Assumptions'!$N$70,0))</f>
        <v>0</v>
      </c>
      <c r="O42" s="463" t="n">
        <f aca="false">IF('PPA Assumptions &amp;Summary'!O3&gt;'Project Assumptions'!$I$15+1,0,IF('Project Assumptions'!$N$70&gt;0,'Project Assumptions'!$N$70,0))</f>
        <v>0</v>
      </c>
      <c r="P42" s="463" t="n">
        <f aca="false">IF('PPA Assumptions &amp;Summary'!P3&gt;'Project Assumptions'!$I$15+1,0,IF('Project Assumptions'!$N$70&gt;0,'Project Assumptions'!$N$70,0))</f>
        <v>0</v>
      </c>
      <c r="Q42" s="463" t="n">
        <f aca="false">IF('PPA Assumptions &amp;Summary'!Q3&gt;'Project Assumptions'!$I$15+1,0,IF('Project Assumptions'!$N$70&gt;0,'Project Assumptions'!$N$70,0))</f>
        <v>0</v>
      </c>
      <c r="R42" s="463" t="n">
        <f aca="false">IF('PPA Assumptions &amp;Summary'!R3&gt;'Project Assumptions'!$I$15+1,0,IF('Project Assumptions'!$N$70&gt;0,'Project Assumptions'!$N$70,0))</f>
        <v>0</v>
      </c>
      <c r="S42" s="463" t="n">
        <f aca="false">IF('PPA Assumptions &amp;Summary'!S3&gt;'Project Assumptions'!$I$15+1,0,IF('Project Assumptions'!$N$70&gt;0,'Project Assumptions'!$N$70,0))</f>
        <v>0</v>
      </c>
      <c r="T42" s="463" t="n">
        <f aca="false">IF('PPA Assumptions &amp;Summary'!T3&gt;'Project Assumptions'!$I$15+1,0,IF('Project Assumptions'!$N$70&gt;0,'Project Assumptions'!$N$70,0))</f>
        <v>0</v>
      </c>
      <c r="U42" s="463" t="n">
        <f aca="false">IF('PPA Assumptions &amp;Summary'!U3&gt;'Project Assumptions'!$I$15+1,0,IF('Project Assumptions'!$N$70&gt;0,'Project Assumptions'!$N$70,0))</f>
        <v>0</v>
      </c>
      <c r="V42" s="463" t="n">
        <f aca="false">IF('PPA Assumptions &amp;Summary'!V3&gt;'Project Assumptions'!$I$15+1,0,IF('Project Assumptions'!$N$70&gt;0,'Project Assumptions'!$N$70,0))</f>
        <v>0</v>
      </c>
      <c r="W42" s="508" t="n">
        <f aca="false">IF('PPA Assumptions &amp;Summary'!W3&gt;'Project Assumptions'!$I$15+1,0,IF('Project Assumptions'!$N$70&gt;0,'Project Assumptions'!$N$70,0))</f>
        <v>0</v>
      </c>
      <c r="X42" s="463"/>
      <c r="Y42" s="463"/>
      <c r="Z42" s="463"/>
      <c r="AA42" s="463"/>
      <c r="AB42" s="404"/>
      <c r="AC42" s="404"/>
      <c r="AD42" s="404"/>
      <c r="AE42" s="404"/>
      <c r="AF42" s="404"/>
      <c r="AG42" s="404"/>
      <c r="AH42" s="404"/>
      <c r="AI42" s="404"/>
      <c r="AJ42" s="404"/>
      <c r="AK42" s="404"/>
      <c r="AL42" s="404"/>
      <c r="AM42" s="404"/>
      <c r="AN42" s="404"/>
      <c r="AO42" s="404"/>
      <c r="AP42" s="404"/>
      <c r="AQ42" s="404"/>
      <c r="AR42" s="404"/>
      <c r="AS42" s="404"/>
      <c r="AT42" s="404"/>
      <c r="AU42" s="404"/>
      <c r="AV42" s="404"/>
      <c r="AW42" s="404"/>
      <c r="AX42" s="404"/>
      <c r="AY42" s="404"/>
      <c r="AZ42" s="404"/>
      <c r="BA42" s="404"/>
      <c r="BB42" s="404"/>
      <c r="BC42" s="404"/>
      <c r="BD42" s="404"/>
      <c r="BE42" s="404"/>
      <c r="BF42" s="404"/>
      <c r="BG42" s="404"/>
      <c r="BH42" s="404"/>
      <c r="BI42" s="404"/>
      <c r="BJ42" s="404"/>
      <c r="BK42" s="404"/>
      <c r="BL42" s="404"/>
      <c r="BM42" s="404"/>
      <c r="BN42" s="404"/>
      <c r="BO42" s="404"/>
      <c r="BP42" s="404"/>
      <c r="BQ42" s="404"/>
      <c r="BR42" s="404"/>
      <c r="BS42" s="404"/>
      <c r="BT42" s="404"/>
      <c r="BU42" s="404"/>
      <c r="BV42" s="404"/>
      <c r="BW42" s="404"/>
      <c r="BX42" s="404"/>
      <c r="BY42" s="404"/>
      <c r="BZ42" s="404"/>
      <c r="CA42" s="404"/>
      <c r="CB42" s="404"/>
      <c r="CC42" s="404"/>
      <c r="CD42" s="404"/>
      <c r="CE42" s="404"/>
      <c r="CF42" s="404"/>
      <c r="CG42" s="404"/>
      <c r="CH42" s="404"/>
      <c r="CI42" s="404"/>
      <c r="CJ42" s="404"/>
      <c r="CK42" s="404"/>
      <c r="CL42" s="404"/>
      <c r="CM42" s="404"/>
      <c r="CN42" s="404"/>
      <c r="CO42" s="404"/>
      <c r="CP42" s="404"/>
      <c r="CQ42" s="404"/>
      <c r="CR42" s="404"/>
      <c r="CS42" s="404"/>
      <c r="CT42" s="404"/>
      <c r="CU42" s="404"/>
      <c r="CV42" s="404"/>
      <c r="CW42" s="404"/>
      <c r="CX42" s="404"/>
      <c r="CY42" s="404"/>
      <c r="CZ42" s="404"/>
      <c r="DA42" s="404"/>
      <c r="DB42" s="404"/>
      <c r="DC42" s="404"/>
      <c r="DD42" s="404"/>
      <c r="DE42" s="404"/>
      <c r="DF42" s="404"/>
      <c r="DG42" s="404"/>
      <c r="DH42" s="404"/>
      <c r="DI42" s="404"/>
      <c r="DJ42" s="404"/>
      <c r="DK42" s="404"/>
      <c r="DL42" s="404"/>
      <c r="DM42" s="404"/>
      <c r="DN42" s="404"/>
      <c r="DO42" s="404"/>
      <c r="DP42" s="404"/>
      <c r="DQ42" s="404"/>
      <c r="DR42" s="404"/>
      <c r="DS42" s="404"/>
      <c r="DT42" s="404"/>
      <c r="DU42" s="404"/>
      <c r="DV42" s="404"/>
      <c r="DW42" s="404"/>
      <c r="DX42" s="404"/>
      <c r="DY42" s="404"/>
      <c r="DZ42" s="404"/>
      <c r="EA42" s="404"/>
      <c r="EB42" s="404"/>
      <c r="EC42" s="404"/>
      <c r="ED42" s="404"/>
      <c r="EE42" s="404"/>
      <c r="EF42" s="404"/>
      <c r="EG42" s="404"/>
      <c r="EH42" s="404"/>
      <c r="EI42" s="404"/>
      <c r="EJ42" s="404"/>
      <c r="EK42" s="404"/>
      <c r="EL42" s="404"/>
      <c r="EM42" s="404"/>
      <c r="EN42" s="404"/>
      <c r="EO42" s="404"/>
      <c r="EP42" s="404"/>
      <c r="EQ42" s="404"/>
      <c r="ER42" s="404"/>
      <c r="ES42" s="404"/>
      <c r="ET42" s="404"/>
      <c r="EU42" s="404"/>
      <c r="EV42" s="404"/>
      <c r="EW42" s="404"/>
      <c r="EX42" s="404"/>
      <c r="EY42" s="404"/>
      <c r="EZ42" s="404"/>
      <c r="FA42" s="404"/>
      <c r="FB42" s="404"/>
      <c r="FC42" s="404"/>
      <c r="FD42" s="404"/>
      <c r="FE42" s="404"/>
      <c r="FF42" s="404"/>
      <c r="FG42" s="404"/>
      <c r="FH42" s="404"/>
      <c r="FI42" s="404"/>
      <c r="FJ42" s="404"/>
      <c r="FK42" s="404"/>
      <c r="FL42" s="404"/>
      <c r="FM42" s="404"/>
      <c r="FN42" s="404"/>
      <c r="FO42" s="404"/>
      <c r="FP42" s="404"/>
      <c r="FQ42" s="404"/>
      <c r="FR42" s="404"/>
      <c r="FS42" s="404"/>
      <c r="FT42" s="404"/>
      <c r="FU42" s="404"/>
      <c r="FV42" s="404"/>
      <c r="FW42" s="404"/>
      <c r="FX42" s="404"/>
      <c r="FY42" s="404"/>
      <c r="FZ42" s="404"/>
      <c r="GA42" s="404"/>
      <c r="GB42" s="404"/>
      <c r="GC42" s="404"/>
      <c r="GD42" s="404"/>
      <c r="GE42" s="404"/>
      <c r="GF42" s="404"/>
      <c r="GG42" s="404"/>
      <c r="GH42" s="404"/>
      <c r="GI42" s="404"/>
      <c r="GJ42" s="404"/>
      <c r="GK42" s="404"/>
      <c r="GL42" s="404"/>
      <c r="GM42" s="404"/>
      <c r="GN42" s="404"/>
      <c r="GO42" s="404"/>
      <c r="GP42" s="404"/>
      <c r="GQ42" s="404"/>
      <c r="GR42" s="404"/>
      <c r="GS42" s="404"/>
      <c r="GT42" s="404"/>
      <c r="GU42" s="404"/>
      <c r="GV42" s="404"/>
      <c r="GW42" s="404"/>
      <c r="GX42" s="404"/>
      <c r="GY42" s="404"/>
      <c r="GZ42" s="404"/>
      <c r="HA42" s="404"/>
      <c r="HB42" s="404"/>
      <c r="HC42" s="404"/>
      <c r="HD42" s="404"/>
      <c r="HE42" s="404"/>
      <c r="HF42" s="404"/>
      <c r="HG42" s="404"/>
      <c r="HH42" s="404"/>
      <c r="HI42" s="404"/>
      <c r="HJ42" s="404"/>
      <c r="HK42" s="404"/>
      <c r="HL42" s="404"/>
      <c r="HM42" s="404"/>
      <c r="HN42" s="404"/>
      <c r="HO42" s="404"/>
      <c r="HP42" s="404"/>
      <c r="HQ42" s="404"/>
      <c r="HR42" s="404"/>
      <c r="HS42" s="404"/>
      <c r="HT42" s="404"/>
      <c r="HU42" s="404"/>
      <c r="HV42" s="404"/>
      <c r="HW42" s="404"/>
      <c r="HX42" s="404"/>
      <c r="HY42" s="404"/>
      <c r="HZ42" s="404"/>
      <c r="IA42" s="404"/>
      <c r="IB42" s="404"/>
      <c r="IC42" s="404"/>
      <c r="ID42" s="404"/>
      <c r="IE42" s="404"/>
      <c r="IF42" s="404"/>
      <c r="IG42" s="404"/>
      <c r="IH42" s="404"/>
      <c r="II42" s="404"/>
      <c r="IJ42" s="404"/>
      <c r="IK42" s="404"/>
      <c r="IL42" s="404"/>
      <c r="IM42" s="404"/>
      <c r="IN42" s="404"/>
      <c r="IO42" s="404"/>
      <c r="IP42" s="404"/>
      <c r="IQ42" s="404"/>
      <c r="IR42" s="404"/>
      <c r="IS42" s="404"/>
      <c r="IT42" s="404"/>
      <c r="IU42" s="404"/>
      <c r="IV42" s="404"/>
      <c r="IW42" s="404"/>
    </row>
    <row r="43" customFormat="false" ht="12.6" hidden="false" customHeight="true" outlineLevel="0" collapsed="false">
      <c r="A43" s="407" t="s">
        <v>430</v>
      </c>
      <c r="B43" s="404"/>
      <c r="C43" s="509" t="n">
        <f aca="false">IF(AND('Project Assumptions'!$C$63="Fixed",C42&gt;0),C41*(1+C42),IF(AND('Project Assumptions'!$C$63="Index",C42&gt;0),C40*(1+C42),IF('Project Assumptions'!$C$63="Fixed",C41,C40)))</f>
        <v>2.5</v>
      </c>
      <c r="D43" s="509" t="n">
        <f aca="false">IF(AND('Project Assumptions'!$C$63="Fixed",D42&gt;0),D41*(1+D42),IF(AND('Project Assumptions'!$C$63="Index",D42&gt;0),D40*(1+D42),IF('Project Assumptions'!$C$63="Fixed",D41,D40)))</f>
        <v>2.5</v>
      </c>
      <c r="E43" s="510" t="n">
        <f aca="false">IF(AND('Project Assumptions'!$C$63="Fixed",E42&gt;0),E41*(1+E42),IF(AND('Project Assumptions'!$C$63="Index",E42&gt;0),E40*(1+E42),IF('Project Assumptions'!$C$63="Fixed",E41,E40)))</f>
        <v>2.5</v>
      </c>
      <c r="F43" s="509" t="n">
        <f aca="false">IF(AND('Project Assumptions'!$C$63="Fixed",F42&gt;0),F41*(1+F42),IF(AND('Project Assumptions'!$C$63="Index",F42&gt;0),F40*(1+F42),IF('Project Assumptions'!$C$63="Fixed",F41,F40)))</f>
        <v>2.5</v>
      </c>
      <c r="G43" s="509" t="n">
        <f aca="false">IF(AND('Project Assumptions'!$C$63="Fixed",G42&gt;0),G41*(1+G42),IF(AND('Project Assumptions'!$C$63="Index",G42&gt;0),G40*(1+G42),IF('Project Assumptions'!$C$63="Fixed",G41,G40)))</f>
        <v>2.5</v>
      </c>
      <c r="H43" s="509" t="n">
        <f aca="false">IF(AND('Project Assumptions'!$C$63="Fixed",H42&gt;0),H41*(1+H42),IF(AND('Project Assumptions'!$C$63="Index",H42&gt;0),H40*(1+H42),IF('Project Assumptions'!$C$63="Fixed",H41,H40)))</f>
        <v>2.5</v>
      </c>
      <c r="I43" s="509" t="n">
        <f aca="false">IF(AND('Project Assumptions'!$C$63="Fixed",I42&gt;0),I41*(1+I42),IF(AND('Project Assumptions'!$C$63="Index",I42&gt;0),I40*(1+I42),IF('Project Assumptions'!$C$63="Fixed",I41,I40)))</f>
        <v>2.5</v>
      </c>
      <c r="J43" s="509" t="n">
        <f aca="false">IF(AND('Project Assumptions'!$C$63="Fixed",J42&gt;0),J41*(1+J42),IF(AND('Project Assumptions'!$C$63="Index",J42&gt;0),J40*(1+J42),IF('Project Assumptions'!$C$63="Fixed",J41,J40)))</f>
        <v>2.5</v>
      </c>
      <c r="K43" s="509" t="n">
        <f aca="false">IF(AND('Project Assumptions'!$C$63="Fixed",K42&gt;0),K41*(1+K42),IF(AND('Project Assumptions'!$C$63="Index",K42&gt;0),K40*(1+K42),IF('Project Assumptions'!$C$63="Fixed",K41,K40)))</f>
        <v>2.5</v>
      </c>
      <c r="L43" s="509" t="n">
        <f aca="false">IF(AND('Project Assumptions'!$C$63="Fixed",L42&gt;0),L41*(1+L42),IF(AND('Project Assumptions'!$C$63="Index",L42&gt;0),L40*(1+L42),IF('Project Assumptions'!$C$63="Fixed",L41,L40)))</f>
        <v>2.5</v>
      </c>
      <c r="M43" s="509" t="n">
        <f aca="false">IF(AND('Project Assumptions'!$C$63="Fixed",M42&gt;0),M41*(1+M42),IF(AND('Project Assumptions'!$C$63="Index",M42&gt;0),M40*(1+M42),IF('Project Assumptions'!$C$63="Fixed",M41,M40)))</f>
        <v>2.5</v>
      </c>
      <c r="N43" s="509" t="n">
        <f aca="false">IF(AND('Project Assumptions'!$C$63="Fixed",N42&gt;0),N41*(1+N42),IF(AND('Project Assumptions'!$C$63="Index",N42&gt;0),N40*(1+N42),IF('Project Assumptions'!$C$63="Fixed",N41,N40)))</f>
        <v>2.5</v>
      </c>
      <c r="O43" s="509" t="n">
        <f aca="false">IF(AND('Project Assumptions'!$C$63="Fixed",O42&gt;0),O41*(1+O42),IF(AND('Project Assumptions'!$C$63="Index",O42&gt;0),O40*(1+O42),IF('Project Assumptions'!$C$63="Fixed",O41,O40)))</f>
        <v>2.5</v>
      </c>
      <c r="P43" s="509" t="n">
        <f aca="false">IF(AND('Project Assumptions'!$C$63="Fixed",P42&gt;0),P41*(1+P42),IF(AND('Project Assumptions'!$C$63="Index",P42&gt;0),P40*(1+P42),IF('Project Assumptions'!$C$63="Fixed",P41,P40)))</f>
        <v>2.5</v>
      </c>
      <c r="Q43" s="509" t="n">
        <f aca="false">IF(AND('Project Assumptions'!$C$63="Fixed",Q42&gt;0),Q41*(1+Q42),IF(AND('Project Assumptions'!$C$63="Index",Q42&gt;0),Q40*(1+Q42),IF('Project Assumptions'!$C$63="Fixed",Q41,Q40)))</f>
        <v>2.5</v>
      </c>
      <c r="R43" s="509" t="n">
        <f aca="false">IF(AND('Project Assumptions'!$C$63="Fixed",R42&gt;0),R41*(1+R42),IF(AND('Project Assumptions'!$C$63="Index",R42&gt;0),R40*(1+R42),IF('Project Assumptions'!$C$63="Fixed",R41,R40)))</f>
        <v>2.5</v>
      </c>
      <c r="S43" s="509" t="n">
        <f aca="false">IF(AND('Project Assumptions'!$C$63="Fixed",S42&gt;0),S41*(1+S42),IF(AND('Project Assumptions'!$C$63="Index",S42&gt;0),S40*(1+S42),IF('Project Assumptions'!$C$63="Fixed",S41,S40)))</f>
        <v>2.5</v>
      </c>
      <c r="T43" s="509" t="n">
        <f aca="false">IF(AND('Project Assumptions'!$C$63="Fixed",T42&gt;0),T41*(1+T42),IF(AND('Project Assumptions'!$C$63="Index",T42&gt;0),T40*(1+T42),IF('Project Assumptions'!$C$63="Fixed",T41,T40)))</f>
        <v>2.5</v>
      </c>
      <c r="U43" s="509" t="n">
        <f aca="false">IF(AND('Project Assumptions'!$C$63="Fixed",U42&gt;0),U41*(1+U42),IF(AND('Project Assumptions'!$C$63="Index",U42&gt;0),U40*(1+U42),IF('Project Assumptions'!$C$63="Fixed",U41,U40)))</f>
        <v>2.5</v>
      </c>
      <c r="V43" s="509" t="n">
        <f aca="false">IF(AND('Project Assumptions'!$C$63="Fixed",V42&gt;0),V41*(1+V42),IF(AND('Project Assumptions'!$C$63="Index",V42&gt;0),V40*(1+V42),IF('Project Assumptions'!$C$63="Fixed",V41,V40)))</f>
        <v>2.5</v>
      </c>
      <c r="W43" s="511" t="n">
        <f aca="false">IF(AND('Project Assumptions'!$C$63="Fixed",W42&gt;0),W41*(1+W42),IF(AND('Project Assumptions'!$C$63="Index",W42&gt;0),W40*(1+W42),IF('Project Assumptions'!$C$63="Fixed",W41,W40)))</f>
        <v>2.5</v>
      </c>
      <c r="X43" s="509"/>
      <c r="Y43" s="509"/>
      <c r="Z43" s="509"/>
      <c r="AA43" s="509"/>
      <c r="AB43" s="404"/>
      <c r="AC43" s="404"/>
      <c r="AD43" s="404"/>
      <c r="AE43" s="404"/>
      <c r="AF43" s="404"/>
      <c r="AG43" s="404"/>
      <c r="AH43" s="404"/>
      <c r="AI43" s="404"/>
      <c r="AJ43" s="404"/>
      <c r="AK43" s="404"/>
      <c r="AL43" s="404"/>
      <c r="AM43" s="404"/>
      <c r="AN43" s="404"/>
      <c r="AO43" s="404"/>
      <c r="AP43" s="404"/>
      <c r="AQ43" s="404"/>
      <c r="AR43" s="404"/>
      <c r="AS43" s="404"/>
      <c r="AT43" s="404"/>
      <c r="AU43" s="404"/>
      <c r="AV43" s="404"/>
      <c r="AW43" s="404"/>
      <c r="AX43" s="404"/>
      <c r="AY43" s="404"/>
      <c r="AZ43" s="404"/>
      <c r="BA43" s="404"/>
      <c r="BB43" s="404"/>
      <c r="BC43" s="404"/>
      <c r="BD43" s="404"/>
      <c r="BE43" s="404"/>
      <c r="BF43" s="404"/>
      <c r="BG43" s="404"/>
      <c r="BH43" s="404"/>
      <c r="BI43" s="404"/>
      <c r="BJ43" s="404"/>
      <c r="BK43" s="404"/>
      <c r="BL43" s="404"/>
      <c r="BM43" s="404"/>
      <c r="BN43" s="404"/>
      <c r="BO43" s="404"/>
      <c r="BP43" s="404"/>
      <c r="BQ43" s="404"/>
      <c r="BR43" s="404"/>
      <c r="BS43" s="404"/>
      <c r="BT43" s="404"/>
      <c r="BU43" s="404"/>
      <c r="BV43" s="404"/>
      <c r="BW43" s="404"/>
      <c r="BX43" s="404"/>
      <c r="BY43" s="404"/>
      <c r="BZ43" s="404"/>
      <c r="CA43" s="404"/>
      <c r="CB43" s="404"/>
      <c r="CC43" s="404"/>
      <c r="CD43" s="404"/>
      <c r="CE43" s="404"/>
      <c r="CF43" s="404"/>
      <c r="CG43" s="404"/>
      <c r="CH43" s="404"/>
      <c r="CI43" s="404"/>
      <c r="CJ43" s="404"/>
      <c r="CK43" s="404"/>
      <c r="CL43" s="404"/>
      <c r="CM43" s="404"/>
      <c r="CN43" s="404"/>
      <c r="CO43" s="404"/>
      <c r="CP43" s="404"/>
      <c r="CQ43" s="404"/>
      <c r="CR43" s="404"/>
      <c r="CS43" s="404"/>
      <c r="CT43" s="404"/>
      <c r="CU43" s="404"/>
      <c r="CV43" s="404"/>
      <c r="CW43" s="404"/>
      <c r="CX43" s="404"/>
      <c r="CY43" s="404"/>
      <c r="CZ43" s="404"/>
      <c r="DA43" s="404"/>
      <c r="DB43" s="404"/>
      <c r="DC43" s="404"/>
      <c r="DD43" s="404"/>
      <c r="DE43" s="404"/>
      <c r="DF43" s="404"/>
      <c r="DG43" s="404"/>
      <c r="DH43" s="404"/>
      <c r="DI43" s="404"/>
      <c r="DJ43" s="404"/>
      <c r="DK43" s="404"/>
      <c r="DL43" s="404"/>
      <c r="DM43" s="404"/>
      <c r="DN43" s="404"/>
      <c r="DO43" s="404"/>
      <c r="DP43" s="404"/>
      <c r="DQ43" s="404"/>
      <c r="DR43" s="404"/>
      <c r="DS43" s="404"/>
      <c r="DT43" s="404"/>
      <c r="DU43" s="404"/>
      <c r="DV43" s="404"/>
      <c r="DW43" s="404"/>
      <c r="DX43" s="404"/>
      <c r="DY43" s="404"/>
      <c r="DZ43" s="404"/>
      <c r="EA43" s="404"/>
      <c r="EB43" s="404"/>
      <c r="EC43" s="404"/>
      <c r="ED43" s="404"/>
      <c r="EE43" s="404"/>
      <c r="EF43" s="404"/>
      <c r="EG43" s="404"/>
      <c r="EH43" s="404"/>
      <c r="EI43" s="404"/>
      <c r="EJ43" s="404"/>
      <c r="EK43" s="404"/>
      <c r="EL43" s="404"/>
      <c r="EM43" s="404"/>
      <c r="EN43" s="404"/>
      <c r="EO43" s="404"/>
      <c r="EP43" s="404"/>
      <c r="EQ43" s="404"/>
      <c r="ER43" s="404"/>
      <c r="ES43" s="404"/>
      <c r="ET43" s="404"/>
      <c r="EU43" s="404"/>
      <c r="EV43" s="404"/>
      <c r="EW43" s="404"/>
      <c r="EX43" s="404"/>
      <c r="EY43" s="404"/>
      <c r="EZ43" s="404"/>
      <c r="FA43" s="404"/>
      <c r="FB43" s="404"/>
      <c r="FC43" s="404"/>
      <c r="FD43" s="404"/>
      <c r="FE43" s="404"/>
      <c r="FF43" s="404"/>
      <c r="FG43" s="404"/>
      <c r="FH43" s="404"/>
      <c r="FI43" s="404"/>
      <c r="FJ43" s="404"/>
      <c r="FK43" s="404"/>
      <c r="FL43" s="404"/>
      <c r="FM43" s="404"/>
      <c r="FN43" s="404"/>
      <c r="FO43" s="404"/>
      <c r="FP43" s="404"/>
      <c r="FQ43" s="404"/>
      <c r="FR43" s="404"/>
      <c r="FS43" s="404"/>
      <c r="FT43" s="404"/>
      <c r="FU43" s="404"/>
      <c r="FV43" s="404"/>
      <c r="FW43" s="404"/>
      <c r="FX43" s="404"/>
      <c r="FY43" s="404"/>
      <c r="FZ43" s="404"/>
      <c r="GA43" s="404"/>
      <c r="GB43" s="404"/>
      <c r="GC43" s="404"/>
      <c r="GD43" s="404"/>
      <c r="GE43" s="404"/>
      <c r="GF43" s="404"/>
      <c r="GG43" s="404"/>
      <c r="GH43" s="404"/>
      <c r="GI43" s="404"/>
      <c r="GJ43" s="404"/>
      <c r="GK43" s="404"/>
      <c r="GL43" s="404"/>
      <c r="GM43" s="404"/>
      <c r="GN43" s="404"/>
      <c r="GO43" s="404"/>
      <c r="GP43" s="404"/>
      <c r="GQ43" s="404"/>
      <c r="GR43" s="404"/>
      <c r="GS43" s="404"/>
      <c r="GT43" s="404"/>
      <c r="GU43" s="404"/>
      <c r="GV43" s="404"/>
      <c r="GW43" s="404"/>
      <c r="GX43" s="404"/>
      <c r="GY43" s="404"/>
      <c r="GZ43" s="404"/>
      <c r="HA43" s="404"/>
      <c r="HB43" s="404"/>
      <c r="HC43" s="404"/>
      <c r="HD43" s="404"/>
      <c r="HE43" s="404"/>
      <c r="HF43" s="404"/>
      <c r="HG43" s="404"/>
      <c r="HH43" s="404"/>
      <c r="HI43" s="404"/>
      <c r="HJ43" s="404"/>
      <c r="HK43" s="404"/>
      <c r="HL43" s="404"/>
      <c r="HM43" s="404"/>
      <c r="HN43" s="404"/>
      <c r="HO43" s="404"/>
      <c r="HP43" s="404"/>
      <c r="HQ43" s="404"/>
      <c r="HR43" s="404"/>
      <c r="HS43" s="404"/>
      <c r="HT43" s="404"/>
      <c r="HU43" s="404"/>
      <c r="HV43" s="404"/>
      <c r="HW43" s="404"/>
      <c r="HX43" s="404"/>
      <c r="HY43" s="404"/>
      <c r="HZ43" s="404"/>
      <c r="IA43" s="404"/>
      <c r="IB43" s="404"/>
      <c r="IC43" s="404"/>
      <c r="ID43" s="404"/>
      <c r="IE43" s="404"/>
      <c r="IF43" s="404"/>
      <c r="IG43" s="404"/>
      <c r="IH43" s="404"/>
      <c r="II43" s="404"/>
      <c r="IJ43" s="404"/>
      <c r="IK43" s="404"/>
      <c r="IL43" s="404"/>
      <c r="IM43" s="404"/>
      <c r="IN43" s="404"/>
      <c r="IO43" s="404"/>
      <c r="IP43" s="404"/>
      <c r="IQ43" s="404"/>
      <c r="IR43" s="404"/>
      <c r="IS43" s="404"/>
      <c r="IT43" s="404"/>
      <c r="IU43" s="404"/>
      <c r="IV43" s="404"/>
      <c r="IW43" s="404"/>
    </row>
    <row r="44" customFormat="false" ht="12.6" hidden="false" customHeight="true" outlineLevel="0" collapsed="false">
      <c r="A44" s="407"/>
      <c r="B44" s="404"/>
      <c r="C44" s="509"/>
      <c r="D44" s="509"/>
      <c r="E44" s="509"/>
      <c r="F44" s="509"/>
      <c r="G44" s="509"/>
      <c r="H44" s="509"/>
      <c r="I44" s="509"/>
      <c r="J44" s="509"/>
      <c r="K44" s="509"/>
      <c r="L44" s="509"/>
      <c r="M44" s="509"/>
      <c r="N44" s="509"/>
      <c r="O44" s="509"/>
      <c r="P44" s="509"/>
      <c r="Q44" s="509"/>
      <c r="R44" s="509"/>
      <c r="S44" s="509"/>
      <c r="T44" s="509"/>
      <c r="U44" s="509"/>
      <c r="V44" s="509"/>
      <c r="W44" s="511"/>
      <c r="X44" s="509"/>
      <c r="Y44" s="509"/>
      <c r="Z44" s="509"/>
      <c r="AA44" s="509"/>
      <c r="AB44" s="404"/>
      <c r="AC44" s="404"/>
      <c r="AD44" s="404"/>
      <c r="AE44" s="404"/>
      <c r="AF44" s="404"/>
      <c r="AG44" s="404"/>
      <c r="AH44" s="404"/>
      <c r="AI44" s="404"/>
      <c r="AJ44" s="404"/>
      <c r="AK44" s="404"/>
      <c r="AL44" s="404"/>
      <c r="AM44" s="404"/>
      <c r="AN44" s="404"/>
      <c r="AO44" s="404"/>
      <c r="AP44" s="404"/>
      <c r="AQ44" s="404"/>
      <c r="AR44" s="404"/>
      <c r="AS44" s="404"/>
      <c r="AT44" s="404"/>
      <c r="AU44" s="404"/>
      <c r="AV44" s="404"/>
      <c r="AW44" s="404"/>
      <c r="AX44" s="404"/>
      <c r="AY44" s="404"/>
      <c r="AZ44" s="404"/>
      <c r="BA44" s="404"/>
      <c r="BB44" s="404"/>
      <c r="BC44" s="404"/>
      <c r="BD44" s="404"/>
      <c r="BE44" s="404"/>
      <c r="BF44" s="404"/>
      <c r="BG44" s="404"/>
      <c r="BH44" s="404"/>
      <c r="BI44" s="404"/>
      <c r="BJ44" s="404"/>
      <c r="BK44" s="404"/>
      <c r="BL44" s="404"/>
      <c r="BM44" s="404"/>
      <c r="BN44" s="404"/>
      <c r="BO44" s="404"/>
      <c r="BP44" s="404"/>
      <c r="BQ44" s="404"/>
      <c r="BR44" s="404"/>
      <c r="BS44" s="404"/>
      <c r="BT44" s="404"/>
      <c r="BU44" s="404"/>
      <c r="BV44" s="404"/>
      <c r="BW44" s="404"/>
      <c r="BX44" s="404"/>
      <c r="BY44" s="404"/>
      <c r="BZ44" s="404"/>
      <c r="CA44" s="404"/>
      <c r="CB44" s="404"/>
      <c r="CC44" s="404"/>
      <c r="CD44" s="404"/>
      <c r="CE44" s="404"/>
      <c r="CF44" s="404"/>
      <c r="CG44" s="404"/>
      <c r="CH44" s="404"/>
      <c r="CI44" s="404"/>
      <c r="CJ44" s="404"/>
      <c r="CK44" s="404"/>
      <c r="CL44" s="404"/>
      <c r="CM44" s="404"/>
      <c r="CN44" s="404"/>
      <c r="CO44" s="404"/>
      <c r="CP44" s="404"/>
      <c r="CQ44" s="404"/>
      <c r="CR44" s="404"/>
      <c r="CS44" s="404"/>
      <c r="CT44" s="404"/>
      <c r="CU44" s="404"/>
      <c r="CV44" s="404"/>
      <c r="CW44" s="404"/>
      <c r="CX44" s="404"/>
      <c r="CY44" s="404"/>
      <c r="CZ44" s="404"/>
      <c r="DA44" s="404"/>
      <c r="DB44" s="404"/>
      <c r="DC44" s="404"/>
      <c r="DD44" s="404"/>
      <c r="DE44" s="404"/>
      <c r="DF44" s="404"/>
      <c r="DG44" s="404"/>
      <c r="DH44" s="404"/>
      <c r="DI44" s="404"/>
      <c r="DJ44" s="404"/>
      <c r="DK44" s="404"/>
      <c r="DL44" s="404"/>
      <c r="DM44" s="404"/>
      <c r="DN44" s="404"/>
      <c r="DO44" s="404"/>
      <c r="DP44" s="404"/>
      <c r="DQ44" s="404"/>
      <c r="DR44" s="404"/>
      <c r="DS44" s="404"/>
      <c r="DT44" s="404"/>
      <c r="DU44" s="404"/>
      <c r="DV44" s="404"/>
      <c r="DW44" s="404"/>
      <c r="DX44" s="404"/>
      <c r="DY44" s="404"/>
      <c r="DZ44" s="404"/>
      <c r="EA44" s="404"/>
      <c r="EB44" s="404"/>
      <c r="EC44" s="404"/>
      <c r="ED44" s="404"/>
      <c r="EE44" s="404"/>
      <c r="EF44" s="404"/>
      <c r="EG44" s="404"/>
      <c r="EH44" s="404"/>
      <c r="EI44" s="404"/>
      <c r="EJ44" s="404"/>
      <c r="EK44" s="404"/>
      <c r="EL44" s="404"/>
      <c r="EM44" s="404"/>
      <c r="EN44" s="404"/>
      <c r="EO44" s="404"/>
      <c r="EP44" s="404"/>
      <c r="EQ44" s="404"/>
      <c r="ER44" s="404"/>
      <c r="ES44" s="404"/>
      <c r="ET44" s="404"/>
      <c r="EU44" s="404"/>
      <c r="EV44" s="404"/>
      <c r="EW44" s="404"/>
      <c r="EX44" s="404"/>
      <c r="EY44" s="404"/>
      <c r="EZ44" s="404"/>
      <c r="FA44" s="404"/>
      <c r="FB44" s="404"/>
      <c r="FC44" s="404"/>
      <c r="FD44" s="404"/>
      <c r="FE44" s="404"/>
      <c r="FF44" s="404"/>
      <c r="FG44" s="404"/>
      <c r="FH44" s="404"/>
      <c r="FI44" s="404"/>
      <c r="FJ44" s="404"/>
      <c r="FK44" s="404"/>
      <c r="FL44" s="404"/>
      <c r="FM44" s="404"/>
      <c r="FN44" s="404"/>
      <c r="FO44" s="404"/>
      <c r="FP44" s="404"/>
      <c r="FQ44" s="404"/>
      <c r="FR44" s="404"/>
      <c r="FS44" s="404"/>
      <c r="FT44" s="404"/>
      <c r="FU44" s="404"/>
      <c r="FV44" s="404"/>
      <c r="FW44" s="404"/>
      <c r="FX44" s="404"/>
      <c r="FY44" s="404"/>
      <c r="FZ44" s="404"/>
      <c r="GA44" s="404"/>
      <c r="GB44" s="404"/>
      <c r="GC44" s="404"/>
      <c r="GD44" s="404"/>
      <c r="GE44" s="404"/>
      <c r="GF44" s="404"/>
      <c r="GG44" s="404"/>
      <c r="GH44" s="404"/>
      <c r="GI44" s="404"/>
      <c r="GJ44" s="404"/>
      <c r="GK44" s="404"/>
      <c r="GL44" s="404"/>
      <c r="GM44" s="404"/>
      <c r="GN44" s="404"/>
      <c r="GO44" s="404"/>
      <c r="GP44" s="404"/>
      <c r="GQ44" s="404"/>
      <c r="GR44" s="404"/>
      <c r="GS44" s="404"/>
      <c r="GT44" s="404"/>
      <c r="GU44" s="404"/>
      <c r="GV44" s="404"/>
      <c r="GW44" s="404"/>
      <c r="GX44" s="404"/>
      <c r="GY44" s="404"/>
      <c r="GZ44" s="404"/>
      <c r="HA44" s="404"/>
      <c r="HB44" s="404"/>
      <c r="HC44" s="404"/>
      <c r="HD44" s="404"/>
      <c r="HE44" s="404"/>
      <c r="HF44" s="404"/>
      <c r="HG44" s="404"/>
      <c r="HH44" s="404"/>
      <c r="HI44" s="404"/>
      <c r="HJ44" s="404"/>
      <c r="HK44" s="404"/>
      <c r="HL44" s="404"/>
      <c r="HM44" s="404"/>
      <c r="HN44" s="404"/>
      <c r="HO44" s="404"/>
      <c r="HP44" s="404"/>
      <c r="HQ44" s="404"/>
      <c r="HR44" s="404"/>
      <c r="HS44" s="404"/>
      <c r="HT44" s="404"/>
      <c r="HU44" s="404"/>
      <c r="HV44" s="404"/>
      <c r="HW44" s="404"/>
      <c r="HX44" s="404"/>
      <c r="HY44" s="404"/>
      <c r="HZ44" s="404"/>
      <c r="IA44" s="404"/>
      <c r="IB44" s="404"/>
      <c r="IC44" s="404"/>
      <c r="ID44" s="404"/>
      <c r="IE44" s="404"/>
      <c r="IF44" s="404"/>
      <c r="IG44" s="404"/>
      <c r="IH44" s="404"/>
      <c r="II44" s="404"/>
      <c r="IJ44" s="404"/>
      <c r="IK44" s="404"/>
      <c r="IL44" s="404"/>
      <c r="IM44" s="404"/>
      <c r="IN44" s="404"/>
      <c r="IO44" s="404"/>
      <c r="IP44" s="404"/>
      <c r="IQ44" s="404"/>
      <c r="IR44" s="404"/>
      <c r="IS44" s="404"/>
      <c r="IT44" s="404"/>
      <c r="IU44" s="404"/>
      <c r="IV44" s="404"/>
      <c r="IW44" s="404"/>
    </row>
    <row r="45" customFormat="false" ht="12.6" hidden="false" customHeight="true" outlineLevel="0" collapsed="false">
      <c r="A45" s="403" t="s">
        <v>431</v>
      </c>
      <c r="B45" s="473"/>
      <c r="C45" s="506" t="n">
        <v>21.1797</v>
      </c>
      <c r="D45" s="506" t="n">
        <v>22.01295</v>
      </c>
      <c r="E45" s="506" t="n">
        <v>23.55825</v>
      </c>
      <c r="F45" s="506" t="n">
        <v>24.58845</v>
      </c>
      <c r="G45" s="506" t="n">
        <v>26.462</v>
      </c>
      <c r="H45" s="506" t="n">
        <v>29.110725</v>
      </c>
      <c r="I45" s="506" t="n">
        <v>31.221625</v>
      </c>
      <c r="J45" s="506" t="n">
        <v>32.913375</v>
      </c>
      <c r="K45" s="506" t="n">
        <v>31.893275</v>
      </c>
      <c r="L45" s="506" t="n">
        <v>34.744</v>
      </c>
      <c r="M45" s="506" t="n">
        <v>38.104775</v>
      </c>
      <c r="N45" s="506" t="n">
        <v>40.0566</v>
      </c>
      <c r="O45" s="506" t="n">
        <v>39.882375</v>
      </c>
      <c r="P45" s="506" t="n">
        <v>39.331925</v>
      </c>
      <c r="Q45" s="506" t="n">
        <v>46.321125</v>
      </c>
      <c r="R45" s="506" t="n">
        <v>44.642</v>
      </c>
      <c r="S45" s="506" t="n">
        <v>50.891375</v>
      </c>
      <c r="T45" s="506" t="n">
        <v>50.096</v>
      </c>
      <c r="U45" s="506" t="n">
        <v>49.431925</v>
      </c>
      <c r="V45" s="506" t="n">
        <v>56.320125</v>
      </c>
      <c r="W45" s="507" t="n">
        <v>52.0453</v>
      </c>
      <c r="X45" s="506"/>
      <c r="Y45" s="506"/>
      <c r="Z45" s="506"/>
      <c r="AA45" s="506"/>
      <c r="AB45" s="473"/>
      <c r="AC45" s="473"/>
      <c r="AD45" s="473"/>
      <c r="AE45" s="473"/>
      <c r="AF45" s="473"/>
      <c r="AG45" s="473"/>
      <c r="AH45" s="473"/>
      <c r="AI45" s="473"/>
      <c r="AJ45" s="473"/>
      <c r="AK45" s="473"/>
      <c r="AL45" s="473"/>
      <c r="AM45" s="473"/>
      <c r="AN45" s="473"/>
      <c r="AO45" s="473"/>
      <c r="AP45" s="473"/>
      <c r="AQ45" s="473"/>
      <c r="AR45" s="473"/>
      <c r="AS45" s="473"/>
      <c r="AT45" s="473"/>
      <c r="AU45" s="473"/>
      <c r="AV45" s="473"/>
      <c r="AW45" s="473"/>
      <c r="AX45" s="473"/>
      <c r="AY45" s="473"/>
      <c r="AZ45" s="473"/>
      <c r="BA45" s="473"/>
      <c r="BB45" s="473"/>
      <c r="BC45" s="473"/>
      <c r="BD45" s="473"/>
      <c r="BE45" s="473"/>
      <c r="BF45" s="473"/>
      <c r="BG45" s="473"/>
      <c r="BH45" s="473"/>
      <c r="BI45" s="473"/>
      <c r="BJ45" s="473"/>
      <c r="BK45" s="473"/>
      <c r="BL45" s="473"/>
      <c r="BM45" s="473"/>
      <c r="BN45" s="473"/>
      <c r="BO45" s="473"/>
      <c r="BP45" s="473"/>
      <c r="BQ45" s="473"/>
      <c r="BR45" s="473"/>
      <c r="BS45" s="473"/>
      <c r="BT45" s="473"/>
      <c r="BU45" s="473"/>
      <c r="BV45" s="473"/>
      <c r="BW45" s="473"/>
      <c r="BX45" s="473"/>
      <c r="BY45" s="473"/>
      <c r="BZ45" s="473"/>
      <c r="CA45" s="473"/>
      <c r="CB45" s="473"/>
      <c r="CC45" s="473"/>
      <c r="CD45" s="473"/>
      <c r="CE45" s="473"/>
      <c r="CF45" s="473"/>
      <c r="CG45" s="473"/>
      <c r="CH45" s="473"/>
      <c r="CI45" s="473"/>
      <c r="CJ45" s="473"/>
      <c r="CK45" s="473"/>
      <c r="CL45" s="473"/>
      <c r="CM45" s="473"/>
      <c r="CN45" s="473"/>
      <c r="CO45" s="473"/>
      <c r="CP45" s="473"/>
      <c r="CQ45" s="473"/>
      <c r="CR45" s="473"/>
      <c r="CS45" s="473"/>
      <c r="CT45" s="473"/>
      <c r="CU45" s="473"/>
      <c r="CV45" s="473"/>
      <c r="CW45" s="473"/>
      <c r="CX45" s="473"/>
      <c r="CY45" s="473"/>
      <c r="CZ45" s="473"/>
      <c r="DA45" s="473"/>
      <c r="DB45" s="473"/>
      <c r="DC45" s="473"/>
      <c r="DD45" s="473"/>
      <c r="DE45" s="473"/>
      <c r="DF45" s="473"/>
      <c r="DG45" s="473"/>
      <c r="DH45" s="473"/>
      <c r="DI45" s="473"/>
      <c r="DJ45" s="473"/>
      <c r="DK45" s="473"/>
      <c r="DL45" s="473"/>
      <c r="DM45" s="473"/>
      <c r="DN45" s="473"/>
      <c r="DO45" s="473"/>
      <c r="DP45" s="473"/>
      <c r="DQ45" s="473"/>
      <c r="DR45" s="473"/>
      <c r="DS45" s="473"/>
      <c r="DT45" s="473"/>
      <c r="DU45" s="473"/>
      <c r="DV45" s="473"/>
      <c r="DW45" s="473"/>
      <c r="DX45" s="473"/>
      <c r="DY45" s="473"/>
      <c r="DZ45" s="473"/>
      <c r="EA45" s="473"/>
      <c r="EB45" s="473"/>
      <c r="EC45" s="473"/>
      <c r="ED45" s="473"/>
      <c r="EE45" s="473"/>
      <c r="EF45" s="473"/>
      <c r="EG45" s="473"/>
      <c r="EH45" s="473"/>
      <c r="EI45" s="473"/>
      <c r="EJ45" s="473"/>
      <c r="EK45" s="473"/>
      <c r="EL45" s="473"/>
      <c r="EM45" s="473"/>
      <c r="EN45" s="473"/>
      <c r="EO45" s="473"/>
      <c r="EP45" s="473"/>
      <c r="EQ45" s="473"/>
      <c r="ER45" s="473"/>
      <c r="ES45" s="473"/>
      <c r="ET45" s="473"/>
      <c r="EU45" s="473"/>
      <c r="EV45" s="473"/>
      <c r="EW45" s="473"/>
      <c r="EX45" s="473"/>
      <c r="EY45" s="473"/>
      <c r="EZ45" s="473"/>
      <c r="FA45" s="473"/>
      <c r="FB45" s="473"/>
      <c r="FC45" s="473"/>
      <c r="FD45" s="473"/>
      <c r="FE45" s="473"/>
      <c r="FF45" s="473"/>
      <c r="FG45" s="473"/>
      <c r="FH45" s="473"/>
      <c r="FI45" s="473"/>
      <c r="FJ45" s="473"/>
      <c r="FK45" s="473"/>
      <c r="FL45" s="473"/>
      <c r="FM45" s="473"/>
      <c r="FN45" s="473"/>
      <c r="FO45" s="473"/>
      <c r="FP45" s="473"/>
      <c r="FQ45" s="473"/>
      <c r="FR45" s="473"/>
      <c r="FS45" s="473"/>
      <c r="FT45" s="473"/>
      <c r="FU45" s="473"/>
      <c r="FV45" s="473"/>
      <c r="FW45" s="473"/>
      <c r="FX45" s="473"/>
      <c r="FY45" s="473"/>
      <c r="FZ45" s="473"/>
      <c r="GA45" s="473"/>
      <c r="GB45" s="473"/>
      <c r="GC45" s="473"/>
      <c r="GD45" s="473"/>
      <c r="GE45" s="473"/>
      <c r="GF45" s="473"/>
      <c r="GG45" s="473"/>
      <c r="GH45" s="473"/>
      <c r="GI45" s="473"/>
      <c r="GJ45" s="473"/>
      <c r="GK45" s="473"/>
      <c r="GL45" s="473"/>
      <c r="GM45" s="473"/>
      <c r="GN45" s="473"/>
      <c r="GO45" s="473"/>
      <c r="GP45" s="473"/>
      <c r="GQ45" s="473"/>
      <c r="GR45" s="473"/>
      <c r="GS45" s="473"/>
      <c r="GT45" s="473"/>
      <c r="GU45" s="473"/>
      <c r="GV45" s="473"/>
      <c r="GW45" s="473"/>
      <c r="GX45" s="473"/>
      <c r="GY45" s="473"/>
      <c r="GZ45" s="473"/>
      <c r="HA45" s="473"/>
      <c r="HB45" s="473"/>
      <c r="HC45" s="473"/>
      <c r="HD45" s="473"/>
      <c r="HE45" s="473"/>
      <c r="HF45" s="473"/>
      <c r="HG45" s="473"/>
      <c r="HH45" s="473"/>
      <c r="HI45" s="473"/>
      <c r="HJ45" s="473"/>
      <c r="HK45" s="473"/>
      <c r="HL45" s="473"/>
      <c r="HM45" s="473"/>
      <c r="HN45" s="473"/>
      <c r="HO45" s="473"/>
      <c r="HP45" s="473"/>
      <c r="HQ45" s="473"/>
      <c r="HR45" s="473"/>
      <c r="HS45" s="473"/>
      <c r="HT45" s="473"/>
      <c r="HU45" s="473"/>
      <c r="HV45" s="473"/>
      <c r="HW45" s="473"/>
      <c r="HX45" s="473"/>
      <c r="HY45" s="473"/>
      <c r="HZ45" s="473"/>
      <c r="IA45" s="473"/>
      <c r="IB45" s="473"/>
      <c r="IC45" s="473"/>
      <c r="ID45" s="473"/>
      <c r="IE45" s="473"/>
      <c r="IF45" s="473"/>
      <c r="IG45" s="473"/>
      <c r="IH45" s="473"/>
      <c r="II45" s="473"/>
      <c r="IJ45" s="473"/>
      <c r="IK45" s="473"/>
      <c r="IL45" s="473"/>
      <c r="IM45" s="473"/>
      <c r="IN45" s="473"/>
      <c r="IO45" s="473"/>
      <c r="IP45" s="473"/>
      <c r="IQ45" s="473"/>
      <c r="IR45" s="473"/>
      <c r="IS45" s="473"/>
      <c r="IT45" s="473"/>
      <c r="IU45" s="473"/>
      <c r="IV45" s="473"/>
      <c r="IW45" s="473"/>
    </row>
    <row r="46" customFormat="false" ht="12.75" hidden="false" customHeight="false" outlineLevel="0" collapsed="false">
      <c r="A46" s="412" t="s">
        <v>432</v>
      </c>
      <c r="B46" s="469"/>
      <c r="C46" s="512" t="str">
        <f aca="false">IF('PPA Assumptions &amp;Summary'!C3&gt;ProjectLife+1,'Project Assumptions'!$C$71,"")</f>
        <v/>
      </c>
      <c r="D46" s="512" t="str">
        <f aca="false">IF('PPA Assumptions &amp;Summary'!D3&gt;ProjectLife+1,'Project Assumptions'!$C$71,"")</f>
        <v/>
      </c>
      <c r="E46" s="512" t="str">
        <f aca="false">IF('PPA Assumptions &amp;Summary'!E3&gt;ProjectLife+1,'Project Assumptions'!$C$71,"")</f>
        <v/>
      </c>
      <c r="F46" s="512" t="str">
        <f aca="false">IF('PPA Assumptions &amp;Summary'!F3&gt;ProjectLife+1,'Project Assumptions'!$C$71,"")</f>
        <v/>
      </c>
      <c r="G46" s="512" t="str">
        <f aca="false">IF('PPA Assumptions &amp;Summary'!G3&gt;ProjectLife+1,'Project Assumptions'!$C$71,"")</f>
        <v/>
      </c>
      <c r="H46" s="512" t="str">
        <f aca="false">IF('PPA Assumptions &amp;Summary'!H3&gt;ProjectLife+1,'Project Assumptions'!$C$71,"")</f>
        <v/>
      </c>
      <c r="I46" s="512" t="str">
        <f aca="false">IF('PPA Assumptions &amp;Summary'!I3&gt;ProjectLife+1,'Project Assumptions'!$C$71,"")</f>
        <v/>
      </c>
      <c r="J46" s="512" t="str">
        <f aca="false">IF('PPA Assumptions &amp;Summary'!J3&gt;ProjectLife+1,'Project Assumptions'!$C$71,"")</f>
        <v/>
      </c>
      <c r="K46" s="512" t="str">
        <f aca="false">IF('PPA Assumptions &amp;Summary'!K3&gt;ProjectLife+1,'Project Assumptions'!$C$71,"")</f>
        <v/>
      </c>
      <c r="L46" s="512" t="str">
        <f aca="false">IF('PPA Assumptions &amp;Summary'!L3&gt;ProjectLife+1,'Project Assumptions'!$C$71,"")</f>
        <v/>
      </c>
      <c r="M46" s="512" t="str">
        <f aca="false">IF('PPA Assumptions &amp;Summary'!M3&gt;ProjectLife+1,'Project Assumptions'!$C$71,"")</f>
        <v/>
      </c>
      <c r="N46" s="512" t="str">
        <f aca="false">IF('PPA Assumptions &amp;Summary'!N3&gt;ProjectLife+1,'Project Assumptions'!$C$71,"")</f>
        <v/>
      </c>
      <c r="O46" s="512" t="str">
        <f aca="false">IF('PPA Assumptions &amp;Summary'!O3&gt;ProjectLife+1,'Project Assumptions'!$C$71,"")</f>
        <v/>
      </c>
      <c r="P46" s="512" t="str">
        <f aca="false">IF('PPA Assumptions &amp;Summary'!P3&gt;ProjectLife+1,'Project Assumptions'!$C$71,"")</f>
        <v/>
      </c>
      <c r="Q46" s="512" t="str">
        <f aca="false">IF('PPA Assumptions &amp;Summary'!Q3&gt;ProjectLife+1,'Project Assumptions'!$C$71,"")</f>
        <v/>
      </c>
      <c r="R46" s="512" t="str">
        <f aca="false">IF('PPA Assumptions &amp;Summary'!R3&gt;ProjectLife+1,'Project Assumptions'!$C$71,"")</f>
        <v/>
      </c>
      <c r="S46" s="512" t="str">
        <f aca="false">IF('PPA Assumptions &amp;Summary'!S3&gt;ProjectLife+1,'Project Assumptions'!$C$71,"")</f>
        <v/>
      </c>
      <c r="T46" s="512" t="str">
        <f aca="false">IF('PPA Assumptions &amp;Summary'!T3&gt;ProjectLife+1,'Project Assumptions'!$C$71,"")</f>
        <v/>
      </c>
      <c r="U46" s="512" t="str">
        <f aca="false">IF('PPA Assumptions &amp;Summary'!U3&gt;ProjectLife+1,'Project Assumptions'!$C$71,"")</f>
        <v/>
      </c>
      <c r="V46" s="512" t="str">
        <f aca="false">IF('PPA Assumptions &amp;Summary'!V3&gt;ProjectLife+1,'Project Assumptions'!$C$71,"")</f>
        <v/>
      </c>
      <c r="W46" s="513" t="str">
        <f aca="false">IF('PPA Assumptions &amp;Summary'!W3&gt;ProjectLife+1,'Project Assumptions'!$C$71,"")</f>
        <v/>
      </c>
      <c r="X46" s="506"/>
      <c r="Y46" s="506"/>
      <c r="Z46" s="506"/>
      <c r="AA46" s="506"/>
    </row>
    <row r="69" customFormat="false" ht="12.75" hidden="false" customHeight="false" outlineLevel="0" collapsed="false">
      <c r="C69" s="514"/>
      <c r="D69" s="514"/>
      <c r="E69" s="514"/>
      <c r="F69" s="514"/>
      <c r="G69" s="514"/>
      <c r="H69" s="514"/>
      <c r="I69" s="514"/>
      <c r="J69" s="514"/>
    </row>
    <row r="71"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3" manualBreakCount="3">
    <brk id="14" man="true" max="65535" min="0"/>
    <brk id="31" man="true" max="65535" min="0"/>
    <brk id="48" man="true" max="65535" min="0"/>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81"/>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357" width="36.28"/>
    <col collapsed="false" customWidth="true" hidden="false" outlineLevel="0" max="3" min="2" style="357" width="12.42"/>
    <col collapsed="false" customWidth="false" hidden="false" outlineLevel="0" max="4" min="4" style="357" width="9.14"/>
    <col collapsed="false" customWidth="true" hidden="false" outlineLevel="0" max="12" min="5" style="357" width="11.42"/>
    <col collapsed="false" customWidth="true" hidden="false" outlineLevel="0" max="13" min="13" style="357" width="9.85"/>
    <col collapsed="false" customWidth="true" hidden="false" outlineLevel="0" max="29" min="14" style="357" width="11.42"/>
    <col collapsed="false" customWidth="false" hidden="false" outlineLevel="0" max="257" min="30" style="357" width="9.14"/>
  </cols>
  <sheetData>
    <row r="1" customFormat="false" ht="20.25" hidden="false" customHeight="false" outlineLevel="0" collapsed="false">
      <c r="A1" s="358" t="str">
        <f aca="false">'Project Assumptions'!$A$2</f>
        <v>WILTON CENTER, Will County, IL</v>
      </c>
      <c r="B1" s="359"/>
      <c r="C1" s="360"/>
    </row>
    <row r="2" customFormat="false" ht="15.6" hidden="false" customHeight="true" outlineLevel="0" collapsed="false">
      <c r="A2" s="362" t="s">
        <v>433</v>
      </c>
      <c r="B2" s="363"/>
      <c r="C2" s="364"/>
      <c r="E2" s="473"/>
    </row>
    <row r="3" customFormat="false" ht="12.6" hidden="false" customHeight="true" outlineLevel="0" collapsed="false">
      <c r="A3" s="28"/>
      <c r="B3" s="1"/>
      <c r="C3" s="1"/>
      <c r="D3" s="1"/>
      <c r="E3" s="473"/>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customFormat="false" ht="12.6" hidden="false" customHeight="true" outlineLevel="0" collapsed="false">
      <c r="A4" s="1"/>
      <c r="B4" s="1"/>
      <c r="C4" s="1"/>
      <c r="D4" s="473"/>
      <c r="E4" s="473" t="n">
        <f aca="false">'Book Income Statement'!D4</f>
        <v>1</v>
      </c>
      <c r="F4" s="473" t="n">
        <f aca="false">'Book Income Statement'!E4</f>
        <v>2</v>
      </c>
      <c r="G4" s="473" t="n">
        <f aca="false">'Book Income Statement'!F4</f>
        <v>3</v>
      </c>
      <c r="H4" s="473" t="n">
        <f aca="false">'Book Income Statement'!G4</f>
        <v>4</v>
      </c>
      <c r="I4" s="473" t="n">
        <f aca="false">'Book Income Statement'!H4</f>
        <v>5</v>
      </c>
      <c r="J4" s="473" t="n">
        <f aca="false">'Book Income Statement'!I4</f>
        <v>6</v>
      </c>
      <c r="K4" s="473" t="n">
        <f aca="false">'Book Income Statement'!J4</f>
        <v>7</v>
      </c>
      <c r="L4" s="473" t="n">
        <f aca="false">'Book Income Statement'!K4</f>
        <v>8</v>
      </c>
      <c r="M4" s="473" t="n">
        <f aca="false">'Book Income Statement'!L4</f>
        <v>9</v>
      </c>
      <c r="N4" s="473" t="n">
        <f aca="false">'Book Income Statement'!M4</f>
        <v>10</v>
      </c>
      <c r="O4" s="473" t="n">
        <f aca="false">'Book Income Statement'!N4</f>
        <v>11</v>
      </c>
      <c r="P4" s="473" t="n">
        <f aca="false">'Book Income Statement'!O4</f>
        <v>12</v>
      </c>
      <c r="Q4" s="473" t="n">
        <f aca="false">'Book Income Statement'!P4</f>
        <v>13</v>
      </c>
      <c r="R4" s="473" t="n">
        <f aca="false">'Book Income Statement'!Q4</f>
        <v>14</v>
      </c>
      <c r="S4" s="473" t="n">
        <f aca="false">'Book Income Statement'!R4</f>
        <v>15</v>
      </c>
      <c r="T4" s="473" t="n">
        <f aca="false">'Book Income Statement'!S4</f>
        <v>16</v>
      </c>
      <c r="U4" s="473" t="n">
        <f aca="false">'Book Income Statement'!T4</f>
        <v>17</v>
      </c>
      <c r="V4" s="473" t="n">
        <f aca="false">'Book Income Statement'!U4</f>
        <v>18</v>
      </c>
      <c r="W4" s="473" t="n">
        <f aca="false">'Book Income Statement'!V4</f>
        <v>19</v>
      </c>
      <c r="X4" s="473" t="n">
        <f aca="false">'Book Income Statement'!W4</f>
        <v>20</v>
      </c>
      <c r="Y4" s="473" t="n">
        <f aca="false">'Book Income Statement'!X4</f>
        <v>21</v>
      </c>
      <c r="Z4" s="473" t="n">
        <f aca="false">'Book Income Statement'!Y4</f>
        <v>22</v>
      </c>
      <c r="AA4" s="473" t="n">
        <f aca="false">'Book Income Statement'!Z4</f>
        <v>23</v>
      </c>
      <c r="AB4" s="473" t="n">
        <f aca="false">'Book Income Statement'!AA4</f>
        <v>24</v>
      </c>
      <c r="AC4" s="473" t="n">
        <f aca="false">'Book Income Statement'!AB4</f>
        <v>25</v>
      </c>
    </row>
    <row r="5" customFormat="false" ht="12.6" hidden="false" customHeight="true" outlineLevel="0" collapsed="false">
      <c r="A5" s="476"/>
      <c r="B5" s="515"/>
      <c r="C5" s="477"/>
      <c r="D5" s="477"/>
      <c r="E5" s="516" t="n">
        <f aca="false">YEAR('Project Assumptions'!$G$16)</f>
        <v>2000</v>
      </c>
      <c r="F5" s="516" t="n">
        <f aca="false">E5+1</f>
        <v>2001</v>
      </c>
      <c r="G5" s="516" t="n">
        <f aca="false">F5+1</f>
        <v>2002</v>
      </c>
      <c r="H5" s="516" t="n">
        <f aca="false">G5+1</f>
        <v>2003</v>
      </c>
      <c r="I5" s="516" t="n">
        <f aca="false">H5+1</f>
        <v>2004</v>
      </c>
      <c r="J5" s="516" t="n">
        <f aca="false">I5+1</f>
        <v>2005</v>
      </c>
      <c r="K5" s="516" t="n">
        <f aca="false">J5+1</f>
        <v>2006</v>
      </c>
      <c r="L5" s="516" t="n">
        <f aca="false">K5+1</f>
        <v>2007</v>
      </c>
      <c r="M5" s="516" t="n">
        <f aca="false">L5+1</f>
        <v>2008</v>
      </c>
      <c r="N5" s="516" t="n">
        <f aca="false">M5+1</f>
        <v>2009</v>
      </c>
      <c r="O5" s="516" t="n">
        <f aca="false">N5+1</f>
        <v>2010</v>
      </c>
      <c r="P5" s="516" t="n">
        <f aca="false">O5+1</f>
        <v>2011</v>
      </c>
      <c r="Q5" s="516" t="n">
        <f aca="false">P5+1</f>
        <v>2012</v>
      </c>
      <c r="R5" s="516" t="n">
        <f aca="false">Q5+1</f>
        <v>2013</v>
      </c>
      <c r="S5" s="516" t="n">
        <f aca="false">R5+1</f>
        <v>2014</v>
      </c>
      <c r="T5" s="516" t="n">
        <f aca="false">S5+1</f>
        <v>2015</v>
      </c>
      <c r="U5" s="516" t="n">
        <f aca="false">T5+1</f>
        <v>2016</v>
      </c>
      <c r="V5" s="516" t="n">
        <f aca="false">U5+1</f>
        <v>2017</v>
      </c>
      <c r="W5" s="516" t="n">
        <f aca="false">V5+1</f>
        <v>2018</v>
      </c>
      <c r="X5" s="516" t="n">
        <f aca="false">W5+1</f>
        <v>2019</v>
      </c>
      <c r="Y5" s="516" t="n">
        <f aca="false">X5+1</f>
        <v>2020</v>
      </c>
      <c r="Z5" s="516" t="n">
        <f aca="false">Y5+1</f>
        <v>2021</v>
      </c>
      <c r="AA5" s="516" t="n">
        <f aca="false">Z5+1</f>
        <v>2022</v>
      </c>
      <c r="AB5" s="516" t="n">
        <f aca="false">AA5+1</f>
        <v>2023</v>
      </c>
      <c r="AC5" s="517" t="n">
        <f aca="false">AB5+1</f>
        <v>2024</v>
      </c>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473"/>
      <c r="BC5" s="473"/>
      <c r="BD5" s="473"/>
      <c r="BE5" s="473"/>
      <c r="BF5" s="473"/>
      <c r="BG5" s="473"/>
      <c r="BH5" s="473"/>
      <c r="BI5" s="473"/>
      <c r="BJ5" s="473"/>
      <c r="BK5" s="473"/>
      <c r="BL5" s="473"/>
      <c r="BM5" s="473"/>
      <c r="BN5" s="473"/>
      <c r="BO5" s="473"/>
      <c r="BP5" s="473"/>
      <c r="BQ5" s="473"/>
      <c r="BR5" s="473"/>
      <c r="BS5" s="473"/>
      <c r="BT5" s="473"/>
      <c r="BU5" s="473"/>
      <c r="BV5" s="473"/>
      <c r="BW5" s="473"/>
      <c r="BX5" s="473"/>
      <c r="BY5" s="473"/>
      <c r="BZ5" s="473"/>
      <c r="CA5" s="473"/>
      <c r="CB5" s="473"/>
      <c r="CC5" s="473"/>
      <c r="CD5" s="473"/>
      <c r="CE5" s="473"/>
      <c r="CF5" s="473"/>
      <c r="CG5" s="473"/>
      <c r="CH5" s="473"/>
      <c r="CI5" s="473"/>
      <c r="CJ5" s="473"/>
      <c r="CK5" s="473"/>
      <c r="CL5" s="473"/>
      <c r="CM5" s="473"/>
      <c r="CN5" s="473"/>
      <c r="CO5" s="473"/>
      <c r="CP5" s="473"/>
      <c r="CQ5" s="473"/>
      <c r="CR5" s="473"/>
      <c r="CS5" s="473"/>
      <c r="CT5" s="473"/>
      <c r="CU5" s="473"/>
      <c r="CV5" s="473"/>
      <c r="CW5" s="473"/>
      <c r="CX5" s="473"/>
      <c r="CY5" s="473"/>
      <c r="CZ5" s="473"/>
      <c r="DA5" s="473"/>
      <c r="DB5" s="473"/>
      <c r="DC5" s="473"/>
      <c r="DD5" s="473"/>
      <c r="DE5" s="473"/>
      <c r="DF5" s="473"/>
      <c r="DG5" s="473"/>
      <c r="DH5" s="473"/>
      <c r="DI5" s="473"/>
      <c r="DJ5" s="473"/>
      <c r="DK5" s="473"/>
      <c r="DL5" s="473"/>
      <c r="DM5" s="473"/>
      <c r="DN5" s="473"/>
      <c r="DO5" s="473"/>
      <c r="DP5" s="473"/>
      <c r="DQ5" s="473"/>
      <c r="DR5" s="473"/>
      <c r="DS5" s="473"/>
      <c r="DT5" s="473"/>
      <c r="DU5" s="473"/>
      <c r="DV5" s="473"/>
      <c r="DW5" s="473"/>
      <c r="DX5" s="473"/>
      <c r="DY5" s="473"/>
      <c r="DZ5" s="473"/>
      <c r="EA5" s="473"/>
      <c r="EB5" s="473"/>
      <c r="EC5" s="473"/>
      <c r="ED5" s="473"/>
      <c r="EE5" s="473"/>
      <c r="EF5" s="473"/>
      <c r="EG5" s="473"/>
      <c r="EH5" s="473"/>
      <c r="EI5" s="473"/>
      <c r="EJ5" s="473"/>
      <c r="EK5" s="473"/>
      <c r="EL5" s="473"/>
      <c r="EM5" s="473"/>
      <c r="EN5" s="473"/>
      <c r="EO5" s="473"/>
      <c r="EP5" s="473"/>
      <c r="EQ5" s="473"/>
      <c r="ER5" s="473"/>
      <c r="ES5" s="473"/>
      <c r="ET5" s="473"/>
      <c r="EU5" s="473"/>
      <c r="EV5" s="473"/>
      <c r="EW5" s="473"/>
      <c r="EX5" s="473"/>
      <c r="EY5" s="473"/>
      <c r="EZ5" s="473"/>
      <c r="FA5" s="473"/>
      <c r="FB5" s="473"/>
      <c r="FC5" s="473"/>
      <c r="FD5" s="473"/>
      <c r="FE5" s="473"/>
      <c r="FF5" s="473"/>
      <c r="FG5" s="473"/>
      <c r="FH5" s="473"/>
      <c r="FI5" s="473"/>
      <c r="FJ5" s="473"/>
      <c r="FK5" s="473"/>
      <c r="FL5" s="473"/>
      <c r="FM5" s="473"/>
      <c r="FN5" s="473"/>
      <c r="FO5" s="473"/>
      <c r="FP5" s="473"/>
      <c r="FQ5" s="473"/>
      <c r="FR5" s="473"/>
      <c r="FS5" s="473"/>
      <c r="FT5" s="473"/>
      <c r="FU5" s="473"/>
      <c r="FV5" s="473"/>
      <c r="FW5" s="473"/>
      <c r="FX5" s="473"/>
      <c r="FY5" s="473"/>
      <c r="FZ5" s="473"/>
      <c r="GA5" s="473"/>
      <c r="GB5" s="473"/>
      <c r="GC5" s="473"/>
      <c r="GD5" s="473"/>
      <c r="GE5" s="473"/>
      <c r="GF5" s="473"/>
      <c r="GG5" s="473"/>
      <c r="GH5" s="473"/>
      <c r="GI5" s="473"/>
      <c r="GJ5" s="473"/>
      <c r="GK5" s="473"/>
      <c r="GL5" s="473"/>
      <c r="GM5" s="473"/>
      <c r="GN5" s="473"/>
      <c r="GO5" s="473"/>
      <c r="GP5" s="473"/>
      <c r="GQ5" s="473"/>
      <c r="GR5" s="473"/>
      <c r="GS5" s="473"/>
      <c r="GT5" s="473"/>
      <c r="GU5" s="473"/>
      <c r="GV5" s="473"/>
      <c r="GW5" s="473"/>
      <c r="GX5" s="473"/>
      <c r="GY5" s="473"/>
      <c r="GZ5" s="473"/>
      <c r="HA5" s="473"/>
      <c r="HB5" s="473"/>
      <c r="HC5" s="473"/>
      <c r="HD5" s="473"/>
      <c r="HE5" s="473"/>
      <c r="HF5" s="473"/>
      <c r="HG5" s="473"/>
      <c r="HH5" s="473"/>
      <c r="HI5" s="473"/>
      <c r="HJ5" s="473"/>
      <c r="HK5" s="473"/>
      <c r="HL5" s="473"/>
      <c r="HM5" s="473"/>
      <c r="HN5" s="473"/>
      <c r="HO5" s="473"/>
      <c r="HP5" s="473"/>
      <c r="HQ5" s="473"/>
      <c r="HR5" s="473"/>
      <c r="HS5" s="473"/>
      <c r="HT5" s="473"/>
      <c r="HU5" s="473"/>
      <c r="HV5" s="473"/>
      <c r="HW5" s="473"/>
      <c r="HX5" s="473"/>
      <c r="HY5" s="473"/>
      <c r="HZ5" s="473"/>
      <c r="IA5" s="473"/>
      <c r="IB5" s="473"/>
      <c r="IC5" s="473"/>
      <c r="ID5" s="473"/>
      <c r="IE5" s="473"/>
      <c r="IF5" s="473"/>
      <c r="IG5" s="473"/>
      <c r="IH5" s="473"/>
      <c r="II5" s="473"/>
      <c r="IJ5" s="473"/>
      <c r="IK5" s="473"/>
      <c r="IL5" s="473"/>
      <c r="IM5" s="473"/>
      <c r="IN5" s="473"/>
      <c r="IO5" s="473"/>
      <c r="IP5" s="473"/>
      <c r="IQ5" s="473"/>
      <c r="IR5" s="473"/>
      <c r="IS5" s="473"/>
      <c r="IT5" s="473"/>
      <c r="IU5" s="473"/>
      <c r="IV5" s="473"/>
      <c r="IW5" s="473"/>
    </row>
    <row r="6" customFormat="false" ht="12.6" hidden="false" customHeight="true" outlineLevel="0" collapsed="false">
      <c r="A6" s="370" t="s">
        <v>434</v>
      </c>
      <c r="B6" s="518"/>
      <c r="C6" s="518"/>
      <c r="D6" s="519"/>
      <c r="E6" s="520" t="n">
        <f aca="false">'Book Income Statement'!D65</f>
        <v>15154.0414102629</v>
      </c>
      <c r="F6" s="520" t="n">
        <f aca="false">'Book Income Statement'!E65</f>
        <v>26317.8747532162</v>
      </c>
      <c r="G6" s="520" t="n">
        <f aca="false">'Book Income Statement'!F65</f>
        <v>26244.5523273332</v>
      </c>
      <c r="H6" s="520" t="n">
        <f aca="false">'Book Income Statement'!G65</f>
        <v>36154.2326216681</v>
      </c>
      <c r="I6" s="520" t="n">
        <f aca="false">'Book Income Statement'!H65</f>
        <v>43840.3960186151</v>
      </c>
      <c r="J6" s="520" t="n">
        <f aca="false">'Book Income Statement'!I65</f>
        <v>45209.7836541758</v>
      </c>
      <c r="K6" s="520" t="n">
        <f aca="false">'Book Income Statement'!J65</f>
        <v>44956.7332554318</v>
      </c>
      <c r="L6" s="520" t="n">
        <f aca="false">'Book Income Statement'!K65</f>
        <v>45481.9251331269</v>
      </c>
      <c r="M6" s="520" t="n">
        <f aca="false">'Book Income Statement'!L65</f>
        <v>45997.8395052337</v>
      </c>
      <c r="N6" s="520" t="n">
        <f aca="false">'Book Income Statement'!M65</f>
        <v>46545.4313312488</v>
      </c>
      <c r="O6" s="520" t="n">
        <f aca="false">'Book Income Statement'!N65</f>
        <v>47039.6493134768</v>
      </c>
      <c r="P6" s="520" t="n">
        <f aca="false">'Book Income Statement'!O65</f>
        <v>47521.3393139744</v>
      </c>
      <c r="Q6" s="520" t="n">
        <f aca="false">'Book Income Statement'!P65</f>
        <v>47989.3048576539</v>
      </c>
      <c r="R6" s="520" t="n">
        <f aca="false">'Book Income Statement'!Q65</f>
        <v>48484.2732386276</v>
      </c>
      <c r="S6" s="520" t="n">
        <f aca="false">'Book Income Statement'!R65</f>
        <v>48920.9558361488</v>
      </c>
      <c r="T6" s="520" t="n">
        <f aca="false">'Book Income Statement'!S65</f>
        <v>49339.9511569948</v>
      </c>
      <c r="U6" s="520" t="n">
        <f aca="false">'Book Income Statement'!T65</f>
        <v>49739.8049502275</v>
      </c>
      <c r="V6" s="520" t="n">
        <f aca="false">'Book Income Statement'!U65</f>
        <v>50160.9759109231</v>
      </c>
      <c r="W6" s="520" t="n">
        <f aca="false">'Book Income Statement'!V65</f>
        <v>50517.8955787205</v>
      </c>
      <c r="X6" s="520" t="n">
        <f aca="false">'Book Income Statement'!W65</f>
        <v>49661.1560903571</v>
      </c>
      <c r="Y6" s="520" t="n">
        <f aca="false">'Book Income Statement'!X65</f>
        <v>19281.8747125664</v>
      </c>
      <c r="Z6" s="520" t="n">
        <f aca="false">'Book Income Statement'!Y65</f>
        <v>0</v>
      </c>
      <c r="AA6" s="520" t="n">
        <f aca="false">'Book Income Statement'!Z65</f>
        <v>0</v>
      </c>
      <c r="AB6" s="520" t="n">
        <f aca="false">'Book Income Statement'!AA65</f>
        <v>0</v>
      </c>
      <c r="AC6" s="521" t="n">
        <f aca="false">'Book Income Statement'!AB65</f>
        <v>0</v>
      </c>
      <c r="AD6" s="519"/>
      <c r="AE6" s="519"/>
      <c r="AG6" s="519"/>
      <c r="AH6" s="519"/>
      <c r="AI6" s="519"/>
      <c r="AJ6" s="519"/>
      <c r="AK6" s="519"/>
      <c r="AL6" s="519"/>
      <c r="AM6" s="519"/>
      <c r="AN6" s="519"/>
      <c r="AO6" s="519"/>
      <c r="AP6" s="519"/>
      <c r="AQ6" s="519"/>
      <c r="AR6" s="519"/>
      <c r="AS6" s="519"/>
      <c r="AT6" s="519"/>
      <c r="AU6" s="519"/>
      <c r="AV6" s="519"/>
      <c r="AW6" s="519"/>
      <c r="AX6" s="519"/>
      <c r="AY6" s="519"/>
      <c r="AZ6" s="519"/>
      <c r="BA6" s="519"/>
      <c r="BB6" s="519"/>
      <c r="BC6" s="519"/>
      <c r="BD6" s="519"/>
      <c r="BE6" s="519"/>
      <c r="BF6" s="519"/>
      <c r="BG6" s="519"/>
      <c r="BH6" s="519"/>
      <c r="BI6" s="519"/>
      <c r="BJ6" s="519"/>
      <c r="BK6" s="519"/>
      <c r="BL6" s="519"/>
      <c r="BM6" s="519"/>
      <c r="BN6" s="519"/>
      <c r="BO6" s="519"/>
      <c r="BP6" s="519"/>
      <c r="BQ6" s="519"/>
      <c r="BR6" s="519"/>
      <c r="BS6" s="519"/>
      <c r="BT6" s="519"/>
      <c r="BU6" s="519"/>
      <c r="BV6" s="519"/>
      <c r="BW6" s="519"/>
      <c r="BX6" s="519"/>
      <c r="BY6" s="519"/>
      <c r="BZ6" s="519"/>
      <c r="CA6" s="519"/>
      <c r="CB6" s="519"/>
      <c r="CC6" s="519"/>
      <c r="CD6" s="519"/>
      <c r="CE6" s="519"/>
      <c r="CF6" s="519"/>
      <c r="CG6" s="519"/>
      <c r="CH6" s="519"/>
      <c r="CI6" s="519"/>
      <c r="CJ6" s="519"/>
      <c r="CK6" s="519"/>
      <c r="CL6" s="519"/>
      <c r="CM6" s="519"/>
      <c r="CN6" s="519"/>
      <c r="CO6" s="519"/>
      <c r="CP6" s="519"/>
      <c r="CQ6" s="519"/>
      <c r="CR6" s="519"/>
      <c r="CS6" s="519"/>
      <c r="CT6" s="519"/>
      <c r="CU6" s="519"/>
      <c r="CV6" s="519"/>
      <c r="CW6" s="519"/>
      <c r="CX6" s="519"/>
      <c r="CY6" s="519"/>
      <c r="CZ6" s="519"/>
      <c r="DA6" s="519"/>
      <c r="DB6" s="519"/>
      <c r="DC6" s="519"/>
      <c r="DD6" s="519"/>
      <c r="DE6" s="519"/>
      <c r="DF6" s="519"/>
      <c r="DG6" s="519"/>
      <c r="DH6" s="519"/>
      <c r="DI6" s="519"/>
      <c r="DJ6" s="519"/>
      <c r="DK6" s="519"/>
      <c r="DL6" s="519"/>
      <c r="DM6" s="519"/>
      <c r="DN6" s="519"/>
      <c r="DO6" s="519"/>
      <c r="DP6" s="519"/>
      <c r="DQ6" s="519"/>
      <c r="DR6" s="519"/>
      <c r="DS6" s="519"/>
      <c r="DT6" s="519"/>
      <c r="DU6" s="519"/>
      <c r="DV6" s="519"/>
      <c r="DW6" s="519"/>
      <c r="DX6" s="519"/>
      <c r="DY6" s="519"/>
      <c r="DZ6" s="519"/>
      <c r="EA6" s="519"/>
      <c r="EB6" s="519"/>
      <c r="EC6" s="519"/>
      <c r="ED6" s="519"/>
      <c r="EE6" s="519"/>
      <c r="EF6" s="519"/>
      <c r="EG6" s="519"/>
      <c r="EH6" s="519"/>
      <c r="EI6" s="519"/>
      <c r="EJ6" s="519"/>
      <c r="EK6" s="519"/>
      <c r="EL6" s="519"/>
      <c r="EM6" s="519"/>
      <c r="EN6" s="519"/>
      <c r="EO6" s="519"/>
      <c r="EP6" s="519"/>
      <c r="EQ6" s="519"/>
      <c r="ER6" s="519"/>
      <c r="ES6" s="519"/>
      <c r="ET6" s="519"/>
      <c r="EU6" s="519"/>
      <c r="EV6" s="519"/>
      <c r="EW6" s="519"/>
      <c r="EX6" s="519"/>
      <c r="EY6" s="519"/>
      <c r="EZ6" s="519"/>
      <c r="FA6" s="519"/>
      <c r="FB6" s="519"/>
      <c r="FC6" s="519"/>
      <c r="FD6" s="519"/>
      <c r="FE6" s="519"/>
      <c r="FF6" s="519"/>
      <c r="FG6" s="519"/>
      <c r="FH6" s="519"/>
      <c r="FI6" s="519"/>
      <c r="FJ6" s="519"/>
      <c r="FK6" s="519"/>
      <c r="FL6" s="519"/>
      <c r="FM6" s="519"/>
      <c r="FN6" s="519"/>
      <c r="FO6" s="519"/>
      <c r="FP6" s="519"/>
      <c r="FQ6" s="519"/>
      <c r="FR6" s="519"/>
      <c r="FS6" s="519"/>
      <c r="FT6" s="519"/>
      <c r="FU6" s="519"/>
      <c r="FV6" s="519"/>
      <c r="FW6" s="519"/>
      <c r="FX6" s="519"/>
      <c r="FY6" s="519"/>
      <c r="FZ6" s="519"/>
      <c r="GA6" s="519"/>
      <c r="GB6" s="519"/>
      <c r="GC6" s="519"/>
      <c r="GD6" s="519"/>
      <c r="GE6" s="519"/>
      <c r="GF6" s="519"/>
      <c r="GG6" s="519"/>
      <c r="GH6" s="519"/>
      <c r="GI6" s="519"/>
      <c r="GJ6" s="519"/>
      <c r="GK6" s="519"/>
      <c r="GL6" s="519"/>
      <c r="GM6" s="519"/>
      <c r="GN6" s="519"/>
      <c r="GO6" s="519"/>
      <c r="GP6" s="519"/>
      <c r="GQ6" s="519"/>
      <c r="GR6" s="519"/>
      <c r="GS6" s="519"/>
      <c r="GT6" s="519"/>
      <c r="GU6" s="519"/>
      <c r="GV6" s="519"/>
      <c r="GW6" s="519"/>
      <c r="GX6" s="519"/>
      <c r="GY6" s="519"/>
      <c r="GZ6" s="519"/>
      <c r="HA6" s="519"/>
      <c r="HB6" s="519"/>
      <c r="HC6" s="519"/>
      <c r="HD6" s="519"/>
      <c r="HE6" s="519"/>
      <c r="HF6" s="519"/>
      <c r="HG6" s="519"/>
      <c r="HH6" s="519"/>
      <c r="HI6" s="519"/>
      <c r="HJ6" s="519"/>
      <c r="HK6" s="519"/>
      <c r="HL6" s="519"/>
      <c r="HM6" s="519"/>
      <c r="HN6" s="519"/>
      <c r="HO6" s="519"/>
      <c r="HP6" s="519"/>
      <c r="HQ6" s="519"/>
      <c r="HR6" s="519"/>
      <c r="HS6" s="519"/>
      <c r="HT6" s="519"/>
      <c r="HU6" s="519"/>
      <c r="HV6" s="519"/>
      <c r="HW6" s="519"/>
      <c r="HX6" s="519"/>
      <c r="HY6" s="519"/>
      <c r="HZ6" s="519"/>
      <c r="IA6" s="519"/>
      <c r="IB6" s="519"/>
      <c r="IC6" s="519"/>
      <c r="ID6" s="519"/>
      <c r="IE6" s="519"/>
      <c r="IF6" s="519"/>
      <c r="IG6" s="519"/>
      <c r="IH6" s="519"/>
      <c r="II6" s="519"/>
      <c r="IJ6" s="519"/>
      <c r="IK6" s="519"/>
      <c r="IL6" s="519"/>
      <c r="IM6" s="519"/>
      <c r="IN6" s="519"/>
      <c r="IO6" s="519"/>
      <c r="IP6" s="519"/>
      <c r="IQ6" s="519"/>
      <c r="IR6" s="519"/>
      <c r="IS6" s="519"/>
      <c r="IT6" s="519"/>
      <c r="IU6" s="519"/>
      <c r="IV6" s="519"/>
      <c r="IW6" s="519"/>
    </row>
    <row r="7" customFormat="false" ht="12.6" hidden="false" customHeight="true" outlineLevel="0" collapsed="false">
      <c r="A7" s="403"/>
      <c r="B7" s="522"/>
      <c r="C7" s="473"/>
      <c r="D7" s="404"/>
      <c r="E7" s="404"/>
      <c r="F7" s="404"/>
      <c r="G7" s="404"/>
      <c r="H7" s="404"/>
      <c r="I7" s="404"/>
      <c r="J7" s="404"/>
      <c r="K7" s="404"/>
      <c r="L7" s="404"/>
      <c r="M7" s="404"/>
      <c r="N7" s="404"/>
      <c r="O7" s="404"/>
      <c r="P7" s="404"/>
      <c r="Q7" s="404"/>
      <c r="R7" s="404"/>
      <c r="S7" s="404"/>
      <c r="T7" s="404"/>
      <c r="U7" s="404"/>
      <c r="V7" s="404"/>
      <c r="W7" s="404"/>
      <c r="X7" s="404"/>
      <c r="Y7" s="404"/>
      <c r="Z7" s="404"/>
      <c r="AA7" s="404"/>
      <c r="AB7" s="404"/>
      <c r="AC7" s="523"/>
      <c r="AD7" s="473"/>
      <c r="AF7" s="473"/>
      <c r="AG7" s="473"/>
      <c r="AH7" s="473"/>
      <c r="AI7" s="473"/>
      <c r="AJ7" s="473"/>
      <c r="AK7" s="473"/>
      <c r="AL7" s="473"/>
      <c r="AM7" s="473"/>
      <c r="AN7" s="473"/>
      <c r="AO7" s="473"/>
      <c r="AP7" s="473"/>
      <c r="AQ7" s="473"/>
      <c r="AR7" s="473"/>
      <c r="AS7" s="473"/>
      <c r="AT7" s="473"/>
      <c r="AU7" s="473"/>
      <c r="AV7" s="473"/>
      <c r="AW7" s="473"/>
      <c r="AX7" s="473"/>
      <c r="AY7" s="473"/>
      <c r="AZ7" s="473"/>
      <c r="BA7" s="473"/>
      <c r="BB7" s="473"/>
      <c r="BC7" s="473"/>
      <c r="BD7" s="473"/>
      <c r="BE7" s="473"/>
      <c r="BF7" s="473"/>
      <c r="BG7" s="473"/>
      <c r="BH7" s="473"/>
      <c r="BI7" s="473"/>
      <c r="BJ7" s="473"/>
      <c r="BK7" s="473"/>
      <c r="BL7" s="473"/>
      <c r="BM7" s="473"/>
      <c r="BN7" s="473"/>
      <c r="BO7" s="473"/>
      <c r="BP7" s="473"/>
      <c r="BQ7" s="473"/>
      <c r="BR7" s="473"/>
      <c r="BS7" s="473"/>
      <c r="BT7" s="473"/>
      <c r="BU7" s="473"/>
      <c r="BV7" s="473"/>
      <c r="BW7" s="473"/>
      <c r="BX7" s="473"/>
      <c r="BY7" s="473"/>
      <c r="BZ7" s="473"/>
      <c r="CA7" s="473"/>
      <c r="CB7" s="473"/>
      <c r="CC7" s="473"/>
      <c r="CD7" s="473"/>
      <c r="CE7" s="473"/>
      <c r="CF7" s="473"/>
      <c r="CG7" s="473"/>
      <c r="CH7" s="473"/>
      <c r="CI7" s="473"/>
      <c r="CJ7" s="473"/>
      <c r="CK7" s="473"/>
      <c r="CL7" s="473"/>
      <c r="CM7" s="473"/>
      <c r="CN7" s="473"/>
      <c r="CO7" s="473"/>
      <c r="CP7" s="473"/>
      <c r="CQ7" s="473"/>
      <c r="CR7" s="473"/>
      <c r="CS7" s="473"/>
      <c r="CT7" s="473"/>
      <c r="CU7" s="473"/>
      <c r="CV7" s="473"/>
      <c r="CW7" s="473"/>
      <c r="CX7" s="473"/>
      <c r="CY7" s="473"/>
      <c r="CZ7" s="473"/>
      <c r="DA7" s="473"/>
      <c r="DB7" s="473"/>
      <c r="DC7" s="473"/>
      <c r="DD7" s="473"/>
      <c r="DE7" s="473"/>
      <c r="DF7" s="473"/>
      <c r="DG7" s="473"/>
      <c r="DH7" s="473"/>
      <c r="DI7" s="473"/>
      <c r="DJ7" s="473"/>
      <c r="DK7" s="473"/>
      <c r="DL7" s="473"/>
      <c r="DM7" s="473"/>
      <c r="DN7" s="473"/>
      <c r="DO7" s="473"/>
      <c r="DP7" s="473"/>
      <c r="DQ7" s="473"/>
      <c r="DR7" s="473"/>
      <c r="DS7" s="473"/>
      <c r="DT7" s="473"/>
      <c r="DU7" s="473"/>
      <c r="DV7" s="473"/>
      <c r="DW7" s="473"/>
      <c r="DX7" s="473"/>
      <c r="DY7" s="473"/>
      <c r="DZ7" s="473"/>
      <c r="EA7" s="473"/>
      <c r="EB7" s="473"/>
      <c r="EC7" s="473"/>
      <c r="ED7" s="473"/>
      <c r="EE7" s="473"/>
      <c r="EF7" s="473"/>
      <c r="EG7" s="473"/>
      <c r="EH7" s="473"/>
      <c r="EI7" s="473"/>
      <c r="EJ7" s="473"/>
      <c r="EK7" s="473"/>
      <c r="EL7" s="473"/>
      <c r="EM7" s="473"/>
      <c r="EN7" s="473"/>
      <c r="EO7" s="473"/>
      <c r="EP7" s="473"/>
      <c r="EQ7" s="473"/>
      <c r="ER7" s="473"/>
      <c r="ES7" s="473"/>
      <c r="ET7" s="473"/>
      <c r="EU7" s="473"/>
      <c r="EV7" s="473"/>
      <c r="EW7" s="473"/>
      <c r="EX7" s="473"/>
      <c r="EY7" s="473"/>
      <c r="EZ7" s="473"/>
      <c r="FA7" s="473"/>
      <c r="FB7" s="473"/>
      <c r="FC7" s="473"/>
      <c r="FD7" s="473"/>
      <c r="FE7" s="473"/>
      <c r="FF7" s="473"/>
      <c r="FG7" s="473"/>
      <c r="FH7" s="473"/>
      <c r="FI7" s="473"/>
      <c r="FJ7" s="473"/>
      <c r="FK7" s="473"/>
      <c r="FL7" s="473"/>
      <c r="FM7" s="473"/>
      <c r="FN7" s="473"/>
      <c r="FO7" s="473"/>
      <c r="FP7" s="473"/>
      <c r="FQ7" s="473"/>
      <c r="FR7" s="473"/>
      <c r="FS7" s="473"/>
      <c r="FT7" s="473"/>
      <c r="FU7" s="473"/>
      <c r="FV7" s="473"/>
      <c r="FW7" s="473"/>
      <c r="FX7" s="473"/>
      <c r="FY7" s="473"/>
      <c r="FZ7" s="473"/>
      <c r="GA7" s="473"/>
      <c r="GB7" s="473"/>
      <c r="GC7" s="473"/>
      <c r="GD7" s="473"/>
      <c r="GE7" s="473"/>
      <c r="GF7" s="473"/>
      <c r="GG7" s="473"/>
      <c r="GH7" s="473"/>
      <c r="GI7" s="473"/>
      <c r="GJ7" s="473"/>
      <c r="GK7" s="473"/>
      <c r="GL7" s="473"/>
      <c r="GM7" s="473"/>
      <c r="GN7" s="473"/>
      <c r="GO7" s="473"/>
      <c r="GP7" s="473"/>
      <c r="GQ7" s="473"/>
      <c r="GR7" s="473"/>
      <c r="GS7" s="473"/>
      <c r="GT7" s="473"/>
      <c r="GU7" s="473"/>
      <c r="GV7" s="473"/>
      <c r="GW7" s="473"/>
      <c r="GX7" s="473"/>
      <c r="GY7" s="473"/>
      <c r="GZ7" s="473"/>
      <c r="HA7" s="473"/>
      <c r="HB7" s="473"/>
      <c r="HC7" s="473"/>
      <c r="HD7" s="473"/>
      <c r="HE7" s="473"/>
      <c r="HF7" s="473"/>
      <c r="HG7" s="473"/>
      <c r="HH7" s="473"/>
      <c r="HI7" s="473"/>
      <c r="HJ7" s="473"/>
      <c r="HK7" s="473"/>
      <c r="HL7" s="473"/>
      <c r="HM7" s="473"/>
      <c r="HN7" s="473"/>
      <c r="HO7" s="473"/>
      <c r="HP7" s="473"/>
      <c r="HQ7" s="473"/>
      <c r="HR7" s="473"/>
      <c r="HS7" s="473"/>
      <c r="HT7" s="473"/>
      <c r="HU7" s="473"/>
      <c r="HV7" s="473"/>
      <c r="HW7" s="473"/>
      <c r="HX7" s="473"/>
      <c r="HY7" s="473"/>
      <c r="HZ7" s="473"/>
      <c r="IA7" s="473"/>
      <c r="IB7" s="473"/>
      <c r="IC7" s="473"/>
      <c r="ID7" s="473"/>
      <c r="IE7" s="473"/>
      <c r="IF7" s="473"/>
      <c r="IG7" s="473"/>
      <c r="IH7" s="473"/>
      <c r="II7" s="473"/>
      <c r="IJ7" s="473"/>
      <c r="IK7" s="473"/>
      <c r="IL7" s="473"/>
      <c r="IM7" s="473"/>
      <c r="IN7" s="473"/>
      <c r="IO7" s="473"/>
      <c r="IP7" s="473"/>
      <c r="IQ7" s="473"/>
      <c r="IR7" s="473"/>
      <c r="IS7" s="473"/>
      <c r="IT7" s="473"/>
      <c r="IU7" s="473"/>
      <c r="IV7" s="473"/>
      <c r="IW7" s="473"/>
    </row>
    <row r="8" customFormat="false" ht="12.75" hidden="false" customHeight="false" outlineLevel="0" collapsed="false">
      <c r="A8" s="524" t="s">
        <v>435</v>
      </c>
      <c r="B8" s="525"/>
      <c r="C8" s="525"/>
      <c r="D8" s="525"/>
      <c r="E8" s="526" t="n">
        <f aca="false">IF(E4&lt;='Project Assumptions'!$F$39,'Project Assumptions'!$F$41,0)</f>
        <v>1.5</v>
      </c>
      <c r="F8" s="526" t="n">
        <f aca="false">IF(F4&lt;='Project Assumptions'!$F$39,'Project Assumptions'!$F$41,0)</f>
        <v>1.5</v>
      </c>
      <c r="G8" s="526" t="n">
        <f aca="false">IF(G4&lt;='Project Assumptions'!$F$39,'Project Assumptions'!$F$41,0)</f>
        <v>1.5</v>
      </c>
      <c r="H8" s="526" t="n">
        <f aca="false">IF(H4&lt;='Project Assumptions'!$F$39,'Project Assumptions'!$F$41,0)</f>
        <v>1.5</v>
      </c>
      <c r="I8" s="526" t="n">
        <f aca="false">IF(I4&lt;='Project Assumptions'!$F$39,'Project Assumptions'!$F$41,0)</f>
        <v>0</v>
      </c>
      <c r="J8" s="526" t="n">
        <f aca="false">IF(J4&lt;='Project Assumptions'!$F$39,'Project Assumptions'!$F$41,0)</f>
        <v>0</v>
      </c>
      <c r="K8" s="526" t="n">
        <f aca="false">IF(K4&lt;='Project Assumptions'!$F$39,'Project Assumptions'!$F$41,0)</f>
        <v>0</v>
      </c>
      <c r="L8" s="526" t="n">
        <f aca="false">IF(L4&lt;='Project Assumptions'!$F$39,'Project Assumptions'!$F$41,0)</f>
        <v>0</v>
      </c>
      <c r="M8" s="526" t="n">
        <f aca="false">IF(M4&lt;='Project Assumptions'!$F$39,'Project Assumptions'!$F$41,0)</f>
        <v>0</v>
      </c>
      <c r="N8" s="526" t="n">
        <f aca="false">IF(N4&lt;='Project Assumptions'!$F$39,'Project Assumptions'!$F$41,0)</f>
        <v>0</v>
      </c>
      <c r="O8" s="526" t="n">
        <f aca="false">IF(O4&lt;='Project Assumptions'!$F$39,'Project Assumptions'!$F$41,0)</f>
        <v>0</v>
      </c>
      <c r="P8" s="526" t="n">
        <f aca="false">IF(P4&lt;='Project Assumptions'!$F$39,'Project Assumptions'!$F$41,0)</f>
        <v>0</v>
      </c>
      <c r="Q8" s="526" t="n">
        <f aca="false">IF(Q4&lt;='Project Assumptions'!$F$39,'Project Assumptions'!$F$41,0)</f>
        <v>0</v>
      </c>
      <c r="R8" s="526" t="n">
        <f aca="false">IF(R4&lt;='Project Assumptions'!$F$39,'Project Assumptions'!$F$41,0)</f>
        <v>0</v>
      </c>
      <c r="S8" s="526" t="n">
        <f aca="false">IF(S4&lt;='Project Assumptions'!$F$39,'Project Assumptions'!$F$41,0)</f>
        <v>0</v>
      </c>
      <c r="T8" s="526" t="n">
        <f aca="false">IF(T4&lt;='Project Assumptions'!$F$39,'Project Assumptions'!$F$41,0)</f>
        <v>0</v>
      </c>
      <c r="U8" s="526" t="n">
        <f aca="false">IF(U4&lt;='Project Assumptions'!$F$39,'Project Assumptions'!$F$41,0)</f>
        <v>0</v>
      </c>
      <c r="V8" s="526" t="n">
        <f aca="false">IF(V4&lt;='Project Assumptions'!$F$39,'Project Assumptions'!$F$41,0)</f>
        <v>0</v>
      </c>
      <c r="W8" s="526" t="n">
        <f aca="false">IF(W4&lt;='Project Assumptions'!$F$39,'Project Assumptions'!$F$41,0)</f>
        <v>0</v>
      </c>
      <c r="X8" s="526" t="n">
        <f aca="false">IF(X4&lt;='Project Assumptions'!$F$39,'Project Assumptions'!$F$41,0)</f>
        <v>0</v>
      </c>
      <c r="Y8" s="526" t="n">
        <f aca="false">IF(Y4&lt;='Project Assumptions'!$F$39,'Project Assumptions'!$F$41,0)</f>
        <v>0</v>
      </c>
      <c r="Z8" s="526" t="n">
        <f aca="false">IF(Z4&lt;='Project Assumptions'!$F$39,'Project Assumptions'!$F$41,0)</f>
        <v>0</v>
      </c>
      <c r="AA8" s="526" t="n">
        <f aca="false">IF(AA4&lt;='Project Assumptions'!$F$39,'Project Assumptions'!$F$41,0)</f>
        <v>0</v>
      </c>
      <c r="AB8" s="526" t="n">
        <f aca="false">IF(AB4&lt;='Project Assumptions'!$F$39,'Project Assumptions'!$F$41,0)</f>
        <v>0</v>
      </c>
      <c r="AC8" s="527" t="n">
        <f aca="false">IF(AC4&lt;='Project Assumptions'!$F$39,'Project Assumptions'!$F$41,0)</f>
        <v>0</v>
      </c>
      <c r="AD8" s="528"/>
      <c r="AE8" s="529"/>
      <c r="AF8" s="529"/>
      <c r="AG8" s="529"/>
      <c r="AH8" s="529"/>
      <c r="AI8" s="529"/>
      <c r="AJ8" s="529"/>
      <c r="AK8" s="529"/>
      <c r="AL8" s="529"/>
      <c r="AM8" s="529"/>
      <c r="AN8" s="529"/>
      <c r="AO8" s="529"/>
      <c r="AP8" s="529"/>
      <c r="AQ8" s="529"/>
      <c r="AR8" s="529"/>
      <c r="AS8" s="529"/>
      <c r="AT8" s="529"/>
      <c r="AU8" s="529"/>
      <c r="AV8" s="529"/>
      <c r="AW8" s="529"/>
      <c r="AX8" s="529"/>
      <c r="AY8" s="529"/>
      <c r="AZ8" s="529"/>
      <c r="BA8" s="529"/>
      <c r="BB8" s="529"/>
      <c r="BC8" s="529"/>
      <c r="BD8" s="529"/>
      <c r="BE8" s="529"/>
      <c r="BF8" s="529"/>
      <c r="BG8" s="529"/>
      <c r="BH8" s="529"/>
      <c r="BI8" s="529"/>
      <c r="BJ8" s="529"/>
      <c r="BK8" s="529"/>
      <c r="BL8" s="529"/>
      <c r="BM8" s="529"/>
      <c r="BN8" s="529"/>
      <c r="BO8" s="529"/>
      <c r="BP8" s="529"/>
      <c r="BQ8" s="529"/>
      <c r="BR8" s="529"/>
      <c r="BS8" s="529"/>
      <c r="BT8" s="529"/>
      <c r="BU8" s="529"/>
      <c r="BV8" s="529"/>
      <c r="BW8" s="529"/>
      <c r="BX8" s="529"/>
      <c r="BY8" s="529"/>
      <c r="BZ8" s="529"/>
      <c r="CA8" s="529"/>
      <c r="CB8" s="529"/>
      <c r="CC8" s="529"/>
      <c r="CD8" s="529"/>
      <c r="CE8" s="529"/>
      <c r="CF8" s="529"/>
      <c r="CG8" s="529"/>
      <c r="CH8" s="529"/>
      <c r="CI8" s="529"/>
      <c r="CJ8" s="529"/>
      <c r="CK8" s="529"/>
      <c r="CL8" s="529"/>
      <c r="CM8" s="529"/>
      <c r="CN8" s="529"/>
      <c r="CO8" s="529"/>
      <c r="CP8" s="529"/>
      <c r="CQ8" s="529"/>
      <c r="CR8" s="529"/>
      <c r="CS8" s="529"/>
      <c r="CT8" s="529"/>
      <c r="CU8" s="529"/>
      <c r="CV8" s="529"/>
      <c r="CW8" s="529"/>
      <c r="CX8" s="529"/>
      <c r="CY8" s="529"/>
      <c r="CZ8" s="529"/>
      <c r="DA8" s="529"/>
      <c r="DB8" s="529"/>
      <c r="DC8" s="529"/>
      <c r="DD8" s="529"/>
      <c r="DE8" s="529"/>
      <c r="DF8" s="529"/>
      <c r="DG8" s="529"/>
      <c r="DH8" s="529"/>
      <c r="DI8" s="529"/>
      <c r="DJ8" s="529"/>
      <c r="DK8" s="529"/>
      <c r="DL8" s="529"/>
      <c r="DM8" s="529"/>
      <c r="DN8" s="529"/>
      <c r="DO8" s="529"/>
      <c r="DP8" s="529"/>
      <c r="DQ8" s="529"/>
      <c r="DR8" s="529"/>
      <c r="DS8" s="529"/>
      <c r="DT8" s="529"/>
      <c r="DU8" s="529"/>
      <c r="DV8" s="529"/>
      <c r="DW8" s="529"/>
      <c r="DX8" s="529"/>
      <c r="DY8" s="529"/>
      <c r="DZ8" s="529"/>
      <c r="EA8" s="529"/>
      <c r="EB8" s="529"/>
      <c r="EC8" s="529"/>
      <c r="ED8" s="529"/>
      <c r="EE8" s="529"/>
      <c r="EF8" s="529"/>
      <c r="EG8" s="529"/>
      <c r="EH8" s="529"/>
      <c r="EI8" s="529"/>
      <c r="EJ8" s="529"/>
      <c r="EK8" s="529"/>
      <c r="EL8" s="529"/>
      <c r="EM8" s="529"/>
      <c r="EN8" s="529"/>
      <c r="EO8" s="529"/>
      <c r="EP8" s="529"/>
      <c r="EQ8" s="529"/>
      <c r="ER8" s="529"/>
      <c r="ES8" s="529"/>
      <c r="ET8" s="529"/>
      <c r="EU8" s="529"/>
      <c r="EV8" s="529"/>
      <c r="EW8" s="529"/>
      <c r="EX8" s="529"/>
      <c r="EY8" s="529"/>
      <c r="EZ8" s="529"/>
      <c r="FA8" s="529"/>
      <c r="FB8" s="529"/>
      <c r="FC8" s="529"/>
      <c r="FD8" s="529"/>
      <c r="FE8" s="529"/>
      <c r="FF8" s="529"/>
      <c r="FG8" s="529"/>
      <c r="FH8" s="529"/>
      <c r="FI8" s="529"/>
      <c r="FJ8" s="529"/>
      <c r="FK8" s="529"/>
      <c r="FL8" s="529"/>
      <c r="FM8" s="529"/>
      <c r="FN8" s="529"/>
      <c r="FO8" s="529"/>
      <c r="FP8" s="529"/>
      <c r="FQ8" s="529"/>
      <c r="FR8" s="529"/>
      <c r="FS8" s="529"/>
      <c r="FT8" s="529"/>
      <c r="FU8" s="529"/>
      <c r="FV8" s="529"/>
      <c r="FW8" s="529"/>
      <c r="FX8" s="529"/>
      <c r="FY8" s="529"/>
      <c r="FZ8" s="529"/>
      <c r="GA8" s="529"/>
      <c r="GB8" s="529"/>
      <c r="GC8" s="529"/>
      <c r="GD8" s="529"/>
      <c r="GE8" s="529"/>
      <c r="GF8" s="529"/>
      <c r="GG8" s="529"/>
      <c r="GH8" s="529"/>
      <c r="GI8" s="529"/>
      <c r="GJ8" s="529"/>
      <c r="GK8" s="529"/>
      <c r="GL8" s="529"/>
      <c r="GM8" s="529"/>
      <c r="GN8" s="529"/>
      <c r="GO8" s="529"/>
      <c r="GP8" s="529"/>
      <c r="GQ8" s="529"/>
      <c r="GR8" s="529"/>
      <c r="GS8" s="529"/>
      <c r="GT8" s="529"/>
      <c r="GU8" s="529"/>
      <c r="GV8" s="529"/>
      <c r="GW8" s="529"/>
      <c r="GX8" s="529"/>
      <c r="GY8" s="529"/>
      <c r="GZ8" s="529"/>
      <c r="HA8" s="529"/>
      <c r="HB8" s="529"/>
      <c r="HC8" s="529"/>
      <c r="HD8" s="529"/>
      <c r="HE8" s="529"/>
      <c r="HF8" s="529"/>
      <c r="HG8" s="529"/>
      <c r="HH8" s="529"/>
      <c r="HI8" s="529"/>
      <c r="HJ8" s="529"/>
      <c r="HK8" s="529"/>
      <c r="HL8" s="529"/>
      <c r="HM8" s="529"/>
      <c r="HN8" s="529"/>
      <c r="HO8" s="529"/>
      <c r="HP8" s="529"/>
      <c r="HQ8" s="529"/>
      <c r="HR8" s="529"/>
      <c r="HS8" s="529"/>
      <c r="HT8" s="529"/>
      <c r="HU8" s="529"/>
      <c r="HV8" s="529"/>
      <c r="HW8" s="529"/>
      <c r="HX8" s="529"/>
      <c r="HY8" s="529"/>
      <c r="HZ8" s="529"/>
      <c r="IA8" s="529"/>
      <c r="IB8" s="529"/>
      <c r="IC8" s="529"/>
      <c r="ID8" s="529"/>
      <c r="IE8" s="529"/>
      <c r="IF8" s="529"/>
      <c r="IG8" s="529"/>
      <c r="IH8" s="529"/>
      <c r="II8" s="529"/>
      <c r="IJ8" s="529"/>
      <c r="IK8" s="529"/>
      <c r="IL8" s="529"/>
      <c r="IM8" s="529"/>
      <c r="IN8" s="529"/>
      <c r="IO8" s="529"/>
      <c r="IP8" s="529"/>
      <c r="IQ8" s="529"/>
      <c r="IR8" s="529"/>
      <c r="IS8" s="529"/>
      <c r="IT8" s="529"/>
      <c r="IU8" s="529"/>
      <c r="IV8" s="529"/>
      <c r="IW8" s="529"/>
    </row>
    <row r="9" customFormat="false" ht="12.75" hidden="false" customHeight="false" outlineLevel="0" collapsed="false">
      <c r="A9" s="524" t="s">
        <v>436</v>
      </c>
      <c r="B9" s="525"/>
      <c r="C9" s="525"/>
      <c r="D9" s="525"/>
      <c r="E9" s="526" t="n">
        <f aca="false">IF(AND(E4&gt;'Project Assumptions'!$F$39,E4&lt;='Project Assumptions'!$G$39),'Project Assumptions'!$G$41,0)</f>
        <v>0</v>
      </c>
      <c r="F9" s="526" t="n">
        <f aca="false">IF(AND(F4&gt;'Project Assumptions'!$F$39,F4&lt;='Project Assumptions'!$G$39),'Project Assumptions'!$G$41,0)</f>
        <v>0</v>
      </c>
      <c r="G9" s="526" t="n">
        <f aca="false">IF(AND(G4&gt;'Project Assumptions'!$F$39,G4&lt;='Project Assumptions'!$G$39),'Project Assumptions'!$G$41,0)</f>
        <v>0</v>
      </c>
      <c r="H9" s="526" t="n">
        <f aca="false">IF(AND(H4&gt;'Project Assumptions'!$F$39,H4&lt;='Project Assumptions'!$G$39),'Project Assumptions'!$G$41,0)</f>
        <v>0</v>
      </c>
      <c r="I9" s="526" t="n">
        <f aca="false">IF(AND(I4&gt;'Project Assumptions'!$F$39,I4&lt;='Project Assumptions'!$G$39),'Project Assumptions'!$G$41,0)</f>
        <v>2.5</v>
      </c>
      <c r="J9" s="526" t="n">
        <f aca="false">IF(AND(J4&gt;'Project Assumptions'!$F$39,J4&lt;='Project Assumptions'!$G$39),'Project Assumptions'!$G$41,0)</f>
        <v>2.5</v>
      </c>
      <c r="K9" s="526" t="n">
        <f aca="false">IF(AND(K4&gt;'Project Assumptions'!$F$39,K4&lt;='Project Assumptions'!$G$39),'Project Assumptions'!$G$41,0)</f>
        <v>2.5</v>
      </c>
      <c r="L9" s="526" t="n">
        <f aca="false">IF(AND(L4&gt;'Project Assumptions'!$F$39,L4&lt;='Project Assumptions'!$G$39),'Project Assumptions'!$G$41,0)</f>
        <v>2.5</v>
      </c>
      <c r="M9" s="526" t="n">
        <f aca="false">IF(AND(M4&gt;'Project Assumptions'!$F$39,M4&lt;='Project Assumptions'!$G$39),'Project Assumptions'!$G$41,0)</f>
        <v>2.5</v>
      </c>
      <c r="N9" s="526" t="n">
        <f aca="false">IF(AND(N4&gt;'Project Assumptions'!$F$39,N4&lt;='Project Assumptions'!$G$39),'Project Assumptions'!$G$41,0)</f>
        <v>2.5</v>
      </c>
      <c r="O9" s="526" t="n">
        <f aca="false">IF(AND(O4&gt;'Project Assumptions'!$F$39,O4&lt;='Project Assumptions'!$G$39),'Project Assumptions'!$G$41,0)</f>
        <v>0</v>
      </c>
      <c r="P9" s="526" t="n">
        <f aca="false">IF(AND(P4&gt;'Project Assumptions'!$F$39,P4&lt;='Project Assumptions'!$G$39),'Project Assumptions'!$G$41,0)</f>
        <v>0</v>
      </c>
      <c r="Q9" s="526" t="n">
        <f aca="false">IF(AND(Q4&gt;'Project Assumptions'!$F$39,Q4&lt;='Project Assumptions'!$G$39),'Project Assumptions'!$G$41,0)</f>
        <v>0</v>
      </c>
      <c r="R9" s="526" t="n">
        <f aca="false">IF(AND(R4&gt;'Project Assumptions'!$F$39,R4&lt;='Project Assumptions'!$G$39),'Project Assumptions'!$G$41,0)</f>
        <v>0</v>
      </c>
      <c r="S9" s="526" t="n">
        <f aca="false">IF(AND(S4&gt;'Project Assumptions'!$F$39,S4&lt;='Project Assumptions'!$G$39),'Project Assumptions'!$G$41,0)</f>
        <v>0</v>
      </c>
      <c r="T9" s="526" t="n">
        <f aca="false">IF(AND(T4&gt;'Project Assumptions'!$F$39,T4&lt;='Project Assumptions'!$G$39),'Project Assumptions'!$G$41,0)</f>
        <v>0</v>
      </c>
      <c r="U9" s="526" t="n">
        <f aca="false">IF(AND(U4&gt;'Project Assumptions'!$F$39,U4&lt;='Project Assumptions'!$G$39),'Project Assumptions'!$G$41,0)</f>
        <v>0</v>
      </c>
      <c r="V9" s="526" t="n">
        <f aca="false">IF(AND(V4&gt;'Project Assumptions'!$F$39,V4&lt;='Project Assumptions'!$G$39),'Project Assumptions'!$G$41,0)</f>
        <v>0</v>
      </c>
      <c r="W9" s="526" t="n">
        <f aca="false">IF(AND(W4&gt;'Project Assumptions'!$F$39,W4&lt;='Project Assumptions'!$G$39),'Project Assumptions'!$G$41,0)</f>
        <v>0</v>
      </c>
      <c r="X9" s="526" t="n">
        <f aca="false">IF(AND(X4&gt;'Project Assumptions'!$F$39,X4&lt;='Project Assumptions'!$G$39),'Project Assumptions'!$G$41,0)</f>
        <v>0</v>
      </c>
      <c r="Y9" s="526" t="n">
        <f aca="false">IF(AND(Y4&gt;'Project Assumptions'!$F$39,Y4&lt;='Project Assumptions'!$G$39),'Project Assumptions'!$G$41,0)</f>
        <v>0</v>
      </c>
      <c r="Z9" s="526" t="n">
        <f aca="false">IF(AND(Z4&gt;'Project Assumptions'!$F$39,Z4&lt;='Project Assumptions'!$G$39),'Project Assumptions'!$G$41,0)</f>
        <v>0</v>
      </c>
      <c r="AA9" s="526" t="n">
        <f aca="false">IF(AND(AA4&gt;'Project Assumptions'!$F$39,AA4&lt;='Project Assumptions'!$G$39),'Project Assumptions'!$G$41,0)</f>
        <v>0</v>
      </c>
      <c r="AB9" s="526" t="n">
        <f aca="false">IF(AND(AB4&gt;'Project Assumptions'!$F$39,AB4&lt;='Project Assumptions'!$G$39),'Project Assumptions'!$G$41,0)</f>
        <v>0</v>
      </c>
      <c r="AC9" s="527" t="n">
        <f aca="false">IF(AND(AC4&gt;'Project Assumptions'!$F$39,AC4&lt;='Project Assumptions'!$G$39),'Project Assumptions'!$G$41,0)</f>
        <v>0</v>
      </c>
      <c r="AD9" s="528"/>
      <c r="AE9" s="529"/>
      <c r="AF9" s="529"/>
      <c r="AG9" s="529"/>
      <c r="AH9" s="529"/>
      <c r="AI9" s="529"/>
      <c r="AJ9" s="529"/>
      <c r="AK9" s="529"/>
      <c r="AL9" s="529"/>
      <c r="AM9" s="529"/>
      <c r="AN9" s="529"/>
      <c r="AO9" s="529"/>
      <c r="AP9" s="529"/>
      <c r="AQ9" s="529"/>
      <c r="AR9" s="529"/>
      <c r="AS9" s="529"/>
      <c r="AT9" s="529"/>
      <c r="AU9" s="529"/>
      <c r="AV9" s="529"/>
      <c r="AW9" s="529"/>
      <c r="AX9" s="529"/>
      <c r="AY9" s="529"/>
      <c r="AZ9" s="529"/>
      <c r="BA9" s="529"/>
      <c r="BB9" s="529"/>
      <c r="BC9" s="529"/>
      <c r="BD9" s="529"/>
      <c r="BE9" s="529"/>
      <c r="BF9" s="529"/>
      <c r="BG9" s="529"/>
      <c r="BH9" s="529"/>
      <c r="BI9" s="529"/>
      <c r="BJ9" s="529"/>
      <c r="BK9" s="529"/>
      <c r="BL9" s="529"/>
      <c r="BM9" s="529"/>
      <c r="BN9" s="529"/>
      <c r="BO9" s="529"/>
      <c r="BP9" s="529"/>
      <c r="BQ9" s="529"/>
      <c r="BR9" s="529"/>
      <c r="BS9" s="529"/>
      <c r="BT9" s="529"/>
      <c r="BU9" s="529"/>
      <c r="BV9" s="529"/>
      <c r="BW9" s="529"/>
      <c r="BX9" s="529"/>
      <c r="BY9" s="529"/>
      <c r="BZ9" s="529"/>
      <c r="CA9" s="529"/>
      <c r="CB9" s="529"/>
      <c r="CC9" s="529"/>
      <c r="CD9" s="529"/>
      <c r="CE9" s="529"/>
      <c r="CF9" s="529"/>
      <c r="CG9" s="529"/>
      <c r="CH9" s="529"/>
      <c r="CI9" s="529"/>
      <c r="CJ9" s="529"/>
      <c r="CK9" s="529"/>
      <c r="CL9" s="529"/>
      <c r="CM9" s="529"/>
      <c r="CN9" s="529"/>
      <c r="CO9" s="529"/>
      <c r="CP9" s="529"/>
      <c r="CQ9" s="529"/>
      <c r="CR9" s="529"/>
      <c r="CS9" s="529"/>
      <c r="CT9" s="529"/>
      <c r="CU9" s="529"/>
      <c r="CV9" s="529"/>
      <c r="CW9" s="529"/>
      <c r="CX9" s="529"/>
      <c r="CY9" s="529"/>
      <c r="CZ9" s="529"/>
      <c r="DA9" s="529"/>
      <c r="DB9" s="529"/>
      <c r="DC9" s="529"/>
      <c r="DD9" s="529"/>
      <c r="DE9" s="529"/>
      <c r="DF9" s="529"/>
      <c r="DG9" s="529"/>
      <c r="DH9" s="529"/>
      <c r="DI9" s="529"/>
      <c r="DJ9" s="529"/>
      <c r="DK9" s="529"/>
      <c r="DL9" s="529"/>
      <c r="DM9" s="529"/>
      <c r="DN9" s="529"/>
      <c r="DO9" s="529"/>
      <c r="DP9" s="529"/>
      <c r="DQ9" s="529"/>
      <c r="DR9" s="529"/>
      <c r="DS9" s="529"/>
      <c r="DT9" s="529"/>
      <c r="DU9" s="529"/>
      <c r="DV9" s="529"/>
      <c r="DW9" s="529"/>
      <c r="DX9" s="529"/>
      <c r="DY9" s="529"/>
      <c r="DZ9" s="529"/>
      <c r="EA9" s="529"/>
      <c r="EB9" s="529"/>
      <c r="EC9" s="529"/>
      <c r="ED9" s="529"/>
      <c r="EE9" s="529"/>
      <c r="EF9" s="529"/>
      <c r="EG9" s="529"/>
      <c r="EH9" s="529"/>
      <c r="EI9" s="529"/>
      <c r="EJ9" s="529"/>
      <c r="EK9" s="529"/>
      <c r="EL9" s="529"/>
      <c r="EM9" s="529"/>
      <c r="EN9" s="529"/>
      <c r="EO9" s="529"/>
      <c r="EP9" s="529"/>
      <c r="EQ9" s="529"/>
      <c r="ER9" s="529"/>
      <c r="ES9" s="529"/>
      <c r="ET9" s="529"/>
      <c r="EU9" s="529"/>
      <c r="EV9" s="529"/>
      <c r="EW9" s="529"/>
      <c r="EX9" s="529"/>
      <c r="EY9" s="529"/>
      <c r="EZ9" s="529"/>
      <c r="FA9" s="529"/>
      <c r="FB9" s="529"/>
      <c r="FC9" s="529"/>
      <c r="FD9" s="529"/>
      <c r="FE9" s="529"/>
      <c r="FF9" s="529"/>
      <c r="FG9" s="529"/>
      <c r="FH9" s="529"/>
      <c r="FI9" s="529"/>
      <c r="FJ9" s="529"/>
      <c r="FK9" s="529"/>
      <c r="FL9" s="529"/>
      <c r="FM9" s="529"/>
      <c r="FN9" s="529"/>
      <c r="FO9" s="529"/>
      <c r="FP9" s="529"/>
      <c r="FQ9" s="529"/>
      <c r="FR9" s="529"/>
      <c r="FS9" s="529"/>
      <c r="FT9" s="529"/>
      <c r="FU9" s="529"/>
      <c r="FV9" s="529"/>
      <c r="FW9" s="529"/>
      <c r="FX9" s="529"/>
      <c r="FY9" s="529"/>
      <c r="FZ9" s="529"/>
      <c r="GA9" s="529"/>
      <c r="GB9" s="529"/>
      <c r="GC9" s="529"/>
      <c r="GD9" s="529"/>
      <c r="GE9" s="529"/>
      <c r="GF9" s="529"/>
      <c r="GG9" s="529"/>
      <c r="GH9" s="529"/>
      <c r="GI9" s="529"/>
      <c r="GJ9" s="529"/>
      <c r="GK9" s="529"/>
      <c r="GL9" s="529"/>
      <c r="GM9" s="529"/>
      <c r="GN9" s="529"/>
      <c r="GO9" s="529"/>
      <c r="GP9" s="529"/>
      <c r="GQ9" s="529"/>
      <c r="GR9" s="529"/>
      <c r="GS9" s="529"/>
      <c r="GT9" s="529"/>
      <c r="GU9" s="529"/>
      <c r="GV9" s="529"/>
      <c r="GW9" s="529"/>
      <c r="GX9" s="529"/>
      <c r="GY9" s="529"/>
      <c r="GZ9" s="529"/>
      <c r="HA9" s="529"/>
      <c r="HB9" s="529"/>
      <c r="HC9" s="529"/>
      <c r="HD9" s="529"/>
      <c r="HE9" s="529"/>
      <c r="HF9" s="529"/>
      <c r="HG9" s="529"/>
      <c r="HH9" s="529"/>
      <c r="HI9" s="529"/>
      <c r="HJ9" s="529"/>
      <c r="HK9" s="529"/>
      <c r="HL9" s="529"/>
      <c r="HM9" s="529"/>
      <c r="HN9" s="529"/>
      <c r="HO9" s="529"/>
      <c r="HP9" s="529"/>
      <c r="HQ9" s="529"/>
      <c r="HR9" s="529"/>
      <c r="HS9" s="529"/>
      <c r="HT9" s="529"/>
      <c r="HU9" s="529"/>
      <c r="HV9" s="529"/>
      <c r="HW9" s="529"/>
      <c r="HX9" s="529"/>
      <c r="HY9" s="529"/>
      <c r="HZ9" s="529"/>
      <c r="IA9" s="529"/>
      <c r="IB9" s="529"/>
      <c r="IC9" s="529"/>
      <c r="ID9" s="529"/>
      <c r="IE9" s="529"/>
      <c r="IF9" s="529"/>
      <c r="IG9" s="529"/>
      <c r="IH9" s="529"/>
      <c r="II9" s="529"/>
      <c r="IJ9" s="529"/>
      <c r="IK9" s="529"/>
      <c r="IL9" s="529"/>
      <c r="IM9" s="529"/>
      <c r="IN9" s="529"/>
      <c r="IO9" s="529"/>
      <c r="IP9" s="529"/>
      <c r="IQ9" s="529"/>
      <c r="IR9" s="529"/>
      <c r="IS9" s="529"/>
      <c r="IT9" s="529"/>
      <c r="IU9" s="529"/>
      <c r="IV9" s="529"/>
      <c r="IW9" s="529"/>
    </row>
    <row r="10" customFormat="false" ht="12.75" hidden="false" customHeight="false" outlineLevel="0" collapsed="false">
      <c r="A10" s="524" t="s">
        <v>437</v>
      </c>
      <c r="B10" s="525"/>
      <c r="C10" s="525"/>
      <c r="D10" s="525"/>
      <c r="E10" s="526" t="n">
        <f aca="false">IF(AND(E4&gt;'Project Assumptions'!$G$39,E4&lt;='Project Assumptions'!$H$39),'Project Assumptions'!$H$41,0)</f>
        <v>0</v>
      </c>
      <c r="F10" s="526" t="n">
        <f aca="false">IF(AND(F4&gt;'Project Assumptions'!$G$39,F4&lt;='Project Assumptions'!$H$39),'Project Assumptions'!$H$41,0)</f>
        <v>0</v>
      </c>
      <c r="G10" s="526" t="n">
        <f aca="false">IF(AND(G4&gt;'Project Assumptions'!$G$39,G4&lt;='Project Assumptions'!$H$39),'Project Assumptions'!$H$41,0)</f>
        <v>0</v>
      </c>
      <c r="H10" s="526" t="n">
        <f aca="false">IF(AND(H4&gt;'Project Assumptions'!$G$39,H4&lt;='Project Assumptions'!$H$39),'Project Assumptions'!$H$41,0)</f>
        <v>0</v>
      </c>
      <c r="I10" s="526" t="n">
        <f aca="false">IF(AND(I4&gt;'Project Assumptions'!$G$39,I4&lt;='Project Assumptions'!$H$39),'Project Assumptions'!$H$41,0)</f>
        <v>0</v>
      </c>
      <c r="J10" s="526" t="n">
        <f aca="false">IF(AND(J4&gt;'Project Assumptions'!$G$39,J4&lt;='Project Assumptions'!$H$39),'Project Assumptions'!$H$41,0)</f>
        <v>0</v>
      </c>
      <c r="K10" s="526" t="n">
        <f aca="false">IF(AND(K4&gt;'Project Assumptions'!$G$39,K4&lt;='Project Assumptions'!$H$39),'Project Assumptions'!$H$41,0)</f>
        <v>0</v>
      </c>
      <c r="L10" s="526" t="n">
        <f aca="false">IF(AND(L4&gt;'Project Assumptions'!$G$39,L4&lt;='Project Assumptions'!$H$39),'Project Assumptions'!$H$41,0)</f>
        <v>0</v>
      </c>
      <c r="M10" s="526" t="n">
        <f aca="false">IF(AND(M4&gt;'Project Assumptions'!$G$39,M4&lt;='Project Assumptions'!$H$39),'Project Assumptions'!$H$41,0)</f>
        <v>0</v>
      </c>
      <c r="N10" s="526" t="n">
        <f aca="false">IF(AND(N4&gt;'Project Assumptions'!$G$39,N4&lt;='Project Assumptions'!$H$39),'Project Assumptions'!$H$41,0)</f>
        <v>0</v>
      </c>
      <c r="O10" s="526" t="n">
        <f aca="false">IF(AND(O4&gt;'Project Assumptions'!$G$39,O4&lt;='Project Assumptions'!$H$39),'Project Assumptions'!$H$41,0)</f>
        <v>2.5</v>
      </c>
      <c r="P10" s="526" t="n">
        <f aca="false">IF(AND(P4&gt;'Project Assumptions'!$G$39,P4&lt;='Project Assumptions'!$H$39),'Project Assumptions'!$H$41,0)</f>
        <v>2.5</v>
      </c>
      <c r="Q10" s="526" t="n">
        <f aca="false">IF(AND(Q4&gt;'Project Assumptions'!$G$39,Q4&lt;='Project Assumptions'!$H$39),'Project Assumptions'!$H$41,0)</f>
        <v>2.5</v>
      </c>
      <c r="R10" s="526" t="n">
        <f aca="false">IF(AND(R4&gt;'Project Assumptions'!$G$39,R4&lt;='Project Assumptions'!$H$39),'Project Assumptions'!$H$41,0)</f>
        <v>2.5</v>
      </c>
      <c r="S10" s="526" t="n">
        <f aca="false">IF(AND(S4&gt;'Project Assumptions'!$G$39,S4&lt;='Project Assumptions'!$H$39),'Project Assumptions'!$H$41,0)</f>
        <v>2.5</v>
      </c>
      <c r="T10" s="526" t="n">
        <f aca="false">IF(AND(T4&gt;'Project Assumptions'!$G$39,T4&lt;='Project Assumptions'!$H$39),'Project Assumptions'!$H$41,0)</f>
        <v>2.5</v>
      </c>
      <c r="U10" s="526" t="n">
        <f aca="false">IF(AND(U4&gt;'Project Assumptions'!$G$39,U4&lt;='Project Assumptions'!$H$39),'Project Assumptions'!$H$41,0)</f>
        <v>2.5</v>
      </c>
      <c r="V10" s="526" t="n">
        <f aca="false">IF(AND(V4&gt;'Project Assumptions'!$G$39,V4&lt;='Project Assumptions'!$H$39),'Project Assumptions'!$H$41,0)</f>
        <v>2.5</v>
      </c>
      <c r="W10" s="526" t="n">
        <f aca="false">IF(AND(W4&gt;'Project Assumptions'!$G$39,W4&lt;='Project Assumptions'!$H$39),'Project Assumptions'!$H$41,0)</f>
        <v>2.5</v>
      </c>
      <c r="X10" s="526" t="n">
        <f aca="false">IF(AND(X4&gt;'Project Assumptions'!$G$39,X4&lt;='Project Assumptions'!$H$39),'Project Assumptions'!$H$41,0)</f>
        <v>2.5</v>
      </c>
      <c r="Y10" s="526" t="n">
        <f aca="false">IF(AND(Y4&gt;'Project Assumptions'!$G$39,Y4&lt;='Project Assumptions'!$H$39),'Project Assumptions'!$H$41,0)</f>
        <v>0</v>
      </c>
      <c r="Z10" s="526" t="n">
        <f aca="false">IF(AND(Z4&gt;'Project Assumptions'!$G$39,Z4&lt;='Project Assumptions'!$H$39),'Project Assumptions'!$H$41,0)</f>
        <v>0</v>
      </c>
      <c r="AA10" s="526" t="n">
        <f aca="false">IF(AND(AA4&gt;'Project Assumptions'!$G$39,AA4&lt;='Project Assumptions'!$H$39),'Project Assumptions'!$H$41,0)</f>
        <v>0</v>
      </c>
      <c r="AB10" s="526" t="n">
        <f aca="false">IF(AND(AB4&gt;'Project Assumptions'!$G$39,AB4&lt;='Project Assumptions'!$H$39),'Project Assumptions'!$H$41,0)</f>
        <v>0</v>
      </c>
      <c r="AC10" s="527" t="n">
        <f aca="false">IF(AND(AC4&gt;'Project Assumptions'!$G$39,AC4&lt;='Project Assumptions'!$H$39),'Project Assumptions'!$H$41,0)</f>
        <v>0</v>
      </c>
      <c r="AD10" s="528"/>
      <c r="AE10" s="529"/>
      <c r="AF10" s="529"/>
      <c r="AG10" s="529"/>
      <c r="AH10" s="529"/>
      <c r="AI10" s="529"/>
      <c r="AJ10" s="529"/>
      <c r="AK10" s="529"/>
      <c r="AL10" s="529"/>
      <c r="AM10" s="529"/>
      <c r="AN10" s="529"/>
      <c r="AO10" s="529"/>
      <c r="AP10" s="529"/>
      <c r="AQ10" s="529"/>
      <c r="AR10" s="529"/>
      <c r="AS10" s="529"/>
      <c r="AT10" s="529"/>
      <c r="AU10" s="529"/>
      <c r="AV10" s="529"/>
      <c r="AW10" s="529"/>
      <c r="AX10" s="529"/>
      <c r="AY10" s="529"/>
      <c r="AZ10" s="529"/>
      <c r="BA10" s="529"/>
      <c r="BB10" s="529"/>
      <c r="BC10" s="529"/>
      <c r="BD10" s="529"/>
      <c r="BE10" s="529"/>
      <c r="BF10" s="529"/>
      <c r="BG10" s="529"/>
      <c r="BH10" s="529"/>
      <c r="BI10" s="529"/>
      <c r="BJ10" s="529"/>
      <c r="BK10" s="529"/>
      <c r="BL10" s="529"/>
      <c r="BM10" s="529"/>
      <c r="BN10" s="529"/>
      <c r="BO10" s="529"/>
      <c r="BP10" s="529"/>
      <c r="BQ10" s="529"/>
      <c r="BR10" s="529"/>
      <c r="BS10" s="529"/>
      <c r="BT10" s="529"/>
      <c r="BU10" s="529"/>
      <c r="BV10" s="529"/>
      <c r="BW10" s="529"/>
      <c r="BX10" s="529"/>
      <c r="BY10" s="529"/>
      <c r="BZ10" s="529"/>
      <c r="CA10" s="529"/>
      <c r="CB10" s="529"/>
      <c r="CC10" s="529"/>
      <c r="CD10" s="529"/>
      <c r="CE10" s="529"/>
      <c r="CF10" s="529"/>
      <c r="CG10" s="529"/>
      <c r="CH10" s="529"/>
      <c r="CI10" s="529"/>
      <c r="CJ10" s="529"/>
      <c r="CK10" s="529"/>
      <c r="CL10" s="529"/>
      <c r="CM10" s="529"/>
      <c r="CN10" s="529"/>
      <c r="CO10" s="529"/>
      <c r="CP10" s="529"/>
      <c r="CQ10" s="529"/>
      <c r="CR10" s="529"/>
      <c r="CS10" s="529"/>
      <c r="CT10" s="529"/>
      <c r="CU10" s="529"/>
      <c r="CV10" s="529"/>
      <c r="CW10" s="529"/>
      <c r="CX10" s="529"/>
      <c r="CY10" s="529"/>
      <c r="CZ10" s="529"/>
      <c r="DA10" s="529"/>
      <c r="DB10" s="529"/>
      <c r="DC10" s="529"/>
      <c r="DD10" s="529"/>
      <c r="DE10" s="529"/>
      <c r="DF10" s="529"/>
      <c r="DG10" s="529"/>
      <c r="DH10" s="529"/>
      <c r="DI10" s="529"/>
      <c r="DJ10" s="529"/>
      <c r="DK10" s="529"/>
      <c r="DL10" s="529"/>
      <c r="DM10" s="529"/>
      <c r="DN10" s="529"/>
      <c r="DO10" s="529"/>
      <c r="DP10" s="529"/>
      <c r="DQ10" s="529"/>
      <c r="DR10" s="529"/>
      <c r="DS10" s="529"/>
      <c r="DT10" s="529"/>
      <c r="DU10" s="529"/>
      <c r="DV10" s="529"/>
      <c r="DW10" s="529"/>
      <c r="DX10" s="529"/>
      <c r="DY10" s="529"/>
      <c r="DZ10" s="529"/>
      <c r="EA10" s="529"/>
      <c r="EB10" s="529"/>
      <c r="EC10" s="529"/>
      <c r="ED10" s="529"/>
      <c r="EE10" s="529"/>
      <c r="EF10" s="529"/>
      <c r="EG10" s="529"/>
      <c r="EH10" s="529"/>
      <c r="EI10" s="529"/>
      <c r="EJ10" s="529"/>
      <c r="EK10" s="529"/>
      <c r="EL10" s="529"/>
      <c r="EM10" s="529"/>
      <c r="EN10" s="529"/>
      <c r="EO10" s="529"/>
      <c r="EP10" s="529"/>
      <c r="EQ10" s="529"/>
      <c r="ER10" s="529"/>
      <c r="ES10" s="529"/>
      <c r="ET10" s="529"/>
      <c r="EU10" s="529"/>
      <c r="EV10" s="529"/>
      <c r="EW10" s="529"/>
      <c r="EX10" s="529"/>
      <c r="EY10" s="529"/>
      <c r="EZ10" s="529"/>
      <c r="FA10" s="529"/>
      <c r="FB10" s="529"/>
      <c r="FC10" s="529"/>
      <c r="FD10" s="529"/>
      <c r="FE10" s="529"/>
      <c r="FF10" s="529"/>
      <c r="FG10" s="529"/>
      <c r="FH10" s="529"/>
      <c r="FI10" s="529"/>
      <c r="FJ10" s="529"/>
      <c r="FK10" s="529"/>
      <c r="FL10" s="529"/>
      <c r="FM10" s="529"/>
      <c r="FN10" s="529"/>
      <c r="FO10" s="529"/>
      <c r="FP10" s="529"/>
      <c r="FQ10" s="529"/>
      <c r="FR10" s="529"/>
      <c r="FS10" s="529"/>
      <c r="FT10" s="529"/>
      <c r="FU10" s="529"/>
      <c r="FV10" s="529"/>
      <c r="FW10" s="529"/>
      <c r="FX10" s="529"/>
      <c r="FY10" s="529"/>
      <c r="FZ10" s="529"/>
      <c r="GA10" s="529"/>
      <c r="GB10" s="529"/>
      <c r="GC10" s="529"/>
      <c r="GD10" s="529"/>
      <c r="GE10" s="529"/>
      <c r="GF10" s="529"/>
      <c r="GG10" s="529"/>
      <c r="GH10" s="529"/>
      <c r="GI10" s="529"/>
      <c r="GJ10" s="529"/>
      <c r="GK10" s="529"/>
      <c r="GL10" s="529"/>
      <c r="GM10" s="529"/>
      <c r="GN10" s="529"/>
      <c r="GO10" s="529"/>
      <c r="GP10" s="529"/>
      <c r="GQ10" s="529"/>
      <c r="GR10" s="529"/>
      <c r="GS10" s="529"/>
      <c r="GT10" s="529"/>
      <c r="GU10" s="529"/>
      <c r="GV10" s="529"/>
      <c r="GW10" s="529"/>
      <c r="GX10" s="529"/>
      <c r="GY10" s="529"/>
      <c r="GZ10" s="529"/>
      <c r="HA10" s="529"/>
      <c r="HB10" s="529"/>
      <c r="HC10" s="529"/>
      <c r="HD10" s="529"/>
      <c r="HE10" s="529"/>
      <c r="HF10" s="529"/>
      <c r="HG10" s="529"/>
      <c r="HH10" s="529"/>
      <c r="HI10" s="529"/>
      <c r="HJ10" s="529"/>
      <c r="HK10" s="529"/>
      <c r="HL10" s="529"/>
      <c r="HM10" s="529"/>
      <c r="HN10" s="529"/>
      <c r="HO10" s="529"/>
      <c r="HP10" s="529"/>
      <c r="HQ10" s="529"/>
      <c r="HR10" s="529"/>
      <c r="HS10" s="529"/>
      <c r="HT10" s="529"/>
      <c r="HU10" s="529"/>
      <c r="HV10" s="529"/>
      <c r="HW10" s="529"/>
      <c r="HX10" s="529"/>
      <c r="HY10" s="529"/>
      <c r="HZ10" s="529"/>
      <c r="IA10" s="529"/>
      <c r="IB10" s="529"/>
      <c r="IC10" s="529"/>
      <c r="ID10" s="529"/>
      <c r="IE10" s="529"/>
      <c r="IF10" s="529"/>
      <c r="IG10" s="529"/>
      <c r="IH10" s="529"/>
      <c r="II10" s="529"/>
      <c r="IJ10" s="529"/>
      <c r="IK10" s="529"/>
      <c r="IL10" s="529"/>
      <c r="IM10" s="529"/>
      <c r="IN10" s="529"/>
      <c r="IO10" s="529"/>
      <c r="IP10" s="529"/>
      <c r="IQ10" s="529"/>
      <c r="IR10" s="529"/>
      <c r="IS10" s="529"/>
      <c r="IT10" s="529"/>
      <c r="IU10" s="529"/>
      <c r="IV10" s="529"/>
      <c r="IW10" s="529"/>
    </row>
    <row r="11" customFormat="false" ht="12.75" hidden="false" customHeight="false" outlineLevel="0" collapsed="false">
      <c r="A11" s="524"/>
      <c r="B11" s="525"/>
      <c r="C11" s="525"/>
      <c r="D11" s="525"/>
      <c r="E11" s="526"/>
      <c r="F11" s="526"/>
      <c r="G11" s="526"/>
      <c r="H11" s="526"/>
      <c r="I11" s="526"/>
      <c r="J11" s="526"/>
      <c r="K11" s="526"/>
      <c r="L11" s="526"/>
      <c r="M11" s="526"/>
      <c r="N11" s="526"/>
      <c r="O11" s="526"/>
      <c r="P11" s="526"/>
      <c r="Q11" s="526"/>
      <c r="R11" s="526"/>
      <c r="S11" s="526"/>
      <c r="T11" s="526"/>
      <c r="U11" s="526"/>
      <c r="V11" s="526"/>
      <c r="W11" s="526"/>
      <c r="X11" s="526"/>
      <c r="Y11" s="526"/>
      <c r="Z11" s="526"/>
      <c r="AA11" s="526"/>
      <c r="AB11" s="526"/>
      <c r="AC11" s="527"/>
      <c r="AD11" s="528"/>
      <c r="AE11" s="529"/>
      <c r="AF11" s="529"/>
      <c r="AG11" s="529"/>
      <c r="AH11" s="529"/>
      <c r="AI11" s="529"/>
      <c r="AJ11" s="529"/>
      <c r="AK11" s="529"/>
      <c r="AL11" s="529"/>
      <c r="AM11" s="529"/>
      <c r="AN11" s="529"/>
      <c r="AO11" s="529"/>
      <c r="AP11" s="529"/>
      <c r="AQ11" s="529"/>
      <c r="AR11" s="529"/>
      <c r="AS11" s="529"/>
      <c r="AT11" s="529"/>
      <c r="AU11" s="529"/>
      <c r="AV11" s="529"/>
      <c r="AW11" s="529"/>
      <c r="AX11" s="529"/>
      <c r="AY11" s="529"/>
      <c r="AZ11" s="529"/>
      <c r="BA11" s="529"/>
      <c r="BB11" s="529"/>
      <c r="BC11" s="529"/>
      <c r="BD11" s="529"/>
      <c r="BE11" s="529"/>
      <c r="BF11" s="529"/>
      <c r="BG11" s="529"/>
      <c r="BH11" s="529"/>
      <c r="BI11" s="529"/>
      <c r="BJ11" s="529"/>
      <c r="BK11" s="529"/>
      <c r="BL11" s="529"/>
      <c r="BM11" s="529"/>
      <c r="BN11" s="529"/>
      <c r="BO11" s="529"/>
      <c r="BP11" s="529"/>
      <c r="BQ11" s="529"/>
      <c r="BR11" s="529"/>
      <c r="BS11" s="529"/>
      <c r="BT11" s="529"/>
      <c r="BU11" s="529"/>
      <c r="BV11" s="529"/>
      <c r="BW11" s="529"/>
      <c r="BX11" s="529"/>
      <c r="BY11" s="529"/>
      <c r="BZ11" s="529"/>
      <c r="CA11" s="529"/>
      <c r="CB11" s="529"/>
      <c r="CC11" s="529"/>
      <c r="CD11" s="529"/>
      <c r="CE11" s="529"/>
      <c r="CF11" s="529"/>
      <c r="CG11" s="529"/>
      <c r="CH11" s="529"/>
      <c r="CI11" s="529"/>
      <c r="CJ11" s="529"/>
      <c r="CK11" s="529"/>
      <c r="CL11" s="529"/>
      <c r="CM11" s="529"/>
      <c r="CN11" s="529"/>
      <c r="CO11" s="529"/>
      <c r="CP11" s="529"/>
      <c r="CQ11" s="529"/>
      <c r="CR11" s="529"/>
      <c r="CS11" s="529"/>
      <c r="CT11" s="529"/>
      <c r="CU11" s="529"/>
      <c r="CV11" s="529"/>
      <c r="CW11" s="529"/>
      <c r="CX11" s="529"/>
      <c r="CY11" s="529"/>
      <c r="CZ11" s="529"/>
      <c r="DA11" s="529"/>
      <c r="DB11" s="529"/>
      <c r="DC11" s="529"/>
      <c r="DD11" s="529"/>
      <c r="DE11" s="529"/>
      <c r="DF11" s="529"/>
      <c r="DG11" s="529"/>
      <c r="DH11" s="529"/>
      <c r="DI11" s="529"/>
      <c r="DJ11" s="529"/>
      <c r="DK11" s="529"/>
      <c r="DL11" s="529"/>
      <c r="DM11" s="529"/>
      <c r="DN11" s="529"/>
      <c r="DO11" s="529"/>
      <c r="DP11" s="529"/>
      <c r="DQ11" s="529"/>
      <c r="DR11" s="529"/>
      <c r="DS11" s="529"/>
      <c r="DT11" s="529"/>
      <c r="DU11" s="529"/>
      <c r="DV11" s="529"/>
      <c r="DW11" s="529"/>
      <c r="DX11" s="529"/>
      <c r="DY11" s="529"/>
      <c r="DZ11" s="529"/>
      <c r="EA11" s="529"/>
      <c r="EB11" s="529"/>
      <c r="EC11" s="529"/>
      <c r="ED11" s="529"/>
      <c r="EE11" s="529"/>
      <c r="EF11" s="529"/>
      <c r="EG11" s="529"/>
      <c r="EH11" s="529"/>
      <c r="EI11" s="529"/>
      <c r="EJ11" s="529"/>
      <c r="EK11" s="529"/>
      <c r="EL11" s="529"/>
      <c r="EM11" s="529"/>
      <c r="EN11" s="529"/>
      <c r="EO11" s="529"/>
      <c r="EP11" s="529"/>
      <c r="EQ11" s="529"/>
      <c r="ER11" s="529"/>
      <c r="ES11" s="529"/>
      <c r="ET11" s="529"/>
      <c r="EU11" s="529"/>
      <c r="EV11" s="529"/>
      <c r="EW11" s="529"/>
      <c r="EX11" s="529"/>
      <c r="EY11" s="529"/>
      <c r="EZ11" s="529"/>
      <c r="FA11" s="529"/>
      <c r="FB11" s="529"/>
      <c r="FC11" s="529"/>
      <c r="FD11" s="529"/>
      <c r="FE11" s="529"/>
      <c r="FF11" s="529"/>
      <c r="FG11" s="529"/>
      <c r="FH11" s="529"/>
      <c r="FI11" s="529"/>
      <c r="FJ11" s="529"/>
      <c r="FK11" s="529"/>
      <c r="FL11" s="529"/>
      <c r="FM11" s="529"/>
      <c r="FN11" s="529"/>
      <c r="FO11" s="529"/>
      <c r="FP11" s="529"/>
      <c r="FQ11" s="529"/>
      <c r="FR11" s="529"/>
      <c r="FS11" s="529"/>
      <c r="FT11" s="529"/>
      <c r="FU11" s="529"/>
      <c r="FV11" s="529"/>
      <c r="FW11" s="529"/>
      <c r="FX11" s="529"/>
      <c r="FY11" s="529"/>
      <c r="FZ11" s="529"/>
      <c r="GA11" s="529"/>
      <c r="GB11" s="529"/>
      <c r="GC11" s="529"/>
      <c r="GD11" s="529"/>
      <c r="GE11" s="529"/>
      <c r="GF11" s="529"/>
      <c r="GG11" s="529"/>
      <c r="GH11" s="529"/>
      <c r="GI11" s="529"/>
      <c r="GJ11" s="529"/>
      <c r="GK11" s="529"/>
      <c r="GL11" s="529"/>
      <c r="GM11" s="529"/>
      <c r="GN11" s="529"/>
      <c r="GO11" s="529"/>
      <c r="GP11" s="529"/>
      <c r="GQ11" s="529"/>
      <c r="GR11" s="529"/>
      <c r="GS11" s="529"/>
      <c r="GT11" s="529"/>
      <c r="GU11" s="529"/>
      <c r="GV11" s="529"/>
      <c r="GW11" s="529"/>
      <c r="GX11" s="529"/>
      <c r="GY11" s="529"/>
      <c r="GZ11" s="529"/>
      <c r="HA11" s="529"/>
      <c r="HB11" s="529"/>
      <c r="HC11" s="529"/>
      <c r="HD11" s="529"/>
      <c r="HE11" s="529"/>
      <c r="HF11" s="529"/>
      <c r="HG11" s="529"/>
      <c r="HH11" s="529"/>
      <c r="HI11" s="529"/>
      <c r="HJ11" s="529"/>
      <c r="HK11" s="529"/>
      <c r="HL11" s="529"/>
      <c r="HM11" s="529"/>
      <c r="HN11" s="529"/>
      <c r="HO11" s="529"/>
      <c r="HP11" s="529"/>
      <c r="HQ11" s="529"/>
      <c r="HR11" s="529"/>
      <c r="HS11" s="529"/>
      <c r="HT11" s="529"/>
      <c r="HU11" s="529"/>
      <c r="HV11" s="529"/>
      <c r="HW11" s="529"/>
      <c r="HX11" s="529"/>
      <c r="HY11" s="529"/>
      <c r="HZ11" s="529"/>
      <c r="IA11" s="529"/>
      <c r="IB11" s="529"/>
      <c r="IC11" s="529"/>
      <c r="ID11" s="529"/>
      <c r="IE11" s="529"/>
      <c r="IF11" s="529"/>
      <c r="IG11" s="529"/>
      <c r="IH11" s="529"/>
      <c r="II11" s="529"/>
      <c r="IJ11" s="529"/>
      <c r="IK11" s="529"/>
      <c r="IL11" s="529"/>
      <c r="IM11" s="529"/>
      <c r="IN11" s="529"/>
      <c r="IO11" s="529"/>
      <c r="IP11" s="529"/>
      <c r="IQ11" s="529"/>
      <c r="IR11" s="529"/>
      <c r="IS11" s="529"/>
      <c r="IT11" s="529"/>
      <c r="IU11" s="529"/>
      <c r="IV11" s="529"/>
      <c r="IW11" s="529"/>
    </row>
    <row r="12" customFormat="false" ht="12.75" hidden="false" customHeight="false" outlineLevel="0" collapsed="false">
      <c r="A12" s="524" t="s">
        <v>438</v>
      </c>
      <c r="B12" s="525"/>
      <c r="C12" s="525"/>
      <c r="D12" s="525"/>
      <c r="E12" s="530" t="n">
        <f aca="false">IF(E4&lt;='Project Assumptions'!$F$39,'Project Assumptions'!$F$40,0)</f>
        <v>0.0673</v>
      </c>
      <c r="F12" s="530" t="n">
        <f aca="false">IF(F4&lt;='Project Assumptions'!$F$39,'Project Assumptions'!$F$40,0)</f>
        <v>0.0673</v>
      </c>
      <c r="G12" s="530" t="n">
        <f aca="false">IF(G4&lt;='Project Assumptions'!$F$39,'Project Assumptions'!$F$40,0)</f>
        <v>0.0673</v>
      </c>
      <c r="H12" s="530" t="n">
        <f aca="false">IF(H4&lt;='Project Assumptions'!$F$39,'Project Assumptions'!$F$40,0)</f>
        <v>0.0673</v>
      </c>
      <c r="I12" s="530" t="n">
        <f aca="false">IF(I4&lt;='Project Assumptions'!$F$39,'Project Assumptions'!$F$40,0)</f>
        <v>0</v>
      </c>
      <c r="J12" s="530" t="n">
        <f aca="false">IF(J4&lt;='Project Assumptions'!$F$39,'Project Assumptions'!$F$40,0)</f>
        <v>0</v>
      </c>
      <c r="K12" s="530" t="n">
        <f aca="false">IF(K4&lt;='Project Assumptions'!$F$39,'Project Assumptions'!$F$40,0)</f>
        <v>0</v>
      </c>
      <c r="L12" s="530" t="n">
        <f aca="false">IF(L4&lt;='Project Assumptions'!$F$39,'Project Assumptions'!$F$40,0)</f>
        <v>0</v>
      </c>
      <c r="M12" s="530" t="n">
        <f aca="false">IF(M4&lt;='Project Assumptions'!$F$39,'Project Assumptions'!$F$40,0)</f>
        <v>0</v>
      </c>
      <c r="N12" s="530" t="n">
        <f aca="false">IF(N4&lt;='Project Assumptions'!$F$39,'Project Assumptions'!$F$40,0)</f>
        <v>0</v>
      </c>
      <c r="O12" s="530" t="n">
        <f aca="false">IF(O4&lt;='Project Assumptions'!$F$39,'Project Assumptions'!$F$40,0)</f>
        <v>0</v>
      </c>
      <c r="P12" s="530" t="n">
        <f aca="false">IF(P4&lt;='Project Assumptions'!$F$39,'Project Assumptions'!$F$40,0)</f>
        <v>0</v>
      </c>
      <c r="Q12" s="530" t="n">
        <f aca="false">IF(Q4&lt;='Project Assumptions'!$F$39,'Project Assumptions'!$F$40,0)</f>
        <v>0</v>
      </c>
      <c r="R12" s="530" t="n">
        <f aca="false">IF(R4&lt;='Project Assumptions'!$F$39,'Project Assumptions'!$F$40,0)</f>
        <v>0</v>
      </c>
      <c r="S12" s="530" t="n">
        <f aca="false">IF(S4&lt;='Project Assumptions'!$F$39,'Project Assumptions'!$F$40,0)</f>
        <v>0</v>
      </c>
      <c r="T12" s="530" t="n">
        <f aca="false">IF(T4&lt;='Project Assumptions'!$F$39,'Project Assumptions'!$F$40,0)</f>
        <v>0</v>
      </c>
      <c r="U12" s="530" t="n">
        <f aca="false">IF(U4&lt;='Project Assumptions'!$F$39,'Project Assumptions'!$F$40,0)</f>
        <v>0</v>
      </c>
      <c r="V12" s="530" t="n">
        <f aca="false">IF(V4&lt;='Project Assumptions'!$F$39,'Project Assumptions'!$F$40,0)</f>
        <v>0</v>
      </c>
      <c r="W12" s="530" t="n">
        <f aca="false">IF(W4&lt;='Project Assumptions'!$F$39,'Project Assumptions'!$F$40,0)</f>
        <v>0</v>
      </c>
      <c r="X12" s="530" t="n">
        <f aca="false">IF(X4&lt;='Project Assumptions'!$F$39,'Project Assumptions'!$F$40,0)</f>
        <v>0</v>
      </c>
      <c r="Y12" s="530" t="n">
        <f aca="false">IF(Y4&lt;='Project Assumptions'!$F$39,'Project Assumptions'!$F$40,0)</f>
        <v>0</v>
      </c>
      <c r="Z12" s="530" t="n">
        <f aca="false">IF(Z4&lt;='Project Assumptions'!$F$39,'Project Assumptions'!$F$40,0)</f>
        <v>0</v>
      </c>
      <c r="AA12" s="530" t="n">
        <f aca="false">IF(AA4&lt;='Project Assumptions'!$F$39,'Project Assumptions'!$F$40,0)</f>
        <v>0</v>
      </c>
      <c r="AB12" s="530" t="n">
        <f aca="false">IF(AB4&lt;='Project Assumptions'!$F$39,'Project Assumptions'!$F$40,0)</f>
        <v>0</v>
      </c>
      <c r="AC12" s="531" t="n">
        <f aca="false">IF(AC4&lt;='Project Assumptions'!$F$39,'Project Assumptions'!$F$40,0)</f>
        <v>0</v>
      </c>
      <c r="AD12" s="529"/>
      <c r="AE12" s="529"/>
      <c r="AF12" s="529"/>
      <c r="AG12" s="529"/>
      <c r="AH12" s="529"/>
      <c r="AI12" s="529"/>
      <c r="AJ12" s="529"/>
      <c r="AK12" s="529"/>
      <c r="AL12" s="529"/>
      <c r="AM12" s="529"/>
      <c r="AN12" s="529"/>
      <c r="AO12" s="529"/>
      <c r="AP12" s="529"/>
      <c r="AQ12" s="529"/>
      <c r="AR12" s="529"/>
      <c r="AS12" s="529"/>
      <c r="AT12" s="529"/>
      <c r="AU12" s="529"/>
      <c r="AV12" s="529"/>
      <c r="AW12" s="529"/>
      <c r="AX12" s="529"/>
      <c r="AY12" s="529"/>
      <c r="AZ12" s="529"/>
      <c r="BA12" s="529"/>
      <c r="BB12" s="529"/>
      <c r="BC12" s="529"/>
      <c r="BD12" s="529"/>
      <c r="BE12" s="529"/>
      <c r="BF12" s="529"/>
      <c r="BG12" s="529"/>
      <c r="BH12" s="529"/>
      <c r="BI12" s="529"/>
      <c r="BJ12" s="529"/>
      <c r="BK12" s="529"/>
      <c r="BL12" s="529"/>
      <c r="BM12" s="529"/>
      <c r="BN12" s="529"/>
      <c r="BO12" s="529"/>
      <c r="BP12" s="529"/>
      <c r="BQ12" s="529"/>
      <c r="BR12" s="529"/>
      <c r="BS12" s="529"/>
      <c r="BT12" s="529"/>
      <c r="BU12" s="529"/>
      <c r="BV12" s="529"/>
      <c r="BW12" s="529"/>
      <c r="BX12" s="529"/>
      <c r="BY12" s="529"/>
      <c r="BZ12" s="529"/>
      <c r="CA12" s="529"/>
      <c r="CB12" s="529"/>
      <c r="CC12" s="529"/>
      <c r="CD12" s="529"/>
      <c r="CE12" s="529"/>
      <c r="CF12" s="529"/>
      <c r="CG12" s="529"/>
      <c r="CH12" s="529"/>
      <c r="CI12" s="529"/>
      <c r="CJ12" s="529"/>
      <c r="CK12" s="529"/>
      <c r="CL12" s="529"/>
      <c r="CM12" s="529"/>
      <c r="CN12" s="529"/>
      <c r="CO12" s="529"/>
      <c r="CP12" s="529"/>
      <c r="CQ12" s="529"/>
      <c r="CR12" s="529"/>
      <c r="CS12" s="529"/>
      <c r="CT12" s="529"/>
      <c r="CU12" s="529"/>
      <c r="CV12" s="529"/>
      <c r="CW12" s="529"/>
      <c r="CX12" s="529"/>
      <c r="CY12" s="529"/>
      <c r="CZ12" s="529"/>
      <c r="DA12" s="529"/>
      <c r="DB12" s="529"/>
      <c r="DC12" s="529"/>
      <c r="DD12" s="529"/>
      <c r="DE12" s="529"/>
      <c r="DF12" s="529"/>
      <c r="DG12" s="529"/>
      <c r="DH12" s="529"/>
      <c r="DI12" s="529"/>
      <c r="DJ12" s="529"/>
      <c r="DK12" s="529"/>
      <c r="DL12" s="529"/>
      <c r="DM12" s="529"/>
      <c r="DN12" s="529"/>
      <c r="DO12" s="529"/>
      <c r="DP12" s="529"/>
      <c r="DQ12" s="529"/>
      <c r="DR12" s="529"/>
      <c r="DS12" s="529"/>
      <c r="DT12" s="529"/>
      <c r="DU12" s="529"/>
      <c r="DV12" s="529"/>
      <c r="DW12" s="529"/>
      <c r="DX12" s="529"/>
      <c r="DY12" s="529"/>
      <c r="DZ12" s="529"/>
      <c r="EA12" s="529"/>
      <c r="EB12" s="529"/>
      <c r="EC12" s="529"/>
      <c r="ED12" s="529"/>
      <c r="EE12" s="529"/>
      <c r="EF12" s="529"/>
      <c r="EG12" s="529"/>
      <c r="EH12" s="529"/>
      <c r="EI12" s="529"/>
      <c r="EJ12" s="529"/>
      <c r="EK12" s="529"/>
      <c r="EL12" s="529"/>
      <c r="EM12" s="529"/>
      <c r="EN12" s="529"/>
      <c r="EO12" s="529"/>
      <c r="EP12" s="529"/>
      <c r="EQ12" s="529"/>
      <c r="ER12" s="529"/>
      <c r="ES12" s="529"/>
      <c r="ET12" s="529"/>
      <c r="EU12" s="529"/>
      <c r="EV12" s="529"/>
      <c r="EW12" s="529"/>
      <c r="EX12" s="529"/>
      <c r="EY12" s="529"/>
      <c r="EZ12" s="529"/>
      <c r="FA12" s="529"/>
      <c r="FB12" s="529"/>
      <c r="FC12" s="529"/>
      <c r="FD12" s="529"/>
      <c r="FE12" s="529"/>
      <c r="FF12" s="529"/>
      <c r="FG12" s="529"/>
      <c r="FH12" s="529"/>
      <c r="FI12" s="529"/>
      <c r="FJ12" s="529"/>
      <c r="FK12" s="529"/>
      <c r="FL12" s="529"/>
      <c r="FM12" s="529"/>
      <c r="FN12" s="529"/>
      <c r="FO12" s="529"/>
      <c r="FP12" s="529"/>
      <c r="FQ12" s="529"/>
      <c r="FR12" s="529"/>
      <c r="FS12" s="529"/>
      <c r="FT12" s="529"/>
      <c r="FU12" s="529"/>
      <c r="FV12" s="529"/>
      <c r="FW12" s="529"/>
      <c r="FX12" s="529"/>
      <c r="FY12" s="529"/>
      <c r="FZ12" s="529"/>
      <c r="GA12" s="529"/>
      <c r="GB12" s="529"/>
      <c r="GC12" s="529"/>
      <c r="GD12" s="529"/>
      <c r="GE12" s="529"/>
      <c r="GF12" s="529"/>
      <c r="GG12" s="529"/>
      <c r="GH12" s="529"/>
      <c r="GI12" s="529"/>
      <c r="GJ12" s="529"/>
      <c r="GK12" s="529"/>
      <c r="GL12" s="529"/>
      <c r="GM12" s="529"/>
      <c r="GN12" s="529"/>
      <c r="GO12" s="529"/>
      <c r="GP12" s="529"/>
      <c r="GQ12" s="529"/>
      <c r="GR12" s="529"/>
      <c r="GS12" s="529"/>
      <c r="GT12" s="529"/>
      <c r="GU12" s="529"/>
      <c r="GV12" s="529"/>
      <c r="GW12" s="529"/>
      <c r="GX12" s="529"/>
      <c r="GY12" s="529"/>
      <c r="GZ12" s="529"/>
      <c r="HA12" s="529"/>
      <c r="HB12" s="529"/>
      <c r="HC12" s="529"/>
      <c r="HD12" s="529"/>
      <c r="HE12" s="529"/>
      <c r="HF12" s="529"/>
      <c r="HG12" s="529"/>
      <c r="HH12" s="529"/>
      <c r="HI12" s="529"/>
      <c r="HJ12" s="529"/>
      <c r="HK12" s="529"/>
      <c r="HL12" s="529"/>
      <c r="HM12" s="529"/>
      <c r="HN12" s="529"/>
      <c r="HO12" s="529"/>
      <c r="HP12" s="529"/>
      <c r="HQ12" s="529"/>
      <c r="HR12" s="529"/>
      <c r="HS12" s="529"/>
      <c r="HT12" s="529"/>
      <c r="HU12" s="529"/>
      <c r="HV12" s="529"/>
      <c r="HW12" s="529"/>
      <c r="HX12" s="529"/>
      <c r="HY12" s="529"/>
      <c r="HZ12" s="529"/>
      <c r="IA12" s="529"/>
      <c r="IB12" s="529"/>
      <c r="IC12" s="529"/>
      <c r="ID12" s="529"/>
      <c r="IE12" s="529"/>
      <c r="IF12" s="529"/>
      <c r="IG12" s="529"/>
      <c r="IH12" s="529"/>
      <c r="II12" s="529"/>
      <c r="IJ12" s="529"/>
      <c r="IK12" s="529"/>
      <c r="IL12" s="529"/>
      <c r="IM12" s="529"/>
      <c r="IN12" s="529"/>
      <c r="IO12" s="529"/>
      <c r="IP12" s="529"/>
      <c r="IQ12" s="529"/>
      <c r="IR12" s="529"/>
      <c r="IS12" s="529"/>
      <c r="IT12" s="529"/>
      <c r="IU12" s="529"/>
      <c r="IV12" s="529"/>
      <c r="IW12" s="529"/>
    </row>
    <row r="13" customFormat="false" ht="12.75" hidden="false" customHeight="false" outlineLevel="0" collapsed="false">
      <c r="A13" s="524" t="s">
        <v>439</v>
      </c>
      <c r="B13" s="525"/>
      <c r="C13" s="525"/>
      <c r="D13" s="525"/>
      <c r="E13" s="530" t="n">
        <f aca="false">IF('Project Assumptions'!$G$39=0,0,IF(E4&lt;='Project Assumptions'!$G$39,'Project Assumptions'!$G$40,0))</f>
        <v>0.0757</v>
      </c>
      <c r="F13" s="530" t="n">
        <f aca="false">IF('Project Assumptions'!$G$39=0,0,IF(F4&lt;='Project Assumptions'!$G$39,'Project Assumptions'!$G$40,0))</f>
        <v>0.0757</v>
      </c>
      <c r="G13" s="530" t="n">
        <f aca="false">IF('Project Assumptions'!$G$39=0,0,IF(G4&lt;='Project Assumptions'!$G$39,'Project Assumptions'!$G$40,0))</f>
        <v>0.0757</v>
      </c>
      <c r="H13" s="530" t="n">
        <f aca="false">IF('Project Assumptions'!$G$39=0,0,IF(H4&lt;='Project Assumptions'!$G$39,'Project Assumptions'!$G$40,0))</f>
        <v>0.0757</v>
      </c>
      <c r="I13" s="530" t="n">
        <f aca="false">IF('Project Assumptions'!$G$39=0,0,IF(I4&lt;='Project Assumptions'!$G$39,'Project Assumptions'!$G$40,0))</f>
        <v>0.0757</v>
      </c>
      <c r="J13" s="530" t="n">
        <f aca="false">IF('Project Assumptions'!$G$39=0,0,IF(J4&lt;='Project Assumptions'!$G$39,'Project Assumptions'!$G$40,0))</f>
        <v>0.0757</v>
      </c>
      <c r="K13" s="530" t="n">
        <f aca="false">IF('Project Assumptions'!$G$39=0,0,IF(K4&lt;='Project Assumptions'!$G$39,'Project Assumptions'!$G$40,0))</f>
        <v>0.0757</v>
      </c>
      <c r="L13" s="530" t="n">
        <f aca="false">IF('Project Assumptions'!$G$39=0,0,IF(L4&lt;='Project Assumptions'!$G$39,'Project Assumptions'!$G$40,0))</f>
        <v>0.0757</v>
      </c>
      <c r="M13" s="530" t="n">
        <f aca="false">IF('Project Assumptions'!$G$39=0,0,IF(M4&lt;='Project Assumptions'!$G$39,'Project Assumptions'!$G$40,0))</f>
        <v>0.0757</v>
      </c>
      <c r="N13" s="530" t="n">
        <f aca="false">IF('Project Assumptions'!$G$39=0,0,IF(N4&lt;='Project Assumptions'!$G$39,'Project Assumptions'!$G$40,0))</f>
        <v>0.0757</v>
      </c>
      <c r="O13" s="530" t="n">
        <f aca="false">IF('Project Assumptions'!$G$39=0,0,IF(O4&lt;='Project Assumptions'!$G$39,'Project Assumptions'!$G$40,0))</f>
        <v>0</v>
      </c>
      <c r="P13" s="530" t="n">
        <f aca="false">IF('Project Assumptions'!$G$39=0,0,IF(P4&lt;='Project Assumptions'!$G$39,'Project Assumptions'!$G$40,0))</f>
        <v>0</v>
      </c>
      <c r="Q13" s="530" t="n">
        <f aca="false">IF('Project Assumptions'!$G$39=0,0,IF(Q4&lt;='Project Assumptions'!$G$39,'Project Assumptions'!$G$40,0))</f>
        <v>0</v>
      </c>
      <c r="R13" s="530" t="n">
        <f aca="false">IF('Project Assumptions'!$G$39=0,0,IF(R4&lt;='Project Assumptions'!$G$39,'Project Assumptions'!$G$40,0))</f>
        <v>0</v>
      </c>
      <c r="S13" s="530" t="n">
        <f aca="false">IF('Project Assumptions'!$G$39=0,0,IF(S4&lt;='Project Assumptions'!$G$39,'Project Assumptions'!$G$40,0))</f>
        <v>0</v>
      </c>
      <c r="T13" s="530" t="n">
        <f aca="false">IF('Project Assumptions'!$G$39=0,0,IF(T4&lt;='Project Assumptions'!$G$39,'Project Assumptions'!$G$40,0))</f>
        <v>0</v>
      </c>
      <c r="U13" s="530" t="n">
        <f aca="false">IF('Project Assumptions'!$G$39=0,0,IF(U4&lt;='Project Assumptions'!$G$39,'Project Assumptions'!$G$40,0))</f>
        <v>0</v>
      </c>
      <c r="V13" s="530" t="n">
        <f aca="false">IF('Project Assumptions'!$G$39=0,0,IF(V4&lt;='Project Assumptions'!$G$39,'Project Assumptions'!$G$40,0))</f>
        <v>0</v>
      </c>
      <c r="W13" s="530" t="n">
        <f aca="false">IF('Project Assumptions'!$G$39=0,0,IF(W4&lt;='Project Assumptions'!$G$39,'Project Assumptions'!$G$40,0))</f>
        <v>0</v>
      </c>
      <c r="X13" s="530" t="n">
        <f aca="false">IF('Project Assumptions'!$G$39=0,0,IF(X4&lt;='Project Assumptions'!$G$39,'Project Assumptions'!$G$40,0))</f>
        <v>0</v>
      </c>
      <c r="Y13" s="530" t="n">
        <f aca="false">IF('Project Assumptions'!$G$39=0,0,IF(Y4&lt;='Project Assumptions'!$G$39,'Project Assumptions'!$G$40,0))</f>
        <v>0</v>
      </c>
      <c r="Z13" s="530" t="n">
        <f aca="false">IF('Project Assumptions'!$G$39=0,0,IF(Z4&lt;='Project Assumptions'!$G$39,'Project Assumptions'!$G$40,0))</f>
        <v>0</v>
      </c>
      <c r="AA13" s="530" t="n">
        <f aca="false">IF('Project Assumptions'!$G$39=0,0,IF(AA4&lt;='Project Assumptions'!$G$39,'Project Assumptions'!$G$40,0))</f>
        <v>0</v>
      </c>
      <c r="AB13" s="530" t="n">
        <f aca="false">IF('Project Assumptions'!$G$39=0,0,IF(AB4&lt;='Project Assumptions'!$G$39,'Project Assumptions'!$G$40,0))</f>
        <v>0</v>
      </c>
      <c r="AC13" s="531" t="n">
        <f aca="false">IF('Project Assumptions'!$G$39=0,0,IF(AC4&lt;='Project Assumptions'!$G$39,'Project Assumptions'!$G$40,0))</f>
        <v>0</v>
      </c>
      <c r="AD13" s="529"/>
      <c r="AE13" s="529"/>
      <c r="AF13" s="529"/>
      <c r="AG13" s="529"/>
      <c r="AH13" s="529"/>
      <c r="AI13" s="529"/>
      <c r="AJ13" s="529"/>
      <c r="AK13" s="529"/>
      <c r="AL13" s="529"/>
      <c r="AM13" s="529"/>
      <c r="AN13" s="529"/>
      <c r="AO13" s="529"/>
      <c r="AP13" s="529"/>
      <c r="AQ13" s="529"/>
      <c r="AR13" s="529"/>
      <c r="AS13" s="529"/>
      <c r="AT13" s="529"/>
      <c r="AU13" s="529"/>
      <c r="AV13" s="529"/>
      <c r="AW13" s="529"/>
      <c r="AX13" s="529"/>
      <c r="AY13" s="529"/>
      <c r="AZ13" s="529"/>
      <c r="BA13" s="529"/>
      <c r="BB13" s="529"/>
      <c r="BC13" s="529"/>
      <c r="BD13" s="529"/>
      <c r="BE13" s="529"/>
      <c r="BF13" s="529"/>
      <c r="BG13" s="529"/>
      <c r="BH13" s="529"/>
      <c r="BI13" s="529"/>
      <c r="BJ13" s="529"/>
      <c r="BK13" s="529"/>
      <c r="BL13" s="529"/>
      <c r="BM13" s="529"/>
      <c r="BN13" s="529"/>
      <c r="BO13" s="529"/>
      <c r="BP13" s="529"/>
      <c r="BQ13" s="529"/>
      <c r="BR13" s="529"/>
      <c r="BS13" s="529"/>
      <c r="BT13" s="529"/>
      <c r="BU13" s="529"/>
      <c r="BV13" s="529"/>
      <c r="BW13" s="529"/>
      <c r="BX13" s="529"/>
      <c r="BY13" s="529"/>
      <c r="BZ13" s="529"/>
      <c r="CA13" s="529"/>
      <c r="CB13" s="529"/>
      <c r="CC13" s="529"/>
      <c r="CD13" s="529"/>
      <c r="CE13" s="529"/>
      <c r="CF13" s="529"/>
      <c r="CG13" s="529"/>
      <c r="CH13" s="529"/>
      <c r="CI13" s="529"/>
      <c r="CJ13" s="529"/>
      <c r="CK13" s="529"/>
      <c r="CL13" s="529"/>
      <c r="CM13" s="529"/>
      <c r="CN13" s="529"/>
      <c r="CO13" s="529"/>
      <c r="CP13" s="529"/>
      <c r="CQ13" s="529"/>
      <c r="CR13" s="529"/>
      <c r="CS13" s="529"/>
      <c r="CT13" s="529"/>
      <c r="CU13" s="529"/>
      <c r="CV13" s="529"/>
      <c r="CW13" s="529"/>
      <c r="CX13" s="529"/>
      <c r="CY13" s="529"/>
      <c r="CZ13" s="529"/>
      <c r="DA13" s="529"/>
      <c r="DB13" s="529"/>
      <c r="DC13" s="529"/>
      <c r="DD13" s="529"/>
      <c r="DE13" s="529"/>
      <c r="DF13" s="529"/>
      <c r="DG13" s="529"/>
      <c r="DH13" s="529"/>
      <c r="DI13" s="529"/>
      <c r="DJ13" s="529"/>
      <c r="DK13" s="529"/>
      <c r="DL13" s="529"/>
      <c r="DM13" s="529"/>
      <c r="DN13" s="529"/>
      <c r="DO13" s="529"/>
      <c r="DP13" s="529"/>
      <c r="DQ13" s="529"/>
      <c r="DR13" s="529"/>
      <c r="DS13" s="529"/>
      <c r="DT13" s="529"/>
      <c r="DU13" s="529"/>
      <c r="DV13" s="529"/>
      <c r="DW13" s="529"/>
      <c r="DX13" s="529"/>
      <c r="DY13" s="529"/>
      <c r="DZ13" s="529"/>
      <c r="EA13" s="529"/>
      <c r="EB13" s="529"/>
      <c r="EC13" s="529"/>
      <c r="ED13" s="529"/>
      <c r="EE13" s="529"/>
      <c r="EF13" s="529"/>
      <c r="EG13" s="529"/>
      <c r="EH13" s="529"/>
      <c r="EI13" s="529"/>
      <c r="EJ13" s="529"/>
      <c r="EK13" s="529"/>
      <c r="EL13" s="529"/>
      <c r="EM13" s="529"/>
      <c r="EN13" s="529"/>
      <c r="EO13" s="529"/>
      <c r="EP13" s="529"/>
      <c r="EQ13" s="529"/>
      <c r="ER13" s="529"/>
      <c r="ES13" s="529"/>
      <c r="ET13" s="529"/>
      <c r="EU13" s="529"/>
      <c r="EV13" s="529"/>
      <c r="EW13" s="529"/>
      <c r="EX13" s="529"/>
      <c r="EY13" s="529"/>
      <c r="EZ13" s="529"/>
      <c r="FA13" s="529"/>
      <c r="FB13" s="529"/>
      <c r="FC13" s="529"/>
      <c r="FD13" s="529"/>
      <c r="FE13" s="529"/>
      <c r="FF13" s="529"/>
      <c r="FG13" s="529"/>
      <c r="FH13" s="529"/>
      <c r="FI13" s="529"/>
      <c r="FJ13" s="529"/>
      <c r="FK13" s="529"/>
      <c r="FL13" s="529"/>
      <c r="FM13" s="529"/>
      <c r="FN13" s="529"/>
      <c r="FO13" s="529"/>
      <c r="FP13" s="529"/>
      <c r="FQ13" s="529"/>
      <c r="FR13" s="529"/>
      <c r="FS13" s="529"/>
      <c r="FT13" s="529"/>
      <c r="FU13" s="529"/>
      <c r="FV13" s="529"/>
      <c r="FW13" s="529"/>
      <c r="FX13" s="529"/>
      <c r="FY13" s="529"/>
      <c r="FZ13" s="529"/>
      <c r="GA13" s="529"/>
      <c r="GB13" s="529"/>
      <c r="GC13" s="529"/>
      <c r="GD13" s="529"/>
      <c r="GE13" s="529"/>
      <c r="GF13" s="529"/>
      <c r="GG13" s="529"/>
      <c r="GH13" s="529"/>
      <c r="GI13" s="529"/>
      <c r="GJ13" s="529"/>
      <c r="GK13" s="529"/>
      <c r="GL13" s="529"/>
      <c r="GM13" s="529"/>
      <c r="GN13" s="529"/>
      <c r="GO13" s="529"/>
      <c r="GP13" s="529"/>
      <c r="GQ13" s="529"/>
      <c r="GR13" s="529"/>
      <c r="GS13" s="529"/>
      <c r="GT13" s="529"/>
      <c r="GU13" s="529"/>
      <c r="GV13" s="529"/>
      <c r="GW13" s="529"/>
      <c r="GX13" s="529"/>
      <c r="GY13" s="529"/>
      <c r="GZ13" s="529"/>
      <c r="HA13" s="529"/>
      <c r="HB13" s="529"/>
      <c r="HC13" s="529"/>
      <c r="HD13" s="529"/>
      <c r="HE13" s="529"/>
      <c r="HF13" s="529"/>
      <c r="HG13" s="529"/>
      <c r="HH13" s="529"/>
      <c r="HI13" s="529"/>
      <c r="HJ13" s="529"/>
      <c r="HK13" s="529"/>
      <c r="HL13" s="529"/>
      <c r="HM13" s="529"/>
      <c r="HN13" s="529"/>
      <c r="HO13" s="529"/>
      <c r="HP13" s="529"/>
      <c r="HQ13" s="529"/>
      <c r="HR13" s="529"/>
      <c r="HS13" s="529"/>
      <c r="HT13" s="529"/>
      <c r="HU13" s="529"/>
      <c r="HV13" s="529"/>
      <c r="HW13" s="529"/>
      <c r="HX13" s="529"/>
      <c r="HY13" s="529"/>
      <c r="HZ13" s="529"/>
      <c r="IA13" s="529"/>
      <c r="IB13" s="529"/>
      <c r="IC13" s="529"/>
      <c r="ID13" s="529"/>
      <c r="IE13" s="529"/>
      <c r="IF13" s="529"/>
      <c r="IG13" s="529"/>
      <c r="IH13" s="529"/>
      <c r="II13" s="529"/>
      <c r="IJ13" s="529"/>
      <c r="IK13" s="529"/>
      <c r="IL13" s="529"/>
      <c r="IM13" s="529"/>
      <c r="IN13" s="529"/>
      <c r="IO13" s="529"/>
      <c r="IP13" s="529"/>
      <c r="IQ13" s="529"/>
      <c r="IR13" s="529"/>
      <c r="IS13" s="529"/>
      <c r="IT13" s="529"/>
      <c r="IU13" s="529"/>
      <c r="IV13" s="529"/>
      <c r="IW13" s="529"/>
    </row>
    <row r="14" customFormat="false" ht="12.75" hidden="false" customHeight="false" outlineLevel="0" collapsed="false">
      <c r="A14" s="524" t="s">
        <v>440</v>
      </c>
      <c r="B14" s="525"/>
      <c r="C14" s="525"/>
      <c r="D14" s="525"/>
      <c r="E14" s="530" t="n">
        <f aca="false">IF('Project Assumptions'!$H$39=0,0,IF(E4&lt;='Project Assumptions'!$H$39,'Project Assumptions'!$H$40,0))</f>
        <v>0.0818</v>
      </c>
      <c r="F14" s="530" t="n">
        <f aca="false">IF('Project Assumptions'!$H$39=0,0,IF(F4&lt;='Project Assumptions'!$H$39,'Project Assumptions'!$H$40,0))</f>
        <v>0.0818</v>
      </c>
      <c r="G14" s="530" t="n">
        <f aca="false">IF('Project Assumptions'!$H$39=0,0,IF(G4&lt;='Project Assumptions'!$H$39,'Project Assumptions'!$H$40,0))</f>
        <v>0.0818</v>
      </c>
      <c r="H14" s="530" t="n">
        <f aca="false">IF('Project Assumptions'!$H$39=0,0,IF(H4&lt;='Project Assumptions'!$H$39,'Project Assumptions'!$H$40,0))</f>
        <v>0.0818</v>
      </c>
      <c r="I14" s="530" t="n">
        <f aca="false">IF('Project Assumptions'!$H$39=0,0,IF(I4&lt;='Project Assumptions'!$H$39,'Project Assumptions'!$H$40,0))</f>
        <v>0.0818</v>
      </c>
      <c r="J14" s="530" t="n">
        <f aca="false">IF('Project Assumptions'!$H$39=0,0,IF(J4&lt;='Project Assumptions'!$H$39,'Project Assumptions'!$H$40,0))</f>
        <v>0.0818</v>
      </c>
      <c r="K14" s="530" t="n">
        <f aca="false">IF('Project Assumptions'!$H$39=0,0,IF(K4&lt;='Project Assumptions'!$H$39,'Project Assumptions'!$H$40,0))</f>
        <v>0.0818</v>
      </c>
      <c r="L14" s="530" t="n">
        <f aca="false">IF('Project Assumptions'!$H$39=0,0,IF(L4&lt;='Project Assumptions'!$H$39,'Project Assumptions'!$H$40,0))</f>
        <v>0.0818</v>
      </c>
      <c r="M14" s="530" t="n">
        <f aca="false">IF('Project Assumptions'!$H$39=0,0,IF(M4&lt;='Project Assumptions'!$H$39,'Project Assumptions'!$H$40,0))</f>
        <v>0.0818</v>
      </c>
      <c r="N14" s="530" t="n">
        <f aca="false">IF('Project Assumptions'!$H$39=0,0,IF(N4&lt;='Project Assumptions'!$H$39,'Project Assumptions'!$H$40,0))</f>
        <v>0.0818</v>
      </c>
      <c r="O14" s="530" t="n">
        <f aca="false">IF('Project Assumptions'!$H$39=0,0,IF(O4&lt;='Project Assumptions'!$H$39,'Project Assumptions'!$H$40,0))</f>
        <v>0.0818</v>
      </c>
      <c r="P14" s="530" t="n">
        <f aca="false">IF('Project Assumptions'!$H$39=0,0,IF(P4&lt;='Project Assumptions'!$H$39,'Project Assumptions'!$H$40,0))</f>
        <v>0.0818</v>
      </c>
      <c r="Q14" s="530" t="n">
        <f aca="false">IF('Project Assumptions'!$H$39=0,0,IF(Q4&lt;='Project Assumptions'!$H$39,'Project Assumptions'!$H$40,0))</f>
        <v>0.0818</v>
      </c>
      <c r="R14" s="530" t="n">
        <f aca="false">IF('Project Assumptions'!$H$39=0,0,IF(R4&lt;='Project Assumptions'!$H$39,'Project Assumptions'!$H$40,0))</f>
        <v>0.0818</v>
      </c>
      <c r="S14" s="530" t="n">
        <f aca="false">IF('Project Assumptions'!$H$39=0,0,IF(S4&lt;='Project Assumptions'!$H$39,'Project Assumptions'!$H$40,0))</f>
        <v>0.0818</v>
      </c>
      <c r="T14" s="530" t="n">
        <f aca="false">IF('Project Assumptions'!$H$39=0,0,IF(T4&lt;='Project Assumptions'!$H$39,'Project Assumptions'!$H$40,0))</f>
        <v>0.0818</v>
      </c>
      <c r="U14" s="530" t="n">
        <f aca="false">IF('Project Assumptions'!$H$39=0,0,IF(U4&lt;='Project Assumptions'!$H$39,'Project Assumptions'!$H$40,0))</f>
        <v>0.0818</v>
      </c>
      <c r="V14" s="530" t="n">
        <f aca="false">IF('Project Assumptions'!$H$39=0,0,IF(V4&lt;='Project Assumptions'!$H$39,'Project Assumptions'!$H$40,0))</f>
        <v>0.0818</v>
      </c>
      <c r="W14" s="530" t="n">
        <f aca="false">IF('Project Assumptions'!$H$39=0,0,IF(W4&lt;='Project Assumptions'!$H$39,'Project Assumptions'!$H$40,0))</f>
        <v>0.0818</v>
      </c>
      <c r="X14" s="530" t="n">
        <f aca="false">IF('Project Assumptions'!$H$39=0,0,IF(X4&lt;='Project Assumptions'!$H$39,'Project Assumptions'!$H$40,0))</f>
        <v>0.0818</v>
      </c>
      <c r="Y14" s="530" t="n">
        <f aca="false">IF('Project Assumptions'!$H$39=0,0,IF(Y4&lt;='Project Assumptions'!$H$39,'Project Assumptions'!$H$40,0))</f>
        <v>0</v>
      </c>
      <c r="Z14" s="530" t="n">
        <f aca="false">IF('Project Assumptions'!$H$39=0,0,IF(Z4&lt;='Project Assumptions'!$H$39,'Project Assumptions'!$H$40,0))</f>
        <v>0</v>
      </c>
      <c r="AA14" s="530" t="n">
        <f aca="false">IF('Project Assumptions'!$H$39=0,0,IF(AA4&lt;='Project Assumptions'!$H$39,'Project Assumptions'!$H$40,0))</f>
        <v>0</v>
      </c>
      <c r="AB14" s="530" t="n">
        <f aca="false">IF('Project Assumptions'!$H$39=0,0,IF(AB4&lt;='Project Assumptions'!$H$39,'Project Assumptions'!$H$40,0))</f>
        <v>0</v>
      </c>
      <c r="AC14" s="531" t="n">
        <f aca="false">IF('Project Assumptions'!$H$39=0,0,IF(AC4&lt;='Project Assumptions'!$H$39,'Project Assumptions'!$H$40,0))</f>
        <v>0</v>
      </c>
      <c r="AD14" s="529"/>
      <c r="AE14" s="529"/>
      <c r="AF14" s="529"/>
      <c r="AG14" s="529"/>
      <c r="AH14" s="529"/>
      <c r="AI14" s="529"/>
      <c r="AJ14" s="529"/>
      <c r="AK14" s="529"/>
      <c r="AL14" s="529"/>
      <c r="AM14" s="529"/>
      <c r="AN14" s="529"/>
      <c r="AO14" s="529"/>
      <c r="AP14" s="529"/>
      <c r="AQ14" s="529"/>
      <c r="AR14" s="529"/>
      <c r="AS14" s="529"/>
      <c r="AT14" s="529"/>
      <c r="AU14" s="529"/>
      <c r="AV14" s="529"/>
      <c r="AW14" s="529"/>
      <c r="AX14" s="529"/>
      <c r="AY14" s="529"/>
      <c r="AZ14" s="529"/>
      <c r="BA14" s="529"/>
      <c r="BB14" s="529"/>
      <c r="BC14" s="529"/>
      <c r="BD14" s="529"/>
      <c r="BE14" s="529"/>
      <c r="BF14" s="529"/>
      <c r="BG14" s="529"/>
      <c r="BH14" s="529"/>
      <c r="BI14" s="529"/>
      <c r="BJ14" s="529"/>
      <c r="BK14" s="529"/>
      <c r="BL14" s="529"/>
      <c r="BM14" s="529"/>
      <c r="BN14" s="529"/>
      <c r="BO14" s="529"/>
      <c r="BP14" s="529"/>
      <c r="BQ14" s="529"/>
      <c r="BR14" s="529"/>
      <c r="BS14" s="529"/>
      <c r="BT14" s="529"/>
      <c r="BU14" s="529"/>
      <c r="BV14" s="529"/>
      <c r="BW14" s="529"/>
      <c r="BX14" s="529"/>
      <c r="BY14" s="529"/>
      <c r="BZ14" s="529"/>
      <c r="CA14" s="529"/>
      <c r="CB14" s="529"/>
      <c r="CC14" s="529"/>
      <c r="CD14" s="529"/>
      <c r="CE14" s="529"/>
      <c r="CF14" s="529"/>
      <c r="CG14" s="529"/>
      <c r="CH14" s="529"/>
      <c r="CI14" s="529"/>
      <c r="CJ14" s="529"/>
      <c r="CK14" s="529"/>
      <c r="CL14" s="529"/>
      <c r="CM14" s="529"/>
      <c r="CN14" s="529"/>
      <c r="CO14" s="529"/>
      <c r="CP14" s="529"/>
      <c r="CQ14" s="529"/>
      <c r="CR14" s="529"/>
      <c r="CS14" s="529"/>
      <c r="CT14" s="529"/>
      <c r="CU14" s="529"/>
      <c r="CV14" s="529"/>
      <c r="CW14" s="529"/>
      <c r="CX14" s="529"/>
      <c r="CY14" s="529"/>
      <c r="CZ14" s="529"/>
      <c r="DA14" s="529"/>
      <c r="DB14" s="529"/>
      <c r="DC14" s="529"/>
      <c r="DD14" s="529"/>
      <c r="DE14" s="529"/>
      <c r="DF14" s="529"/>
      <c r="DG14" s="529"/>
      <c r="DH14" s="529"/>
      <c r="DI14" s="529"/>
      <c r="DJ14" s="529"/>
      <c r="DK14" s="529"/>
      <c r="DL14" s="529"/>
      <c r="DM14" s="529"/>
      <c r="DN14" s="529"/>
      <c r="DO14" s="529"/>
      <c r="DP14" s="529"/>
      <c r="DQ14" s="529"/>
      <c r="DR14" s="529"/>
      <c r="DS14" s="529"/>
      <c r="DT14" s="529"/>
      <c r="DU14" s="529"/>
      <c r="DV14" s="529"/>
      <c r="DW14" s="529"/>
      <c r="DX14" s="529"/>
      <c r="DY14" s="529"/>
      <c r="DZ14" s="529"/>
      <c r="EA14" s="529"/>
      <c r="EB14" s="529"/>
      <c r="EC14" s="529"/>
      <c r="ED14" s="529"/>
      <c r="EE14" s="529"/>
      <c r="EF14" s="529"/>
      <c r="EG14" s="529"/>
      <c r="EH14" s="529"/>
      <c r="EI14" s="529"/>
      <c r="EJ14" s="529"/>
      <c r="EK14" s="529"/>
      <c r="EL14" s="529"/>
      <c r="EM14" s="529"/>
      <c r="EN14" s="529"/>
      <c r="EO14" s="529"/>
      <c r="EP14" s="529"/>
      <c r="EQ14" s="529"/>
      <c r="ER14" s="529"/>
      <c r="ES14" s="529"/>
      <c r="ET14" s="529"/>
      <c r="EU14" s="529"/>
      <c r="EV14" s="529"/>
      <c r="EW14" s="529"/>
      <c r="EX14" s="529"/>
      <c r="EY14" s="529"/>
      <c r="EZ14" s="529"/>
      <c r="FA14" s="529"/>
      <c r="FB14" s="529"/>
      <c r="FC14" s="529"/>
      <c r="FD14" s="529"/>
      <c r="FE14" s="529"/>
      <c r="FF14" s="529"/>
      <c r="FG14" s="529"/>
      <c r="FH14" s="529"/>
      <c r="FI14" s="529"/>
      <c r="FJ14" s="529"/>
      <c r="FK14" s="529"/>
      <c r="FL14" s="529"/>
      <c r="FM14" s="529"/>
      <c r="FN14" s="529"/>
      <c r="FO14" s="529"/>
      <c r="FP14" s="529"/>
      <c r="FQ14" s="529"/>
      <c r="FR14" s="529"/>
      <c r="FS14" s="529"/>
      <c r="FT14" s="529"/>
      <c r="FU14" s="529"/>
      <c r="FV14" s="529"/>
      <c r="FW14" s="529"/>
      <c r="FX14" s="529"/>
      <c r="FY14" s="529"/>
      <c r="FZ14" s="529"/>
      <c r="GA14" s="529"/>
      <c r="GB14" s="529"/>
      <c r="GC14" s="529"/>
      <c r="GD14" s="529"/>
      <c r="GE14" s="529"/>
      <c r="GF14" s="529"/>
      <c r="GG14" s="529"/>
      <c r="GH14" s="529"/>
      <c r="GI14" s="529"/>
      <c r="GJ14" s="529"/>
      <c r="GK14" s="529"/>
      <c r="GL14" s="529"/>
      <c r="GM14" s="529"/>
      <c r="GN14" s="529"/>
      <c r="GO14" s="529"/>
      <c r="GP14" s="529"/>
      <c r="GQ14" s="529"/>
      <c r="GR14" s="529"/>
      <c r="GS14" s="529"/>
      <c r="GT14" s="529"/>
      <c r="GU14" s="529"/>
      <c r="GV14" s="529"/>
      <c r="GW14" s="529"/>
      <c r="GX14" s="529"/>
      <c r="GY14" s="529"/>
      <c r="GZ14" s="529"/>
      <c r="HA14" s="529"/>
      <c r="HB14" s="529"/>
      <c r="HC14" s="529"/>
      <c r="HD14" s="529"/>
      <c r="HE14" s="529"/>
      <c r="HF14" s="529"/>
      <c r="HG14" s="529"/>
      <c r="HH14" s="529"/>
      <c r="HI14" s="529"/>
      <c r="HJ14" s="529"/>
      <c r="HK14" s="529"/>
      <c r="HL14" s="529"/>
      <c r="HM14" s="529"/>
      <c r="HN14" s="529"/>
      <c r="HO14" s="529"/>
      <c r="HP14" s="529"/>
      <c r="HQ14" s="529"/>
      <c r="HR14" s="529"/>
      <c r="HS14" s="529"/>
      <c r="HT14" s="529"/>
      <c r="HU14" s="529"/>
      <c r="HV14" s="529"/>
      <c r="HW14" s="529"/>
      <c r="HX14" s="529"/>
      <c r="HY14" s="529"/>
      <c r="HZ14" s="529"/>
      <c r="IA14" s="529"/>
      <c r="IB14" s="529"/>
      <c r="IC14" s="529"/>
      <c r="ID14" s="529"/>
      <c r="IE14" s="529"/>
      <c r="IF14" s="529"/>
      <c r="IG14" s="529"/>
      <c r="IH14" s="529"/>
      <c r="II14" s="529"/>
      <c r="IJ14" s="529"/>
      <c r="IK14" s="529"/>
      <c r="IL14" s="529"/>
      <c r="IM14" s="529"/>
      <c r="IN14" s="529"/>
      <c r="IO14" s="529"/>
      <c r="IP14" s="529"/>
      <c r="IQ14" s="529"/>
      <c r="IR14" s="529"/>
      <c r="IS14" s="529"/>
      <c r="IT14" s="529"/>
      <c r="IU14" s="529"/>
      <c r="IV14" s="529"/>
      <c r="IW14" s="529"/>
    </row>
    <row r="15" customFormat="false" ht="12.75" hidden="false" customHeight="false" outlineLevel="0" collapsed="false">
      <c r="A15" s="524"/>
      <c r="B15" s="525"/>
      <c r="C15" s="525"/>
      <c r="D15" s="498"/>
      <c r="E15" s="498"/>
      <c r="F15" s="498"/>
      <c r="G15" s="498"/>
      <c r="H15" s="498"/>
      <c r="I15" s="498"/>
      <c r="J15" s="498"/>
      <c r="K15" s="498"/>
      <c r="L15" s="498"/>
      <c r="M15" s="498"/>
      <c r="N15" s="498"/>
      <c r="O15" s="498"/>
      <c r="P15" s="498"/>
      <c r="Q15" s="498"/>
      <c r="R15" s="498"/>
      <c r="S15" s="498"/>
      <c r="T15" s="498"/>
      <c r="U15" s="498"/>
      <c r="V15" s="498"/>
      <c r="W15" s="498"/>
      <c r="X15" s="498"/>
      <c r="Y15" s="498"/>
      <c r="Z15" s="498"/>
      <c r="AA15" s="498"/>
      <c r="AB15" s="498"/>
      <c r="AC15" s="532"/>
      <c r="AD15" s="529"/>
      <c r="AE15" s="529"/>
      <c r="AF15" s="529"/>
      <c r="AG15" s="529"/>
      <c r="AH15" s="529"/>
      <c r="AI15" s="529"/>
      <c r="AJ15" s="529"/>
      <c r="AK15" s="529"/>
      <c r="AL15" s="529"/>
      <c r="AM15" s="529"/>
      <c r="AN15" s="529"/>
      <c r="AO15" s="529"/>
      <c r="AP15" s="529"/>
      <c r="AQ15" s="529"/>
      <c r="AR15" s="529"/>
      <c r="AS15" s="529"/>
      <c r="AT15" s="529"/>
      <c r="AU15" s="529"/>
      <c r="AV15" s="529"/>
      <c r="AW15" s="529"/>
      <c r="AX15" s="529"/>
      <c r="AY15" s="529"/>
      <c r="AZ15" s="529"/>
      <c r="BA15" s="529"/>
      <c r="BB15" s="529"/>
      <c r="BC15" s="529"/>
      <c r="BD15" s="529"/>
      <c r="BE15" s="529"/>
      <c r="BF15" s="529"/>
      <c r="BG15" s="529"/>
      <c r="BH15" s="529"/>
      <c r="BI15" s="529"/>
      <c r="BJ15" s="529"/>
      <c r="BK15" s="529"/>
      <c r="BL15" s="529"/>
      <c r="BM15" s="529"/>
      <c r="BN15" s="529"/>
      <c r="BO15" s="529"/>
      <c r="BP15" s="529"/>
      <c r="BQ15" s="529"/>
      <c r="BR15" s="529"/>
      <c r="BS15" s="529"/>
      <c r="BT15" s="529"/>
      <c r="BU15" s="529"/>
      <c r="BV15" s="529"/>
      <c r="BW15" s="529"/>
      <c r="BX15" s="529"/>
      <c r="BY15" s="529"/>
      <c r="BZ15" s="529"/>
      <c r="CA15" s="529"/>
      <c r="CB15" s="529"/>
      <c r="CC15" s="529"/>
      <c r="CD15" s="529"/>
      <c r="CE15" s="529"/>
      <c r="CF15" s="529"/>
      <c r="CG15" s="529"/>
      <c r="CH15" s="529"/>
      <c r="CI15" s="529"/>
      <c r="CJ15" s="529"/>
      <c r="CK15" s="529"/>
      <c r="CL15" s="529"/>
      <c r="CM15" s="529"/>
      <c r="CN15" s="529"/>
      <c r="CO15" s="529"/>
      <c r="CP15" s="529"/>
      <c r="CQ15" s="529"/>
      <c r="CR15" s="529"/>
      <c r="CS15" s="529"/>
      <c r="CT15" s="529"/>
      <c r="CU15" s="529"/>
      <c r="CV15" s="529"/>
      <c r="CW15" s="529"/>
      <c r="CX15" s="529"/>
      <c r="CY15" s="529"/>
      <c r="CZ15" s="529"/>
      <c r="DA15" s="529"/>
      <c r="DB15" s="529"/>
      <c r="DC15" s="529"/>
      <c r="DD15" s="529"/>
      <c r="DE15" s="529"/>
      <c r="DF15" s="529"/>
      <c r="DG15" s="529"/>
      <c r="DH15" s="529"/>
      <c r="DI15" s="529"/>
      <c r="DJ15" s="529"/>
      <c r="DK15" s="529"/>
      <c r="DL15" s="529"/>
      <c r="DM15" s="529"/>
      <c r="DN15" s="529"/>
      <c r="DO15" s="529"/>
      <c r="DP15" s="529"/>
      <c r="DQ15" s="529"/>
      <c r="DR15" s="529"/>
      <c r="DS15" s="529"/>
      <c r="DT15" s="529"/>
      <c r="DU15" s="529"/>
      <c r="DV15" s="529"/>
      <c r="DW15" s="529"/>
      <c r="DX15" s="529"/>
      <c r="DY15" s="529"/>
      <c r="DZ15" s="529"/>
      <c r="EA15" s="529"/>
      <c r="EB15" s="529"/>
      <c r="EC15" s="529"/>
      <c r="ED15" s="529"/>
      <c r="EE15" s="529"/>
      <c r="EF15" s="529"/>
      <c r="EG15" s="529"/>
      <c r="EH15" s="529"/>
      <c r="EI15" s="529"/>
      <c r="EJ15" s="529"/>
      <c r="EK15" s="529"/>
      <c r="EL15" s="529"/>
      <c r="EM15" s="529"/>
      <c r="EN15" s="529"/>
      <c r="EO15" s="529"/>
      <c r="EP15" s="529"/>
      <c r="EQ15" s="529"/>
      <c r="ER15" s="529"/>
      <c r="ES15" s="529"/>
      <c r="ET15" s="529"/>
      <c r="EU15" s="529"/>
      <c r="EV15" s="529"/>
      <c r="EW15" s="529"/>
      <c r="EX15" s="529"/>
      <c r="EY15" s="529"/>
      <c r="EZ15" s="529"/>
      <c r="FA15" s="529"/>
      <c r="FB15" s="529"/>
      <c r="FC15" s="529"/>
      <c r="FD15" s="529"/>
      <c r="FE15" s="529"/>
      <c r="FF15" s="529"/>
      <c r="FG15" s="529"/>
      <c r="FH15" s="529"/>
      <c r="FI15" s="529"/>
      <c r="FJ15" s="529"/>
      <c r="FK15" s="529"/>
      <c r="FL15" s="529"/>
      <c r="FM15" s="529"/>
      <c r="FN15" s="529"/>
      <c r="FO15" s="529"/>
      <c r="FP15" s="529"/>
      <c r="FQ15" s="529"/>
      <c r="FR15" s="529"/>
      <c r="FS15" s="529"/>
      <c r="FT15" s="529"/>
      <c r="FU15" s="529"/>
      <c r="FV15" s="529"/>
      <c r="FW15" s="529"/>
      <c r="FX15" s="529"/>
      <c r="FY15" s="529"/>
      <c r="FZ15" s="529"/>
      <c r="GA15" s="529"/>
      <c r="GB15" s="529"/>
      <c r="GC15" s="529"/>
      <c r="GD15" s="529"/>
      <c r="GE15" s="529"/>
      <c r="GF15" s="529"/>
      <c r="GG15" s="529"/>
      <c r="GH15" s="529"/>
      <c r="GI15" s="529"/>
      <c r="GJ15" s="529"/>
      <c r="GK15" s="529"/>
      <c r="GL15" s="529"/>
      <c r="GM15" s="529"/>
      <c r="GN15" s="529"/>
      <c r="GO15" s="529"/>
      <c r="GP15" s="529"/>
      <c r="GQ15" s="529"/>
      <c r="GR15" s="529"/>
      <c r="GS15" s="529"/>
      <c r="GT15" s="529"/>
      <c r="GU15" s="529"/>
      <c r="GV15" s="529"/>
      <c r="GW15" s="529"/>
      <c r="GX15" s="529"/>
      <c r="GY15" s="529"/>
      <c r="GZ15" s="529"/>
      <c r="HA15" s="529"/>
      <c r="HB15" s="529"/>
      <c r="HC15" s="529"/>
      <c r="HD15" s="529"/>
      <c r="HE15" s="529"/>
      <c r="HF15" s="529"/>
      <c r="HG15" s="529"/>
      <c r="HH15" s="529"/>
      <c r="HI15" s="529"/>
      <c r="HJ15" s="529"/>
      <c r="HK15" s="529"/>
      <c r="HL15" s="529"/>
      <c r="HM15" s="529"/>
      <c r="HN15" s="529"/>
      <c r="HO15" s="529"/>
      <c r="HP15" s="529"/>
      <c r="HQ15" s="529"/>
      <c r="HR15" s="529"/>
      <c r="HS15" s="529"/>
      <c r="HT15" s="529"/>
      <c r="HU15" s="529"/>
      <c r="HV15" s="529"/>
      <c r="HW15" s="529"/>
      <c r="HX15" s="529"/>
      <c r="HY15" s="529"/>
      <c r="HZ15" s="529"/>
      <c r="IA15" s="529"/>
      <c r="IB15" s="529"/>
      <c r="IC15" s="529"/>
      <c r="ID15" s="529"/>
      <c r="IE15" s="529"/>
      <c r="IF15" s="529"/>
      <c r="IG15" s="529"/>
      <c r="IH15" s="529"/>
      <c r="II15" s="529"/>
      <c r="IJ15" s="529"/>
      <c r="IK15" s="529"/>
      <c r="IL15" s="529"/>
      <c r="IM15" s="529"/>
      <c r="IN15" s="529"/>
      <c r="IO15" s="529"/>
      <c r="IP15" s="529"/>
      <c r="IQ15" s="529"/>
      <c r="IR15" s="529"/>
      <c r="IS15" s="529"/>
      <c r="IT15" s="529"/>
      <c r="IU15" s="529"/>
      <c r="IV15" s="529"/>
      <c r="IW15" s="529"/>
    </row>
    <row r="16" customFormat="false" ht="12.75" hidden="false" customHeight="false" outlineLevel="0" collapsed="false">
      <c r="A16" s="533" t="s">
        <v>441</v>
      </c>
      <c r="B16" s="525"/>
      <c r="C16" s="525"/>
      <c r="D16" s="525"/>
      <c r="E16" s="520" t="n">
        <f aca="false">IF(E4&gt;MAX('Project Assumptions'!$F$39,'Project Assumptions'!$G$39,'Project Assumptions'!$H$39),0,IF(E4&lt;='Project Assumptions'!$F$39,E6/E8,IF(E4&lt;='Project Assumptions'!$G$39,E6/E9,E6/E10)))</f>
        <v>10102.6942735086</v>
      </c>
      <c r="F16" s="520" t="n">
        <f aca="false">IF(F4&gt;MAX('Project Assumptions'!$F$39,'Project Assumptions'!$G$39,'Project Assumptions'!$H$39),0,IF(F4&lt;='Project Assumptions'!$F$39,F6/F8,IF(F4&lt;='Project Assumptions'!$G$39,F6/F9,F6/F10)))</f>
        <v>17545.2498354775</v>
      </c>
      <c r="G16" s="520" t="n">
        <f aca="false">IF(G4&gt;MAX('Project Assumptions'!$F$39,'Project Assumptions'!$G$39,'Project Assumptions'!$H$39),0,IF(G4&lt;='Project Assumptions'!$F$39,G6/G8,IF(G4&lt;='Project Assumptions'!$G$39,G6/G9,G6/G10)))</f>
        <v>17496.3682182221</v>
      </c>
      <c r="H16" s="520" t="n">
        <f aca="false">IF(H4&gt;MAX('Project Assumptions'!$F$39,'Project Assumptions'!$G$39,'Project Assumptions'!$H$39),0,IF(H4&lt;='Project Assumptions'!$F$39,H6/H8,IF(H4&lt;='Project Assumptions'!$G$39,H6/H9,H6/H10)))</f>
        <v>24102.8217477787</v>
      </c>
      <c r="I16" s="520" t="n">
        <f aca="false">IF(I4&gt;MAX('Project Assumptions'!$F$39,'Project Assumptions'!$G$39,'Project Assumptions'!$H$39),0,IF(I4&lt;='Project Assumptions'!$F$39,I6/I8,IF(I4&lt;='Project Assumptions'!$G$39,I6/I9,I6/I10)))</f>
        <v>17536.158407446</v>
      </c>
      <c r="J16" s="520" t="n">
        <f aca="false">IF(J4&gt;MAX('Project Assumptions'!$F$39,'Project Assumptions'!$G$39,'Project Assumptions'!$H$39),0,IF(J4&lt;='Project Assumptions'!$F$39,J6/J8,IF(J4&lt;='Project Assumptions'!$G$39,J6/J9,J6/J10)))</f>
        <v>18083.9134616703</v>
      </c>
      <c r="K16" s="520" t="n">
        <f aca="false">IF(K4&gt;MAX('Project Assumptions'!$F$39,'Project Assumptions'!$G$39,'Project Assumptions'!$H$39),0,IF(K4&lt;='Project Assumptions'!$F$39,K6/K8,IF(K4&lt;='Project Assumptions'!$G$39,K6/K9,K6/K10)))</f>
        <v>17982.6933021727</v>
      </c>
      <c r="L16" s="520" t="n">
        <f aca="false">IF(L4&gt;MAX('Project Assumptions'!$F$39,'Project Assumptions'!$G$39,'Project Assumptions'!$H$39),0,IF(L4&lt;='Project Assumptions'!$F$39,L6/L8,IF(L4&lt;='Project Assumptions'!$G$39,L6/L9,L6/L10)))</f>
        <v>18192.7700532508</v>
      </c>
      <c r="M16" s="520" t="n">
        <f aca="false">IF(M4&gt;MAX('Project Assumptions'!$F$39,'Project Assumptions'!$G$39,'Project Assumptions'!$H$39),0,IF(M4&lt;='Project Assumptions'!$F$39,M6/M8,IF(M4&lt;='Project Assumptions'!$G$39,M6/M9,M6/M10)))</f>
        <v>18399.1358020935</v>
      </c>
      <c r="N16" s="520" t="n">
        <f aca="false">IF(N4&gt;MAX('Project Assumptions'!$F$39,'Project Assumptions'!$G$39,'Project Assumptions'!$H$39),0,IF(N4&lt;='Project Assumptions'!$F$39,N6/N8,IF(N4&lt;='Project Assumptions'!$G$39,N6/N9,N6/N10)))</f>
        <v>18618.1725324995</v>
      </c>
      <c r="O16" s="520" t="n">
        <f aca="false">IF(O4&gt;MAX('Project Assumptions'!$F$39,'Project Assumptions'!$G$39,'Project Assumptions'!$H$39),0,IF(O4&lt;='Project Assumptions'!$F$39,O6/O8,IF(O4&lt;='Project Assumptions'!$G$39,O6/O9,O6/O10)))</f>
        <v>18815.8597253907</v>
      </c>
      <c r="P16" s="520" t="n">
        <f aca="false">IF(P4&gt;MAX('Project Assumptions'!$F$39,'Project Assumptions'!$G$39,'Project Assumptions'!$H$39),0,IF(P4&lt;='Project Assumptions'!$F$39,P6/P8,IF(P4&lt;='Project Assumptions'!$G$39,P6/P9,P6/P10)))</f>
        <v>19008.5357255898</v>
      </c>
      <c r="Q16" s="520" t="n">
        <f aca="false">IF(Q4&gt;MAX('Project Assumptions'!$F$39,'Project Assumptions'!$G$39,'Project Assumptions'!$H$39),0,IF(Q4&lt;='Project Assumptions'!$F$39,Q6/Q8,IF(Q4&lt;='Project Assumptions'!$G$39,Q6/Q9,Q6/Q10)))</f>
        <v>19195.7219430616</v>
      </c>
      <c r="R16" s="520" t="n">
        <f aca="false">IF(R4&gt;MAX('Project Assumptions'!$F$39,'Project Assumptions'!$G$39,'Project Assumptions'!$H$39),0,IF(R4&lt;='Project Assumptions'!$F$39,R6/R8,IF(R4&lt;='Project Assumptions'!$G$39,R6/R9,R6/R10)))</f>
        <v>19393.709295451</v>
      </c>
      <c r="S16" s="520" t="n">
        <f aca="false">IF(S4&gt;MAX('Project Assumptions'!$F$39,'Project Assumptions'!$G$39,'Project Assumptions'!$H$39),0,IF(S4&lt;='Project Assumptions'!$F$39,S6/S8,IF(S4&lt;='Project Assumptions'!$G$39,S6/S9,S6/S10)))</f>
        <v>19568.3823344595</v>
      </c>
      <c r="T16" s="520" t="n">
        <f aca="false">IF(T4&gt;MAX('Project Assumptions'!$F$39,'Project Assumptions'!$G$39,'Project Assumptions'!$H$39),0,IF(T4&lt;='Project Assumptions'!$F$39,T6/T8,IF(T4&lt;='Project Assumptions'!$G$39,T6/T9,T6/T10)))</f>
        <v>19735.9804627979</v>
      </c>
      <c r="U16" s="520" t="n">
        <f aca="false">IF(U4&gt;MAX('Project Assumptions'!$F$39,'Project Assumptions'!$G$39,'Project Assumptions'!$H$39),0,IF(U4&lt;='Project Assumptions'!$F$39,U6/U8,IF(U4&lt;='Project Assumptions'!$G$39,U6/U9,U6/U10)))</f>
        <v>19895.921980091</v>
      </c>
      <c r="V16" s="520" t="n">
        <f aca="false">IF(V4&gt;MAX('Project Assumptions'!$F$39,'Project Assumptions'!$G$39,'Project Assumptions'!$H$39),0,IF(V4&lt;='Project Assumptions'!$F$39,V6/V8,IF(V4&lt;='Project Assumptions'!$G$39,V6/V9,V6/V10)))</f>
        <v>20064.3903643693</v>
      </c>
      <c r="W16" s="520" t="n">
        <f aca="false">IF(W4&gt;MAX('Project Assumptions'!$F$39,'Project Assumptions'!$G$39,'Project Assumptions'!$H$39),0,IF(W4&lt;='Project Assumptions'!$F$39,W6/W8,IF(W4&lt;='Project Assumptions'!$G$39,W6/W9,W6/W10)))</f>
        <v>20207.1582314882</v>
      </c>
      <c r="X16" s="520" t="n">
        <f aca="false">IF(X4&gt;MAX('Project Assumptions'!$F$39,'Project Assumptions'!$G$39,'Project Assumptions'!$H$39),0,IF(X4&lt;='Project Assumptions'!$F$39,X6/X8,IF(X4&lt;='Project Assumptions'!$G$39,X6/X9,X6/X10)))</f>
        <v>19864.4624361428</v>
      </c>
      <c r="Y16" s="520" t="n">
        <f aca="false">IF(Y4&gt;MAX('Project Assumptions'!$F$39,'Project Assumptions'!$G$39,'Project Assumptions'!$H$39),0,IF(Y4&lt;='Project Assumptions'!$F$39,Y6/Y8,IF(Y4&lt;='Project Assumptions'!$G$39,Y6/Y9,Y6/Y10)))</f>
        <v>0</v>
      </c>
      <c r="Z16" s="520" t="n">
        <f aca="false">IF(Z4&gt;MAX('Project Assumptions'!$F$39,'Project Assumptions'!$G$39,'Project Assumptions'!$H$39),0,IF(Z4&lt;='Project Assumptions'!$F$39,Z6/Z8,IF(Z4&lt;='Project Assumptions'!$G$39,Z6/Z9,Z6/Z10)))</f>
        <v>0</v>
      </c>
      <c r="AA16" s="520" t="n">
        <f aca="false">IF(AA4&gt;MAX('Project Assumptions'!$F$39,'Project Assumptions'!$G$39,'Project Assumptions'!$H$39),0,IF(AA4&lt;='Project Assumptions'!$F$39,AA6/AA8,IF(AA4&lt;='Project Assumptions'!$G$39,AA6/AA9,AA6/AA10)))</f>
        <v>0</v>
      </c>
      <c r="AB16" s="520" t="n">
        <f aca="false">IF(AB4&gt;MAX('Project Assumptions'!$F$39,'Project Assumptions'!$G$39,'Project Assumptions'!$H$39),0,IF(AB4&lt;='Project Assumptions'!$F$39,AB6/AB8,IF(AB4&lt;='Project Assumptions'!$G$39,AB6/AB9,AB6/AB10)))</f>
        <v>0</v>
      </c>
      <c r="AC16" s="521" t="n">
        <f aca="false">IF(AC4&gt;MAX('Project Assumptions'!$F$39,'Project Assumptions'!$G$39,'Project Assumptions'!$H$39),0,IF(AC4&lt;='Project Assumptions'!$F$39,AC6/AC8,IF(AC4&lt;='Project Assumptions'!$G$39,AC6/AC9,AC6/AC10)))</f>
        <v>0</v>
      </c>
      <c r="AD16" s="498"/>
      <c r="AE16" s="529"/>
      <c r="AF16" s="529"/>
      <c r="AG16" s="529"/>
      <c r="AH16" s="529"/>
      <c r="AI16" s="529"/>
      <c r="AJ16" s="529"/>
      <c r="AK16" s="529"/>
      <c r="AL16" s="529"/>
      <c r="AM16" s="529"/>
      <c r="AN16" s="529"/>
      <c r="AO16" s="529"/>
      <c r="AP16" s="529"/>
      <c r="AQ16" s="529"/>
      <c r="AR16" s="529"/>
      <c r="AS16" s="529"/>
      <c r="AT16" s="529"/>
      <c r="AU16" s="529"/>
      <c r="AV16" s="529"/>
      <c r="AW16" s="529"/>
      <c r="AX16" s="529"/>
      <c r="AY16" s="529"/>
      <c r="AZ16" s="529"/>
      <c r="BA16" s="529"/>
      <c r="BB16" s="529"/>
      <c r="BC16" s="529"/>
      <c r="BD16" s="529"/>
      <c r="BE16" s="529"/>
      <c r="BF16" s="529"/>
      <c r="BG16" s="529"/>
      <c r="BH16" s="529"/>
      <c r="BI16" s="529"/>
      <c r="BJ16" s="529"/>
      <c r="BK16" s="529"/>
      <c r="BL16" s="529"/>
      <c r="BM16" s="529"/>
      <c r="BN16" s="529"/>
      <c r="BO16" s="529"/>
      <c r="BP16" s="529"/>
      <c r="BQ16" s="529"/>
      <c r="BR16" s="529"/>
      <c r="BS16" s="529"/>
      <c r="BT16" s="529"/>
      <c r="BU16" s="529"/>
      <c r="BV16" s="529"/>
      <c r="BW16" s="529"/>
      <c r="BX16" s="529"/>
      <c r="BY16" s="529"/>
      <c r="BZ16" s="529"/>
      <c r="CA16" s="529"/>
      <c r="CB16" s="529"/>
      <c r="CC16" s="529"/>
      <c r="CD16" s="529"/>
      <c r="CE16" s="529"/>
      <c r="CF16" s="529"/>
      <c r="CG16" s="529"/>
      <c r="CH16" s="529"/>
      <c r="CI16" s="529"/>
      <c r="CJ16" s="529"/>
      <c r="CK16" s="529"/>
      <c r="CL16" s="529"/>
      <c r="CM16" s="529"/>
      <c r="CN16" s="529"/>
      <c r="CO16" s="529"/>
      <c r="CP16" s="529"/>
      <c r="CQ16" s="529"/>
      <c r="CR16" s="529"/>
      <c r="CS16" s="529"/>
      <c r="CT16" s="529"/>
      <c r="CU16" s="529"/>
      <c r="CV16" s="529"/>
      <c r="CW16" s="529"/>
      <c r="CX16" s="529"/>
      <c r="CY16" s="529"/>
      <c r="CZ16" s="529"/>
      <c r="DA16" s="529"/>
      <c r="DB16" s="529"/>
      <c r="DC16" s="529"/>
      <c r="DD16" s="529"/>
      <c r="DE16" s="529"/>
      <c r="DF16" s="529"/>
      <c r="DG16" s="529"/>
      <c r="DH16" s="529"/>
      <c r="DI16" s="529"/>
      <c r="DJ16" s="529"/>
      <c r="DK16" s="529"/>
      <c r="DL16" s="529"/>
      <c r="DM16" s="529"/>
      <c r="DN16" s="529"/>
      <c r="DO16" s="529"/>
      <c r="DP16" s="529"/>
      <c r="DQ16" s="529"/>
      <c r="DR16" s="529"/>
      <c r="DS16" s="529"/>
      <c r="DT16" s="529"/>
      <c r="DU16" s="529"/>
      <c r="DV16" s="529"/>
      <c r="DW16" s="529"/>
      <c r="DX16" s="529"/>
      <c r="DY16" s="529"/>
      <c r="DZ16" s="529"/>
      <c r="EA16" s="529"/>
      <c r="EB16" s="529"/>
      <c r="EC16" s="529"/>
      <c r="ED16" s="529"/>
      <c r="EE16" s="529"/>
      <c r="EF16" s="529"/>
      <c r="EG16" s="529"/>
      <c r="EH16" s="529"/>
      <c r="EI16" s="529"/>
      <c r="EJ16" s="529"/>
      <c r="EK16" s="529"/>
      <c r="EL16" s="529"/>
      <c r="EM16" s="529"/>
      <c r="EN16" s="529"/>
      <c r="EO16" s="529"/>
      <c r="EP16" s="529"/>
      <c r="EQ16" s="529"/>
      <c r="ER16" s="529"/>
      <c r="ES16" s="529"/>
      <c r="ET16" s="529"/>
      <c r="EU16" s="529"/>
      <c r="EV16" s="529"/>
      <c r="EW16" s="529"/>
      <c r="EX16" s="529"/>
      <c r="EY16" s="529"/>
      <c r="EZ16" s="529"/>
      <c r="FA16" s="529"/>
      <c r="FB16" s="529"/>
      <c r="FC16" s="529"/>
      <c r="FD16" s="529"/>
      <c r="FE16" s="529"/>
      <c r="FF16" s="529"/>
      <c r="FG16" s="529"/>
      <c r="FH16" s="529"/>
      <c r="FI16" s="529"/>
      <c r="FJ16" s="529"/>
      <c r="FK16" s="529"/>
      <c r="FL16" s="529"/>
      <c r="FM16" s="529"/>
      <c r="FN16" s="529"/>
      <c r="FO16" s="529"/>
      <c r="FP16" s="529"/>
      <c r="FQ16" s="529"/>
      <c r="FR16" s="529"/>
      <c r="FS16" s="529"/>
      <c r="FT16" s="529"/>
      <c r="FU16" s="529"/>
      <c r="FV16" s="529"/>
      <c r="FW16" s="529"/>
      <c r="FX16" s="529"/>
      <c r="FY16" s="529"/>
      <c r="FZ16" s="529"/>
      <c r="GA16" s="529"/>
      <c r="GB16" s="529"/>
      <c r="GC16" s="529"/>
      <c r="GD16" s="529"/>
      <c r="GE16" s="529"/>
      <c r="GF16" s="529"/>
      <c r="GG16" s="529"/>
      <c r="GH16" s="529"/>
      <c r="GI16" s="529"/>
      <c r="GJ16" s="529"/>
      <c r="GK16" s="529"/>
      <c r="GL16" s="529"/>
      <c r="GM16" s="529"/>
      <c r="GN16" s="529"/>
      <c r="GO16" s="529"/>
      <c r="GP16" s="529"/>
      <c r="GQ16" s="529"/>
      <c r="GR16" s="529"/>
      <c r="GS16" s="529"/>
      <c r="GT16" s="529"/>
      <c r="GU16" s="529"/>
      <c r="GV16" s="529"/>
      <c r="GW16" s="529"/>
      <c r="GX16" s="529"/>
      <c r="GY16" s="529"/>
      <c r="GZ16" s="529"/>
      <c r="HA16" s="529"/>
      <c r="HB16" s="529"/>
      <c r="HC16" s="529"/>
      <c r="HD16" s="529"/>
      <c r="HE16" s="529"/>
      <c r="HF16" s="529"/>
      <c r="HG16" s="529"/>
      <c r="HH16" s="529"/>
      <c r="HI16" s="529"/>
      <c r="HJ16" s="529"/>
      <c r="HK16" s="529"/>
      <c r="HL16" s="529"/>
      <c r="HM16" s="529"/>
      <c r="HN16" s="529"/>
      <c r="HO16" s="529"/>
      <c r="HP16" s="529"/>
      <c r="HQ16" s="529"/>
      <c r="HR16" s="529"/>
      <c r="HS16" s="529"/>
      <c r="HT16" s="529"/>
      <c r="HU16" s="529"/>
      <c r="HV16" s="529"/>
      <c r="HW16" s="529"/>
      <c r="HX16" s="529"/>
      <c r="HY16" s="529"/>
      <c r="HZ16" s="529"/>
      <c r="IA16" s="529"/>
      <c r="IB16" s="529"/>
      <c r="IC16" s="529"/>
      <c r="ID16" s="529"/>
      <c r="IE16" s="529"/>
      <c r="IF16" s="529"/>
      <c r="IG16" s="529"/>
      <c r="IH16" s="529"/>
      <c r="II16" s="529"/>
      <c r="IJ16" s="529"/>
      <c r="IK16" s="529"/>
      <c r="IL16" s="529"/>
      <c r="IM16" s="529"/>
      <c r="IN16" s="529"/>
      <c r="IO16" s="529"/>
      <c r="IP16" s="529"/>
      <c r="IQ16" s="529"/>
      <c r="IR16" s="529"/>
      <c r="IS16" s="529"/>
      <c r="IT16" s="529"/>
      <c r="IU16" s="529"/>
      <c r="IV16" s="529"/>
      <c r="IW16" s="529"/>
    </row>
    <row r="17" customFormat="false" ht="12.75" hidden="false" customHeight="false" outlineLevel="0" collapsed="false">
      <c r="A17" s="533"/>
      <c r="B17" s="525"/>
      <c r="C17" s="525"/>
      <c r="D17" s="525"/>
      <c r="E17" s="498"/>
      <c r="F17" s="498"/>
      <c r="G17" s="498"/>
      <c r="H17" s="498"/>
      <c r="I17" s="498"/>
      <c r="J17" s="498"/>
      <c r="K17" s="498"/>
      <c r="L17" s="498"/>
      <c r="M17" s="498"/>
      <c r="N17" s="498"/>
      <c r="O17" s="498"/>
      <c r="P17" s="498"/>
      <c r="Q17" s="498"/>
      <c r="R17" s="498"/>
      <c r="S17" s="498"/>
      <c r="T17" s="498"/>
      <c r="U17" s="498"/>
      <c r="V17" s="498"/>
      <c r="W17" s="498"/>
      <c r="X17" s="498"/>
      <c r="Y17" s="498"/>
      <c r="Z17" s="498"/>
      <c r="AA17" s="498"/>
      <c r="AB17" s="498"/>
      <c r="AC17" s="534"/>
      <c r="AD17" s="498"/>
      <c r="AE17" s="529"/>
      <c r="AF17" s="529"/>
      <c r="AG17" s="529"/>
      <c r="AH17" s="529"/>
      <c r="AI17" s="529"/>
      <c r="AJ17" s="529"/>
      <c r="AK17" s="529"/>
      <c r="AL17" s="529"/>
      <c r="AM17" s="529"/>
      <c r="AN17" s="529"/>
      <c r="AO17" s="529"/>
      <c r="AP17" s="529"/>
      <c r="AQ17" s="529"/>
      <c r="AR17" s="529"/>
      <c r="AS17" s="529"/>
      <c r="AT17" s="529"/>
      <c r="AU17" s="529"/>
      <c r="AV17" s="529"/>
      <c r="AW17" s="529"/>
      <c r="AX17" s="529"/>
      <c r="AY17" s="529"/>
      <c r="AZ17" s="529"/>
      <c r="BA17" s="529"/>
      <c r="BB17" s="529"/>
      <c r="BC17" s="529"/>
      <c r="BD17" s="529"/>
      <c r="BE17" s="529"/>
      <c r="BF17" s="529"/>
      <c r="BG17" s="529"/>
      <c r="BH17" s="529"/>
      <c r="BI17" s="529"/>
      <c r="BJ17" s="529"/>
      <c r="BK17" s="529"/>
      <c r="BL17" s="529"/>
      <c r="BM17" s="529"/>
      <c r="BN17" s="529"/>
      <c r="BO17" s="529"/>
      <c r="BP17" s="529"/>
      <c r="BQ17" s="529"/>
      <c r="BR17" s="529"/>
      <c r="BS17" s="529"/>
      <c r="BT17" s="529"/>
      <c r="BU17" s="529"/>
      <c r="BV17" s="529"/>
      <c r="BW17" s="529"/>
      <c r="BX17" s="529"/>
      <c r="BY17" s="529"/>
      <c r="BZ17" s="529"/>
      <c r="CA17" s="529"/>
      <c r="CB17" s="529"/>
      <c r="CC17" s="529"/>
      <c r="CD17" s="529"/>
      <c r="CE17" s="529"/>
      <c r="CF17" s="529"/>
      <c r="CG17" s="529"/>
      <c r="CH17" s="529"/>
      <c r="CI17" s="529"/>
      <c r="CJ17" s="529"/>
      <c r="CK17" s="529"/>
      <c r="CL17" s="529"/>
      <c r="CM17" s="529"/>
      <c r="CN17" s="529"/>
      <c r="CO17" s="529"/>
      <c r="CP17" s="529"/>
      <c r="CQ17" s="529"/>
      <c r="CR17" s="529"/>
      <c r="CS17" s="529"/>
      <c r="CT17" s="529"/>
      <c r="CU17" s="529"/>
      <c r="CV17" s="529"/>
      <c r="CW17" s="529"/>
      <c r="CX17" s="529"/>
      <c r="CY17" s="529"/>
      <c r="CZ17" s="529"/>
      <c r="DA17" s="529"/>
      <c r="DB17" s="529"/>
      <c r="DC17" s="529"/>
      <c r="DD17" s="529"/>
      <c r="DE17" s="529"/>
      <c r="DF17" s="529"/>
      <c r="DG17" s="529"/>
      <c r="DH17" s="529"/>
      <c r="DI17" s="529"/>
      <c r="DJ17" s="529"/>
      <c r="DK17" s="529"/>
      <c r="DL17" s="529"/>
      <c r="DM17" s="529"/>
      <c r="DN17" s="529"/>
      <c r="DO17" s="529"/>
      <c r="DP17" s="529"/>
      <c r="DQ17" s="529"/>
      <c r="DR17" s="529"/>
      <c r="DS17" s="529"/>
      <c r="DT17" s="529"/>
      <c r="DU17" s="529"/>
      <c r="DV17" s="529"/>
      <c r="DW17" s="529"/>
      <c r="DX17" s="529"/>
      <c r="DY17" s="529"/>
      <c r="DZ17" s="529"/>
      <c r="EA17" s="529"/>
      <c r="EB17" s="529"/>
      <c r="EC17" s="529"/>
      <c r="ED17" s="529"/>
      <c r="EE17" s="529"/>
      <c r="EF17" s="529"/>
      <c r="EG17" s="529"/>
      <c r="EH17" s="529"/>
      <c r="EI17" s="529"/>
      <c r="EJ17" s="529"/>
      <c r="EK17" s="529"/>
      <c r="EL17" s="529"/>
      <c r="EM17" s="529"/>
      <c r="EN17" s="529"/>
      <c r="EO17" s="529"/>
      <c r="EP17" s="529"/>
      <c r="EQ17" s="529"/>
      <c r="ER17" s="529"/>
      <c r="ES17" s="529"/>
      <c r="ET17" s="529"/>
      <c r="EU17" s="529"/>
      <c r="EV17" s="529"/>
      <c r="EW17" s="529"/>
      <c r="EX17" s="529"/>
      <c r="EY17" s="529"/>
      <c r="EZ17" s="529"/>
      <c r="FA17" s="529"/>
      <c r="FB17" s="529"/>
      <c r="FC17" s="529"/>
      <c r="FD17" s="529"/>
      <c r="FE17" s="529"/>
      <c r="FF17" s="529"/>
      <c r="FG17" s="529"/>
      <c r="FH17" s="529"/>
      <c r="FI17" s="529"/>
      <c r="FJ17" s="529"/>
      <c r="FK17" s="529"/>
      <c r="FL17" s="529"/>
      <c r="FM17" s="529"/>
      <c r="FN17" s="529"/>
      <c r="FO17" s="529"/>
      <c r="FP17" s="529"/>
      <c r="FQ17" s="529"/>
      <c r="FR17" s="529"/>
      <c r="FS17" s="529"/>
      <c r="FT17" s="529"/>
      <c r="FU17" s="529"/>
      <c r="FV17" s="529"/>
      <c r="FW17" s="529"/>
      <c r="FX17" s="529"/>
      <c r="FY17" s="529"/>
      <c r="FZ17" s="529"/>
      <c r="GA17" s="529"/>
      <c r="GB17" s="529"/>
      <c r="GC17" s="529"/>
      <c r="GD17" s="529"/>
      <c r="GE17" s="529"/>
      <c r="GF17" s="529"/>
      <c r="GG17" s="529"/>
      <c r="GH17" s="529"/>
      <c r="GI17" s="529"/>
      <c r="GJ17" s="529"/>
      <c r="GK17" s="529"/>
      <c r="GL17" s="529"/>
      <c r="GM17" s="529"/>
      <c r="GN17" s="529"/>
      <c r="GO17" s="529"/>
      <c r="GP17" s="529"/>
      <c r="GQ17" s="529"/>
      <c r="GR17" s="529"/>
      <c r="GS17" s="529"/>
      <c r="GT17" s="529"/>
      <c r="GU17" s="529"/>
      <c r="GV17" s="529"/>
      <c r="GW17" s="529"/>
      <c r="GX17" s="529"/>
      <c r="GY17" s="529"/>
      <c r="GZ17" s="529"/>
      <c r="HA17" s="529"/>
      <c r="HB17" s="529"/>
      <c r="HC17" s="529"/>
      <c r="HD17" s="529"/>
      <c r="HE17" s="529"/>
      <c r="HF17" s="529"/>
      <c r="HG17" s="529"/>
      <c r="HH17" s="529"/>
      <c r="HI17" s="529"/>
      <c r="HJ17" s="529"/>
      <c r="HK17" s="529"/>
      <c r="HL17" s="529"/>
      <c r="HM17" s="529"/>
      <c r="HN17" s="529"/>
      <c r="HO17" s="529"/>
      <c r="HP17" s="529"/>
      <c r="HQ17" s="529"/>
      <c r="HR17" s="529"/>
      <c r="HS17" s="529"/>
      <c r="HT17" s="529"/>
      <c r="HU17" s="529"/>
      <c r="HV17" s="529"/>
      <c r="HW17" s="529"/>
      <c r="HX17" s="529"/>
      <c r="HY17" s="529"/>
      <c r="HZ17" s="529"/>
      <c r="IA17" s="529"/>
      <c r="IB17" s="529"/>
      <c r="IC17" s="529"/>
      <c r="ID17" s="529"/>
      <c r="IE17" s="529"/>
      <c r="IF17" s="529"/>
      <c r="IG17" s="529"/>
      <c r="IH17" s="529"/>
      <c r="II17" s="529"/>
      <c r="IJ17" s="529"/>
      <c r="IK17" s="529"/>
      <c r="IL17" s="529"/>
      <c r="IM17" s="529"/>
      <c r="IN17" s="529"/>
      <c r="IO17" s="529"/>
      <c r="IP17" s="529"/>
      <c r="IQ17" s="529"/>
      <c r="IR17" s="529"/>
      <c r="IS17" s="529"/>
      <c r="IT17" s="529"/>
      <c r="IU17" s="529"/>
      <c r="IV17" s="529"/>
      <c r="IW17" s="529"/>
    </row>
    <row r="18" customFormat="false" ht="12.75" hidden="false" customHeight="false" outlineLevel="0" collapsed="false">
      <c r="A18" s="524"/>
      <c r="B18" s="535" t="n">
        <f aca="false">'Project Assumptions'!$G$16</f>
        <v>36678</v>
      </c>
      <c r="C18" s="535" t="n">
        <f aca="false">DATE(YEAR('Project Assumptions'!$G$16),12,31)</f>
        <v>36891</v>
      </c>
      <c r="D18" s="525"/>
      <c r="E18" s="498"/>
      <c r="F18" s="498"/>
      <c r="G18" s="498"/>
      <c r="H18" s="498"/>
      <c r="I18" s="498"/>
      <c r="J18" s="498"/>
      <c r="K18" s="498"/>
      <c r="L18" s="498"/>
      <c r="M18" s="498"/>
      <c r="N18" s="498"/>
      <c r="O18" s="498"/>
      <c r="P18" s="498"/>
      <c r="Q18" s="498"/>
      <c r="R18" s="498"/>
      <c r="S18" s="498"/>
      <c r="T18" s="498"/>
      <c r="U18" s="498"/>
      <c r="V18" s="498"/>
      <c r="W18" s="498"/>
      <c r="X18" s="498"/>
      <c r="Y18" s="498"/>
      <c r="Z18" s="498"/>
      <c r="AA18" s="498"/>
      <c r="AB18" s="498"/>
      <c r="AC18" s="534"/>
      <c r="AD18" s="529"/>
      <c r="AE18" s="529"/>
      <c r="AF18" s="529"/>
      <c r="AG18" s="529"/>
      <c r="AH18" s="529"/>
      <c r="AI18" s="529"/>
      <c r="AJ18" s="529"/>
      <c r="AK18" s="529"/>
      <c r="AL18" s="529"/>
      <c r="AM18" s="529"/>
      <c r="AN18" s="529"/>
      <c r="AO18" s="529"/>
      <c r="AP18" s="529"/>
      <c r="AQ18" s="529"/>
      <c r="AR18" s="529"/>
      <c r="AS18" s="529"/>
      <c r="AT18" s="529"/>
      <c r="AU18" s="529"/>
      <c r="AV18" s="529"/>
      <c r="AW18" s="529"/>
      <c r="AX18" s="529"/>
      <c r="AY18" s="529"/>
      <c r="AZ18" s="529"/>
      <c r="BA18" s="529"/>
      <c r="BB18" s="529"/>
      <c r="BC18" s="529"/>
      <c r="BD18" s="529"/>
      <c r="BE18" s="529"/>
      <c r="BF18" s="529"/>
      <c r="BG18" s="529"/>
      <c r="BH18" s="529"/>
      <c r="BI18" s="529"/>
      <c r="BJ18" s="529"/>
      <c r="BK18" s="529"/>
      <c r="BL18" s="529"/>
      <c r="BM18" s="529"/>
      <c r="BN18" s="529"/>
      <c r="BO18" s="529"/>
      <c r="BP18" s="529"/>
      <c r="BQ18" s="529"/>
      <c r="BR18" s="529"/>
      <c r="BS18" s="529"/>
      <c r="BT18" s="529"/>
      <c r="BU18" s="529"/>
      <c r="BV18" s="529"/>
      <c r="BW18" s="529"/>
      <c r="BX18" s="529"/>
      <c r="BY18" s="529"/>
      <c r="BZ18" s="529"/>
      <c r="CA18" s="529"/>
      <c r="CB18" s="529"/>
      <c r="CC18" s="529"/>
      <c r="CD18" s="529"/>
      <c r="CE18" s="529"/>
      <c r="CF18" s="529"/>
      <c r="CG18" s="529"/>
      <c r="CH18" s="529"/>
      <c r="CI18" s="529"/>
      <c r="CJ18" s="529"/>
      <c r="CK18" s="529"/>
      <c r="CL18" s="529"/>
      <c r="CM18" s="529"/>
      <c r="CN18" s="529"/>
      <c r="CO18" s="529"/>
      <c r="CP18" s="529"/>
      <c r="CQ18" s="529"/>
      <c r="CR18" s="529"/>
      <c r="CS18" s="529"/>
      <c r="CT18" s="529"/>
      <c r="CU18" s="529"/>
      <c r="CV18" s="529"/>
      <c r="CW18" s="529"/>
      <c r="CX18" s="529"/>
      <c r="CY18" s="529"/>
      <c r="CZ18" s="529"/>
      <c r="DA18" s="529"/>
      <c r="DB18" s="529"/>
      <c r="DC18" s="529"/>
      <c r="DD18" s="529"/>
      <c r="DE18" s="529"/>
      <c r="DF18" s="529"/>
      <c r="DG18" s="529"/>
      <c r="DH18" s="529"/>
      <c r="DI18" s="529"/>
      <c r="DJ18" s="529"/>
      <c r="DK18" s="529"/>
      <c r="DL18" s="529"/>
      <c r="DM18" s="529"/>
      <c r="DN18" s="529"/>
      <c r="DO18" s="529"/>
      <c r="DP18" s="529"/>
      <c r="DQ18" s="529"/>
      <c r="DR18" s="529"/>
      <c r="DS18" s="529"/>
      <c r="DT18" s="529"/>
      <c r="DU18" s="529"/>
      <c r="DV18" s="529"/>
      <c r="DW18" s="529"/>
      <c r="DX18" s="529"/>
      <c r="DY18" s="529"/>
      <c r="DZ18" s="529"/>
      <c r="EA18" s="529"/>
      <c r="EB18" s="529"/>
      <c r="EC18" s="529"/>
      <c r="ED18" s="529"/>
      <c r="EE18" s="529"/>
      <c r="EF18" s="529"/>
      <c r="EG18" s="529"/>
      <c r="EH18" s="529"/>
      <c r="EI18" s="529"/>
      <c r="EJ18" s="529"/>
      <c r="EK18" s="529"/>
      <c r="EL18" s="529"/>
      <c r="EM18" s="529"/>
      <c r="EN18" s="529"/>
      <c r="EO18" s="529"/>
      <c r="EP18" s="529"/>
      <c r="EQ18" s="529"/>
      <c r="ER18" s="529"/>
      <c r="ES18" s="529"/>
      <c r="ET18" s="529"/>
      <c r="EU18" s="529"/>
      <c r="EV18" s="529"/>
      <c r="EW18" s="529"/>
      <c r="EX18" s="529"/>
      <c r="EY18" s="529"/>
      <c r="EZ18" s="529"/>
      <c r="FA18" s="529"/>
      <c r="FB18" s="529"/>
      <c r="FC18" s="529"/>
      <c r="FD18" s="529"/>
      <c r="FE18" s="529"/>
      <c r="FF18" s="529"/>
      <c r="FG18" s="529"/>
      <c r="FH18" s="529"/>
      <c r="FI18" s="529"/>
      <c r="FJ18" s="529"/>
      <c r="FK18" s="529"/>
      <c r="FL18" s="529"/>
      <c r="FM18" s="529"/>
      <c r="FN18" s="529"/>
      <c r="FO18" s="529"/>
      <c r="FP18" s="529"/>
      <c r="FQ18" s="529"/>
      <c r="FR18" s="529"/>
      <c r="FS18" s="529"/>
      <c r="FT18" s="529"/>
      <c r="FU18" s="529"/>
      <c r="FV18" s="529"/>
      <c r="FW18" s="529"/>
      <c r="FX18" s="529"/>
      <c r="FY18" s="529"/>
      <c r="FZ18" s="529"/>
      <c r="GA18" s="529"/>
      <c r="GB18" s="529"/>
      <c r="GC18" s="529"/>
      <c r="GD18" s="529"/>
      <c r="GE18" s="529"/>
      <c r="GF18" s="529"/>
      <c r="GG18" s="529"/>
      <c r="GH18" s="529"/>
      <c r="GI18" s="529"/>
      <c r="GJ18" s="529"/>
      <c r="GK18" s="529"/>
      <c r="GL18" s="529"/>
      <c r="GM18" s="529"/>
      <c r="GN18" s="529"/>
      <c r="GO18" s="529"/>
      <c r="GP18" s="529"/>
      <c r="GQ18" s="529"/>
      <c r="GR18" s="529"/>
      <c r="GS18" s="529"/>
      <c r="GT18" s="529"/>
      <c r="GU18" s="529"/>
      <c r="GV18" s="529"/>
      <c r="GW18" s="529"/>
      <c r="GX18" s="529"/>
      <c r="GY18" s="529"/>
      <c r="GZ18" s="529"/>
      <c r="HA18" s="529"/>
      <c r="HB18" s="529"/>
      <c r="HC18" s="529"/>
      <c r="HD18" s="529"/>
      <c r="HE18" s="529"/>
      <c r="HF18" s="529"/>
      <c r="HG18" s="529"/>
      <c r="HH18" s="529"/>
      <c r="HI18" s="529"/>
      <c r="HJ18" s="529"/>
      <c r="HK18" s="529"/>
      <c r="HL18" s="529"/>
      <c r="HM18" s="529"/>
      <c r="HN18" s="529"/>
      <c r="HO18" s="529"/>
      <c r="HP18" s="529"/>
      <c r="HQ18" s="529"/>
      <c r="HR18" s="529"/>
      <c r="HS18" s="529"/>
      <c r="HT18" s="529"/>
      <c r="HU18" s="529"/>
      <c r="HV18" s="529"/>
      <c r="HW18" s="529"/>
      <c r="HX18" s="529"/>
      <c r="HY18" s="529"/>
      <c r="HZ18" s="529"/>
      <c r="IA18" s="529"/>
      <c r="IB18" s="529"/>
      <c r="IC18" s="529"/>
      <c r="ID18" s="529"/>
      <c r="IE18" s="529"/>
      <c r="IF18" s="529"/>
      <c r="IG18" s="529"/>
      <c r="IH18" s="529"/>
      <c r="II18" s="529"/>
      <c r="IJ18" s="529"/>
      <c r="IK18" s="529"/>
      <c r="IL18" s="529"/>
      <c r="IM18" s="529"/>
      <c r="IN18" s="529"/>
      <c r="IO18" s="529"/>
      <c r="IP18" s="529"/>
      <c r="IQ18" s="529"/>
      <c r="IR18" s="529"/>
      <c r="IS18" s="529"/>
      <c r="IT18" s="529"/>
      <c r="IU18" s="529"/>
      <c r="IV18" s="529"/>
      <c r="IW18" s="529"/>
    </row>
    <row r="19" customFormat="false" ht="12.75" hidden="false" customHeight="false" outlineLevel="0" collapsed="false">
      <c r="A19" s="524" t="s">
        <v>442</v>
      </c>
      <c r="B19" s="520" t="n">
        <f aca="false">NPV(E12*(13-MONTH('Project Assumptions'!G16))/12,C19)</f>
        <v>39510.8858918345</v>
      </c>
      <c r="C19" s="520" t="n">
        <f aca="false">NPV(F12,F19:AC19)+E19</f>
        <v>41062.0174204714</v>
      </c>
      <c r="D19" s="525"/>
      <c r="E19" s="520" t="n">
        <f aca="false">IF(E4&gt;'Project Assumptions'!$F$39,0,E16-E35-E43)</f>
        <v>6360.00859399046</v>
      </c>
      <c r="F19" s="520" t="n">
        <f aca="false">IF(F4&gt;'Project Assumptions'!$F$39,0,F16-F35-F43)</f>
        <v>11129.2172420178</v>
      </c>
      <c r="G19" s="520" t="n">
        <f aca="false">IF(G4&gt;'Project Assumptions'!$F$39,0,G16-G35-G43)</f>
        <v>11080.3356247624</v>
      </c>
      <c r="H19" s="520" t="n">
        <f aca="false">IF(H4&gt;'Project Assumptions'!$F$39,0,H16-H35-H43)</f>
        <v>17686.789154319</v>
      </c>
      <c r="I19" s="520" t="n">
        <f aca="false">IF(I4&gt;'Project Assumptions'!$F$39,0,I16-I35-I43)</f>
        <v>0</v>
      </c>
      <c r="J19" s="520" t="n">
        <f aca="false">IF(J4&gt;'Project Assumptions'!$F$39,0,J16-J35-J43)</f>
        <v>0</v>
      </c>
      <c r="K19" s="520" t="n">
        <f aca="false">IF(K4&gt;'Project Assumptions'!$F$39,0,K16-K35-K43)</f>
        <v>0</v>
      </c>
      <c r="L19" s="520" t="n">
        <f aca="false">IF(L4&gt;'Project Assumptions'!$F$39,0,L16-L35-L43)</f>
        <v>0</v>
      </c>
      <c r="M19" s="520" t="n">
        <f aca="false">IF(M4&gt;'Project Assumptions'!$F$39,0,M16-M35-M43)</f>
        <v>0</v>
      </c>
      <c r="N19" s="520" t="n">
        <f aca="false">IF(N4&gt;'Project Assumptions'!$F$39,0,N16-N35-N43)</f>
        <v>0</v>
      </c>
      <c r="O19" s="520" t="n">
        <f aca="false">IF(O4&gt;'Project Assumptions'!$F$39,0,O16-O35-O43)</f>
        <v>0</v>
      </c>
      <c r="P19" s="520" t="n">
        <f aca="false">IF(P4&gt;'Project Assumptions'!$F$39,0,P16-P35-P43)</f>
        <v>0</v>
      </c>
      <c r="Q19" s="520" t="n">
        <f aca="false">IF(Q4&gt;'Project Assumptions'!$F$39,0,Q16-Q35-Q43)</f>
        <v>0</v>
      </c>
      <c r="R19" s="520" t="n">
        <f aca="false">IF(R4&gt;'Project Assumptions'!$F$39,0,R16-R35-R43)</f>
        <v>0</v>
      </c>
      <c r="S19" s="520" t="n">
        <f aca="false">IF(S4&gt;'Project Assumptions'!$F$39,0,S16-S35-S43)</f>
        <v>0</v>
      </c>
      <c r="T19" s="520" t="n">
        <f aca="false">IF(T4&gt;'Project Assumptions'!$F$39,0,T16-T35-T43)</f>
        <v>0</v>
      </c>
      <c r="U19" s="520" t="n">
        <f aca="false">IF(U4&gt;'Project Assumptions'!$F$39,0,U16-U35-U43)</f>
        <v>0</v>
      </c>
      <c r="V19" s="520" t="n">
        <f aca="false">IF(V4&gt;'Project Assumptions'!$F$39,0,V16-V35-V43)</f>
        <v>0</v>
      </c>
      <c r="W19" s="520" t="n">
        <f aca="false">IF(W4&gt;'Project Assumptions'!$F$39,0,W16-W35-W43)</f>
        <v>0</v>
      </c>
      <c r="X19" s="520" t="n">
        <f aca="false">IF(X4&gt;'Project Assumptions'!$F$39,0,X16-X35-X43)</f>
        <v>0</v>
      </c>
      <c r="Y19" s="520" t="n">
        <f aca="false">IF(Y4&gt;'Project Assumptions'!$F$39,0,Y16-Y35-Y43)</f>
        <v>0</v>
      </c>
      <c r="Z19" s="520" t="n">
        <f aca="false">IF(Z4&gt;'Project Assumptions'!$F$39,0,Z16-Z35-Z43)</f>
        <v>0</v>
      </c>
      <c r="AA19" s="520" t="n">
        <f aca="false">IF(AA4&gt;'Project Assumptions'!$F$39,0,AA16-AA35-AA43)</f>
        <v>0</v>
      </c>
      <c r="AB19" s="520" t="n">
        <f aca="false">IF(AB4&gt;'Project Assumptions'!$F$39,0,AB16-AB35-AB43)</f>
        <v>0</v>
      </c>
      <c r="AC19" s="521" t="n">
        <f aca="false">IF(AC4&gt;'Project Assumptions'!$F$39,0,AC16-AC35-AC43)</f>
        <v>0</v>
      </c>
      <c r="AD19" s="529"/>
      <c r="AE19" s="529"/>
      <c r="AF19" s="529"/>
      <c r="AG19" s="529"/>
      <c r="AH19" s="529"/>
      <c r="AI19" s="529"/>
      <c r="AJ19" s="529"/>
      <c r="AK19" s="529"/>
      <c r="AL19" s="529"/>
      <c r="AM19" s="529"/>
      <c r="AN19" s="529"/>
      <c r="AO19" s="529"/>
      <c r="AP19" s="529"/>
      <c r="AQ19" s="529"/>
      <c r="AR19" s="529"/>
      <c r="AS19" s="529"/>
      <c r="AT19" s="529"/>
      <c r="AU19" s="529"/>
      <c r="AV19" s="529"/>
      <c r="AW19" s="529"/>
      <c r="AX19" s="529"/>
      <c r="AY19" s="529"/>
      <c r="AZ19" s="529"/>
      <c r="BA19" s="529"/>
      <c r="BB19" s="529"/>
      <c r="BC19" s="529"/>
      <c r="BD19" s="529"/>
      <c r="BE19" s="529"/>
      <c r="BF19" s="529"/>
      <c r="BG19" s="529"/>
      <c r="BH19" s="529"/>
      <c r="BI19" s="529"/>
      <c r="BJ19" s="529"/>
      <c r="BK19" s="529"/>
      <c r="BL19" s="529"/>
      <c r="BM19" s="529"/>
      <c r="BN19" s="529"/>
      <c r="BO19" s="529"/>
      <c r="BP19" s="529"/>
      <c r="BQ19" s="529"/>
      <c r="BR19" s="529"/>
      <c r="BS19" s="529"/>
      <c r="BT19" s="529"/>
      <c r="BU19" s="529"/>
      <c r="BV19" s="529"/>
      <c r="BW19" s="529"/>
      <c r="BX19" s="529"/>
      <c r="BY19" s="529"/>
      <c r="BZ19" s="529"/>
      <c r="CA19" s="529"/>
      <c r="CB19" s="529"/>
      <c r="CC19" s="529"/>
      <c r="CD19" s="529"/>
      <c r="CE19" s="529"/>
      <c r="CF19" s="529"/>
      <c r="CG19" s="529"/>
      <c r="CH19" s="529"/>
      <c r="CI19" s="529"/>
      <c r="CJ19" s="529"/>
      <c r="CK19" s="529"/>
      <c r="CL19" s="529"/>
      <c r="CM19" s="529"/>
      <c r="CN19" s="529"/>
      <c r="CO19" s="529"/>
      <c r="CP19" s="529"/>
      <c r="CQ19" s="529"/>
      <c r="CR19" s="529"/>
      <c r="CS19" s="529"/>
      <c r="CT19" s="529"/>
      <c r="CU19" s="529"/>
      <c r="CV19" s="529"/>
      <c r="CW19" s="529"/>
      <c r="CX19" s="529"/>
      <c r="CY19" s="529"/>
      <c r="CZ19" s="529"/>
      <c r="DA19" s="529"/>
      <c r="DB19" s="529"/>
      <c r="DC19" s="529"/>
      <c r="DD19" s="529"/>
      <c r="DE19" s="529"/>
      <c r="DF19" s="529"/>
      <c r="DG19" s="529"/>
      <c r="DH19" s="529"/>
      <c r="DI19" s="529"/>
      <c r="DJ19" s="529"/>
      <c r="DK19" s="529"/>
      <c r="DL19" s="529"/>
      <c r="DM19" s="529"/>
      <c r="DN19" s="529"/>
      <c r="DO19" s="529"/>
      <c r="DP19" s="529"/>
      <c r="DQ19" s="529"/>
      <c r="DR19" s="529"/>
      <c r="DS19" s="529"/>
      <c r="DT19" s="529"/>
      <c r="DU19" s="529"/>
      <c r="DV19" s="529"/>
      <c r="DW19" s="529"/>
      <c r="DX19" s="529"/>
      <c r="DY19" s="529"/>
      <c r="DZ19" s="529"/>
      <c r="EA19" s="529"/>
      <c r="EB19" s="529"/>
      <c r="EC19" s="529"/>
      <c r="ED19" s="529"/>
      <c r="EE19" s="529"/>
      <c r="EF19" s="529"/>
      <c r="EG19" s="529"/>
      <c r="EH19" s="529"/>
      <c r="EI19" s="529"/>
      <c r="EJ19" s="529"/>
      <c r="EK19" s="529"/>
      <c r="EL19" s="529"/>
      <c r="EM19" s="529"/>
      <c r="EN19" s="529"/>
      <c r="EO19" s="529"/>
      <c r="EP19" s="529"/>
      <c r="EQ19" s="529"/>
      <c r="ER19" s="529"/>
      <c r="ES19" s="529"/>
      <c r="ET19" s="529"/>
      <c r="EU19" s="529"/>
      <c r="EV19" s="529"/>
      <c r="EW19" s="529"/>
      <c r="EX19" s="529"/>
      <c r="EY19" s="529"/>
      <c r="EZ19" s="529"/>
      <c r="FA19" s="529"/>
      <c r="FB19" s="529"/>
      <c r="FC19" s="529"/>
      <c r="FD19" s="529"/>
      <c r="FE19" s="529"/>
      <c r="FF19" s="529"/>
      <c r="FG19" s="529"/>
      <c r="FH19" s="529"/>
      <c r="FI19" s="529"/>
      <c r="FJ19" s="529"/>
      <c r="FK19" s="529"/>
      <c r="FL19" s="529"/>
      <c r="FM19" s="529"/>
      <c r="FN19" s="529"/>
      <c r="FO19" s="529"/>
      <c r="FP19" s="529"/>
      <c r="FQ19" s="529"/>
      <c r="FR19" s="529"/>
      <c r="FS19" s="529"/>
      <c r="FT19" s="529"/>
      <c r="FU19" s="529"/>
      <c r="FV19" s="529"/>
      <c r="FW19" s="529"/>
      <c r="FX19" s="529"/>
      <c r="FY19" s="529"/>
      <c r="FZ19" s="529"/>
      <c r="GA19" s="529"/>
      <c r="GB19" s="529"/>
      <c r="GC19" s="529"/>
      <c r="GD19" s="529"/>
      <c r="GE19" s="529"/>
      <c r="GF19" s="529"/>
      <c r="GG19" s="529"/>
      <c r="GH19" s="529"/>
      <c r="GI19" s="529"/>
      <c r="GJ19" s="529"/>
      <c r="GK19" s="529"/>
      <c r="GL19" s="529"/>
      <c r="GM19" s="529"/>
      <c r="GN19" s="529"/>
      <c r="GO19" s="529"/>
      <c r="GP19" s="529"/>
      <c r="GQ19" s="529"/>
      <c r="GR19" s="529"/>
      <c r="GS19" s="529"/>
      <c r="GT19" s="529"/>
      <c r="GU19" s="529"/>
      <c r="GV19" s="529"/>
      <c r="GW19" s="529"/>
      <c r="GX19" s="529"/>
      <c r="GY19" s="529"/>
      <c r="GZ19" s="529"/>
      <c r="HA19" s="529"/>
      <c r="HB19" s="529"/>
      <c r="HC19" s="529"/>
      <c r="HD19" s="529"/>
      <c r="HE19" s="529"/>
      <c r="HF19" s="529"/>
      <c r="HG19" s="529"/>
      <c r="HH19" s="529"/>
      <c r="HI19" s="529"/>
      <c r="HJ19" s="529"/>
      <c r="HK19" s="529"/>
      <c r="HL19" s="529"/>
      <c r="HM19" s="529"/>
      <c r="HN19" s="529"/>
      <c r="HO19" s="529"/>
      <c r="HP19" s="529"/>
      <c r="HQ19" s="529"/>
      <c r="HR19" s="529"/>
      <c r="HS19" s="529"/>
      <c r="HT19" s="529"/>
      <c r="HU19" s="529"/>
      <c r="HV19" s="529"/>
      <c r="HW19" s="529"/>
      <c r="HX19" s="529"/>
      <c r="HY19" s="529"/>
      <c r="HZ19" s="529"/>
      <c r="IA19" s="529"/>
      <c r="IB19" s="529"/>
      <c r="IC19" s="529"/>
      <c r="ID19" s="529"/>
      <c r="IE19" s="529"/>
      <c r="IF19" s="529"/>
      <c r="IG19" s="529"/>
      <c r="IH19" s="529"/>
      <c r="II19" s="529"/>
      <c r="IJ19" s="529"/>
      <c r="IK19" s="529"/>
      <c r="IL19" s="529"/>
      <c r="IM19" s="529"/>
      <c r="IN19" s="529"/>
      <c r="IO19" s="529"/>
      <c r="IP19" s="529"/>
      <c r="IQ19" s="529"/>
      <c r="IR19" s="529"/>
      <c r="IS19" s="529"/>
      <c r="IT19" s="529"/>
      <c r="IU19" s="529"/>
      <c r="IV19" s="529"/>
      <c r="IW19" s="529"/>
    </row>
    <row r="20" customFormat="false" ht="12.75" hidden="false" customHeight="false" outlineLevel="0" collapsed="false">
      <c r="A20" s="524" t="s">
        <v>443</v>
      </c>
      <c r="B20" s="498" t="n">
        <f aca="false">HLOOKUP('Project Assumptions'!$F$39,$E$4:$AC$20,17)</f>
        <v>84756.0448277374</v>
      </c>
      <c r="C20" s="498"/>
      <c r="D20" s="525"/>
      <c r="E20" s="520" t="n">
        <f aca="false">IF(E4&lt;'Project Assumptions'!$F$39,0,IF(E4='Project Assumptions'!$F$39,NPV(F13,F20:$AC$20),IF(E4&lt;='Project Assumptions'!$G$39,E16-E43,0)))</f>
        <v>0</v>
      </c>
      <c r="F20" s="520" t="n">
        <f aca="false">IF(F4&lt;'Project Assumptions'!$F$39,0,IF(F4='Project Assumptions'!$F$39,NPV(G13,G20:$AC$20),IF(F4&lt;='Project Assumptions'!$G$39,F16-F43,0)))</f>
        <v>0</v>
      </c>
      <c r="G20" s="520" t="n">
        <f aca="false">IF(G4&lt;'Project Assumptions'!$F$39,0,IF(G4='Project Assumptions'!$F$39,NPV(H13,H20:$AC$20),IF(G4&lt;='Project Assumptions'!$G$39,G16-G43,0)))</f>
        <v>0</v>
      </c>
      <c r="H20" s="520" t="n">
        <f aca="false">IF(H4&lt;'Project Assumptions'!$F$39,0,IF(H4='Project Assumptions'!$F$39,NPV(I13,I20:$AC$20),IF(H4&lt;='Project Assumptions'!$G$39,H16-H43,0)))</f>
        <v>84756.0448277374</v>
      </c>
      <c r="I20" s="520" t="n">
        <f aca="false">IF(I4&lt;'Project Assumptions'!$F$39,0,IF(I4='Project Assumptions'!$F$39,NPV(J13,J20:$AC$20),IF(I4&lt;='Project Assumptions'!$G$39,I16-I43,0)))</f>
        <v>17536.158407446</v>
      </c>
      <c r="J20" s="520" t="n">
        <f aca="false">IF(J4&lt;'Project Assumptions'!$F$39,0,IF(J4='Project Assumptions'!$F$39,NPV(K13,K20:$AC$20),IF(J4&lt;='Project Assumptions'!$G$39,J16-J43,0)))</f>
        <v>18083.9134616703</v>
      </c>
      <c r="K20" s="520" t="n">
        <f aca="false">IF(K4&lt;'Project Assumptions'!$F$39,0,IF(K4='Project Assumptions'!$F$39,NPV(L13,L20:$AC$20),IF(K4&lt;='Project Assumptions'!$G$39,K16-K43,0)))</f>
        <v>17982.6933021727</v>
      </c>
      <c r="L20" s="520" t="n">
        <f aca="false">IF(L4&lt;'Project Assumptions'!$F$39,0,IF(L4='Project Assumptions'!$F$39,NPV(M13,M20:$AC$20),IF(L4&lt;='Project Assumptions'!$G$39,L16-L43,0)))</f>
        <v>18192.7700532508</v>
      </c>
      <c r="M20" s="520" t="n">
        <f aca="false">IF(M4&lt;'Project Assumptions'!$F$39,0,IF(M4='Project Assumptions'!$F$39,NPV(N13,N20:$AC$20),IF(M4&lt;='Project Assumptions'!$G$39,M16-M43,0)))</f>
        <v>18399.1358020935</v>
      </c>
      <c r="N20" s="520" t="n">
        <f aca="false">IF(N4&lt;'Project Assumptions'!$F$39,0,IF(N4='Project Assumptions'!$F$39,NPV(O13,O20:$AC$20),IF(N4&lt;='Project Assumptions'!$G$39,N16-N43,0)))</f>
        <v>18618.1725324995</v>
      </c>
      <c r="O20" s="520" t="n">
        <f aca="false">IF(O4&lt;'Project Assumptions'!$F$39,0,IF(O4='Project Assumptions'!$F$39,NPV(P13,P20:$AC$20),IF(O4&lt;='Project Assumptions'!$G$39,O16-O43,0)))</f>
        <v>0</v>
      </c>
      <c r="P20" s="520" t="n">
        <f aca="false">IF(P4&lt;'Project Assumptions'!$F$39,0,IF(P4='Project Assumptions'!$F$39,NPV(Q13,Q20:$AC$20),IF(P4&lt;='Project Assumptions'!$G$39,P16-P43,0)))</f>
        <v>0</v>
      </c>
      <c r="Q20" s="520" t="n">
        <f aca="false">IF(Q4&lt;'Project Assumptions'!$F$39,0,IF(Q4='Project Assumptions'!$F$39,NPV(R13,R20:$AC$20),IF(Q4&lt;='Project Assumptions'!$G$39,Q16-Q43,0)))</f>
        <v>0</v>
      </c>
      <c r="R20" s="520" t="n">
        <f aca="false">IF(R4&lt;'Project Assumptions'!$F$39,0,IF(R4='Project Assumptions'!$F$39,NPV(S13,S20:$AC$20),IF(R4&lt;='Project Assumptions'!$G$39,R16-R43,0)))</f>
        <v>0</v>
      </c>
      <c r="S20" s="520" t="n">
        <f aca="false">IF(S4&lt;'Project Assumptions'!$F$39,0,IF(S4='Project Assumptions'!$F$39,NPV(T13,T20:$AC$20),IF(S4&lt;='Project Assumptions'!$G$39,S16-S43,0)))</f>
        <v>0</v>
      </c>
      <c r="T20" s="520" t="n">
        <f aca="false">IF(T4&lt;'Project Assumptions'!$F$39,0,IF(T4='Project Assumptions'!$F$39,NPV(U13,U20:$AC$20),IF(T4&lt;='Project Assumptions'!$G$39,T16-T43,0)))</f>
        <v>0</v>
      </c>
      <c r="U20" s="520" t="n">
        <f aca="false">IF(U4&lt;'Project Assumptions'!$F$39,0,IF(U4='Project Assumptions'!$F$39,NPV(V13,V20:$AC$20),IF(U4&lt;='Project Assumptions'!$G$39,U16-U43,0)))</f>
        <v>0</v>
      </c>
      <c r="V20" s="520" t="n">
        <f aca="false">IF(V4&lt;'Project Assumptions'!$F$39,0,IF(V4='Project Assumptions'!$F$39,NPV(W13,W20:$AC$20),IF(V4&lt;='Project Assumptions'!$G$39,V16-V43,0)))</f>
        <v>0</v>
      </c>
      <c r="W20" s="520" t="n">
        <f aca="false">IF(W4&lt;'Project Assumptions'!$F$39,0,IF(W4='Project Assumptions'!$F$39,NPV(X13,X20:$AC$20),IF(W4&lt;='Project Assumptions'!$G$39,W16-W43,0)))</f>
        <v>0</v>
      </c>
      <c r="X20" s="520" t="n">
        <f aca="false">IF(X4&lt;'Project Assumptions'!$F$39,0,IF(X4='Project Assumptions'!$F$39,NPV(Y13,Y20:$AC$20),IF(X4&lt;='Project Assumptions'!$G$39,X16-X43,0)))</f>
        <v>0</v>
      </c>
      <c r="Y20" s="520" t="n">
        <f aca="false">IF(Y4&lt;'Project Assumptions'!$F$39,0,IF(Y4='Project Assumptions'!$F$39,NPV(Z13,Z20:$AC$20),IF(Y4&lt;='Project Assumptions'!$G$39,Y16-Y43,0)))</f>
        <v>0</v>
      </c>
      <c r="Z20" s="520" t="n">
        <f aca="false">IF(Z4&lt;'Project Assumptions'!$F$39,0,IF(Z4='Project Assumptions'!$F$39,NPV(AA13,AA20:$AC$20),IF(Z4&lt;='Project Assumptions'!$G$39,Z16-Z43,0)))</f>
        <v>0</v>
      </c>
      <c r="AA20" s="520" t="n">
        <f aca="false">IF(AA4&lt;'Project Assumptions'!$F$39,0,IF(AA4='Project Assumptions'!$F$39,NPV(AB13,AB20:$AC$20),IF(AA4&lt;='Project Assumptions'!$G$39,AA16-AA43,0)))</f>
        <v>0</v>
      </c>
      <c r="AB20" s="520" t="n">
        <f aca="false">IF(AB4&lt;'Project Assumptions'!$F$39,0,IF(AB4='Project Assumptions'!$F$39,NPV(AC13,AC20:$AC$20),IF(AB4&lt;='Project Assumptions'!$G$39,AB16-AB43,0)))</f>
        <v>0</v>
      </c>
      <c r="AC20" s="521" t="n">
        <f aca="false">IF(AC4&lt;'Project Assumptions'!$F$39,0,IF(AC4='Project Assumptions'!$F$39,NPV(AD13,$AC20:AD$20),IF(AC4&lt;='Project Assumptions'!$G$39,AC16-AC43,0)))</f>
        <v>0</v>
      </c>
      <c r="AD20" s="529"/>
      <c r="AE20" s="529"/>
      <c r="AF20" s="529"/>
      <c r="AG20" s="529"/>
      <c r="AH20" s="529"/>
      <c r="AI20" s="529"/>
      <c r="AJ20" s="529"/>
      <c r="AK20" s="529"/>
      <c r="AL20" s="529"/>
      <c r="AM20" s="529"/>
      <c r="AN20" s="529"/>
      <c r="AO20" s="529"/>
      <c r="AP20" s="529"/>
      <c r="AQ20" s="529"/>
      <c r="AR20" s="529"/>
      <c r="AS20" s="529"/>
      <c r="AT20" s="529"/>
      <c r="AU20" s="529"/>
      <c r="AV20" s="529"/>
      <c r="AW20" s="529"/>
      <c r="AX20" s="529"/>
      <c r="AY20" s="529"/>
      <c r="AZ20" s="529"/>
      <c r="BA20" s="529"/>
      <c r="BB20" s="529"/>
      <c r="BC20" s="529"/>
      <c r="BD20" s="529"/>
      <c r="BE20" s="529"/>
      <c r="BF20" s="529"/>
      <c r="BG20" s="529"/>
      <c r="BH20" s="529"/>
      <c r="BI20" s="529"/>
      <c r="BJ20" s="529"/>
      <c r="BK20" s="529"/>
      <c r="BL20" s="529"/>
      <c r="BM20" s="529"/>
      <c r="BN20" s="529"/>
      <c r="BO20" s="529"/>
      <c r="BP20" s="529"/>
      <c r="BQ20" s="529"/>
      <c r="BR20" s="529"/>
      <c r="BS20" s="529"/>
      <c r="BT20" s="529"/>
      <c r="BU20" s="529"/>
      <c r="BV20" s="529"/>
      <c r="BW20" s="529"/>
      <c r="BX20" s="529"/>
      <c r="BY20" s="529"/>
      <c r="BZ20" s="529"/>
      <c r="CA20" s="529"/>
      <c r="CB20" s="529"/>
      <c r="CC20" s="529"/>
      <c r="CD20" s="529"/>
      <c r="CE20" s="529"/>
      <c r="CF20" s="529"/>
      <c r="CG20" s="529"/>
      <c r="CH20" s="529"/>
      <c r="CI20" s="529"/>
      <c r="CJ20" s="529"/>
      <c r="CK20" s="529"/>
      <c r="CL20" s="529"/>
      <c r="CM20" s="529"/>
      <c r="CN20" s="529"/>
      <c r="CO20" s="529"/>
      <c r="CP20" s="529"/>
      <c r="CQ20" s="529"/>
      <c r="CR20" s="529"/>
      <c r="CS20" s="529"/>
      <c r="CT20" s="529"/>
      <c r="CU20" s="529"/>
      <c r="CV20" s="529"/>
      <c r="CW20" s="529"/>
      <c r="CX20" s="529"/>
      <c r="CY20" s="529"/>
      <c r="CZ20" s="529"/>
      <c r="DA20" s="529"/>
      <c r="DB20" s="529"/>
      <c r="DC20" s="529"/>
      <c r="DD20" s="529"/>
      <c r="DE20" s="529"/>
      <c r="DF20" s="529"/>
      <c r="DG20" s="529"/>
      <c r="DH20" s="529"/>
      <c r="DI20" s="529"/>
      <c r="DJ20" s="529"/>
      <c r="DK20" s="529"/>
      <c r="DL20" s="529"/>
      <c r="DM20" s="529"/>
      <c r="DN20" s="529"/>
      <c r="DO20" s="529"/>
      <c r="DP20" s="529"/>
      <c r="DQ20" s="529"/>
      <c r="DR20" s="529"/>
      <c r="DS20" s="529"/>
      <c r="DT20" s="529"/>
      <c r="DU20" s="529"/>
      <c r="DV20" s="529"/>
      <c r="DW20" s="529"/>
      <c r="DX20" s="529"/>
      <c r="DY20" s="529"/>
      <c r="DZ20" s="529"/>
      <c r="EA20" s="529"/>
      <c r="EB20" s="529"/>
      <c r="EC20" s="529"/>
      <c r="ED20" s="529"/>
      <c r="EE20" s="529"/>
      <c r="EF20" s="529"/>
      <c r="EG20" s="529"/>
      <c r="EH20" s="529"/>
      <c r="EI20" s="529"/>
      <c r="EJ20" s="529"/>
      <c r="EK20" s="529"/>
      <c r="EL20" s="529"/>
      <c r="EM20" s="529"/>
      <c r="EN20" s="529"/>
      <c r="EO20" s="529"/>
      <c r="EP20" s="529"/>
      <c r="EQ20" s="529"/>
      <c r="ER20" s="529"/>
      <c r="ES20" s="529"/>
      <c r="ET20" s="529"/>
      <c r="EU20" s="529"/>
      <c r="EV20" s="529"/>
      <c r="EW20" s="529"/>
      <c r="EX20" s="529"/>
      <c r="EY20" s="529"/>
      <c r="EZ20" s="529"/>
      <c r="FA20" s="529"/>
      <c r="FB20" s="529"/>
      <c r="FC20" s="529"/>
      <c r="FD20" s="529"/>
      <c r="FE20" s="529"/>
      <c r="FF20" s="529"/>
      <c r="FG20" s="529"/>
      <c r="FH20" s="529"/>
      <c r="FI20" s="529"/>
      <c r="FJ20" s="529"/>
      <c r="FK20" s="529"/>
      <c r="FL20" s="529"/>
      <c r="FM20" s="529"/>
      <c r="FN20" s="529"/>
      <c r="FO20" s="529"/>
      <c r="FP20" s="529"/>
      <c r="FQ20" s="529"/>
      <c r="FR20" s="529"/>
      <c r="FS20" s="529"/>
      <c r="FT20" s="529"/>
      <c r="FU20" s="529"/>
      <c r="FV20" s="529"/>
      <c r="FW20" s="529"/>
      <c r="FX20" s="529"/>
      <c r="FY20" s="529"/>
      <c r="FZ20" s="529"/>
      <c r="GA20" s="529"/>
      <c r="GB20" s="529"/>
      <c r="GC20" s="529"/>
      <c r="GD20" s="529"/>
      <c r="GE20" s="529"/>
      <c r="GF20" s="529"/>
      <c r="GG20" s="529"/>
      <c r="GH20" s="529"/>
      <c r="GI20" s="529"/>
      <c r="GJ20" s="529"/>
      <c r="GK20" s="529"/>
      <c r="GL20" s="529"/>
      <c r="GM20" s="529"/>
      <c r="GN20" s="529"/>
      <c r="GO20" s="529"/>
      <c r="GP20" s="529"/>
      <c r="GQ20" s="529"/>
      <c r="GR20" s="529"/>
      <c r="GS20" s="529"/>
      <c r="GT20" s="529"/>
      <c r="GU20" s="529"/>
      <c r="GV20" s="529"/>
      <c r="GW20" s="529"/>
      <c r="GX20" s="529"/>
      <c r="GY20" s="529"/>
      <c r="GZ20" s="529"/>
      <c r="HA20" s="529"/>
      <c r="HB20" s="529"/>
      <c r="HC20" s="529"/>
      <c r="HD20" s="529"/>
      <c r="HE20" s="529"/>
      <c r="HF20" s="529"/>
      <c r="HG20" s="529"/>
      <c r="HH20" s="529"/>
      <c r="HI20" s="529"/>
      <c r="HJ20" s="529"/>
      <c r="HK20" s="529"/>
      <c r="HL20" s="529"/>
      <c r="HM20" s="529"/>
      <c r="HN20" s="529"/>
      <c r="HO20" s="529"/>
      <c r="HP20" s="529"/>
      <c r="HQ20" s="529"/>
      <c r="HR20" s="529"/>
      <c r="HS20" s="529"/>
      <c r="HT20" s="529"/>
      <c r="HU20" s="529"/>
      <c r="HV20" s="529"/>
      <c r="HW20" s="529"/>
      <c r="HX20" s="529"/>
      <c r="HY20" s="529"/>
      <c r="HZ20" s="529"/>
      <c r="IA20" s="529"/>
      <c r="IB20" s="529"/>
      <c r="IC20" s="529"/>
      <c r="ID20" s="529"/>
      <c r="IE20" s="529"/>
      <c r="IF20" s="529"/>
      <c r="IG20" s="529"/>
      <c r="IH20" s="529"/>
      <c r="II20" s="529"/>
      <c r="IJ20" s="529"/>
      <c r="IK20" s="529"/>
      <c r="IL20" s="529"/>
      <c r="IM20" s="529"/>
      <c r="IN20" s="529"/>
      <c r="IO20" s="529"/>
      <c r="IP20" s="529"/>
      <c r="IQ20" s="529"/>
      <c r="IR20" s="529"/>
      <c r="IS20" s="529"/>
      <c r="IT20" s="529"/>
      <c r="IU20" s="529"/>
      <c r="IV20" s="529"/>
      <c r="IW20" s="529"/>
    </row>
    <row r="21" customFormat="false" ht="15" hidden="false" customHeight="false" outlineLevel="0" collapsed="false">
      <c r="A21" s="524" t="s">
        <v>444</v>
      </c>
      <c r="B21" s="536" t="n">
        <f aca="false">IF('Project Assumptions'!$H$39=0,0,HLOOKUP('Project Assumptions'!$G$39,$E$4:$AC$21,18))</f>
        <v>129657.702740605</v>
      </c>
      <c r="C21" s="536"/>
      <c r="D21" s="525"/>
      <c r="E21" s="520" t="n">
        <f aca="false">IF(OR(E4&lt;'Project Assumptions'!$G$39,'Project Assumptions'!$G$39=0,'Project Assumptions'!$H$39=0),0,IF(E4='Project Assumptions'!$G$39,NPV(F14,F21:$AC$21),IF(E4&lt;='Project Assumptions'!$H$39,E16,0)))</f>
        <v>0</v>
      </c>
      <c r="F21" s="520" t="n">
        <f aca="false">IF(OR(F4&lt;'Project Assumptions'!$G$39,'Project Assumptions'!$G$39=0,'Project Assumptions'!$H$39=0),0,IF(F4='Project Assumptions'!$G$39,NPV(G14,G21:$AC$21),IF(F4&lt;='Project Assumptions'!$H$39,F16,0)))</f>
        <v>0</v>
      </c>
      <c r="G21" s="520" t="n">
        <f aca="false">IF(OR(G4&lt;'Project Assumptions'!$G$39,'Project Assumptions'!$G$39=0,'Project Assumptions'!$H$39=0),0,IF(G4='Project Assumptions'!$G$39,NPV(H14,H21:$AC$21),IF(G4&lt;='Project Assumptions'!$H$39,G16,0)))</f>
        <v>0</v>
      </c>
      <c r="H21" s="520" t="n">
        <f aca="false">IF(OR(H4&lt;'Project Assumptions'!$G$39,'Project Assumptions'!$G$39=0,'Project Assumptions'!$H$39=0),0,IF(H4='Project Assumptions'!$G$39,NPV(I14,I21:$AC$21),IF(H4&lt;='Project Assumptions'!$H$39,H16,0)))</f>
        <v>0</v>
      </c>
      <c r="I21" s="520" t="n">
        <f aca="false">IF(OR(I4&lt;'Project Assumptions'!$G$39,'Project Assumptions'!$G$39=0,'Project Assumptions'!$H$39=0),0,IF(I4='Project Assumptions'!$G$39,NPV(J14,J21:$AC$21),IF(I4&lt;='Project Assumptions'!$H$39,I16,0)))</f>
        <v>0</v>
      </c>
      <c r="J21" s="520" t="n">
        <f aca="false">IF(OR(J4&lt;'Project Assumptions'!$G$39,'Project Assumptions'!$G$39=0,'Project Assumptions'!$H$39=0),0,IF(J4='Project Assumptions'!$G$39,NPV(K14,K21:$AC$21),IF(J4&lt;='Project Assumptions'!$H$39,J16,0)))</f>
        <v>0</v>
      </c>
      <c r="K21" s="520" t="n">
        <f aca="false">IF(OR(K4&lt;'Project Assumptions'!$G$39,'Project Assumptions'!$G$39=0,'Project Assumptions'!$H$39=0),0,IF(K4='Project Assumptions'!$G$39,NPV(L14,L21:$AC$21),IF(K4&lt;='Project Assumptions'!$H$39,K16,0)))</f>
        <v>0</v>
      </c>
      <c r="L21" s="520" t="n">
        <f aca="false">IF(OR(L4&lt;'Project Assumptions'!$G$39,'Project Assumptions'!$G$39=0,'Project Assumptions'!$H$39=0),0,IF(L4='Project Assumptions'!$G$39,NPV(M14,M21:$AC$21),IF(L4&lt;='Project Assumptions'!$H$39,L16,0)))</f>
        <v>0</v>
      </c>
      <c r="M21" s="520" t="n">
        <f aca="false">IF(OR(M4&lt;'Project Assumptions'!$G$39,'Project Assumptions'!$G$39=0,'Project Assumptions'!$H$39=0),0,IF(M4='Project Assumptions'!$G$39,NPV(N14,N21:$AC$21),IF(M4&lt;='Project Assumptions'!$H$39,M16,0)))</f>
        <v>0</v>
      </c>
      <c r="N21" s="520" t="n">
        <f aca="false">IF(OR(N4&lt;'Project Assumptions'!$G$39,'Project Assumptions'!$G$39=0,'Project Assumptions'!$H$39=0),0,IF(N4='Project Assumptions'!$G$39,NPV(O14,O21:$AC$21),IF(N4&lt;='Project Assumptions'!$H$39,N16,0)))</f>
        <v>129657.702740605</v>
      </c>
      <c r="O21" s="520" t="n">
        <f aca="false">IF(OR(O4&lt;'Project Assumptions'!$G$39,'Project Assumptions'!$G$39=0,'Project Assumptions'!$H$39=0),0,IF(O4='Project Assumptions'!$G$39,NPV(P14,P21:$AC$21),IF(O4&lt;='Project Assumptions'!$H$39,O16,0)))</f>
        <v>18815.8597253907</v>
      </c>
      <c r="P21" s="520" t="n">
        <f aca="false">IF(OR(P4&lt;'Project Assumptions'!$G$39,'Project Assumptions'!$G$39=0,'Project Assumptions'!$H$39=0),0,IF(P4='Project Assumptions'!$G$39,NPV(Q14,Q21:$AC$21),IF(P4&lt;='Project Assumptions'!$H$39,P16,0)))</f>
        <v>19008.5357255898</v>
      </c>
      <c r="Q21" s="520" t="n">
        <f aca="false">IF(OR(Q4&lt;'Project Assumptions'!$G$39,'Project Assumptions'!$G$39=0,'Project Assumptions'!$H$39=0),0,IF(Q4='Project Assumptions'!$G$39,NPV(R14,R21:$AC$21),IF(Q4&lt;='Project Assumptions'!$H$39,Q16,0)))</f>
        <v>19195.7219430616</v>
      </c>
      <c r="R21" s="520" t="n">
        <f aca="false">IF(OR(R4&lt;'Project Assumptions'!$G$39,'Project Assumptions'!$G$39=0,'Project Assumptions'!$H$39=0),0,IF(R4='Project Assumptions'!$G$39,NPV(S14,S21:$AC$21),IF(R4&lt;='Project Assumptions'!$H$39,R16,0)))</f>
        <v>19393.709295451</v>
      </c>
      <c r="S21" s="520" t="n">
        <f aca="false">IF(OR(S4&lt;'Project Assumptions'!$G$39,'Project Assumptions'!$G$39=0,'Project Assumptions'!$H$39=0),0,IF(S4='Project Assumptions'!$G$39,NPV(T14,T21:$AC$21),IF(S4&lt;='Project Assumptions'!$H$39,S16,0)))</f>
        <v>19568.3823344595</v>
      </c>
      <c r="T21" s="520" t="n">
        <f aca="false">IF(OR(T4&lt;'Project Assumptions'!$G$39,'Project Assumptions'!$G$39=0,'Project Assumptions'!$H$39=0),0,IF(T4='Project Assumptions'!$G$39,NPV(U14,U21:$AC$21),IF(T4&lt;='Project Assumptions'!$H$39,T16,0)))</f>
        <v>19735.9804627979</v>
      </c>
      <c r="U21" s="520" t="n">
        <f aca="false">IF(OR(U4&lt;'Project Assumptions'!$G$39,'Project Assumptions'!$G$39=0,'Project Assumptions'!$H$39=0),0,IF(U4='Project Assumptions'!$G$39,NPV(V14,V21:$AC$21),IF(U4&lt;='Project Assumptions'!$H$39,U16,0)))</f>
        <v>19895.921980091</v>
      </c>
      <c r="V21" s="520" t="n">
        <f aca="false">IF(OR(V4&lt;'Project Assumptions'!$G$39,'Project Assumptions'!$G$39=0,'Project Assumptions'!$H$39=0),0,IF(V4='Project Assumptions'!$G$39,NPV(W14,W21:$AC$21),IF(V4&lt;='Project Assumptions'!$H$39,V16,0)))</f>
        <v>20064.3903643693</v>
      </c>
      <c r="W21" s="520" t="n">
        <f aca="false">IF(OR(W4&lt;'Project Assumptions'!$G$39,'Project Assumptions'!$G$39=0,'Project Assumptions'!$H$39=0),0,IF(W4='Project Assumptions'!$G$39,NPV(X14,X21:$AC$21),IF(W4&lt;='Project Assumptions'!$H$39,W16,0)))</f>
        <v>20207.1582314882</v>
      </c>
      <c r="X21" s="520" t="n">
        <f aca="false">IF(OR(X4&lt;'Project Assumptions'!$G$39,'Project Assumptions'!$G$39=0,'Project Assumptions'!$H$39=0),0,IF(X4='Project Assumptions'!$G$39,NPV(Y14,Y21:$AC$21),IF(X4&lt;='Project Assumptions'!$H$39,X16,0)))</f>
        <v>19864.4624361428</v>
      </c>
      <c r="Y21" s="520" t="n">
        <f aca="false">IF(OR(Y4&lt;'Project Assumptions'!$G$39,'Project Assumptions'!$G$39=0,'Project Assumptions'!$H$39=0),0,IF(Y4='Project Assumptions'!$G$39,NPV(Z14,Z21:$AC$21),IF(Y4&lt;='Project Assumptions'!$H$39,Y16,0)))</f>
        <v>0</v>
      </c>
      <c r="Z21" s="520" t="n">
        <f aca="false">IF(OR(Z4&lt;'Project Assumptions'!$G$39,'Project Assumptions'!$G$39=0,'Project Assumptions'!$H$39=0),0,IF(Z4='Project Assumptions'!$G$39,NPV(AA14,AA21:$AC$21),IF(Z4&lt;='Project Assumptions'!$H$39,Z16,0)))</f>
        <v>0</v>
      </c>
      <c r="AA21" s="520" t="n">
        <f aca="false">IF(OR(AA4&lt;'Project Assumptions'!$G$39,'Project Assumptions'!$G$39=0,'Project Assumptions'!$H$39=0),0,IF(AA4='Project Assumptions'!$G$39,NPV(AB14,AB21:$AC$21),IF(AA4&lt;='Project Assumptions'!$H$39,AA16,0)))</f>
        <v>0</v>
      </c>
      <c r="AB21" s="520" t="n">
        <f aca="false">IF(OR(AB4&lt;'Project Assumptions'!$G$39,'Project Assumptions'!$G$39=0,'Project Assumptions'!$H$39=0),0,IF(AB4='Project Assumptions'!$G$39,NPV(AC14,AC21:$AC$21),IF(AB4&lt;='Project Assumptions'!$H$39,AB16,0)))</f>
        <v>0</v>
      </c>
      <c r="AC21" s="521" t="n">
        <f aca="false">IF(OR(AC4&lt;'Project Assumptions'!$G$39,'Project Assumptions'!$G$39=0,'Project Assumptions'!$H$39=0),0,IF(AC4='Project Assumptions'!$G$39,NPV(AD14,$AC21:AD$21),IF(AC4&lt;='Project Assumptions'!$H$39,AC16,0)))</f>
        <v>0</v>
      </c>
      <c r="AD21" s="529"/>
      <c r="AE21" s="529"/>
      <c r="AF21" s="529"/>
      <c r="AG21" s="529"/>
      <c r="AH21" s="529"/>
      <c r="AI21" s="529"/>
      <c r="AJ21" s="529"/>
      <c r="AK21" s="529"/>
      <c r="AL21" s="529"/>
      <c r="AM21" s="529"/>
      <c r="AN21" s="529"/>
      <c r="AO21" s="529"/>
      <c r="AP21" s="529"/>
      <c r="AQ21" s="529"/>
      <c r="AR21" s="529"/>
      <c r="AS21" s="529"/>
      <c r="AT21" s="529"/>
      <c r="AU21" s="529"/>
      <c r="AV21" s="529"/>
      <c r="AW21" s="529"/>
      <c r="AX21" s="529"/>
      <c r="AY21" s="529"/>
      <c r="AZ21" s="529"/>
      <c r="BA21" s="529"/>
      <c r="BB21" s="529"/>
      <c r="BC21" s="529"/>
      <c r="BD21" s="529"/>
      <c r="BE21" s="529"/>
      <c r="BF21" s="529"/>
      <c r="BG21" s="529"/>
      <c r="BH21" s="529"/>
      <c r="BI21" s="529"/>
      <c r="BJ21" s="529"/>
      <c r="BK21" s="529"/>
      <c r="BL21" s="529"/>
      <c r="BM21" s="529"/>
      <c r="BN21" s="529"/>
      <c r="BO21" s="529"/>
      <c r="BP21" s="529"/>
      <c r="BQ21" s="529"/>
      <c r="BR21" s="529"/>
      <c r="BS21" s="529"/>
      <c r="BT21" s="529"/>
      <c r="BU21" s="529"/>
      <c r="BV21" s="529"/>
      <c r="BW21" s="529"/>
      <c r="BX21" s="529"/>
      <c r="BY21" s="529"/>
      <c r="BZ21" s="529"/>
      <c r="CA21" s="529"/>
      <c r="CB21" s="529"/>
      <c r="CC21" s="529"/>
      <c r="CD21" s="529"/>
      <c r="CE21" s="529"/>
      <c r="CF21" s="529"/>
      <c r="CG21" s="529"/>
      <c r="CH21" s="529"/>
      <c r="CI21" s="529"/>
      <c r="CJ21" s="529"/>
      <c r="CK21" s="529"/>
      <c r="CL21" s="529"/>
      <c r="CM21" s="529"/>
      <c r="CN21" s="529"/>
      <c r="CO21" s="529"/>
      <c r="CP21" s="529"/>
      <c r="CQ21" s="529"/>
      <c r="CR21" s="529"/>
      <c r="CS21" s="529"/>
      <c r="CT21" s="529"/>
      <c r="CU21" s="529"/>
      <c r="CV21" s="529"/>
      <c r="CW21" s="529"/>
      <c r="CX21" s="529"/>
      <c r="CY21" s="529"/>
      <c r="CZ21" s="529"/>
      <c r="DA21" s="529"/>
      <c r="DB21" s="529"/>
      <c r="DC21" s="529"/>
      <c r="DD21" s="529"/>
      <c r="DE21" s="529"/>
      <c r="DF21" s="529"/>
      <c r="DG21" s="529"/>
      <c r="DH21" s="529"/>
      <c r="DI21" s="529"/>
      <c r="DJ21" s="529"/>
      <c r="DK21" s="529"/>
      <c r="DL21" s="529"/>
      <c r="DM21" s="529"/>
      <c r="DN21" s="529"/>
      <c r="DO21" s="529"/>
      <c r="DP21" s="529"/>
      <c r="DQ21" s="529"/>
      <c r="DR21" s="529"/>
      <c r="DS21" s="529"/>
      <c r="DT21" s="529"/>
      <c r="DU21" s="529"/>
      <c r="DV21" s="529"/>
      <c r="DW21" s="529"/>
      <c r="DX21" s="529"/>
      <c r="DY21" s="529"/>
      <c r="DZ21" s="529"/>
      <c r="EA21" s="529"/>
      <c r="EB21" s="529"/>
      <c r="EC21" s="529"/>
      <c r="ED21" s="529"/>
      <c r="EE21" s="529"/>
      <c r="EF21" s="529"/>
      <c r="EG21" s="529"/>
      <c r="EH21" s="529"/>
      <c r="EI21" s="529"/>
      <c r="EJ21" s="529"/>
      <c r="EK21" s="529"/>
      <c r="EL21" s="529"/>
      <c r="EM21" s="529"/>
      <c r="EN21" s="529"/>
      <c r="EO21" s="529"/>
      <c r="EP21" s="529"/>
      <c r="EQ21" s="529"/>
      <c r="ER21" s="529"/>
      <c r="ES21" s="529"/>
      <c r="ET21" s="529"/>
      <c r="EU21" s="529"/>
      <c r="EV21" s="529"/>
      <c r="EW21" s="529"/>
      <c r="EX21" s="529"/>
      <c r="EY21" s="529"/>
      <c r="EZ21" s="529"/>
      <c r="FA21" s="529"/>
      <c r="FB21" s="529"/>
      <c r="FC21" s="529"/>
      <c r="FD21" s="529"/>
      <c r="FE21" s="529"/>
      <c r="FF21" s="529"/>
      <c r="FG21" s="529"/>
      <c r="FH21" s="529"/>
      <c r="FI21" s="529"/>
      <c r="FJ21" s="529"/>
      <c r="FK21" s="529"/>
      <c r="FL21" s="529"/>
      <c r="FM21" s="529"/>
      <c r="FN21" s="529"/>
      <c r="FO21" s="529"/>
      <c r="FP21" s="529"/>
      <c r="FQ21" s="529"/>
      <c r="FR21" s="529"/>
      <c r="FS21" s="529"/>
      <c r="FT21" s="529"/>
      <c r="FU21" s="529"/>
      <c r="FV21" s="529"/>
      <c r="FW21" s="529"/>
      <c r="FX21" s="529"/>
      <c r="FY21" s="529"/>
      <c r="FZ21" s="529"/>
      <c r="GA21" s="529"/>
      <c r="GB21" s="529"/>
      <c r="GC21" s="529"/>
      <c r="GD21" s="529"/>
      <c r="GE21" s="529"/>
      <c r="GF21" s="529"/>
      <c r="GG21" s="529"/>
      <c r="GH21" s="529"/>
      <c r="GI21" s="529"/>
      <c r="GJ21" s="529"/>
      <c r="GK21" s="529"/>
      <c r="GL21" s="529"/>
      <c r="GM21" s="529"/>
      <c r="GN21" s="529"/>
      <c r="GO21" s="529"/>
      <c r="GP21" s="529"/>
      <c r="GQ21" s="529"/>
      <c r="GR21" s="529"/>
      <c r="GS21" s="529"/>
      <c r="GT21" s="529"/>
      <c r="GU21" s="529"/>
      <c r="GV21" s="529"/>
      <c r="GW21" s="529"/>
      <c r="GX21" s="529"/>
      <c r="GY21" s="529"/>
      <c r="GZ21" s="529"/>
      <c r="HA21" s="529"/>
      <c r="HB21" s="529"/>
      <c r="HC21" s="529"/>
      <c r="HD21" s="529"/>
      <c r="HE21" s="529"/>
      <c r="HF21" s="529"/>
      <c r="HG21" s="529"/>
      <c r="HH21" s="529"/>
      <c r="HI21" s="529"/>
      <c r="HJ21" s="529"/>
      <c r="HK21" s="529"/>
      <c r="HL21" s="529"/>
      <c r="HM21" s="529"/>
      <c r="HN21" s="529"/>
      <c r="HO21" s="529"/>
      <c r="HP21" s="529"/>
      <c r="HQ21" s="529"/>
      <c r="HR21" s="529"/>
      <c r="HS21" s="529"/>
      <c r="HT21" s="529"/>
      <c r="HU21" s="529"/>
      <c r="HV21" s="529"/>
      <c r="HW21" s="529"/>
      <c r="HX21" s="529"/>
      <c r="HY21" s="529"/>
      <c r="HZ21" s="529"/>
      <c r="IA21" s="529"/>
      <c r="IB21" s="529"/>
      <c r="IC21" s="529"/>
      <c r="ID21" s="529"/>
      <c r="IE21" s="529"/>
      <c r="IF21" s="529"/>
      <c r="IG21" s="529"/>
      <c r="IH21" s="529"/>
      <c r="II21" s="529"/>
      <c r="IJ21" s="529"/>
      <c r="IK21" s="529"/>
      <c r="IL21" s="529"/>
      <c r="IM21" s="529"/>
      <c r="IN21" s="529"/>
      <c r="IO21" s="529"/>
      <c r="IP21" s="529"/>
      <c r="IQ21" s="529"/>
      <c r="IR21" s="529"/>
      <c r="IS21" s="529"/>
      <c r="IT21" s="529"/>
      <c r="IU21" s="529"/>
      <c r="IV21" s="529"/>
      <c r="IW21" s="529"/>
    </row>
    <row r="22" customFormat="false" ht="12.75" hidden="false" customHeight="false" outlineLevel="0" collapsed="false">
      <c r="A22" s="537" t="s">
        <v>445</v>
      </c>
      <c r="B22" s="538" t="n">
        <f aca="false">SUM(B19:B21)</f>
        <v>253924.633460177</v>
      </c>
      <c r="C22" s="539"/>
      <c r="D22" s="540"/>
      <c r="E22" s="541"/>
      <c r="F22" s="541"/>
      <c r="G22" s="541"/>
      <c r="H22" s="541"/>
      <c r="I22" s="541"/>
      <c r="J22" s="541"/>
      <c r="K22" s="541"/>
      <c r="L22" s="541"/>
      <c r="M22" s="541"/>
      <c r="N22" s="541"/>
      <c r="O22" s="541"/>
      <c r="P22" s="541"/>
      <c r="Q22" s="541"/>
      <c r="R22" s="541"/>
      <c r="S22" s="541"/>
      <c r="T22" s="541"/>
      <c r="U22" s="541"/>
      <c r="V22" s="541"/>
      <c r="W22" s="541"/>
      <c r="X22" s="541"/>
      <c r="Y22" s="541"/>
      <c r="Z22" s="541"/>
      <c r="AA22" s="541"/>
      <c r="AB22" s="541"/>
      <c r="AC22" s="542"/>
      <c r="AD22" s="529"/>
      <c r="AE22" s="529"/>
      <c r="AF22" s="529"/>
      <c r="AG22" s="529"/>
      <c r="AH22" s="529"/>
      <c r="AI22" s="529"/>
      <c r="AJ22" s="529"/>
      <c r="AK22" s="529"/>
      <c r="AL22" s="529"/>
      <c r="AM22" s="529"/>
      <c r="AN22" s="529"/>
      <c r="AO22" s="529"/>
      <c r="AP22" s="529"/>
      <c r="AQ22" s="529"/>
      <c r="AR22" s="529"/>
      <c r="AS22" s="529"/>
      <c r="AT22" s="529"/>
      <c r="AU22" s="529"/>
      <c r="AV22" s="529"/>
      <c r="AW22" s="529"/>
      <c r="AX22" s="529"/>
      <c r="AY22" s="529"/>
      <c r="AZ22" s="529"/>
      <c r="BA22" s="529"/>
      <c r="BB22" s="529"/>
      <c r="BC22" s="529"/>
      <c r="BD22" s="529"/>
      <c r="BE22" s="529"/>
      <c r="BF22" s="529"/>
      <c r="BG22" s="529"/>
      <c r="BH22" s="529"/>
      <c r="BI22" s="529"/>
      <c r="BJ22" s="529"/>
      <c r="BK22" s="529"/>
      <c r="BL22" s="529"/>
      <c r="BM22" s="529"/>
      <c r="BN22" s="529"/>
      <c r="BO22" s="529"/>
      <c r="BP22" s="529"/>
      <c r="BQ22" s="529"/>
      <c r="BR22" s="529"/>
      <c r="BS22" s="529"/>
      <c r="BT22" s="529"/>
      <c r="BU22" s="529"/>
      <c r="BV22" s="529"/>
      <c r="BW22" s="529"/>
      <c r="BX22" s="529"/>
      <c r="BY22" s="529"/>
      <c r="BZ22" s="529"/>
      <c r="CA22" s="529"/>
      <c r="CB22" s="529"/>
      <c r="CC22" s="529"/>
      <c r="CD22" s="529"/>
      <c r="CE22" s="529"/>
      <c r="CF22" s="529"/>
      <c r="CG22" s="529"/>
      <c r="CH22" s="529"/>
      <c r="CI22" s="529"/>
      <c r="CJ22" s="529"/>
      <c r="CK22" s="529"/>
      <c r="CL22" s="529"/>
      <c r="CM22" s="529"/>
      <c r="CN22" s="529"/>
      <c r="CO22" s="529"/>
      <c r="CP22" s="529"/>
      <c r="CQ22" s="529"/>
      <c r="CR22" s="529"/>
      <c r="CS22" s="529"/>
      <c r="CT22" s="529"/>
      <c r="CU22" s="529"/>
      <c r="CV22" s="529"/>
      <c r="CW22" s="529"/>
      <c r="CX22" s="529"/>
      <c r="CY22" s="529"/>
      <c r="CZ22" s="529"/>
      <c r="DA22" s="529"/>
      <c r="DB22" s="529"/>
      <c r="DC22" s="529"/>
      <c r="DD22" s="529"/>
      <c r="DE22" s="529"/>
      <c r="DF22" s="529"/>
      <c r="DG22" s="529"/>
      <c r="DH22" s="529"/>
      <c r="DI22" s="529"/>
      <c r="DJ22" s="529"/>
      <c r="DK22" s="529"/>
      <c r="DL22" s="529"/>
      <c r="DM22" s="529"/>
      <c r="DN22" s="529"/>
      <c r="DO22" s="529"/>
      <c r="DP22" s="529"/>
      <c r="DQ22" s="529"/>
      <c r="DR22" s="529"/>
      <c r="DS22" s="529"/>
      <c r="DT22" s="529"/>
      <c r="DU22" s="529"/>
      <c r="DV22" s="529"/>
      <c r="DW22" s="529"/>
      <c r="DX22" s="529"/>
      <c r="DY22" s="529"/>
      <c r="DZ22" s="529"/>
      <c r="EA22" s="529"/>
      <c r="EB22" s="529"/>
      <c r="EC22" s="529"/>
      <c r="ED22" s="529"/>
      <c r="EE22" s="529"/>
      <c r="EF22" s="529"/>
      <c r="EG22" s="529"/>
      <c r="EH22" s="529"/>
      <c r="EI22" s="529"/>
      <c r="EJ22" s="529"/>
      <c r="EK22" s="529"/>
      <c r="EL22" s="529"/>
      <c r="EM22" s="529"/>
      <c r="EN22" s="529"/>
      <c r="EO22" s="529"/>
      <c r="EP22" s="529"/>
      <c r="EQ22" s="529"/>
      <c r="ER22" s="529"/>
      <c r="ES22" s="529"/>
      <c r="ET22" s="529"/>
      <c r="EU22" s="529"/>
      <c r="EV22" s="529"/>
      <c r="EW22" s="529"/>
      <c r="EX22" s="529"/>
      <c r="EY22" s="529"/>
      <c r="EZ22" s="529"/>
      <c r="FA22" s="529"/>
      <c r="FB22" s="529"/>
      <c r="FC22" s="529"/>
      <c r="FD22" s="529"/>
      <c r="FE22" s="529"/>
      <c r="FF22" s="529"/>
      <c r="FG22" s="529"/>
      <c r="FH22" s="529"/>
      <c r="FI22" s="529"/>
      <c r="FJ22" s="529"/>
      <c r="FK22" s="529"/>
      <c r="FL22" s="529"/>
      <c r="FM22" s="529"/>
      <c r="FN22" s="529"/>
      <c r="FO22" s="529"/>
      <c r="FP22" s="529"/>
      <c r="FQ22" s="529"/>
      <c r="FR22" s="529"/>
      <c r="FS22" s="529"/>
      <c r="FT22" s="529"/>
      <c r="FU22" s="529"/>
      <c r="FV22" s="529"/>
      <c r="FW22" s="529"/>
      <c r="FX22" s="529"/>
      <c r="FY22" s="529"/>
      <c r="FZ22" s="529"/>
      <c r="GA22" s="529"/>
      <c r="GB22" s="529"/>
      <c r="GC22" s="529"/>
      <c r="GD22" s="529"/>
      <c r="GE22" s="529"/>
      <c r="GF22" s="529"/>
      <c r="GG22" s="529"/>
      <c r="GH22" s="529"/>
      <c r="GI22" s="529"/>
      <c r="GJ22" s="529"/>
      <c r="GK22" s="529"/>
      <c r="GL22" s="529"/>
      <c r="GM22" s="529"/>
      <c r="GN22" s="529"/>
      <c r="GO22" s="529"/>
      <c r="GP22" s="529"/>
      <c r="GQ22" s="529"/>
      <c r="GR22" s="529"/>
      <c r="GS22" s="529"/>
      <c r="GT22" s="529"/>
      <c r="GU22" s="529"/>
      <c r="GV22" s="529"/>
      <c r="GW22" s="529"/>
      <c r="GX22" s="529"/>
      <c r="GY22" s="529"/>
      <c r="GZ22" s="529"/>
      <c r="HA22" s="529"/>
      <c r="HB22" s="529"/>
      <c r="HC22" s="529"/>
      <c r="HD22" s="529"/>
      <c r="HE22" s="529"/>
      <c r="HF22" s="529"/>
      <c r="HG22" s="529"/>
      <c r="HH22" s="529"/>
      <c r="HI22" s="529"/>
      <c r="HJ22" s="529"/>
      <c r="HK22" s="529"/>
      <c r="HL22" s="529"/>
      <c r="HM22" s="529"/>
      <c r="HN22" s="529"/>
      <c r="HO22" s="529"/>
      <c r="HP22" s="529"/>
      <c r="HQ22" s="529"/>
      <c r="HR22" s="529"/>
      <c r="HS22" s="529"/>
      <c r="HT22" s="529"/>
      <c r="HU22" s="529"/>
      <c r="HV22" s="529"/>
      <c r="HW22" s="529"/>
      <c r="HX22" s="529"/>
      <c r="HY22" s="529"/>
      <c r="HZ22" s="529"/>
      <c r="IA22" s="529"/>
      <c r="IB22" s="529"/>
      <c r="IC22" s="529"/>
      <c r="ID22" s="529"/>
      <c r="IE22" s="529"/>
      <c r="IF22" s="529"/>
      <c r="IG22" s="529"/>
      <c r="IH22" s="529"/>
      <c r="II22" s="529"/>
      <c r="IJ22" s="529"/>
      <c r="IK22" s="529"/>
      <c r="IL22" s="529"/>
      <c r="IM22" s="529"/>
      <c r="IN22" s="529"/>
      <c r="IO22" s="529"/>
      <c r="IP22" s="529"/>
      <c r="IQ22" s="529"/>
      <c r="IR22" s="529"/>
      <c r="IS22" s="529"/>
      <c r="IT22" s="529"/>
      <c r="IU22" s="529"/>
      <c r="IV22" s="529"/>
      <c r="IW22" s="529"/>
    </row>
    <row r="23" customFormat="false" ht="12.75" hidden="false" customHeight="false" outlineLevel="0" collapsed="false">
      <c r="B23" s="543"/>
      <c r="C23" s="543"/>
      <c r="D23" s="498"/>
      <c r="E23" s="544"/>
      <c r="F23" s="544"/>
      <c r="G23" s="544"/>
      <c r="H23" s="544"/>
      <c r="I23" s="544"/>
      <c r="J23" s="544"/>
      <c r="K23" s="544"/>
      <c r="L23" s="544"/>
      <c r="M23" s="544"/>
      <c r="N23" s="544"/>
      <c r="O23" s="544"/>
      <c r="P23" s="544"/>
      <c r="Q23" s="544"/>
      <c r="R23" s="544"/>
      <c r="S23" s="544"/>
      <c r="T23" s="544"/>
      <c r="U23" s="544"/>
      <c r="V23" s="544"/>
      <c r="W23" s="544"/>
      <c r="X23" s="544"/>
      <c r="Y23" s="544"/>
      <c r="Z23" s="544"/>
      <c r="AA23" s="544"/>
      <c r="AB23" s="544"/>
      <c r="AC23" s="544"/>
    </row>
    <row r="24" customFormat="false" ht="12.75" hidden="false" customHeight="false" outlineLevel="0" collapsed="false">
      <c r="B24" s="543"/>
      <c r="C24" s="543"/>
      <c r="D24" s="498"/>
      <c r="E24" s="545"/>
      <c r="F24" s="545"/>
      <c r="G24" s="498"/>
      <c r="H24" s="498"/>
      <c r="I24" s="498"/>
      <c r="J24" s="498"/>
      <c r="K24" s="498"/>
      <c r="L24" s="498"/>
      <c r="M24" s="498"/>
      <c r="N24" s="498"/>
      <c r="O24" s="498"/>
      <c r="P24" s="498"/>
      <c r="Q24" s="498"/>
      <c r="R24" s="498"/>
      <c r="S24" s="498"/>
      <c r="T24" s="498"/>
      <c r="U24" s="498"/>
      <c r="V24" s="498"/>
      <c r="W24" s="498"/>
      <c r="X24" s="498"/>
      <c r="Y24" s="498"/>
      <c r="Z24" s="498"/>
      <c r="AA24" s="498"/>
      <c r="AB24" s="498"/>
    </row>
    <row r="25" customFormat="false" ht="12.75" hidden="false" customHeight="false" outlineLevel="0" collapsed="false">
      <c r="A25" s="546" t="s">
        <v>231</v>
      </c>
      <c r="B25" s="547"/>
      <c r="C25" s="547"/>
      <c r="D25" s="548"/>
      <c r="E25" s="548"/>
      <c r="F25" s="548"/>
      <c r="G25" s="548"/>
      <c r="H25" s="548"/>
      <c r="I25" s="548"/>
      <c r="J25" s="548"/>
      <c r="K25" s="548"/>
      <c r="L25" s="548"/>
      <c r="M25" s="548"/>
      <c r="N25" s="548"/>
      <c r="O25" s="548"/>
      <c r="P25" s="548"/>
      <c r="Q25" s="548"/>
      <c r="R25" s="548"/>
      <c r="S25" s="548"/>
      <c r="T25" s="548"/>
      <c r="U25" s="548"/>
      <c r="V25" s="548"/>
      <c r="W25" s="548"/>
      <c r="X25" s="548"/>
      <c r="Y25" s="548"/>
      <c r="Z25" s="548"/>
      <c r="AA25" s="548"/>
      <c r="AB25" s="548"/>
      <c r="AC25" s="456"/>
    </row>
    <row r="26" customFormat="false" ht="12.75" hidden="false" customHeight="false" outlineLevel="0" collapsed="false">
      <c r="A26" s="387" t="s">
        <v>446</v>
      </c>
      <c r="B26" s="528"/>
      <c r="C26" s="528"/>
      <c r="D26" s="432"/>
      <c r="E26" s="520" t="n">
        <f aca="false">IF(E4&gt;'Project Assumptions'!$F$39,0,B19)</f>
        <v>39510.8858918345</v>
      </c>
      <c r="F26" s="520" t="n">
        <f aca="false">IF(F4&gt;'Project Assumptions'!$F$39,0,E30)</f>
        <v>34702.008826481</v>
      </c>
      <c r="G26" s="520" t="n">
        <f aca="false">IF(G4&gt;'Project Assumptions'!$F$39,0,F30)</f>
        <v>25908.2367784854</v>
      </c>
      <c r="H26" s="520" t="n">
        <f aca="false">IF(H4&gt;'Project Assumptions'!$F$39,0,G30)</f>
        <v>16571.525488915</v>
      </c>
      <c r="I26" s="520" t="n">
        <f aca="false">IF(I4&gt;'Project Assumptions'!$F$39,0,H30)</f>
        <v>0</v>
      </c>
      <c r="J26" s="520" t="n">
        <f aca="false">IF(J4&gt;'Project Assumptions'!$F$39,0,I30)</f>
        <v>0</v>
      </c>
      <c r="K26" s="520" t="n">
        <f aca="false">IF(K4&gt;'Project Assumptions'!$F$39,0,J30)</f>
        <v>0</v>
      </c>
      <c r="L26" s="520" t="n">
        <f aca="false">IF(L4&gt;'Project Assumptions'!$F$39,0,K30)</f>
        <v>0</v>
      </c>
      <c r="M26" s="520" t="n">
        <f aca="false">IF(M4&gt;'Project Assumptions'!$F$39,0,L30)</f>
        <v>0</v>
      </c>
      <c r="N26" s="520" t="n">
        <f aca="false">IF(N4&gt;'Project Assumptions'!$F$39,0,M30)</f>
        <v>0</v>
      </c>
      <c r="O26" s="520" t="n">
        <f aca="false">IF(O4&gt;'Project Assumptions'!$F$39,0,N30)</f>
        <v>0</v>
      </c>
      <c r="P26" s="520" t="n">
        <f aca="false">IF(P4&gt;'Project Assumptions'!$F$39,0,O30)</f>
        <v>0</v>
      </c>
      <c r="Q26" s="520" t="n">
        <f aca="false">IF(Q4&gt;'Project Assumptions'!$F$39,0,P30)</f>
        <v>0</v>
      </c>
      <c r="R26" s="520" t="n">
        <f aca="false">IF(R4&gt;'Project Assumptions'!$F$39,0,Q30)</f>
        <v>0</v>
      </c>
      <c r="S26" s="520" t="n">
        <f aca="false">IF(S4&gt;'Project Assumptions'!$F$39,0,R30)</f>
        <v>0</v>
      </c>
      <c r="T26" s="520" t="n">
        <f aca="false">IF(T4&gt;'Project Assumptions'!$F$39,0,S30)</f>
        <v>0</v>
      </c>
      <c r="U26" s="520" t="n">
        <f aca="false">IF(U4&gt;'Project Assumptions'!$F$39,0,T30)</f>
        <v>0</v>
      </c>
      <c r="V26" s="520" t="n">
        <f aca="false">IF(V4&gt;'Project Assumptions'!$F$39,0,U30)</f>
        <v>0</v>
      </c>
      <c r="W26" s="520" t="n">
        <f aca="false">IF(W4&gt;'Project Assumptions'!$F$39,0,V30)</f>
        <v>0</v>
      </c>
      <c r="X26" s="520" t="n">
        <f aca="false">IF(X4&gt;'Project Assumptions'!$F$39,0,W30)</f>
        <v>0</v>
      </c>
      <c r="Y26" s="520" t="n">
        <f aca="false">IF(Y4&gt;'Project Assumptions'!$F$39,0,X30)</f>
        <v>0</v>
      </c>
      <c r="Z26" s="520" t="n">
        <f aca="false">IF(Z4&gt;'Project Assumptions'!$F$39,0,Y30)</f>
        <v>0</v>
      </c>
      <c r="AA26" s="520" t="n">
        <f aca="false">IF(AA4&gt;'Project Assumptions'!$F$39,0,Z30)</f>
        <v>0</v>
      </c>
      <c r="AB26" s="520" t="n">
        <f aca="false">IF(AB4&gt;'Project Assumptions'!$F$39,0,AA30)</f>
        <v>0</v>
      </c>
      <c r="AC26" s="521" t="n">
        <f aca="false">IF(AC4&gt;'Project Assumptions'!$F$39,0,AB30)</f>
        <v>0</v>
      </c>
    </row>
    <row r="27" customFormat="false" ht="12.75" hidden="false" customHeight="false" outlineLevel="0" collapsed="false">
      <c r="A27" s="387" t="s">
        <v>447</v>
      </c>
      <c r="B27" s="549"/>
      <c r="C27" s="549"/>
      <c r="D27" s="432"/>
      <c r="E27" s="498" t="n">
        <f aca="false">E26*$E$12*(13-MONTH('Project Assumptions'!G16))/12</f>
        <v>1551.13152863694</v>
      </c>
      <c r="F27" s="498" t="n">
        <f aca="false">F26*F$12</f>
        <v>2335.44519402217</v>
      </c>
      <c r="G27" s="498" t="n">
        <f aca="false">G26*G$12</f>
        <v>1743.62433519206</v>
      </c>
      <c r="H27" s="498" t="n">
        <f aca="false">H26*H$12</f>
        <v>1115.26366540398</v>
      </c>
      <c r="I27" s="498" t="n">
        <f aca="false">I26*I$12</f>
        <v>0</v>
      </c>
      <c r="J27" s="498" t="n">
        <f aca="false">J26*J$12</f>
        <v>0</v>
      </c>
      <c r="K27" s="498" t="n">
        <f aca="false">K26*K$12</f>
        <v>0</v>
      </c>
      <c r="L27" s="498" t="n">
        <f aca="false">L26*L$12</f>
        <v>0</v>
      </c>
      <c r="M27" s="498" t="n">
        <f aca="false">M26*M$12</f>
        <v>0</v>
      </c>
      <c r="N27" s="498" t="n">
        <f aca="false">N26*N$12</f>
        <v>0</v>
      </c>
      <c r="O27" s="498" t="n">
        <f aca="false">O26*O$12</f>
        <v>0</v>
      </c>
      <c r="P27" s="498" t="n">
        <f aca="false">P26*P$12</f>
        <v>0</v>
      </c>
      <c r="Q27" s="498" t="n">
        <f aca="false">Q26*Q$12</f>
        <v>0</v>
      </c>
      <c r="R27" s="498" t="n">
        <f aca="false">R26*R$12</f>
        <v>0</v>
      </c>
      <c r="S27" s="498" t="n">
        <f aca="false">S26*S$12</f>
        <v>0</v>
      </c>
      <c r="T27" s="498" t="n">
        <f aca="false">T26*T$12</f>
        <v>0</v>
      </c>
      <c r="U27" s="498" t="n">
        <f aca="false">U26*U$12</f>
        <v>0</v>
      </c>
      <c r="V27" s="498" t="n">
        <f aca="false">V26*V$12</f>
        <v>0</v>
      </c>
      <c r="W27" s="498" t="n">
        <f aca="false">W26*W$12</f>
        <v>0</v>
      </c>
      <c r="X27" s="498" t="n">
        <f aca="false">X26*X$12</f>
        <v>0</v>
      </c>
      <c r="Y27" s="498" t="n">
        <f aca="false">Y26*Y$12</f>
        <v>0</v>
      </c>
      <c r="Z27" s="498" t="n">
        <f aca="false">Z26*Z$12</f>
        <v>0</v>
      </c>
      <c r="AA27" s="498" t="n">
        <f aca="false">AA26*AA$12</f>
        <v>0</v>
      </c>
      <c r="AB27" s="498" t="n">
        <f aca="false">AB26*AB$12</f>
        <v>0</v>
      </c>
      <c r="AC27" s="534" t="n">
        <f aca="false">AC26*AC$12</f>
        <v>0</v>
      </c>
    </row>
    <row r="28" customFormat="false" ht="12.75" hidden="false" customHeight="false" outlineLevel="0" collapsed="false">
      <c r="A28" s="387" t="s">
        <v>448</v>
      </c>
      <c r="B28" s="432"/>
      <c r="C28" s="432"/>
      <c r="D28" s="432"/>
      <c r="E28" s="498" t="n">
        <f aca="false">IF(E4&gt;'Project Assumptions'!$F$39,0,E29-E27)</f>
        <v>4808.87706535352</v>
      </c>
      <c r="F28" s="498" t="n">
        <f aca="false">IF(F4&gt;'Project Assumptions'!$F$39,0,F29-F27)</f>
        <v>8793.7720479956</v>
      </c>
      <c r="G28" s="498" t="n">
        <f aca="false">IF(G4&gt;'Project Assumptions'!$F$39,0,G29-G27)</f>
        <v>9336.71128957034</v>
      </c>
      <c r="H28" s="498" t="n">
        <f aca="false">IF(H4&gt;'Project Assumptions'!$F$39,0,H29-H27)</f>
        <v>16571.525488915</v>
      </c>
      <c r="I28" s="498" t="n">
        <f aca="false">IF(I4&gt;'Project Assumptions'!$F$39,0,I29-I27)</f>
        <v>0</v>
      </c>
      <c r="J28" s="498" t="n">
        <f aca="false">IF(J4&gt;'Project Assumptions'!$F$39,0,J29-J27)</f>
        <v>0</v>
      </c>
      <c r="K28" s="498" t="n">
        <f aca="false">IF(K4&gt;'Project Assumptions'!$F$39,0,K29-K27)</f>
        <v>0</v>
      </c>
      <c r="L28" s="498" t="n">
        <f aca="false">IF(L4&gt;'Project Assumptions'!$F$39,0,L29-L27)</f>
        <v>0</v>
      </c>
      <c r="M28" s="498" t="n">
        <f aca="false">IF(M4&gt;'Project Assumptions'!$F$39,0,M29-M27)</f>
        <v>0</v>
      </c>
      <c r="N28" s="498" t="n">
        <f aca="false">IF(N4&gt;'Project Assumptions'!$F$39,0,N29-N27)</f>
        <v>0</v>
      </c>
      <c r="O28" s="498" t="n">
        <f aca="false">IF(O4&gt;'Project Assumptions'!$F$39,0,O29-O27)</f>
        <v>0</v>
      </c>
      <c r="P28" s="498" t="n">
        <f aca="false">IF(P4&gt;'Project Assumptions'!$F$39,0,P29-P27)</f>
        <v>0</v>
      </c>
      <c r="Q28" s="498" t="n">
        <f aca="false">IF(Q4&gt;'Project Assumptions'!$F$39,0,Q29-Q27)</f>
        <v>0</v>
      </c>
      <c r="R28" s="498" t="n">
        <f aca="false">IF(R4&gt;'Project Assumptions'!$F$39,0,R29-R27)</f>
        <v>0</v>
      </c>
      <c r="S28" s="498" t="n">
        <f aca="false">IF(S4&gt;'Project Assumptions'!$F$39,0,S29-S27)</f>
        <v>0</v>
      </c>
      <c r="T28" s="498" t="n">
        <f aca="false">IF(T4&gt;'Project Assumptions'!$F$39,0,T29-T27)</f>
        <v>0</v>
      </c>
      <c r="U28" s="498" t="n">
        <f aca="false">IF(U4&gt;'Project Assumptions'!$F$39,0,U29-U27)</f>
        <v>0</v>
      </c>
      <c r="V28" s="498" t="n">
        <f aca="false">IF(V4&gt;'Project Assumptions'!$F$39,0,V29-V27)</f>
        <v>0</v>
      </c>
      <c r="W28" s="498" t="n">
        <f aca="false">IF(W4&gt;'Project Assumptions'!$F$39,0,W29-W27)</f>
        <v>0</v>
      </c>
      <c r="X28" s="498" t="n">
        <f aca="false">IF(X4&gt;'Project Assumptions'!$F$39,0,X29-X27)</f>
        <v>0</v>
      </c>
      <c r="Y28" s="498" t="n">
        <f aca="false">IF(Y4&gt;'Project Assumptions'!$F$39,0,Y29-Y27)</f>
        <v>0</v>
      </c>
      <c r="Z28" s="498" t="n">
        <f aca="false">IF(Z4&gt;'Project Assumptions'!$F$39,0,Z29-Z27)</f>
        <v>0</v>
      </c>
      <c r="AA28" s="498" t="n">
        <f aca="false">IF(AA4&gt;'Project Assumptions'!$F$39,0,AA29-AA27)</f>
        <v>0</v>
      </c>
      <c r="AB28" s="498" t="n">
        <f aca="false">IF(AB4&gt;'Project Assumptions'!$F$39,0,AB29-AB27)</f>
        <v>0</v>
      </c>
      <c r="AC28" s="534" t="n">
        <f aca="false">IF(AC4&gt;'Project Assumptions'!$F$39,0,AC29-AC27)</f>
        <v>0</v>
      </c>
    </row>
    <row r="29" customFormat="false" ht="12.75" hidden="false" customHeight="false" outlineLevel="0" collapsed="false">
      <c r="A29" s="387" t="s">
        <v>449</v>
      </c>
      <c r="B29" s="432"/>
      <c r="C29" s="432"/>
      <c r="D29" s="432"/>
      <c r="E29" s="498" t="n">
        <f aca="false">IF(E4&gt;'Project Assumptions'!$F$39,0,E19)</f>
        <v>6360.00859399046</v>
      </c>
      <c r="F29" s="498" t="n">
        <f aca="false">IF(F4&gt;'Project Assumptions'!$F$39,0,F19)</f>
        <v>11129.2172420178</v>
      </c>
      <c r="G29" s="498" t="n">
        <f aca="false">IF(G4&gt;'Project Assumptions'!$F$39,0,G19)</f>
        <v>11080.3356247624</v>
      </c>
      <c r="H29" s="498" t="n">
        <f aca="false">IF(H4&gt;'Project Assumptions'!$F$39,0,H19)</f>
        <v>17686.789154319</v>
      </c>
      <c r="I29" s="498" t="n">
        <f aca="false">IF(I4&gt;'Project Assumptions'!$F$39,0,I19)</f>
        <v>0</v>
      </c>
      <c r="J29" s="498" t="n">
        <f aca="false">IF(J4&gt;'Project Assumptions'!$F$39,0,J19)</f>
        <v>0</v>
      </c>
      <c r="K29" s="498" t="n">
        <f aca="false">IF(K4&gt;'Project Assumptions'!$F$39,0,K19)</f>
        <v>0</v>
      </c>
      <c r="L29" s="498" t="n">
        <f aca="false">IF(L4&gt;'Project Assumptions'!$F$39,0,L19)</f>
        <v>0</v>
      </c>
      <c r="M29" s="498" t="n">
        <f aca="false">IF(M4&gt;'Project Assumptions'!$F$39,0,M19)</f>
        <v>0</v>
      </c>
      <c r="N29" s="498" t="n">
        <f aca="false">IF(N4&gt;'Project Assumptions'!$F$39,0,N19)</f>
        <v>0</v>
      </c>
      <c r="O29" s="498" t="n">
        <f aca="false">IF(O4&gt;'Project Assumptions'!$F$39,0,O19)</f>
        <v>0</v>
      </c>
      <c r="P29" s="498" t="n">
        <f aca="false">IF(P4&gt;'Project Assumptions'!$F$39,0,P19)</f>
        <v>0</v>
      </c>
      <c r="Q29" s="498" t="n">
        <f aca="false">IF(Q4&gt;'Project Assumptions'!$F$39,0,Q19)</f>
        <v>0</v>
      </c>
      <c r="R29" s="498" t="n">
        <f aca="false">IF(R4&gt;'Project Assumptions'!$F$39,0,R19)</f>
        <v>0</v>
      </c>
      <c r="S29" s="498" t="n">
        <f aca="false">IF(S4&gt;'Project Assumptions'!$F$39,0,S19)</f>
        <v>0</v>
      </c>
      <c r="T29" s="498" t="n">
        <f aca="false">IF(T4&gt;'Project Assumptions'!$F$39,0,T19)</f>
        <v>0</v>
      </c>
      <c r="U29" s="498" t="n">
        <f aca="false">IF(U4&gt;'Project Assumptions'!$F$39,0,U19)</f>
        <v>0</v>
      </c>
      <c r="V29" s="498" t="n">
        <f aca="false">IF(V4&gt;'Project Assumptions'!$F$39,0,V19)</f>
        <v>0</v>
      </c>
      <c r="W29" s="498" t="n">
        <f aca="false">IF(W4&gt;'Project Assumptions'!$F$39,0,W19)</f>
        <v>0</v>
      </c>
      <c r="X29" s="498" t="n">
        <f aca="false">IF(X4&gt;'Project Assumptions'!$F$39,0,X19)</f>
        <v>0</v>
      </c>
      <c r="Y29" s="498" t="n">
        <f aca="false">IF(Y4&gt;'Project Assumptions'!$F$39,0,Y19)</f>
        <v>0</v>
      </c>
      <c r="Z29" s="498" t="n">
        <f aca="false">IF(Z4&gt;'Project Assumptions'!$F$39,0,Z19)</f>
        <v>0</v>
      </c>
      <c r="AA29" s="498" t="n">
        <f aca="false">IF(AA4&gt;'Project Assumptions'!$F$39,0,AA19)</f>
        <v>0</v>
      </c>
      <c r="AB29" s="498" t="n">
        <f aca="false">IF(AB4&gt;'Project Assumptions'!$F$39,0,AB19)</f>
        <v>0</v>
      </c>
      <c r="AC29" s="534" t="n">
        <f aca="false">IF(AC4&gt;'Project Assumptions'!$F$39,0,AC19)</f>
        <v>0</v>
      </c>
    </row>
    <row r="30" customFormat="false" ht="12.75" hidden="false" customHeight="false" outlineLevel="0" collapsed="false">
      <c r="A30" s="387" t="s">
        <v>450</v>
      </c>
      <c r="B30" s="432"/>
      <c r="C30" s="432"/>
      <c r="D30" s="432"/>
      <c r="E30" s="520" t="n">
        <f aca="false">IF(E4&lt;'Project Assumptions'!$F$39,E26-E28,IF(AND(E4='Project Assumptions'!$F$39,E26-E28&gt;1),"ERROR",IF(E4&gt;'Project Assumptions'!$F$39,0,E26-E28)))</f>
        <v>34702.008826481</v>
      </c>
      <c r="F30" s="520" t="n">
        <f aca="false">IF(F4&lt;'Project Assumptions'!$F$39,F26-F28,IF(AND(F4='Project Assumptions'!$F$39,F26-F28&gt;1),"ERROR",IF(F4&gt;'Project Assumptions'!$F$39,0,F26-F28)))</f>
        <v>25908.2367784854</v>
      </c>
      <c r="G30" s="520" t="n">
        <f aca="false">IF(G4&lt;'Project Assumptions'!$F$39,G26-G28,IF(AND(G4='Project Assumptions'!$F$39,G26-G28&gt;1),"ERROR",IF(G4&gt;'Project Assumptions'!$F$39,0,G26-G28)))</f>
        <v>16571.525488915</v>
      </c>
      <c r="H30" s="520" t="n">
        <f aca="false">IF(H4&lt;'Project Assumptions'!$F$39,H26-H28,IF(AND(H4='Project Assumptions'!$F$39,H26-H28&gt;1),"ERROR",IF(H4&gt;'Project Assumptions'!$F$39,0,H26-H28)))</f>
        <v>0</v>
      </c>
      <c r="I30" s="520" t="n">
        <f aca="false">IF(I4&lt;'Project Assumptions'!$F$39,I26-I28,IF(AND(I4='Project Assumptions'!$F$39,I26-I28&gt;1),"ERROR",IF(I4&gt;'Project Assumptions'!$F$39,0,I26-I28)))</f>
        <v>0</v>
      </c>
      <c r="J30" s="520" t="n">
        <f aca="false">IF(J4&lt;'Project Assumptions'!$F$39,J26-J28,IF(AND(J4='Project Assumptions'!$F$39,J26-J28&gt;1),"ERROR",IF(J4&gt;'Project Assumptions'!$F$39,0,J26-J28)))</f>
        <v>0</v>
      </c>
      <c r="K30" s="520" t="n">
        <f aca="false">IF(K4&lt;'Project Assumptions'!$F$39,K26-K28,IF(AND(K4='Project Assumptions'!$F$39,K26-K28&gt;1),"ERROR",IF(K4&gt;'Project Assumptions'!$F$39,0,K26-K28)))</f>
        <v>0</v>
      </c>
      <c r="L30" s="520" t="n">
        <f aca="false">IF(L4&lt;'Project Assumptions'!$F$39,L26-L28,IF(AND(L4='Project Assumptions'!$F$39,L26-L28&gt;1),"ERROR",IF(L4&gt;'Project Assumptions'!$F$39,0,L26-L28)))</f>
        <v>0</v>
      </c>
      <c r="M30" s="520" t="n">
        <f aca="false">IF(M4&lt;'Project Assumptions'!$F$39,M26-M28,IF(AND(M4='Project Assumptions'!$F$39,M26-M28&gt;1),"ERROR",IF(M4&gt;'Project Assumptions'!$F$39,0,M26-M28)))</f>
        <v>0</v>
      </c>
      <c r="N30" s="520" t="n">
        <f aca="false">IF(N4&lt;'Project Assumptions'!$F$39,N26-N28,IF(AND(N4='Project Assumptions'!$F$39,N26-N28&gt;1),"ERROR",IF(N4&gt;'Project Assumptions'!$F$39,0,N26-N28)))</f>
        <v>0</v>
      </c>
      <c r="O30" s="520" t="n">
        <f aca="false">IF(O4&lt;'Project Assumptions'!$F$39,O26-O28,IF(AND(O4='Project Assumptions'!$F$39,O26-O28&gt;1),"ERROR",IF(O4&gt;'Project Assumptions'!$F$39,0,O26-O28)))</f>
        <v>0</v>
      </c>
      <c r="P30" s="520" t="n">
        <f aca="false">IF(P4&lt;'Project Assumptions'!$F$39,P26-P28,IF(AND(P4='Project Assumptions'!$F$39,P26-P28&gt;1),"ERROR",IF(P4&gt;'Project Assumptions'!$F$39,0,P26-P28)))</f>
        <v>0</v>
      </c>
      <c r="Q30" s="520" t="n">
        <f aca="false">IF(Q4&lt;'Project Assumptions'!$F$39,Q26-Q28,IF(AND(Q4='Project Assumptions'!$F$39,Q26-Q28&gt;1),"ERROR",IF(Q4&gt;'Project Assumptions'!$F$39,0,Q26-Q28)))</f>
        <v>0</v>
      </c>
      <c r="R30" s="520" t="n">
        <f aca="false">IF(R4&lt;'Project Assumptions'!$F$39,R26-R28,IF(AND(R4='Project Assumptions'!$F$39,R26-R28&gt;1),"ERROR",IF(R4&gt;'Project Assumptions'!$F$39,0,R26-R28)))</f>
        <v>0</v>
      </c>
      <c r="S30" s="520" t="n">
        <f aca="false">IF(S4&lt;'Project Assumptions'!$F$39,S26-S28,IF(AND(S4='Project Assumptions'!$F$39,S26-S28&gt;1),"ERROR",IF(S4&gt;'Project Assumptions'!$F$39,0,S26-S28)))</f>
        <v>0</v>
      </c>
      <c r="T30" s="520" t="n">
        <f aca="false">IF(T4&lt;'Project Assumptions'!$F$39,T26-T28,IF(AND(T4='Project Assumptions'!$F$39,T26-T28&gt;1),"ERROR",IF(T4&gt;'Project Assumptions'!$F$39,0,T26-T28)))</f>
        <v>0</v>
      </c>
      <c r="U30" s="520" t="n">
        <f aca="false">IF(U4&lt;'Project Assumptions'!$F$39,U26-U28,IF(AND(U4='Project Assumptions'!$F$39,U26-U28&gt;1),"ERROR",IF(U4&gt;'Project Assumptions'!$F$39,0,U26-U28)))</f>
        <v>0</v>
      </c>
      <c r="V30" s="520" t="n">
        <f aca="false">IF(V4&lt;'Project Assumptions'!$F$39,V26-V28,IF(AND(V4='Project Assumptions'!$F$39,V26-V28&gt;1),"ERROR",IF(V4&gt;'Project Assumptions'!$F$39,0,V26-V28)))</f>
        <v>0</v>
      </c>
      <c r="W30" s="520" t="n">
        <f aca="false">IF(W4&lt;'Project Assumptions'!$F$39,W26-W28,IF(AND(W4='Project Assumptions'!$F$39,W26-W28&gt;1),"ERROR",IF(W4&gt;'Project Assumptions'!$F$39,0,W26-W28)))</f>
        <v>0</v>
      </c>
      <c r="X30" s="520" t="n">
        <f aca="false">IF(X4&lt;'Project Assumptions'!$F$39,X26-X28,IF(AND(X4='Project Assumptions'!$F$39,X26-X28&gt;1),"ERROR",IF(X4&gt;'Project Assumptions'!$F$39,0,X26-X28)))</f>
        <v>0</v>
      </c>
      <c r="Y30" s="520" t="n">
        <f aca="false">IF(Y4&lt;'Project Assumptions'!$F$39,Y26-Y28,IF(AND(Y4='Project Assumptions'!$F$39,Y26-Y28&gt;1),"ERROR",IF(Y4&gt;'Project Assumptions'!$F$39,0,Y26-Y28)))</f>
        <v>0</v>
      </c>
      <c r="Z30" s="520" t="n">
        <f aca="false">IF(Z4&lt;'Project Assumptions'!$F$39,Z26-Z28,IF(AND(Z4='Project Assumptions'!$F$39,Z26-Z28&gt;1),"ERROR",IF(Z4&gt;'Project Assumptions'!$F$39,0,Z26-Z28)))</f>
        <v>0</v>
      </c>
      <c r="AA30" s="520" t="n">
        <f aca="false">IF(AA4&lt;'Project Assumptions'!$F$39,AA26-AA28,IF(AND(AA4='Project Assumptions'!$F$39,AA26-AA28&gt;1),"ERROR",IF(AA4&gt;'Project Assumptions'!$F$39,0,AA26-AA28)))</f>
        <v>0</v>
      </c>
      <c r="AB30" s="520" t="n">
        <f aca="false">IF(AB4&lt;'Project Assumptions'!$F$39,AB26-AB28,IF(AND(AB4='Project Assumptions'!$F$39,AB26-AB28&gt;1),"ERROR",IF(AB4&gt;'Project Assumptions'!$F$39,0,AB26-AB28)))</f>
        <v>0</v>
      </c>
      <c r="AC30" s="521" t="n">
        <f aca="false">IF(AC4&lt;'Project Assumptions'!$F$39,AC26-AC28,IF(AND(AC4='Project Assumptions'!$F$39,AC26-AC28&gt;1),"ERROR",IF(AC4&gt;'Project Assumptions'!$F$39,0,AC26-AC28)))</f>
        <v>0</v>
      </c>
    </row>
    <row r="31" customFormat="false" ht="12.75" hidden="false" customHeight="false" outlineLevel="0" collapsed="false">
      <c r="A31" s="499" t="s">
        <v>451</v>
      </c>
      <c r="B31" s="469"/>
      <c r="C31" s="469"/>
      <c r="D31" s="469"/>
      <c r="E31" s="550" t="n">
        <f aca="false">SUMPRODUCT(E4:AC4,E28:AC28)/B19</f>
        <v>2.95343053823635</v>
      </c>
      <c r="F31" s="500"/>
      <c r="G31" s="500"/>
      <c r="H31" s="500"/>
      <c r="I31" s="500"/>
      <c r="J31" s="500"/>
      <c r="K31" s="500"/>
      <c r="L31" s="500"/>
      <c r="M31" s="500"/>
      <c r="N31" s="500"/>
      <c r="O31" s="541"/>
      <c r="P31" s="500"/>
      <c r="Q31" s="500"/>
      <c r="R31" s="500"/>
      <c r="S31" s="500"/>
      <c r="T31" s="500"/>
      <c r="U31" s="500"/>
      <c r="V31" s="500"/>
      <c r="W31" s="500"/>
      <c r="X31" s="500"/>
      <c r="Y31" s="500"/>
      <c r="Z31" s="500"/>
      <c r="AA31" s="500"/>
      <c r="AB31" s="500"/>
      <c r="AC31" s="501"/>
    </row>
    <row r="32" customFormat="false" ht="12.75" hidden="false" customHeight="false" outlineLevel="0" collapsed="false">
      <c r="D32" s="498"/>
      <c r="E32" s="498"/>
      <c r="F32" s="498"/>
      <c r="G32" s="498"/>
      <c r="H32" s="498"/>
      <c r="I32" s="498"/>
      <c r="J32" s="498"/>
      <c r="K32" s="498"/>
      <c r="L32" s="498"/>
      <c r="M32" s="498"/>
      <c r="N32" s="498"/>
      <c r="O32" s="498"/>
      <c r="P32" s="498"/>
      <c r="Q32" s="498"/>
      <c r="R32" s="498"/>
      <c r="S32" s="498"/>
      <c r="T32" s="498"/>
      <c r="U32" s="498"/>
      <c r="V32" s="498"/>
      <c r="W32" s="498"/>
      <c r="X32" s="498"/>
      <c r="Y32" s="498"/>
      <c r="Z32" s="498"/>
      <c r="AA32" s="498"/>
      <c r="AB32" s="498"/>
    </row>
    <row r="33" customFormat="false" ht="12.75" hidden="false" customHeight="false" outlineLevel="0" collapsed="false">
      <c r="A33" s="546" t="s">
        <v>232</v>
      </c>
      <c r="B33" s="547"/>
      <c r="C33" s="547"/>
      <c r="D33" s="548"/>
      <c r="E33" s="548"/>
      <c r="F33" s="548"/>
      <c r="G33" s="548"/>
      <c r="H33" s="548"/>
      <c r="I33" s="548"/>
      <c r="J33" s="548"/>
      <c r="K33" s="548"/>
      <c r="L33" s="548"/>
      <c r="M33" s="548"/>
      <c r="N33" s="548"/>
      <c r="O33" s="548"/>
      <c r="P33" s="548"/>
      <c r="Q33" s="548"/>
      <c r="R33" s="548"/>
      <c r="S33" s="548"/>
      <c r="T33" s="548"/>
      <c r="U33" s="548"/>
      <c r="V33" s="548"/>
      <c r="W33" s="548"/>
      <c r="X33" s="548"/>
      <c r="Y33" s="548"/>
      <c r="Z33" s="548"/>
      <c r="AA33" s="548"/>
      <c r="AB33" s="548"/>
      <c r="AC33" s="456"/>
    </row>
    <row r="34" customFormat="false" ht="12.75" hidden="false" customHeight="false" outlineLevel="0" collapsed="false">
      <c r="A34" s="387" t="s">
        <v>446</v>
      </c>
      <c r="B34" s="528"/>
      <c r="C34" s="528"/>
      <c r="D34" s="432"/>
      <c r="E34" s="520" t="n">
        <f aca="false">B20</f>
        <v>84756.0448277374</v>
      </c>
      <c r="F34" s="520" t="n">
        <f aca="false">IF(F4&gt;'Project Assumptions'!$G$39,0,E38)</f>
        <v>84756.0448277374</v>
      </c>
      <c r="G34" s="520" t="n">
        <f aca="false">IF(G4&gt;'Project Assumptions'!$G$39,0,F38)</f>
        <v>84756.0448277374</v>
      </c>
      <c r="H34" s="520" t="n">
        <f aca="false">IF(H4&gt;'Project Assumptions'!$G$39,0,G38)</f>
        <v>84756.0448277374</v>
      </c>
      <c r="I34" s="520" t="n">
        <f aca="false">IF(I4&gt;'Project Assumptions'!$G$39,0,H38)</f>
        <v>84756.0448277374</v>
      </c>
      <c r="J34" s="520" t="n">
        <f aca="false">IF(J4&gt;'Project Assumptions'!$G$39,0,I38)</f>
        <v>73635.9190137511</v>
      </c>
      <c r="K34" s="520" t="n">
        <f aca="false">IF(K4&gt;'Project Assumptions'!$G$39,0,J38)</f>
        <v>61126.2446214217</v>
      </c>
      <c r="L34" s="520" t="n">
        <f aca="false">IF(L4&gt;'Project Assumptions'!$G$39,0,K38)</f>
        <v>47770.8080370906</v>
      </c>
      <c r="M34" s="520" t="n">
        <f aca="false">IF(M4&gt;'Project Assumptions'!$G$39,0,L38)</f>
        <v>33194.2881522476</v>
      </c>
      <c r="N34" s="520" t="n">
        <f aca="false">IF(N4&gt;'Project Assumptions'!$G$39,0,M38)</f>
        <v>17307.9599632792</v>
      </c>
      <c r="O34" s="520" t="n">
        <f aca="false">IF(O4&gt;'Project Assumptions'!$G$39,0,N38)</f>
        <v>0</v>
      </c>
      <c r="P34" s="520" t="n">
        <f aca="false">IF(P4&gt;'Project Assumptions'!$G$39,0,O38)</f>
        <v>0</v>
      </c>
      <c r="Q34" s="520" t="n">
        <f aca="false">IF(Q4&gt;'Project Assumptions'!$G$39,0,P38)</f>
        <v>0</v>
      </c>
      <c r="R34" s="520" t="n">
        <f aca="false">IF(R4&gt;'Project Assumptions'!$G$39,0,Q38)</f>
        <v>0</v>
      </c>
      <c r="S34" s="520" t="n">
        <f aca="false">IF(S4&gt;'Project Assumptions'!$G$39,0,R38)</f>
        <v>0</v>
      </c>
      <c r="T34" s="520" t="n">
        <f aca="false">IF(T4&gt;'Project Assumptions'!$G$39,0,S38)</f>
        <v>0</v>
      </c>
      <c r="U34" s="520" t="n">
        <f aca="false">IF(U4&gt;'Project Assumptions'!$G$39,0,T38)</f>
        <v>0</v>
      </c>
      <c r="V34" s="520" t="n">
        <f aca="false">IF(V4&gt;'Project Assumptions'!$G$39,0,U38)</f>
        <v>0</v>
      </c>
      <c r="W34" s="520" t="n">
        <f aca="false">IF(W4&gt;'Project Assumptions'!$G$39,0,V38)</f>
        <v>0</v>
      </c>
      <c r="X34" s="520" t="n">
        <f aca="false">IF(X4&gt;'Project Assumptions'!$G$39,0,W38)</f>
        <v>0</v>
      </c>
      <c r="Y34" s="520" t="n">
        <f aca="false">IF(Y4&gt;'Project Assumptions'!$G$39,0,X38)</f>
        <v>0</v>
      </c>
      <c r="Z34" s="520" t="n">
        <f aca="false">IF(Z4&gt;'Project Assumptions'!$G$39,0,Y38)</f>
        <v>0</v>
      </c>
      <c r="AA34" s="520" t="n">
        <f aca="false">IF(AA4&gt;'Project Assumptions'!$G$39,0,Z38)</f>
        <v>0</v>
      </c>
      <c r="AB34" s="520" t="n">
        <f aca="false">IF(AB4&gt;'Project Assumptions'!$G$39,0,AA38)</f>
        <v>0</v>
      </c>
      <c r="AC34" s="521" t="n">
        <f aca="false">IF(AC4&gt;'Project Assumptions'!$G$39,0,AB38)</f>
        <v>0</v>
      </c>
    </row>
    <row r="35" customFormat="false" ht="12.75" hidden="false" customHeight="false" outlineLevel="0" collapsed="false">
      <c r="A35" s="387" t="s">
        <v>447</v>
      </c>
      <c r="B35" s="549"/>
      <c r="C35" s="549"/>
      <c r="D35" s="432"/>
      <c r="E35" s="498" t="n">
        <f aca="false">IF(E4&gt;'Project Assumptions'!$F$39,E34*E13,IF(AND(E4&lt;='Project Assumptions'!$F$39,'Project Assumptions'!$G$42="Interest Only"),E34*E13*(13-MONTH('Project Assumptions'!G16))/12,0))</f>
        <v>3742.68567951817</v>
      </c>
      <c r="F35" s="498" t="n">
        <f aca="false">IF(F4&gt;'Project Assumptions'!$F$39,F34*F13,IF(AND(F4&lt;='Project Assumptions'!$F$39,'Project Assumptions'!$G$42="Interest Only"),F34*F13,0))</f>
        <v>6416.03259345972</v>
      </c>
      <c r="G35" s="498" t="n">
        <f aca="false">IF(G4&gt;'Project Assumptions'!$F$39,G34*G13,IF(AND(G4&lt;='Project Assumptions'!$F$39,'Project Assumptions'!$G$42="Interest Only"),G34*G13,0))</f>
        <v>6416.03259345972</v>
      </c>
      <c r="H35" s="498" t="n">
        <f aca="false">IF(H4&gt;'Project Assumptions'!$F$39,H34*H13,IF(AND(H4&lt;='Project Assumptions'!$F$39,'Project Assumptions'!$G$42="Interest Only"),H34*H13,0))</f>
        <v>6416.03259345972</v>
      </c>
      <c r="I35" s="498" t="n">
        <f aca="false">IF(I4&gt;'Project Assumptions'!$F$39,I34*I13,IF(AND(I4&lt;='Project Assumptions'!$F$39,'Project Assumptions'!$G$42="Interest Only"),I34*I13,0))</f>
        <v>6416.03259345972</v>
      </c>
      <c r="J35" s="498" t="n">
        <f aca="false">IF(J4&gt;'Project Assumptions'!$F$39,J34*J13,IF(AND(J4&lt;='Project Assumptions'!$F$39,'Project Assumptions'!$G$42="Interest Only"),J34*J13,0))</f>
        <v>5574.23906934096</v>
      </c>
      <c r="K35" s="498" t="n">
        <f aca="false">IF(K4&gt;'Project Assumptions'!$F$39,K34*K13,IF(AND(K4&lt;='Project Assumptions'!$F$39,'Project Assumptions'!$G$42="Interest Only"),K34*K13,0))</f>
        <v>4627.25671784162</v>
      </c>
      <c r="L35" s="498" t="n">
        <f aca="false">IF(L4&gt;'Project Assumptions'!$F$39,L34*L13,IF(AND(L4&lt;='Project Assumptions'!$F$39,'Project Assumptions'!$G$42="Interest Only"),L34*L13,0))</f>
        <v>3616.25016840776</v>
      </c>
      <c r="M35" s="498" t="n">
        <f aca="false">IF(M4&gt;'Project Assumptions'!$F$39,M34*M13,IF(AND(M4&lt;='Project Assumptions'!$F$39,'Project Assumptions'!$G$42="Interest Only"),M34*M13,0))</f>
        <v>2512.80761312514</v>
      </c>
      <c r="N35" s="498" t="n">
        <f aca="false">IF(N4&gt;'Project Assumptions'!$F$39,N34*N13,IF(AND(N4&lt;='Project Assumptions'!$F$39,'Project Assumptions'!$G$42="Interest Only"),N34*N13,0))</f>
        <v>1310.21256922024</v>
      </c>
      <c r="O35" s="498" t="n">
        <f aca="false">IF(O4&gt;'Project Assumptions'!$F$39,O34*O13,IF(AND(O4&lt;='Project Assumptions'!$F$39,'Project Assumptions'!$G$42="Interest Only"),O34*O13,0))</f>
        <v>0</v>
      </c>
      <c r="P35" s="498" t="n">
        <f aca="false">IF(P4&gt;'Project Assumptions'!$F$39,P34*P13,IF(AND(P4&lt;='Project Assumptions'!$F$39,'Project Assumptions'!$G$42="Interest Only"),P34*P13,0))</f>
        <v>0</v>
      </c>
      <c r="Q35" s="498" t="n">
        <f aca="false">IF(Q4&gt;'Project Assumptions'!$F$39,Q34*Q13,IF(AND(Q4&lt;='Project Assumptions'!$F$39,'Project Assumptions'!$G$42="Interest Only"),Q34*Q13,0))</f>
        <v>0</v>
      </c>
      <c r="R35" s="498" t="n">
        <f aca="false">IF(R4&gt;'Project Assumptions'!$F$39,R34*R13,IF(AND(R4&lt;='Project Assumptions'!$F$39,'Project Assumptions'!$G$42="Interest Only"),R34*R13,0))</f>
        <v>0</v>
      </c>
      <c r="S35" s="498" t="n">
        <f aca="false">IF(S4&gt;'Project Assumptions'!$F$39,S34*S13,IF(AND(S4&lt;='Project Assumptions'!$F$39,'Project Assumptions'!$G$42="Interest Only"),S34*S13,0))</f>
        <v>0</v>
      </c>
      <c r="T35" s="498" t="n">
        <f aca="false">IF(T4&gt;'Project Assumptions'!$F$39,T34*T13,IF(AND(T4&lt;='Project Assumptions'!$F$39,'Project Assumptions'!$G$42="Interest Only"),T34*T13,0))</f>
        <v>0</v>
      </c>
      <c r="U35" s="498" t="n">
        <f aca="false">IF(U4&gt;'Project Assumptions'!$F$39,U34*U13,IF(AND(U4&lt;='Project Assumptions'!$F$39,'Project Assumptions'!$G$42="Interest Only"),U34*U13,0))</f>
        <v>0</v>
      </c>
      <c r="V35" s="498" t="n">
        <f aca="false">IF(V4&gt;'Project Assumptions'!$F$39,V34*V13,IF(AND(V4&lt;='Project Assumptions'!$F$39,'Project Assumptions'!$G$42="Interest Only"),V34*V13,0))</f>
        <v>0</v>
      </c>
      <c r="W35" s="498" t="n">
        <f aca="false">IF(W4&gt;'Project Assumptions'!$F$39,W34*W13,IF(AND(W4&lt;='Project Assumptions'!$F$39,'Project Assumptions'!$G$42="Interest Only"),W34*W13,0))</f>
        <v>0</v>
      </c>
      <c r="X35" s="498" t="n">
        <f aca="false">IF(X4&gt;'Project Assumptions'!$F$39,X34*X13,IF(AND(X4&lt;='Project Assumptions'!$F$39,'Project Assumptions'!$G$42="Interest Only"),X34*X13,0))</f>
        <v>0</v>
      </c>
      <c r="Y35" s="498" t="n">
        <f aca="false">IF(Y4&gt;'Project Assumptions'!$F$39,Y34*Y13,IF(AND(Y4&lt;='Project Assumptions'!$F$39,'Project Assumptions'!$G$42="Interest Only"),Y34*Y13,0))</f>
        <v>0</v>
      </c>
      <c r="Z35" s="498" t="n">
        <f aca="false">IF(Z4&gt;'Project Assumptions'!$F$39,Z34*Z13,IF(AND(Z4&lt;='Project Assumptions'!$F$39,'Project Assumptions'!$G$42="Interest Only"),Z34*Z13,0))</f>
        <v>0</v>
      </c>
      <c r="AA35" s="498" t="n">
        <f aca="false">IF(AA4&gt;'Project Assumptions'!$F$39,AA34*AA13,IF(AND(AA4&lt;='Project Assumptions'!$F$39,'Project Assumptions'!$G$42="Interest Only"),AA34*AA13,0))</f>
        <v>0</v>
      </c>
      <c r="AB35" s="498" t="n">
        <f aca="false">IF(AB4&gt;'Project Assumptions'!$F$39,AB34*AB13,IF(AND(AB4&lt;='Project Assumptions'!$F$39,'Project Assumptions'!$G$42="Interest Only"),AB34*AB13,0))</f>
        <v>0</v>
      </c>
      <c r="AC35" s="534" t="n">
        <f aca="false">IF(AC4&gt;'Project Assumptions'!$F$39,AC34*AC13,IF(AND(AC4&lt;='Project Assumptions'!$F$39,'Project Assumptions'!$G$42="Interest Only"),AC34*AC13,0))</f>
        <v>0</v>
      </c>
    </row>
    <row r="36" customFormat="false" ht="12.75" hidden="false" customHeight="false" outlineLevel="0" collapsed="false">
      <c r="A36" s="387" t="s">
        <v>448</v>
      </c>
      <c r="B36" s="551"/>
      <c r="C36" s="551"/>
      <c r="D36" s="432"/>
      <c r="E36" s="498" t="n">
        <f aca="false">IF(OR(E4&lt;='Project Assumptions'!$F$39,E4&gt;'Project Assumptions'!$G$39),0,E37-E35)</f>
        <v>0</v>
      </c>
      <c r="F36" s="498" t="n">
        <f aca="false">IF(OR(F4&lt;='Project Assumptions'!$F$39,F4&gt;'Project Assumptions'!$G$39),0,F37-F35)</f>
        <v>0</v>
      </c>
      <c r="G36" s="498" t="n">
        <f aca="false">IF(OR(G4&lt;='Project Assumptions'!$F$39,G4&gt;'Project Assumptions'!$G$39),0,G37-G35)</f>
        <v>0</v>
      </c>
      <c r="H36" s="498" t="n">
        <f aca="false">IF(OR(H4&lt;='Project Assumptions'!$F$39,H4&gt;'Project Assumptions'!$G$39),0,H37-H35)</f>
        <v>0</v>
      </c>
      <c r="I36" s="498" t="n">
        <f aca="false">IF(OR(I4&lt;='Project Assumptions'!$F$39,I4&gt;'Project Assumptions'!$G$39),0,I37-I35)</f>
        <v>11120.1258139863</v>
      </c>
      <c r="J36" s="498" t="n">
        <f aca="false">IF(OR(J4&lt;='Project Assumptions'!$F$39,J4&gt;'Project Assumptions'!$G$39),0,J37-J35)</f>
        <v>12509.6743923294</v>
      </c>
      <c r="K36" s="498" t="n">
        <f aca="false">IF(OR(K4&lt;='Project Assumptions'!$F$39,K4&gt;'Project Assumptions'!$G$39),0,K37-K35)</f>
        <v>13355.4365843311</v>
      </c>
      <c r="L36" s="498" t="n">
        <f aca="false">IF(OR(L4&lt;='Project Assumptions'!$F$39,L4&gt;'Project Assumptions'!$G$39),0,L37-L35)</f>
        <v>14576.519884843</v>
      </c>
      <c r="M36" s="498" t="n">
        <f aca="false">IF(OR(M4&lt;='Project Assumptions'!$F$39,M4&gt;'Project Assumptions'!$G$39),0,M37-M35)</f>
        <v>15886.3281889683</v>
      </c>
      <c r="N36" s="498" t="n">
        <f aca="false">IF(OR(N4&lt;='Project Assumptions'!$F$39,N4&gt;'Project Assumptions'!$G$39),0,N37-N35)</f>
        <v>17307.9599632793</v>
      </c>
      <c r="O36" s="498" t="n">
        <f aca="false">IF(OR(O4&lt;='Project Assumptions'!$F$39,O4&gt;'Project Assumptions'!$G$39),0,O37-O35)</f>
        <v>0</v>
      </c>
      <c r="P36" s="498" t="n">
        <f aca="false">IF(OR(P4&lt;='Project Assumptions'!$F$39,P4&gt;'Project Assumptions'!$G$39),0,P37-P35)</f>
        <v>0</v>
      </c>
      <c r="Q36" s="498" t="n">
        <f aca="false">IF(OR(Q4&lt;='Project Assumptions'!$F$39,Q4&gt;'Project Assumptions'!$G$39),0,Q37-Q35)</f>
        <v>0</v>
      </c>
      <c r="R36" s="498" t="n">
        <f aca="false">IF(OR(R4&lt;='Project Assumptions'!$F$39,R4&gt;'Project Assumptions'!$G$39),0,R37-R35)</f>
        <v>0</v>
      </c>
      <c r="S36" s="498" t="n">
        <f aca="false">IF(OR(S4&lt;='Project Assumptions'!$F$39,S4&gt;'Project Assumptions'!$G$39),0,S37-S35)</f>
        <v>0</v>
      </c>
      <c r="T36" s="498" t="n">
        <f aca="false">IF(OR(T4&lt;='Project Assumptions'!$F$39,T4&gt;'Project Assumptions'!$G$39),0,T37-T35)</f>
        <v>0</v>
      </c>
      <c r="U36" s="498" t="n">
        <f aca="false">IF(OR(U4&lt;='Project Assumptions'!$F$39,U4&gt;'Project Assumptions'!$G$39),0,U37-U35)</f>
        <v>0</v>
      </c>
      <c r="V36" s="498" t="n">
        <f aca="false">IF(OR(V4&lt;='Project Assumptions'!$F$39,V4&gt;'Project Assumptions'!$G$39),0,V37-V35)</f>
        <v>0</v>
      </c>
      <c r="W36" s="498" t="n">
        <f aca="false">IF(OR(W4&lt;='Project Assumptions'!$F$39,W4&gt;'Project Assumptions'!$G$39),0,W37-W35)</f>
        <v>0</v>
      </c>
      <c r="X36" s="498" t="n">
        <f aca="false">IF(OR(X4&lt;='Project Assumptions'!$F$39,X4&gt;'Project Assumptions'!$G$39),0,X37-X35)</f>
        <v>0</v>
      </c>
      <c r="Y36" s="498" t="n">
        <f aca="false">IF(OR(Y4&lt;='Project Assumptions'!$F$39,Y4&gt;'Project Assumptions'!$G$39),0,Y37-Y35)</f>
        <v>0</v>
      </c>
      <c r="Z36" s="498" t="n">
        <f aca="false">IF(OR(Z4&lt;='Project Assumptions'!$F$39,Z4&gt;'Project Assumptions'!$G$39),0,Z37-Z35)</f>
        <v>0</v>
      </c>
      <c r="AA36" s="498" t="n">
        <f aca="false">IF(OR(AA4&lt;='Project Assumptions'!$F$39,AA4&gt;'Project Assumptions'!$G$39),0,AA37-AA35)</f>
        <v>0</v>
      </c>
      <c r="AB36" s="498" t="n">
        <f aca="false">IF(OR(AB4&lt;='Project Assumptions'!$F$39,AB4&gt;'Project Assumptions'!$G$39),0,AB37-AB35)</f>
        <v>0</v>
      </c>
      <c r="AC36" s="534" t="n">
        <f aca="false">IF(OR(AC4&lt;='Project Assumptions'!$F$39,AC4&gt;'Project Assumptions'!$G$39),0,AC37-AC35)</f>
        <v>0</v>
      </c>
    </row>
    <row r="37" customFormat="false" ht="12.75" hidden="false" customHeight="false" outlineLevel="0" collapsed="false">
      <c r="A37" s="524" t="s">
        <v>449</v>
      </c>
      <c r="B37" s="525"/>
      <c r="C37" s="525"/>
      <c r="D37" s="525"/>
      <c r="E37" s="498" t="n">
        <f aca="false">IF(E4&lt;='Project Assumptions'!$F$39,E35,E20)</f>
        <v>3742.68567951817</v>
      </c>
      <c r="F37" s="498" t="n">
        <f aca="false">IF(F4&lt;='Project Assumptions'!$F$39,F35,F20)</f>
        <v>6416.03259345972</v>
      </c>
      <c r="G37" s="498" t="n">
        <f aca="false">IF(G4&lt;='Project Assumptions'!$F$39,G35,G20)</f>
        <v>6416.03259345972</v>
      </c>
      <c r="H37" s="498" t="n">
        <f aca="false">IF(H4&lt;='Project Assumptions'!$F$39,H35,H20)</f>
        <v>6416.03259345972</v>
      </c>
      <c r="I37" s="498" t="n">
        <f aca="false">IF(I4&lt;='Project Assumptions'!$F$39,I35,I20)</f>
        <v>17536.158407446</v>
      </c>
      <c r="J37" s="498" t="n">
        <f aca="false">IF(J4&lt;='Project Assumptions'!$F$39,J35,J20)</f>
        <v>18083.9134616703</v>
      </c>
      <c r="K37" s="498" t="n">
        <f aca="false">IF(K4&lt;='Project Assumptions'!$F$39,K35,K20)</f>
        <v>17982.6933021727</v>
      </c>
      <c r="L37" s="498" t="n">
        <f aca="false">IF(L4&lt;='Project Assumptions'!$F$39,L35,L20)</f>
        <v>18192.7700532508</v>
      </c>
      <c r="M37" s="498" t="n">
        <f aca="false">IF(M4&lt;='Project Assumptions'!$F$39,M35,M20)</f>
        <v>18399.1358020935</v>
      </c>
      <c r="N37" s="498" t="n">
        <f aca="false">IF(N4&lt;='Project Assumptions'!$F$39,N35,N20)</f>
        <v>18618.1725324995</v>
      </c>
      <c r="O37" s="498" t="n">
        <f aca="false">IF(O4&lt;='Project Assumptions'!$F$39,O35,O20)</f>
        <v>0</v>
      </c>
      <c r="P37" s="498" t="n">
        <f aca="false">IF(P4&lt;='Project Assumptions'!$F$39,P35,P20)</f>
        <v>0</v>
      </c>
      <c r="Q37" s="498" t="n">
        <f aca="false">IF(Q4&lt;='Project Assumptions'!$F$39,Q35,Q20)</f>
        <v>0</v>
      </c>
      <c r="R37" s="498" t="n">
        <f aca="false">IF(R4&lt;='Project Assumptions'!$F$39,R35,R20)</f>
        <v>0</v>
      </c>
      <c r="S37" s="498" t="n">
        <f aca="false">IF(S4&lt;='Project Assumptions'!$F$39,S35,S20)</f>
        <v>0</v>
      </c>
      <c r="T37" s="498" t="n">
        <f aca="false">IF(T4&lt;='Project Assumptions'!$F$39,T35,T20)</f>
        <v>0</v>
      </c>
      <c r="U37" s="498" t="n">
        <f aca="false">IF(U4&lt;='Project Assumptions'!$F$39,U35,U20)</f>
        <v>0</v>
      </c>
      <c r="V37" s="498" t="n">
        <f aca="false">IF(V4&lt;='Project Assumptions'!$F$39,V35,V20)</f>
        <v>0</v>
      </c>
      <c r="W37" s="498" t="n">
        <f aca="false">IF(W4&lt;='Project Assumptions'!$F$39,W35,W20)</f>
        <v>0</v>
      </c>
      <c r="X37" s="498" t="n">
        <f aca="false">IF(X4&lt;='Project Assumptions'!$F$39,X35,X20)</f>
        <v>0</v>
      </c>
      <c r="Y37" s="498" t="n">
        <f aca="false">IF(Y4&lt;='Project Assumptions'!$F$39,Y35,Y20)</f>
        <v>0</v>
      </c>
      <c r="Z37" s="498" t="n">
        <f aca="false">IF(Z4&lt;='Project Assumptions'!$F$39,Z35,Z20)</f>
        <v>0</v>
      </c>
      <c r="AA37" s="498" t="n">
        <f aca="false">IF(AA4&lt;='Project Assumptions'!$F$39,AA35,AA20)</f>
        <v>0</v>
      </c>
      <c r="AB37" s="498" t="n">
        <f aca="false">IF(AB4&lt;='Project Assumptions'!$F$39,AB35,AB20)</f>
        <v>0</v>
      </c>
      <c r="AC37" s="534" t="n">
        <f aca="false">IF(AC4&lt;='Project Assumptions'!$F$39,AC35,AC20)</f>
        <v>0</v>
      </c>
      <c r="AD37" s="529"/>
      <c r="AE37" s="529"/>
      <c r="AF37" s="529"/>
      <c r="AG37" s="529"/>
      <c r="AH37" s="529"/>
      <c r="AI37" s="529"/>
      <c r="AJ37" s="529"/>
      <c r="AK37" s="529"/>
      <c r="AL37" s="529"/>
      <c r="AM37" s="529"/>
      <c r="AN37" s="529"/>
      <c r="AO37" s="529"/>
      <c r="AP37" s="529"/>
      <c r="AQ37" s="529"/>
      <c r="AR37" s="529"/>
      <c r="AS37" s="529"/>
      <c r="AT37" s="529"/>
      <c r="AU37" s="529"/>
      <c r="AV37" s="529"/>
      <c r="AW37" s="529"/>
      <c r="AX37" s="529"/>
      <c r="AY37" s="529"/>
      <c r="AZ37" s="529"/>
      <c r="BA37" s="529"/>
      <c r="BB37" s="529"/>
      <c r="BC37" s="529"/>
      <c r="BD37" s="529"/>
      <c r="BE37" s="529"/>
      <c r="BF37" s="529"/>
      <c r="BG37" s="529"/>
      <c r="BH37" s="529"/>
      <c r="BI37" s="529"/>
      <c r="BJ37" s="529"/>
      <c r="BK37" s="529"/>
      <c r="BL37" s="529"/>
      <c r="BM37" s="529"/>
      <c r="BN37" s="529"/>
      <c r="BO37" s="529"/>
      <c r="BP37" s="529"/>
      <c r="BQ37" s="529"/>
      <c r="BR37" s="529"/>
      <c r="BS37" s="529"/>
      <c r="BT37" s="529"/>
      <c r="BU37" s="529"/>
      <c r="BV37" s="529"/>
      <c r="BW37" s="529"/>
      <c r="BX37" s="529"/>
      <c r="BY37" s="529"/>
      <c r="BZ37" s="529"/>
      <c r="CA37" s="529"/>
      <c r="CB37" s="529"/>
      <c r="CC37" s="529"/>
      <c r="CD37" s="529"/>
      <c r="CE37" s="529"/>
      <c r="CF37" s="529"/>
      <c r="CG37" s="529"/>
      <c r="CH37" s="529"/>
      <c r="CI37" s="529"/>
      <c r="CJ37" s="529"/>
      <c r="CK37" s="529"/>
      <c r="CL37" s="529"/>
      <c r="CM37" s="529"/>
      <c r="CN37" s="529"/>
      <c r="CO37" s="529"/>
      <c r="CP37" s="529"/>
      <c r="CQ37" s="529"/>
      <c r="CR37" s="529"/>
      <c r="CS37" s="529"/>
      <c r="CT37" s="529"/>
      <c r="CU37" s="529"/>
      <c r="CV37" s="529"/>
      <c r="CW37" s="529"/>
      <c r="CX37" s="529"/>
      <c r="CY37" s="529"/>
      <c r="CZ37" s="529"/>
      <c r="DA37" s="529"/>
      <c r="DB37" s="529"/>
      <c r="DC37" s="529"/>
      <c r="DD37" s="529"/>
      <c r="DE37" s="529"/>
      <c r="DF37" s="529"/>
      <c r="DG37" s="529"/>
      <c r="DH37" s="529"/>
      <c r="DI37" s="529"/>
      <c r="DJ37" s="529"/>
      <c r="DK37" s="529"/>
      <c r="DL37" s="529"/>
      <c r="DM37" s="529"/>
      <c r="DN37" s="529"/>
      <c r="DO37" s="529"/>
      <c r="DP37" s="529"/>
      <c r="DQ37" s="529"/>
      <c r="DR37" s="529"/>
      <c r="DS37" s="529"/>
      <c r="DT37" s="529"/>
      <c r="DU37" s="529"/>
      <c r="DV37" s="529"/>
      <c r="DW37" s="529"/>
      <c r="DX37" s="529"/>
      <c r="DY37" s="529"/>
      <c r="DZ37" s="529"/>
      <c r="EA37" s="529"/>
      <c r="EB37" s="529"/>
      <c r="EC37" s="529"/>
      <c r="ED37" s="529"/>
      <c r="EE37" s="529"/>
      <c r="EF37" s="529"/>
      <c r="EG37" s="529"/>
      <c r="EH37" s="529"/>
      <c r="EI37" s="529"/>
      <c r="EJ37" s="529"/>
      <c r="EK37" s="529"/>
      <c r="EL37" s="529"/>
      <c r="EM37" s="529"/>
      <c r="EN37" s="529"/>
      <c r="EO37" s="529"/>
      <c r="EP37" s="529"/>
      <c r="EQ37" s="529"/>
      <c r="ER37" s="529"/>
      <c r="ES37" s="529"/>
      <c r="ET37" s="529"/>
      <c r="EU37" s="529"/>
      <c r="EV37" s="529"/>
      <c r="EW37" s="529"/>
      <c r="EX37" s="529"/>
      <c r="EY37" s="529"/>
      <c r="EZ37" s="529"/>
      <c r="FA37" s="529"/>
      <c r="FB37" s="529"/>
      <c r="FC37" s="529"/>
      <c r="FD37" s="529"/>
      <c r="FE37" s="529"/>
      <c r="FF37" s="529"/>
      <c r="FG37" s="529"/>
      <c r="FH37" s="529"/>
      <c r="FI37" s="529"/>
      <c r="FJ37" s="529"/>
      <c r="FK37" s="529"/>
      <c r="FL37" s="529"/>
      <c r="FM37" s="529"/>
      <c r="FN37" s="529"/>
      <c r="FO37" s="529"/>
      <c r="FP37" s="529"/>
      <c r="FQ37" s="529"/>
      <c r="FR37" s="529"/>
      <c r="FS37" s="529"/>
      <c r="FT37" s="529"/>
      <c r="FU37" s="529"/>
      <c r="FV37" s="529"/>
      <c r="FW37" s="529"/>
      <c r="FX37" s="529"/>
      <c r="FY37" s="529"/>
      <c r="FZ37" s="529"/>
      <c r="GA37" s="529"/>
      <c r="GB37" s="529"/>
      <c r="GC37" s="529"/>
      <c r="GD37" s="529"/>
      <c r="GE37" s="529"/>
      <c r="GF37" s="529"/>
      <c r="GG37" s="529"/>
      <c r="GH37" s="529"/>
      <c r="GI37" s="529"/>
      <c r="GJ37" s="529"/>
      <c r="GK37" s="529"/>
      <c r="GL37" s="529"/>
      <c r="GM37" s="529"/>
      <c r="GN37" s="529"/>
      <c r="GO37" s="529"/>
      <c r="GP37" s="529"/>
      <c r="GQ37" s="529"/>
      <c r="GR37" s="529"/>
      <c r="GS37" s="529"/>
      <c r="GT37" s="529"/>
      <c r="GU37" s="529"/>
      <c r="GV37" s="529"/>
      <c r="GW37" s="529"/>
      <c r="GX37" s="529"/>
      <c r="GY37" s="529"/>
      <c r="GZ37" s="529"/>
      <c r="HA37" s="529"/>
      <c r="HB37" s="529"/>
      <c r="HC37" s="529"/>
      <c r="HD37" s="529"/>
      <c r="HE37" s="529"/>
      <c r="HF37" s="529"/>
      <c r="HG37" s="529"/>
      <c r="HH37" s="529"/>
      <c r="HI37" s="529"/>
      <c r="HJ37" s="529"/>
      <c r="HK37" s="529"/>
      <c r="HL37" s="529"/>
      <c r="HM37" s="529"/>
      <c r="HN37" s="529"/>
      <c r="HO37" s="529"/>
      <c r="HP37" s="529"/>
      <c r="HQ37" s="529"/>
      <c r="HR37" s="529"/>
      <c r="HS37" s="529"/>
      <c r="HT37" s="529"/>
      <c r="HU37" s="529"/>
      <c r="HV37" s="529"/>
      <c r="HW37" s="529"/>
      <c r="HX37" s="529"/>
      <c r="HY37" s="529"/>
      <c r="HZ37" s="529"/>
      <c r="IA37" s="529"/>
      <c r="IB37" s="529"/>
      <c r="IC37" s="529"/>
      <c r="ID37" s="529"/>
      <c r="IE37" s="529"/>
      <c r="IF37" s="529"/>
      <c r="IG37" s="529"/>
      <c r="IH37" s="529"/>
      <c r="II37" s="529"/>
      <c r="IJ37" s="529"/>
      <c r="IK37" s="529"/>
      <c r="IL37" s="529"/>
      <c r="IM37" s="529"/>
      <c r="IN37" s="529"/>
      <c r="IO37" s="529"/>
      <c r="IP37" s="529"/>
      <c r="IQ37" s="529"/>
      <c r="IR37" s="529"/>
      <c r="IS37" s="529"/>
      <c r="IT37" s="529"/>
      <c r="IU37" s="529"/>
      <c r="IV37" s="529"/>
      <c r="IW37" s="529"/>
    </row>
    <row r="38" customFormat="false" ht="12.6" hidden="false" customHeight="true" outlineLevel="0" collapsed="false">
      <c r="A38" s="524" t="s">
        <v>450</v>
      </c>
      <c r="B38" s="463"/>
      <c r="C38" s="463"/>
      <c r="D38" s="525"/>
      <c r="E38" s="520" t="n">
        <f aca="false">IF(E4&lt;'Project Assumptions'!$G$39,E34-E36,IF(E4&gt;'Project Assumptions'!$G$39,0,E34-E36))</f>
        <v>84756.0448277374</v>
      </c>
      <c r="F38" s="520" t="n">
        <f aca="false">IF(F4&lt;'Project Assumptions'!$G$39,F34-F36,IF(F4&gt;'Project Assumptions'!$G$39,0,F34-F36))</f>
        <v>84756.0448277374</v>
      </c>
      <c r="G38" s="520" t="n">
        <f aca="false">IF(G4&lt;'Project Assumptions'!$G$39,G34-G36,IF(G4&gt;'Project Assumptions'!$G$39,0,G34-G36))</f>
        <v>84756.0448277374</v>
      </c>
      <c r="H38" s="520" t="n">
        <f aca="false">IF(H4&lt;'Project Assumptions'!$G$39,H34-H36,IF(H4&gt;'Project Assumptions'!$G$39,0,H34-H36))</f>
        <v>84756.0448277374</v>
      </c>
      <c r="I38" s="520" t="n">
        <f aca="false">IF(I4&lt;'Project Assumptions'!$G$39,I34-I36,IF(I4&gt;'Project Assumptions'!$G$39,0,I34-I36))</f>
        <v>73635.9190137511</v>
      </c>
      <c r="J38" s="520" t="n">
        <f aca="false">IF(J4&lt;'Project Assumptions'!$G$39,J34-J36,IF(J4&gt;'Project Assumptions'!$G$39,0,J34-J36))</f>
        <v>61126.2446214217</v>
      </c>
      <c r="K38" s="520" t="n">
        <f aca="false">IF(K4&lt;'Project Assumptions'!$G$39,K34-K36,IF(K4&gt;'Project Assumptions'!$G$39,0,K34-K36))</f>
        <v>47770.8080370906</v>
      </c>
      <c r="L38" s="520" t="n">
        <f aca="false">IF(L4&lt;'Project Assumptions'!$G$39,L34-L36,IF(L4&gt;'Project Assumptions'!$G$39,0,L34-L36))</f>
        <v>33194.2881522476</v>
      </c>
      <c r="M38" s="520" t="n">
        <f aca="false">IF(M4&lt;'Project Assumptions'!$G$39,M34-M36,IF(M4&gt;'Project Assumptions'!$G$39,0,M34-M36))</f>
        <v>17307.9599632792</v>
      </c>
      <c r="N38" s="520" t="n">
        <f aca="false">IF(N4&lt;'Project Assumptions'!$G$39,N34-N36,IF(N4&gt;'Project Assumptions'!$G$39,0,N34-N36))</f>
        <v>0</v>
      </c>
      <c r="O38" s="520" t="n">
        <f aca="false">IF(O4&lt;'Project Assumptions'!$G$39,O34-O36,IF(O4&gt;'Project Assumptions'!$G$39,0,O34-O36))</f>
        <v>0</v>
      </c>
      <c r="P38" s="520" t="n">
        <f aca="false">IF(P4&lt;'Project Assumptions'!$G$39,P34-P36,IF(P4&gt;'Project Assumptions'!$G$39,0,P34-P36))</f>
        <v>0</v>
      </c>
      <c r="Q38" s="520" t="n">
        <f aca="false">IF(Q4&lt;'Project Assumptions'!$G$39,Q34-Q36,IF(Q4&gt;'Project Assumptions'!$G$39,0,Q34-Q36))</f>
        <v>0</v>
      </c>
      <c r="R38" s="520" t="n">
        <f aca="false">IF(R4&lt;'Project Assumptions'!$G$39,R34-R36,IF(R4&gt;'Project Assumptions'!$G$39,0,R34-R36))</f>
        <v>0</v>
      </c>
      <c r="S38" s="520" t="n">
        <f aca="false">IF(S4&lt;'Project Assumptions'!$G$39,S34-S36,IF(S4&gt;'Project Assumptions'!$G$39,0,S34-S36))</f>
        <v>0</v>
      </c>
      <c r="T38" s="520" t="n">
        <f aca="false">IF(T4&lt;'Project Assumptions'!$G$39,T34-T36,IF(T4&gt;'Project Assumptions'!$G$39,0,T34-T36))</f>
        <v>0</v>
      </c>
      <c r="U38" s="520" t="n">
        <f aca="false">IF(U4&lt;'Project Assumptions'!$G$39,U34-U36,IF(U4&gt;'Project Assumptions'!$G$39,0,U34-U36))</f>
        <v>0</v>
      </c>
      <c r="V38" s="520" t="n">
        <f aca="false">IF(V4&lt;'Project Assumptions'!$G$39,V34-V36,IF(V4&gt;'Project Assumptions'!$G$39,0,V34-V36))</f>
        <v>0</v>
      </c>
      <c r="W38" s="520" t="n">
        <f aca="false">IF(W4&lt;'Project Assumptions'!$G$39,W34-W36,IF(W4&gt;'Project Assumptions'!$G$39,0,W34-W36))</f>
        <v>0</v>
      </c>
      <c r="X38" s="520" t="n">
        <f aca="false">IF(X4&lt;'Project Assumptions'!$G$39,X34-X36,IF(X4&gt;'Project Assumptions'!$G$39,0,X34-X36))</f>
        <v>0</v>
      </c>
      <c r="Y38" s="520" t="n">
        <f aca="false">IF(Y4&lt;'Project Assumptions'!$G$39,Y34-Y36,IF(Y4&gt;'Project Assumptions'!$G$39,0,Y34-Y36))</f>
        <v>0</v>
      </c>
      <c r="Z38" s="520" t="n">
        <f aca="false">IF(Z4&lt;'Project Assumptions'!$G$39,Z34-Z36,IF(Z4&gt;'Project Assumptions'!$G$39,0,Z34-Z36))</f>
        <v>0</v>
      </c>
      <c r="AA38" s="520" t="n">
        <f aca="false">IF(AA4&lt;'Project Assumptions'!$G$39,AA34-AA36,IF(AA4&gt;'Project Assumptions'!$G$39,0,AA34-AA36))</f>
        <v>0</v>
      </c>
      <c r="AB38" s="520" t="n">
        <f aca="false">IF(AB4&lt;'Project Assumptions'!$G$39,AB34-AB36,IF(AB4&gt;'Project Assumptions'!$G$39,0,AB34-AB36))</f>
        <v>0</v>
      </c>
      <c r="AC38" s="521" t="n">
        <f aca="false">IF(AC4&lt;'Project Assumptions'!$G$39,AC34-AC36,IF(AC4&gt;'Project Assumptions'!$G$39,0,AC34-AC36))</f>
        <v>0</v>
      </c>
      <c r="AD38" s="529"/>
      <c r="AE38" s="529"/>
      <c r="AF38" s="529"/>
      <c r="AG38" s="529"/>
      <c r="AH38" s="529"/>
      <c r="AI38" s="529"/>
      <c r="AJ38" s="529"/>
      <c r="AK38" s="529"/>
      <c r="AL38" s="529"/>
      <c r="AM38" s="529"/>
      <c r="AN38" s="529"/>
      <c r="AO38" s="529"/>
      <c r="AP38" s="529"/>
      <c r="AQ38" s="529"/>
      <c r="AR38" s="529"/>
      <c r="AS38" s="529"/>
      <c r="AT38" s="529"/>
      <c r="AU38" s="529"/>
      <c r="AV38" s="529"/>
      <c r="AW38" s="529"/>
      <c r="AX38" s="529"/>
      <c r="AY38" s="529"/>
      <c r="AZ38" s="529"/>
      <c r="BA38" s="529"/>
      <c r="BB38" s="529"/>
      <c r="BC38" s="529"/>
      <c r="BD38" s="529"/>
      <c r="BE38" s="529"/>
      <c r="BF38" s="529"/>
      <c r="BG38" s="529"/>
      <c r="BH38" s="529"/>
      <c r="BI38" s="529"/>
      <c r="BJ38" s="529"/>
      <c r="BK38" s="529"/>
      <c r="BL38" s="529"/>
      <c r="BM38" s="529"/>
      <c r="BN38" s="529"/>
      <c r="BO38" s="529"/>
      <c r="BP38" s="529"/>
      <c r="BQ38" s="529"/>
      <c r="BR38" s="529"/>
      <c r="BS38" s="529"/>
      <c r="BT38" s="529"/>
      <c r="BU38" s="529"/>
      <c r="BV38" s="529"/>
      <c r="BW38" s="529"/>
      <c r="BX38" s="529"/>
      <c r="BY38" s="529"/>
      <c r="BZ38" s="529"/>
      <c r="CA38" s="529"/>
      <c r="CB38" s="529"/>
      <c r="CC38" s="529"/>
      <c r="CD38" s="529"/>
      <c r="CE38" s="529"/>
      <c r="CF38" s="529"/>
      <c r="CG38" s="529"/>
      <c r="CH38" s="529"/>
      <c r="CI38" s="529"/>
      <c r="CJ38" s="529"/>
      <c r="CK38" s="529"/>
      <c r="CL38" s="529"/>
      <c r="CM38" s="529"/>
      <c r="CN38" s="529"/>
      <c r="CO38" s="529"/>
      <c r="CP38" s="529"/>
      <c r="CQ38" s="529"/>
      <c r="CR38" s="529"/>
      <c r="CS38" s="529"/>
      <c r="CT38" s="529"/>
      <c r="CU38" s="529"/>
      <c r="CV38" s="529"/>
      <c r="CW38" s="529"/>
      <c r="CX38" s="529"/>
      <c r="CY38" s="529"/>
      <c r="CZ38" s="529"/>
      <c r="DA38" s="529"/>
      <c r="DB38" s="529"/>
      <c r="DC38" s="529"/>
      <c r="DD38" s="529"/>
      <c r="DE38" s="529"/>
      <c r="DF38" s="529"/>
      <c r="DG38" s="529"/>
      <c r="DH38" s="529"/>
      <c r="DI38" s="529"/>
      <c r="DJ38" s="529"/>
      <c r="DK38" s="529"/>
      <c r="DL38" s="529"/>
      <c r="DM38" s="529"/>
      <c r="DN38" s="529"/>
      <c r="DO38" s="529"/>
      <c r="DP38" s="529"/>
      <c r="DQ38" s="529"/>
      <c r="DR38" s="529"/>
      <c r="DS38" s="529"/>
      <c r="DT38" s="529"/>
      <c r="DU38" s="529"/>
      <c r="DV38" s="529"/>
      <c r="DW38" s="529"/>
      <c r="DX38" s="529"/>
      <c r="DY38" s="529"/>
      <c r="DZ38" s="529"/>
      <c r="EA38" s="529"/>
      <c r="EB38" s="529"/>
      <c r="EC38" s="529"/>
      <c r="ED38" s="529"/>
      <c r="EE38" s="529"/>
      <c r="EF38" s="529"/>
      <c r="EG38" s="529"/>
      <c r="EH38" s="529"/>
      <c r="EI38" s="529"/>
      <c r="EJ38" s="529"/>
      <c r="EK38" s="529"/>
      <c r="EL38" s="529"/>
      <c r="EM38" s="529"/>
      <c r="EN38" s="529"/>
      <c r="EO38" s="529"/>
      <c r="EP38" s="529"/>
      <c r="EQ38" s="529"/>
      <c r="ER38" s="529"/>
      <c r="ES38" s="529"/>
      <c r="ET38" s="529"/>
      <c r="EU38" s="529"/>
      <c r="EV38" s="529"/>
      <c r="EW38" s="529"/>
      <c r="EX38" s="529"/>
      <c r="EY38" s="529"/>
      <c r="EZ38" s="529"/>
      <c r="FA38" s="529"/>
      <c r="FB38" s="529"/>
      <c r="FC38" s="529"/>
      <c r="FD38" s="529"/>
      <c r="FE38" s="529"/>
      <c r="FF38" s="529"/>
      <c r="FG38" s="529"/>
      <c r="FH38" s="529"/>
      <c r="FI38" s="529"/>
      <c r="FJ38" s="529"/>
      <c r="FK38" s="529"/>
      <c r="FL38" s="529"/>
      <c r="FM38" s="529"/>
      <c r="FN38" s="529"/>
      <c r="FO38" s="529"/>
      <c r="FP38" s="529"/>
      <c r="FQ38" s="529"/>
      <c r="FR38" s="529"/>
      <c r="FS38" s="529"/>
      <c r="FT38" s="529"/>
      <c r="FU38" s="529"/>
      <c r="FV38" s="529"/>
      <c r="FW38" s="529"/>
      <c r="FX38" s="529"/>
      <c r="FY38" s="529"/>
      <c r="FZ38" s="529"/>
      <c r="GA38" s="529"/>
      <c r="GB38" s="529"/>
      <c r="GC38" s="529"/>
      <c r="GD38" s="529"/>
      <c r="GE38" s="529"/>
      <c r="GF38" s="529"/>
      <c r="GG38" s="529"/>
      <c r="GH38" s="529"/>
      <c r="GI38" s="529"/>
      <c r="GJ38" s="529"/>
      <c r="GK38" s="529"/>
      <c r="GL38" s="529"/>
      <c r="GM38" s="529"/>
      <c r="GN38" s="529"/>
      <c r="GO38" s="529"/>
      <c r="GP38" s="529"/>
      <c r="GQ38" s="529"/>
      <c r="GR38" s="529"/>
      <c r="GS38" s="529"/>
      <c r="GT38" s="529"/>
      <c r="GU38" s="529"/>
      <c r="GV38" s="529"/>
      <c r="GW38" s="529"/>
      <c r="GX38" s="529"/>
      <c r="GY38" s="529"/>
      <c r="GZ38" s="529"/>
      <c r="HA38" s="529"/>
      <c r="HB38" s="529"/>
      <c r="HC38" s="529"/>
      <c r="HD38" s="529"/>
      <c r="HE38" s="529"/>
      <c r="HF38" s="529"/>
      <c r="HG38" s="529"/>
      <c r="HH38" s="529"/>
      <c r="HI38" s="529"/>
      <c r="HJ38" s="529"/>
      <c r="HK38" s="529"/>
      <c r="HL38" s="529"/>
      <c r="HM38" s="529"/>
      <c r="HN38" s="529"/>
      <c r="HO38" s="529"/>
      <c r="HP38" s="529"/>
      <c r="HQ38" s="529"/>
      <c r="HR38" s="529"/>
      <c r="HS38" s="529"/>
      <c r="HT38" s="529"/>
      <c r="HU38" s="529"/>
      <c r="HV38" s="529"/>
      <c r="HW38" s="529"/>
      <c r="HX38" s="529"/>
      <c r="HY38" s="529"/>
      <c r="HZ38" s="529"/>
      <c r="IA38" s="529"/>
      <c r="IB38" s="529"/>
      <c r="IC38" s="529"/>
      <c r="ID38" s="529"/>
      <c r="IE38" s="529"/>
      <c r="IF38" s="529"/>
      <c r="IG38" s="529"/>
      <c r="IH38" s="529"/>
      <c r="II38" s="529"/>
      <c r="IJ38" s="529"/>
      <c r="IK38" s="529"/>
      <c r="IL38" s="529"/>
      <c r="IM38" s="529"/>
      <c r="IN38" s="529"/>
      <c r="IO38" s="529"/>
      <c r="IP38" s="529"/>
      <c r="IQ38" s="529"/>
      <c r="IR38" s="529"/>
      <c r="IS38" s="529"/>
      <c r="IT38" s="529"/>
      <c r="IU38" s="529"/>
      <c r="IV38" s="529"/>
      <c r="IW38" s="529"/>
    </row>
    <row r="39" customFormat="false" ht="12.6" hidden="false" customHeight="true" outlineLevel="0" collapsed="false">
      <c r="A39" s="552" t="s">
        <v>451</v>
      </c>
      <c r="B39" s="553"/>
      <c r="C39" s="553"/>
      <c r="D39" s="540"/>
      <c r="E39" s="554" t="n">
        <f aca="false">IF('Project Assumptions'!$G$39&gt;0,SUMPRODUCT(E4:AC4,E36:AC36)/B20,0)</f>
        <v>7.74948200168405</v>
      </c>
      <c r="F39" s="541"/>
      <c r="G39" s="541"/>
      <c r="H39" s="541"/>
      <c r="I39" s="541"/>
      <c r="J39" s="541"/>
      <c r="K39" s="541"/>
      <c r="L39" s="541"/>
      <c r="M39" s="541"/>
      <c r="N39" s="541"/>
      <c r="O39" s="541"/>
      <c r="P39" s="541"/>
      <c r="Q39" s="541"/>
      <c r="R39" s="541"/>
      <c r="S39" s="541"/>
      <c r="T39" s="541"/>
      <c r="U39" s="541"/>
      <c r="V39" s="541"/>
      <c r="W39" s="541"/>
      <c r="X39" s="541"/>
      <c r="Y39" s="541"/>
      <c r="Z39" s="541"/>
      <c r="AA39" s="541"/>
      <c r="AB39" s="541"/>
      <c r="AC39" s="542"/>
      <c r="AD39" s="529"/>
      <c r="AE39" s="529"/>
      <c r="AF39" s="529"/>
      <c r="AG39" s="529"/>
      <c r="AH39" s="529"/>
      <c r="AI39" s="529"/>
      <c r="AJ39" s="529"/>
      <c r="AK39" s="529"/>
      <c r="AL39" s="529"/>
      <c r="AM39" s="529"/>
      <c r="AN39" s="529"/>
      <c r="AO39" s="529"/>
      <c r="AP39" s="529"/>
      <c r="AQ39" s="529"/>
      <c r="AR39" s="529"/>
      <c r="AS39" s="529"/>
      <c r="AT39" s="529"/>
      <c r="AU39" s="529"/>
      <c r="AV39" s="529"/>
      <c r="AW39" s="529"/>
      <c r="AX39" s="529"/>
      <c r="AY39" s="529"/>
      <c r="AZ39" s="529"/>
      <c r="BA39" s="529"/>
      <c r="BB39" s="529"/>
      <c r="BC39" s="529"/>
      <c r="BD39" s="529"/>
      <c r="BE39" s="529"/>
      <c r="BF39" s="529"/>
      <c r="BG39" s="529"/>
      <c r="BH39" s="529"/>
      <c r="BI39" s="529"/>
      <c r="BJ39" s="529"/>
      <c r="BK39" s="529"/>
      <c r="BL39" s="529"/>
      <c r="BM39" s="529"/>
      <c r="BN39" s="529"/>
      <c r="BO39" s="529"/>
      <c r="BP39" s="529"/>
      <c r="BQ39" s="529"/>
      <c r="BR39" s="529"/>
      <c r="BS39" s="529"/>
      <c r="BT39" s="529"/>
      <c r="BU39" s="529"/>
      <c r="BV39" s="529"/>
      <c r="BW39" s="529"/>
      <c r="BX39" s="529"/>
      <c r="BY39" s="529"/>
      <c r="BZ39" s="529"/>
      <c r="CA39" s="529"/>
      <c r="CB39" s="529"/>
      <c r="CC39" s="529"/>
      <c r="CD39" s="529"/>
      <c r="CE39" s="529"/>
      <c r="CF39" s="529"/>
      <c r="CG39" s="529"/>
      <c r="CH39" s="529"/>
      <c r="CI39" s="529"/>
      <c r="CJ39" s="529"/>
      <c r="CK39" s="529"/>
      <c r="CL39" s="529"/>
      <c r="CM39" s="529"/>
      <c r="CN39" s="529"/>
      <c r="CO39" s="529"/>
      <c r="CP39" s="529"/>
      <c r="CQ39" s="529"/>
      <c r="CR39" s="529"/>
      <c r="CS39" s="529"/>
      <c r="CT39" s="529"/>
      <c r="CU39" s="529"/>
      <c r="CV39" s="529"/>
      <c r="CW39" s="529"/>
      <c r="CX39" s="529"/>
      <c r="CY39" s="529"/>
      <c r="CZ39" s="529"/>
      <c r="DA39" s="529"/>
      <c r="DB39" s="529"/>
      <c r="DC39" s="529"/>
      <c r="DD39" s="529"/>
      <c r="DE39" s="529"/>
      <c r="DF39" s="529"/>
      <c r="DG39" s="529"/>
      <c r="DH39" s="529"/>
      <c r="DI39" s="529"/>
      <c r="DJ39" s="529"/>
      <c r="DK39" s="529"/>
      <c r="DL39" s="529"/>
      <c r="DM39" s="529"/>
      <c r="DN39" s="529"/>
      <c r="DO39" s="529"/>
      <c r="DP39" s="529"/>
      <c r="DQ39" s="529"/>
      <c r="DR39" s="529"/>
      <c r="DS39" s="529"/>
      <c r="DT39" s="529"/>
      <c r="DU39" s="529"/>
      <c r="DV39" s="529"/>
      <c r="DW39" s="529"/>
      <c r="DX39" s="529"/>
      <c r="DY39" s="529"/>
      <c r="DZ39" s="529"/>
      <c r="EA39" s="529"/>
      <c r="EB39" s="529"/>
      <c r="EC39" s="529"/>
      <c r="ED39" s="529"/>
      <c r="EE39" s="529"/>
      <c r="EF39" s="529"/>
      <c r="EG39" s="529"/>
      <c r="EH39" s="529"/>
      <c r="EI39" s="529"/>
      <c r="EJ39" s="529"/>
      <c r="EK39" s="529"/>
      <c r="EL39" s="529"/>
      <c r="EM39" s="529"/>
      <c r="EN39" s="529"/>
      <c r="EO39" s="529"/>
      <c r="EP39" s="529"/>
      <c r="EQ39" s="529"/>
      <c r="ER39" s="529"/>
      <c r="ES39" s="529"/>
      <c r="ET39" s="529"/>
      <c r="EU39" s="529"/>
      <c r="EV39" s="529"/>
      <c r="EW39" s="529"/>
      <c r="EX39" s="529"/>
      <c r="EY39" s="529"/>
      <c r="EZ39" s="529"/>
      <c r="FA39" s="529"/>
      <c r="FB39" s="529"/>
      <c r="FC39" s="529"/>
      <c r="FD39" s="529"/>
      <c r="FE39" s="529"/>
      <c r="FF39" s="529"/>
      <c r="FG39" s="529"/>
      <c r="FH39" s="529"/>
      <c r="FI39" s="529"/>
      <c r="FJ39" s="529"/>
      <c r="FK39" s="529"/>
      <c r="FL39" s="529"/>
      <c r="FM39" s="529"/>
      <c r="FN39" s="529"/>
      <c r="FO39" s="529"/>
      <c r="FP39" s="529"/>
      <c r="FQ39" s="529"/>
      <c r="FR39" s="529"/>
      <c r="FS39" s="529"/>
      <c r="FT39" s="529"/>
      <c r="FU39" s="529"/>
      <c r="FV39" s="529"/>
      <c r="FW39" s="529"/>
      <c r="FX39" s="529"/>
      <c r="FY39" s="529"/>
      <c r="FZ39" s="529"/>
      <c r="GA39" s="529"/>
      <c r="GB39" s="529"/>
      <c r="GC39" s="529"/>
      <c r="GD39" s="529"/>
      <c r="GE39" s="529"/>
      <c r="GF39" s="529"/>
      <c r="GG39" s="529"/>
      <c r="GH39" s="529"/>
      <c r="GI39" s="529"/>
      <c r="GJ39" s="529"/>
      <c r="GK39" s="529"/>
      <c r="GL39" s="529"/>
      <c r="GM39" s="529"/>
      <c r="GN39" s="529"/>
      <c r="GO39" s="529"/>
      <c r="GP39" s="529"/>
      <c r="GQ39" s="529"/>
      <c r="GR39" s="529"/>
      <c r="GS39" s="529"/>
      <c r="GT39" s="529"/>
      <c r="GU39" s="529"/>
      <c r="GV39" s="529"/>
      <c r="GW39" s="529"/>
      <c r="GX39" s="529"/>
      <c r="GY39" s="529"/>
      <c r="GZ39" s="529"/>
      <c r="HA39" s="529"/>
      <c r="HB39" s="529"/>
      <c r="HC39" s="529"/>
      <c r="HD39" s="529"/>
      <c r="HE39" s="529"/>
      <c r="HF39" s="529"/>
      <c r="HG39" s="529"/>
      <c r="HH39" s="529"/>
      <c r="HI39" s="529"/>
      <c r="HJ39" s="529"/>
      <c r="HK39" s="529"/>
      <c r="HL39" s="529"/>
      <c r="HM39" s="529"/>
      <c r="HN39" s="529"/>
      <c r="HO39" s="529"/>
      <c r="HP39" s="529"/>
      <c r="HQ39" s="529"/>
      <c r="HR39" s="529"/>
      <c r="HS39" s="529"/>
      <c r="HT39" s="529"/>
      <c r="HU39" s="529"/>
      <c r="HV39" s="529"/>
      <c r="HW39" s="529"/>
      <c r="HX39" s="529"/>
      <c r="HY39" s="529"/>
      <c r="HZ39" s="529"/>
      <c r="IA39" s="529"/>
      <c r="IB39" s="529"/>
      <c r="IC39" s="529"/>
      <c r="ID39" s="529"/>
      <c r="IE39" s="529"/>
      <c r="IF39" s="529"/>
      <c r="IG39" s="529"/>
      <c r="IH39" s="529"/>
      <c r="II39" s="529"/>
      <c r="IJ39" s="529"/>
      <c r="IK39" s="529"/>
      <c r="IL39" s="529"/>
      <c r="IM39" s="529"/>
      <c r="IN39" s="529"/>
      <c r="IO39" s="529"/>
      <c r="IP39" s="529"/>
      <c r="IQ39" s="529"/>
      <c r="IR39" s="529"/>
      <c r="IS39" s="529"/>
      <c r="IT39" s="529"/>
      <c r="IU39" s="529"/>
      <c r="IV39" s="529"/>
      <c r="IW39" s="529"/>
    </row>
    <row r="40" customFormat="false" ht="12.75" hidden="false" customHeight="false" outlineLevel="0" collapsed="false">
      <c r="E40" s="498"/>
      <c r="F40" s="498"/>
      <c r="G40" s="498"/>
      <c r="H40" s="498"/>
      <c r="I40" s="498"/>
      <c r="J40" s="498"/>
      <c r="K40" s="498"/>
      <c r="L40" s="498"/>
      <c r="M40" s="498"/>
      <c r="N40" s="498"/>
      <c r="O40" s="498"/>
      <c r="P40" s="498"/>
      <c r="Q40" s="498"/>
      <c r="R40" s="498"/>
      <c r="S40" s="555"/>
      <c r="T40" s="498"/>
      <c r="U40" s="498"/>
      <c r="V40" s="498"/>
      <c r="W40" s="498"/>
      <c r="X40" s="498"/>
      <c r="Y40" s="498"/>
      <c r="Z40" s="498"/>
      <c r="AA40" s="498"/>
      <c r="AB40" s="498"/>
      <c r="AC40" s="498"/>
    </row>
    <row r="41" customFormat="false" ht="12.75" hidden="false" customHeight="false" outlineLevel="0" collapsed="false">
      <c r="A41" s="556" t="s">
        <v>233</v>
      </c>
      <c r="B41" s="557"/>
      <c r="C41" s="557"/>
      <c r="D41" s="548"/>
      <c r="E41" s="558"/>
      <c r="F41" s="548"/>
      <c r="G41" s="548"/>
      <c r="H41" s="548"/>
      <c r="I41" s="548"/>
      <c r="J41" s="548"/>
      <c r="K41" s="548"/>
      <c r="L41" s="548"/>
      <c r="M41" s="548"/>
      <c r="N41" s="548"/>
      <c r="O41" s="548"/>
      <c r="P41" s="548"/>
      <c r="Q41" s="548"/>
      <c r="R41" s="548"/>
      <c r="S41" s="559"/>
      <c r="T41" s="548"/>
      <c r="U41" s="548"/>
      <c r="V41" s="548"/>
      <c r="W41" s="548"/>
      <c r="X41" s="548"/>
      <c r="Y41" s="548"/>
      <c r="Z41" s="548"/>
      <c r="AA41" s="548"/>
      <c r="AB41" s="548"/>
      <c r="AC41" s="560"/>
      <c r="AD41" s="529"/>
      <c r="AE41" s="529"/>
      <c r="AF41" s="529"/>
      <c r="AG41" s="529"/>
      <c r="AH41" s="529"/>
      <c r="AI41" s="529"/>
      <c r="AJ41" s="529"/>
      <c r="AK41" s="529"/>
      <c r="AL41" s="529"/>
      <c r="AM41" s="529"/>
      <c r="AN41" s="529"/>
      <c r="AO41" s="529"/>
      <c r="AP41" s="529"/>
      <c r="AQ41" s="529"/>
      <c r="AR41" s="529"/>
      <c r="AS41" s="529"/>
      <c r="AT41" s="529"/>
      <c r="AU41" s="529"/>
      <c r="AV41" s="529"/>
      <c r="AW41" s="529"/>
      <c r="AX41" s="529"/>
      <c r="AY41" s="529"/>
      <c r="AZ41" s="529"/>
      <c r="BA41" s="529"/>
      <c r="BB41" s="529"/>
      <c r="BC41" s="529"/>
      <c r="BD41" s="529"/>
      <c r="BE41" s="529"/>
      <c r="BF41" s="529"/>
      <c r="BG41" s="529"/>
      <c r="BH41" s="529"/>
      <c r="BI41" s="529"/>
      <c r="BJ41" s="529"/>
      <c r="BK41" s="529"/>
      <c r="BL41" s="529"/>
      <c r="BM41" s="529"/>
      <c r="BN41" s="529"/>
      <c r="BO41" s="529"/>
      <c r="BP41" s="529"/>
      <c r="BQ41" s="529"/>
      <c r="BR41" s="529"/>
      <c r="BS41" s="529"/>
      <c r="BT41" s="529"/>
      <c r="BU41" s="529"/>
      <c r="BV41" s="529"/>
      <c r="BW41" s="529"/>
      <c r="BX41" s="529"/>
      <c r="BY41" s="529"/>
      <c r="BZ41" s="529"/>
      <c r="CA41" s="529"/>
      <c r="CB41" s="529"/>
      <c r="CC41" s="529"/>
      <c r="CD41" s="529"/>
      <c r="CE41" s="529"/>
      <c r="CF41" s="529"/>
      <c r="CG41" s="529"/>
      <c r="CH41" s="529"/>
      <c r="CI41" s="529"/>
      <c r="CJ41" s="529"/>
      <c r="CK41" s="529"/>
      <c r="CL41" s="529"/>
      <c r="CM41" s="529"/>
      <c r="CN41" s="529"/>
      <c r="CO41" s="529"/>
      <c r="CP41" s="529"/>
      <c r="CQ41" s="529"/>
      <c r="CR41" s="529"/>
      <c r="CS41" s="529"/>
      <c r="CT41" s="529"/>
      <c r="CU41" s="529"/>
      <c r="CV41" s="529"/>
      <c r="CW41" s="529"/>
      <c r="CX41" s="529"/>
      <c r="CY41" s="529"/>
      <c r="CZ41" s="529"/>
      <c r="DA41" s="529"/>
      <c r="DB41" s="529"/>
      <c r="DC41" s="529"/>
      <c r="DD41" s="529"/>
      <c r="DE41" s="529"/>
      <c r="DF41" s="529"/>
      <c r="DG41" s="529"/>
      <c r="DH41" s="529"/>
      <c r="DI41" s="529"/>
      <c r="DJ41" s="529"/>
      <c r="DK41" s="529"/>
      <c r="DL41" s="529"/>
      <c r="DM41" s="529"/>
      <c r="DN41" s="529"/>
      <c r="DO41" s="529"/>
      <c r="DP41" s="529"/>
      <c r="DQ41" s="529"/>
      <c r="DR41" s="529"/>
      <c r="DS41" s="529"/>
      <c r="DT41" s="529"/>
      <c r="DU41" s="529"/>
      <c r="DV41" s="529"/>
      <c r="DW41" s="529"/>
      <c r="DX41" s="529"/>
      <c r="DY41" s="529"/>
      <c r="DZ41" s="529"/>
      <c r="EA41" s="529"/>
      <c r="EB41" s="529"/>
      <c r="EC41" s="529"/>
      <c r="ED41" s="529"/>
      <c r="EE41" s="529"/>
      <c r="EF41" s="529"/>
      <c r="EG41" s="529"/>
      <c r="EH41" s="529"/>
      <c r="EI41" s="529"/>
      <c r="EJ41" s="529"/>
      <c r="EK41" s="529"/>
      <c r="EL41" s="529"/>
      <c r="EM41" s="529"/>
      <c r="EN41" s="529"/>
      <c r="EO41" s="529"/>
      <c r="EP41" s="529"/>
      <c r="EQ41" s="529"/>
      <c r="ER41" s="529"/>
      <c r="ES41" s="529"/>
      <c r="ET41" s="529"/>
      <c r="EU41" s="529"/>
      <c r="EV41" s="529"/>
      <c r="EW41" s="529"/>
      <c r="EX41" s="529"/>
      <c r="EY41" s="529"/>
      <c r="EZ41" s="529"/>
      <c r="FA41" s="529"/>
      <c r="FB41" s="529"/>
      <c r="FC41" s="529"/>
      <c r="FD41" s="529"/>
      <c r="FE41" s="529"/>
      <c r="FF41" s="529"/>
      <c r="FG41" s="529"/>
      <c r="FH41" s="529"/>
      <c r="FI41" s="529"/>
      <c r="FJ41" s="529"/>
      <c r="FK41" s="529"/>
      <c r="FL41" s="529"/>
      <c r="FM41" s="529"/>
      <c r="FN41" s="529"/>
      <c r="FO41" s="529"/>
      <c r="FP41" s="529"/>
      <c r="FQ41" s="529"/>
      <c r="FR41" s="529"/>
      <c r="FS41" s="529"/>
      <c r="FT41" s="529"/>
      <c r="FU41" s="529"/>
      <c r="FV41" s="529"/>
      <c r="FW41" s="529"/>
      <c r="FX41" s="529"/>
      <c r="FY41" s="529"/>
      <c r="FZ41" s="529"/>
      <c r="GA41" s="529"/>
      <c r="GB41" s="529"/>
      <c r="GC41" s="529"/>
      <c r="GD41" s="529"/>
      <c r="GE41" s="529"/>
      <c r="GF41" s="529"/>
      <c r="GG41" s="529"/>
      <c r="GH41" s="529"/>
      <c r="GI41" s="529"/>
      <c r="GJ41" s="529"/>
      <c r="GK41" s="529"/>
      <c r="GL41" s="529"/>
      <c r="GM41" s="529"/>
      <c r="GN41" s="529"/>
      <c r="GO41" s="529"/>
      <c r="GP41" s="529"/>
      <c r="GQ41" s="529"/>
      <c r="GR41" s="529"/>
      <c r="GS41" s="529"/>
      <c r="GT41" s="529"/>
      <c r="GU41" s="529"/>
      <c r="GV41" s="529"/>
      <c r="GW41" s="529"/>
      <c r="GX41" s="529"/>
      <c r="GY41" s="529"/>
      <c r="GZ41" s="529"/>
      <c r="HA41" s="529"/>
      <c r="HB41" s="529"/>
      <c r="HC41" s="529"/>
      <c r="HD41" s="529"/>
      <c r="HE41" s="529"/>
      <c r="HF41" s="529"/>
      <c r="HG41" s="529"/>
      <c r="HH41" s="529"/>
      <c r="HI41" s="529"/>
      <c r="HJ41" s="529"/>
      <c r="HK41" s="529"/>
      <c r="HL41" s="529"/>
      <c r="HM41" s="529"/>
      <c r="HN41" s="529"/>
      <c r="HO41" s="529"/>
      <c r="HP41" s="529"/>
      <c r="HQ41" s="529"/>
      <c r="HR41" s="529"/>
      <c r="HS41" s="529"/>
      <c r="HT41" s="529"/>
      <c r="HU41" s="529"/>
      <c r="HV41" s="529"/>
      <c r="HW41" s="529"/>
      <c r="HX41" s="529"/>
      <c r="HY41" s="529"/>
      <c r="HZ41" s="529"/>
      <c r="IA41" s="529"/>
      <c r="IB41" s="529"/>
      <c r="IC41" s="529"/>
      <c r="ID41" s="529"/>
      <c r="IE41" s="529"/>
      <c r="IF41" s="529"/>
      <c r="IG41" s="529"/>
      <c r="IH41" s="529"/>
      <c r="II41" s="529"/>
      <c r="IJ41" s="529"/>
      <c r="IK41" s="529"/>
      <c r="IL41" s="529"/>
      <c r="IM41" s="529"/>
      <c r="IN41" s="529"/>
      <c r="IO41" s="529"/>
      <c r="IP41" s="529"/>
      <c r="IQ41" s="529"/>
      <c r="IR41" s="529"/>
      <c r="IS41" s="529"/>
      <c r="IT41" s="529"/>
      <c r="IU41" s="529"/>
      <c r="IV41" s="529"/>
      <c r="IW41" s="529"/>
    </row>
    <row r="42" customFormat="false" ht="12.6" hidden="false" customHeight="true" outlineLevel="0" collapsed="false">
      <c r="A42" s="524" t="s">
        <v>446</v>
      </c>
      <c r="B42" s="528"/>
      <c r="C42" s="528"/>
      <c r="D42" s="525"/>
      <c r="E42" s="520" t="n">
        <f aca="false">B21</f>
        <v>129657.702740605</v>
      </c>
      <c r="F42" s="520" t="n">
        <f aca="false">+IF(F4&gt;'Project Assumptions'!$H$39,0,E46)</f>
        <v>129657.702740605</v>
      </c>
      <c r="G42" s="520" t="n">
        <f aca="false">+IF(G4&gt;'Project Assumptions'!$H$39,0,F46)</f>
        <v>129657.702740605</v>
      </c>
      <c r="H42" s="520" t="n">
        <f aca="false">+IF(H4&gt;'Project Assumptions'!$H$39,0,G46)</f>
        <v>129657.702740605</v>
      </c>
      <c r="I42" s="520" t="n">
        <f aca="false">+IF(I4&gt;'Project Assumptions'!$H$39,0,H46)</f>
        <v>129657.702740605</v>
      </c>
      <c r="J42" s="520" t="n">
        <f aca="false">+IF(J4&gt;'Project Assumptions'!$H$39,0,I46)</f>
        <v>129657.702740605</v>
      </c>
      <c r="K42" s="520" t="n">
        <f aca="false">+IF(K4&gt;'Project Assumptions'!$H$39,0,J46)</f>
        <v>129657.702740605</v>
      </c>
      <c r="L42" s="520" t="n">
        <f aca="false">+IF(L4&gt;'Project Assumptions'!$H$39,0,K46)</f>
        <v>129657.702740605</v>
      </c>
      <c r="M42" s="520" t="n">
        <f aca="false">+IF(M4&gt;'Project Assumptions'!$H$39,0,L46)</f>
        <v>129657.702740605</v>
      </c>
      <c r="N42" s="520" t="n">
        <f aca="false">+IF(N4&gt;'Project Assumptions'!$H$39,0,M46)</f>
        <v>129657.702740605</v>
      </c>
      <c r="O42" s="520" t="n">
        <f aca="false">+IF(O4&gt;'Project Assumptions'!$H$39,0,N46)</f>
        <v>129657.702740605</v>
      </c>
      <c r="P42" s="520" t="n">
        <f aca="false">+IF(P4&gt;'Project Assumptions'!$H$39,0,O46)</f>
        <v>121447.843099396</v>
      </c>
      <c r="Q42" s="520" t="n">
        <f aca="false">+IF(Q4&gt;'Project Assumptions'!$H$39,0,P46)</f>
        <v>112373.740939337</v>
      </c>
      <c r="R42" s="520" t="n">
        <f aca="false">+IF(R4&gt;'Project Assumptions'!$H$39,0,Q46)</f>
        <v>102370.191005113</v>
      </c>
      <c r="S42" s="520" t="n">
        <f aca="false">+IF(S4&gt;'Project Assumptions'!$H$39,0,R46)</f>
        <v>91350.3633338804</v>
      </c>
      <c r="T42" s="520" t="n">
        <f aca="false">+IF(T4&gt;'Project Assumptions'!$H$39,0,S46)</f>
        <v>79254.4407201323</v>
      </c>
      <c r="U42" s="520" t="n">
        <f aca="false">+IF(U4&gt;'Project Assumptions'!$H$39,0,T46)</f>
        <v>66001.4735082412</v>
      </c>
      <c r="V42" s="520" t="n">
        <f aca="false">+IF(V4&gt;'Project Assumptions'!$H$39,0,U46)</f>
        <v>51504.4720611244</v>
      </c>
      <c r="W42" s="520" t="n">
        <f aca="false">+IF(W4&gt;'Project Assumptions'!$H$39,0,V46)</f>
        <v>35653.1475113551</v>
      </c>
      <c r="X42" s="520" t="n">
        <f aca="false">+IF(X4&gt;'Project Assumptions'!$H$39,0,W46)</f>
        <v>18362.4167462957</v>
      </c>
      <c r="Y42" s="520" t="n">
        <f aca="false">+IF(Y4&gt;'Project Assumptions'!$H$39,0,X46)</f>
        <v>0</v>
      </c>
      <c r="Z42" s="520" t="n">
        <f aca="false">+IF(Z4&gt;'Project Assumptions'!$H$39,0,Y46)</f>
        <v>0</v>
      </c>
      <c r="AA42" s="520" t="n">
        <f aca="false">+IF(AA4&gt;'Project Assumptions'!$H$39,0,Z46)</f>
        <v>0</v>
      </c>
      <c r="AB42" s="520" t="n">
        <f aca="false">+IF(AB4&gt;'Project Assumptions'!$H$39,0,AA46)</f>
        <v>0</v>
      </c>
      <c r="AC42" s="521" t="n">
        <f aca="false">+IF(AC4&gt;'Project Assumptions'!$H$39,0,AB46)</f>
        <v>0</v>
      </c>
      <c r="AD42" s="529"/>
      <c r="AE42" s="529"/>
      <c r="AF42" s="529"/>
      <c r="AG42" s="529"/>
      <c r="AH42" s="529"/>
      <c r="AI42" s="529"/>
      <c r="AJ42" s="529"/>
      <c r="AK42" s="529"/>
      <c r="AL42" s="529"/>
      <c r="AM42" s="529"/>
      <c r="AN42" s="529"/>
      <c r="AO42" s="529"/>
      <c r="AP42" s="529"/>
      <c r="AQ42" s="529"/>
      <c r="AR42" s="529"/>
      <c r="AS42" s="529"/>
      <c r="AT42" s="529"/>
      <c r="AU42" s="529"/>
      <c r="AV42" s="529"/>
      <c r="AW42" s="529"/>
      <c r="AX42" s="529"/>
      <c r="AY42" s="529"/>
      <c r="AZ42" s="529"/>
      <c r="BA42" s="529"/>
      <c r="BB42" s="529"/>
      <c r="BC42" s="529"/>
      <c r="BD42" s="529"/>
      <c r="BE42" s="529"/>
      <c r="BF42" s="529"/>
      <c r="BG42" s="529"/>
      <c r="BH42" s="529"/>
      <c r="BI42" s="529"/>
      <c r="BJ42" s="529"/>
      <c r="BK42" s="529"/>
      <c r="BL42" s="529"/>
      <c r="BM42" s="529"/>
      <c r="BN42" s="529"/>
      <c r="BO42" s="529"/>
      <c r="BP42" s="529"/>
      <c r="BQ42" s="529"/>
      <c r="BR42" s="529"/>
      <c r="BS42" s="529"/>
      <c r="BT42" s="529"/>
      <c r="BU42" s="529"/>
      <c r="BV42" s="529"/>
      <c r="BW42" s="529"/>
      <c r="BX42" s="529"/>
      <c r="BY42" s="529"/>
      <c r="BZ42" s="529"/>
      <c r="CA42" s="529"/>
      <c r="CB42" s="529"/>
      <c r="CC42" s="529"/>
      <c r="CD42" s="529"/>
      <c r="CE42" s="529"/>
      <c r="CF42" s="529"/>
      <c r="CG42" s="529"/>
      <c r="CH42" s="529"/>
      <c r="CI42" s="529"/>
      <c r="CJ42" s="529"/>
      <c r="CK42" s="529"/>
      <c r="CL42" s="529"/>
      <c r="CM42" s="529"/>
      <c r="CN42" s="529"/>
      <c r="CO42" s="529"/>
      <c r="CP42" s="529"/>
      <c r="CQ42" s="529"/>
      <c r="CR42" s="529"/>
      <c r="CS42" s="529"/>
      <c r="CT42" s="529"/>
      <c r="CU42" s="529"/>
      <c r="CV42" s="529"/>
      <c r="CW42" s="529"/>
      <c r="CX42" s="529"/>
      <c r="CY42" s="529"/>
      <c r="CZ42" s="529"/>
      <c r="DA42" s="529"/>
      <c r="DB42" s="529"/>
      <c r="DC42" s="529"/>
      <c r="DD42" s="529"/>
      <c r="DE42" s="529"/>
      <c r="DF42" s="529"/>
      <c r="DG42" s="529"/>
      <c r="DH42" s="529"/>
      <c r="DI42" s="529"/>
      <c r="DJ42" s="529"/>
      <c r="DK42" s="529"/>
      <c r="DL42" s="529"/>
      <c r="DM42" s="529"/>
      <c r="DN42" s="529"/>
      <c r="DO42" s="529"/>
      <c r="DP42" s="529"/>
      <c r="DQ42" s="529"/>
      <c r="DR42" s="529"/>
      <c r="DS42" s="529"/>
      <c r="DT42" s="529"/>
      <c r="DU42" s="529"/>
      <c r="DV42" s="529"/>
      <c r="DW42" s="529"/>
      <c r="DX42" s="529"/>
      <c r="DY42" s="529"/>
      <c r="DZ42" s="529"/>
      <c r="EA42" s="529"/>
      <c r="EB42" s="529"/>
      <c r="EC42" s="529"/>
      <c r="ED42" s="529"/>
      <c r="EE42" s="529"/>
      <c r="EF42" s="529"/>
      <c r="EG42" s="529"/>
      <c r="EH42" s="529"/>
      <c r="EI42" s="529"/>
      <c r="EJ42" s="529"/>
      <c r="EK42" s="529"/>
      <c r="EL42" s="529"/>
      <c r="EM42" s="529"/>
      <c r="EN42" s="529"/>
      <c r="EO42" s="529"/>
      <c r="EP42" s="529"/>
      <c r="EQ42" s="529"/>
      <c r="ER42" s="529"/>
      <c r="ES42" s="529"/>
      <c r="ET42" s="529"/>
      <c r="EU42" s="529"/>
      <c r="EV42" s="529"/>
      <c r="EW42" s="529"/>
      <c r="EX42" s="529"/>
      <c r="EY42" s="529"/>
      <c r="EZ42" s="529"/>
      <c r="FA42" s="529"/>
      <c r="FB42" s="529"/>
      <c r="FC42" s="529"/>
      <c r="FD42" s="529"/>
      <c r="FE42" s="529"/>
      <c r="FF42" s="529"/>
      <c r="FG42" s="529"/>
      <c r="FH42" s="529"/>
      <c r="FI42" s="529"/>
      <c r="FJ42" s="529"/>
      <c r="FK42" s="529"/>
      <c r="FL42" s="529"/>
      <c r="FM42" s="529"/>
      <c r="FN42" s="529"/>
      <c r="FO42" s="529"/>
      <c r="FP42" s="529"/>
      <c r="FQ42" s="529"/>
      <c r="FR42" s="529"/>
      <c r="FS42" s="529"/>
      <c r="FT42" s="529"/>
      <c r="FU42" s="529"/>
      <c r="FV42" s="529"/>
      <c r="FW42" s="529"/>
      <c r="FX42" s="529"/>
      <c r="FY42" s="529"/>
      <c r="FZ42" s="529"/>
      <c r="GA42" s="529"/>
      <c r="GB42" s="529"/>
      <c r="GC42" s="529"/>
      <c r="GD42" s="529"/>
      <c r="GE42" s="529"/>
      <c r="GF42" s="529"/>
      <c r="GG42" s="529"/>
      <c r="GH42" s="529"/>
      <c r="GI42" s="529"/>
      <c r="GJ42" s="529"/>
      <c r="GK42" s="529"/>
      <c r="GL42" s="529"/>
      <c r="GM42" s="529"/>
      <c r="GN42" s="529"/>
      <c r="GO42" s="529"/>
      <c r="GP42" s="529"/>
      <c r="GQ42" s="529"/>
      <c r="GR42" s="529"/>
      <c r="GS42" s="529"/>
      <c r="GT42" s="529"/>
      <c r="GU42" s="529"/>
      <c r="GV42" s="529"/>
      <c r="GW42" s="529"/>
      <c r="GX42" s="529"/>
      <c r="GY42" s="529"/>
      <c r="GZ42" s="529"/>
      <c r="HA42" s="529"/>
      <c r="HB42" s="529"/>
      <c r="HC42" s="529"/>
      <c r="HD42" s="529"/>
      <c r="HE42" s="529"/>
      <c r="HF42" s="529"/>
      <c r="HG42" s="529"/>
      <c r="HH42" s="529"/>
      <c r="HI42" s="529"/>
      <c r="HJ42" s="529"/>
      <c r="HK42" s="529"/>
      <c r="HL42" s="529"/>
      <c r="HM42" s="529"/>
      <c r="HN42" s="529"/>
      <c r="HO42" s="529"/>
      <c r="HP42" s="529"/>
      <c r="HQ42" s="529"/>
      <c r="HR42" s="529"/>
      <c r="HS42" s="529"/>
      <c r="HT42" s="529"/>
      <c r="HU42" s="529"/>
      <c r="HV42" s="529"/>
      <c r="HW42" s="529"/>
      <c r="HX42" s="529"/>
      <c r="HY42" s="529"/>
      <c r="HZ42" s="529"/>
      <c r="IA42" s="529"/>
      <c r="IB42" s="529"/>
      <c r="IC42" s="529"/>
      <c r="ID42" s="529"/>
      <c r="IE42" s="529"/>
      <c r="IF42" s="529"/>
      <c r="IG42" s="529"/>
      <c r="IH42" s="529"/>
      <c r="II42" s="529"/>
      <c r="IJ42" s="529"/>
      <c r="IK42" s="529"/>
      <c r="IL42" s="529"/>
      <c r="IM42" s="529"/>
      <c r="IN42" s="529"/>
      <c r="IO42" s="529"/>
      <c r="IP42" s="529"/>
      <c r="IQ42" s="529"/>
      <c r="IR42" s="529"/>
      <c r="IS42" s="529"/>
      <c r="IT42" s="529"/>
      <c r="IU42" s="529"/>
      <c r="IV42" s="529"/>
      <c r="IW42" s="529"/>
    </row>
    <row r="43" customFormat="false" ht="12.6" hidden="false" customHeight="true" outlineLevel="0" collapsed="false">
      <c r="A43" s="524" t="s">
        <v>447</v>
      </c>
      <c r="B43" s="549"/>
      <c r="C43" s="549"/>
      <c r="D43" s="525"/>
      <c r="E43" s="498" t="n">
        <f aca="false">IF('Project Assumptions'!$H$39=0,0,IF(E4&gt;'Project Assumptions'!$G$39,E42*E14,IF(AND(E4&lt;='Project Assumptions'!$G$39,'Project Assumptions'!$H$42="Interest Only"),E42*E14*(13-MONTH('Project Assumptions'!G16))/12,0)))</f>
        <v>0</v>
      </c>
      <c r="F43" s="498" t="n">
        <f aca="false">IF('Project Assumptions'!$H$39=0,0,IF(F4&gt;'Project Assumptions'!$G$39,F42*F14,IF(AND(F4&lt;='Project Assumptions'!$G$39,'Project Assumptions'!$H$42="Interest Only"),F42*F14,0)))</f>
        <v>0</v>
      </c>
      <c r="G43" s="498" t="n">
        <f aca="false">IF('Project Assumptions'!$H$39=0,0,IF(G4&gt;'Project Assumptions'!$G$39,G42*G14,IF(AND(G4&lt;='Project Assumptions'!$G$39,'Project Assumptions'!$H$42="Interest Only"),G42*G14,0)))</f>
        <v>0</v>
      </c>
      <c r="H43" s="498" t="n">
        <f aca="false">IF('Project Assumptions'!$H$39=0,0,IF(H4&gt;'Project Assumptions'!$G$39,H42*H14,IF(AND(H4&lt;='Project Assumptions'!$G$39,'Project Assumptions'!$H$42="Interest Only"),H42*H14,0)))</f>
        <v>0</v>
      </c>
      <c r="I43" s="498" t="n">
        <f aca="false">IF('Project Assumptions'!$H$39=0,0,IF(I4&gt;'Project Assumptions'!$G$39,I42*I14,IF(AND(I4&lt;='Project Assumptions'!$G$39,'Project Assumptions'!$H$42="Interest Only"),I42*I14,0)))</f>
        <v>0</v>
      </c>
      <c r="J43" s="498" t="n">
        <f aca="false">IF('Project Assumptions'!$H$39=0,0,IF(J4&gt;'Project Assumptions'!$G$39,J42*J14,IF(AND(J4&lt;='Project Assumptions'!$G$39,'Project Assumptions'!$H$42="Interest Only"),J42*J14,0)))</f>
        <v>0</v>
      </c>
      <c r="K43" s="498" t="n">
        <f aca="false">IF('Project Assumptions'!$H$39=0,0,IF(K4&gt;'Project Assumptions'!$G$39,K42*K14,IF(AND(K4&lt;='Project Assumptions'!$G$39,'Project Assumptions'!$H$42="Interest Only"),K42*K14,0)))</f>
        <v>0</v>
      </c>
      <c r="L43" s="498" t="n">
        <f aca="false">IF('Project Assumptions'!$H$39=0,0,IF(L4&gt;'Project Assumptions'!$G$39,L42*L14,IF(AND(L4&lt;='Project Assumptions'!$G$39,'Project Assumptions'!$H$42="Interest Only"),L42*L14,0)))</f>
        <v>0</v>
      </c>
      <c r="M43" s="498" t="n">
        <f aca="false">IF('Project Assumptions'!$H$39=0,0,IF(M4&gt;'Project Assumptions'!$G$39,M42*M14,IF(AND(M4&lt;='Project Assumptions'!$G$39,'Project Assumptions'!$H$42="Interest Only"),M42*M14,0)))</f>
        <v>0</v>
      </c>
      <c r="N43" s="498" t="n">
        <f aca="false">IF('Project Assumptions'!$H$39=0,0,IF(N4&gt;'Project Assumptions'!$G$39,N42*N14,IF(AND(N4&lt;='Project Assumptions'!$G$39,'Project Assumptions'!$H$42="Interest Only"),N42*N14,0)))</f>
        <v>0</v>
      </c>
      <c r="O43" s="498" t="n">
        <f aca="false">IF('Project Assumptions'!$H$39=0,0,IF(O4&gt;'Project Assumptions'!$G$39,O42*O14,IF(AND(O4&lt;='Project Assumptions'!$G$39,'Project Assumptions'!$H$42="Interest Only"),O42*O14,0)))</f>
        <v>10606.0000841815</v>
      </c>
      <c r="P43" s="498" t="n">
        <f aca="false">IF('Project Assumptions'!$H$39=0,0,IF(P4&gt;'Project Assumptions'!$G$39,P42*P14,IF(AND(P4&lt;='Project Assumptions'!$G$39,'Project Assumptions'!$H$42="Interest Only"),P42*P14,0)))</f>
        <v>9934.43356553061</v>
      </c>
      <c r="Q43" s="498" t="n">
        <f aca="false">IF('Project Assumptions'!$H$39=0,0,IF(Q4&gt;'Project Assumptions'!$G$39,Q42*Q14,IF(AND(Q4&lt;='Project Assumptions'!$G$39,'Project Assumptions'!$H$42="Interest Only"),Q42*Q14,0)))</f>
        <v>9192.17200883777</v>
      </c>
      <c r="R43" s="498" t="n">
        <f aca="false">IF('Project Assumptions'!$H$39=0,0,IF(R4&gt;'Project Assumptions'!$G$39,R42*R14,IF(AND(R4&lt;='Project Assumptions'!$G$39,'Project Assumptions'!$H$42="Interest Only"),R42*R14,0)))</f>
        <v>8373.88162421826</v>
      </c>
      <c r="S43" s="498" t="n">
        <f aca="false">IF('Project Assumptions'!$H$39=0,0,IF(S4&gt;'Project Assumptions'!$G$39,S42*S14,IF(AND(S4&lt;='Project Assumptions'!$G$39,'Project Assumptions'!$H$42="Interest Only"),S42*S14,0)))</f>
        <v>7472.45972071142</v>
      </c>
      <c r="T43" s="498" t="n">
        <f aca="false">IF('Project Assumptions'!$H$39=0,0,IF(T4&gt;'Project Assumptions'!$G$39,T42*T14,IF(AND(T4&lt;='Project Assumptions'!$G$39,'Project Assumptions'!$H$42="Interest Only"),T42*T14,0)))</f>
        <v>6483.01325090682</v>
      </c>
      <c r="U43" s="498" t="n">
        <f aca="false">IF('Project Assumptions'!$H$39=0,0,IF(U4&gt;'Project Assumptions'!$G$39,U42*U14,IF(AND(U4&lt;='Project Assumptions'!$G$39,'Project Assumptions'!$H$42="Interest Only"),U42*U14,0)))</f>
        <v>5398.92053297413</v>
      </c>
      <c r="V43" s="498" t="n">
        <f aca="false">IF('Project Assumptions'!$H$39=0,0,IF(V4&gt;'Project Assumptions'!$G$39,V42*V14,IF(AND(V4&lt;='Project Assumptions'!$G$39,'Project Assumptions'!$H$42="Interest Only"),V42*V14,0)))</f>
        <v>4213.06581459997</v>
      </c>
      <c r="W43" s="498" t="n">
        <f aca="false">IF('Project Assumptions'!$H$39=0,0,IF(W4&gt;'Project Assumptions'!$G$39,W42*W14,IF(AND(W4&lt;='Project Assumptions'!$G$39,'Project Assumptions'!$H$42="Interest Only"),W42*W14,0)))</f>
        <v>2916.42746642885</v>
      </c>
      <c r="X43" s="498" t="n">
        <f aca="false">IF('Project Assumptions'!$H$39=0,0,IF(X4&gt;'Project Assumptions'!$G$39,X42*X14,IF(AND(X4&lt;='Project Assumptions'!$G$39,'Project Assumptions'!$H$42="Interest Only"),X42*X14,0)))</f>
        <v>1502.04568984699</v>
      </c>
      <c r="Y43" s="498" t="n">
        <f aca="false">IF('Project Assumptions'!$H$39=0,0,IF(Y4&gt;'Project Assumptions'!$G$39,Y42*Y14,IF(AND(Y4&lt;='Project Assumptions'!$G$39,'Project Assumptions'!$H$42="Interest Only"),Y42*Y14,0)))</f>
        <v>0</v>
      </c>
      <c r="Z43" s="498" t="n">
        <f aca="false">IF('Project Assumptions'!$H$39=0,0,IF(Z4&gt;'Project Assumptions'!$G$39,Z42*Z14,IF(AND(Z4&lt;='Project Assumptions'!$G$39,'Project Assumptions'!$H$42="Interest Only"),Z42*Z14,0)))</f>
        <v>0</v>
      </c>
      <c r="AA43" s="498" t="n">
        <f aca="false">IF('Project Assumptions'!$H$39=0,0,IF(AA4&gt;'Project Assumptions'!$G$39,AA42*AA14,IF(AND(AA4&lt;='Project Assumptions'!$G$39,'Project Assumptions'!$H$42="Interest Only"),AA42*AA14,0)))</f>
        <v>0</v>
      </c>
      <c r="AB43" s="498" t="n">
        <f aca="false">IF('Project Assumptions'!$H$39=0,0,IF(AB4&gt;'Project Assumptions'!$G$39,AB42*AB14,IF(AND(AB4&lt;='Project Assumptions'!$G$39,'Project Assumptions'!$H$42="Interest Only"),AB42*AB14,0)))</f>
        <v>0</v>
      </c>
      <c r="AC43" s="534" t="n">
        <f aca="false">IF('Project Assumptions'!$H$39=0,0,IF(AC4&gt;'Project Assumptions'!$G$39,AC42*AC14,IF(AND(AC4&lt;='Project Assumptions'!$G$39,'Project Assumptions'!$H$42="Interest Only"),AC42*AC14,0)))</f>
        <v>0</v>
      </c>
      <c r="AD43" s="529"/>
      <c r="AE43" s="529"/>
      <c r="AF43" s="529"/>
      <c r="AG43" s="529"/>
      <c r="AH43" s="529"/>
      <c r="AI43" s="529"/>
      <c r="AJ43" s="529"/>
      <c r="AK43" s="529"/>
      <c r="AL43" s="529"/>
      <c r="AM43" s="529"/>
      <c r="AN43" s="529"/>
      <c r="AO43" s="529"/>
      <c r="AP43" s="529"/>
      <c r="AQ43" s="529"/>
      <c r="AR43" s="529"/>
      <c r="AS43" s="529"/>
      <c r="AT43" s="529"/>
      <c r="AU43" s="529"/>
      <c r="AV43" s="529"/>
      <c r="AW43" s="529"/>
      <c r="AX43" s="529"/>
      <c r="AY43" s="529"/>
      <c r="AZ43" s="529"/>
      <c r="BA43" s="529"/>
      <c r="BB43" s="529"/>
      <c r="BC43" s="529"/>
      <c r="BD43" s="529"/>
      <c r="BE43" s="529"/>
      <c r="BF43" s="529"/>
      <c r="BG43" s="529"/>
      <c r="BH43" s="529"/>
      <c r="BI43" s="529"/>
      <c r="BJ43" s="529"/>
      <c r="BK43" s="529"/>
      <c r="BL43" s="529"/>
      <c r="BM43" s="529"/>
      <c r="BN43" s="529"/>
      <c r="BO43" s="529"/>
      <c r="BP43" s="529"/>
      <c r="BQ43" s="529"/>
      <c r="BR43" s="529"/>
      <c r="BS43" s="529"/>
      <c r="BT43" s="529"/>
      <c r="BU43" s="529"/>
      <c r="BV43" s="529"/>
      <c r="BW43" s="529"/>
      <c r="BX43" s="529"/>
      <c r="BY43" s="529"/>
      <c r="BZ43" s="529"/>
      <c r="CA43" s="529"/>
      <c r="CB43" s="529"/>
      <c r="CC43" s="529"/>
      <c r="CD43" s="529"/>
      <c r="CE43" s="529"/>
      <c r="CF43" s="529"/>
      <c r="CG43" s="529"/>
      <c r="CH43" s="529"/>
      <c r="CI43" s="529"/>
      <c r="CJ43" s="529"/>
      <c r="CK43" s="529"/>
      <c r="CL43" s="529"/>
      <c r="CM43" s="529"/>
      <c r="CN43" s="529"/>
      <c r="CO43" s="529"/>
      <c r="CP43" s="529"/>
      <c r="CQ43" s="529"/>
      <c r="CR43" s="529"/>
      <c r="CS43" s="529"/>
      <c r="CT43" s="529"/>
      <c r="CU43" s="529"/>
      <c r="CV43" s="529"/>
      <c r="CW43" s="529"/>
      <c r="CX43" s="529"/>
      <c r="CY43" s="529"/>
      <c r="CZ43" s="529"/>
      <c r="DA43" s="529"/>
      <c r="DB43" s="529"/>
      <c r="DC43" s="529"/>
      <c r="DD43" s="529"/>
      <c r="DE43" s="529"/>
      <c r="DF43" s="529"/>
      <c r="DG43" s="529"/>
      <c r="DH43" s="529"/>
      <c r="DI43" s="529"/>
      <c r="DJ43" s="529"/>
      <c r="DK43" s="529"/>
      <c r="DL43" s="529"/>
      <c r="DM43" s="529"/>
      <c r="DN43" s="529"/>
      <c r="DO43" s="529"/>
      <c r="DP43" s="529"/>
      <c r="DQ43" s="529"/>
      <c r="DR43" s="529"/>
      <c r="DS43" s="529"/>
      <c r="DT43" s="529"/>
      <c r="DU43" s="529"/>
      <c r="DV43" s="529"/>
      <c r="DW43" s="529"/>
      <c r="DX43" s="529"/>
      <c r="DY43" s="529"/>
      <c r="DZ43" s="529"/>
      <c r="EA43" s="529"/>
      <c r="EB43" s="529"/>
      <c r="EC43" s="529"/>
      <c r="ED43" s="529"/>
      <c r="EE43" s="529"/>
      <c r="EF43" s="529"/>
      <c r="EG43" s="529"/>
      <c r="EH43" s="529"/>
      <c r="EI43" s="529"/>
      <c r="EJ43" s="529"/>
      <c r="EK43" s="529"/>
      <c r="EL43" s="529"/>
      <c r="EM43" s="529"/>
      <c r="EN43" s="529"/>
      <c r="EO43" s="529"/>
      <c r="EP43" s="529"/>
      <c r="EQ43" s="529"/>
      <c r="ER43" s="529"/>
      <c r="ES43" s="529"/>
      <c r="ET43" s="529"/>
      <c r="EU43" s="529"/>
      <c r="EV43" s="529"/>
      <c r="EW43" s="529"/>
      <c r="EX43" s="529"/>
      <c r="EY43" s="529"/>
      <c r="EZ43" s="529"/>
      <c r="FA43" s="529"/>
      <c r="FB43" s="529"/>
      <c r="FC43" s="529"/>
      <c r="FD43" s="529"/>
      <c r="FE43" s="529"/>
      <c r="FF43" s="529"/>
      <c r="FG43" s="529"/>
      <c r="FH43" s="529"/>
      <c r="FI43" s="529"/>
      <c r="FJ43" s="529"/>
      <c r="FK43" s="529"/>
      <c r="FL43" s="529"/>
      <c r="FM43" s="529"/>
      <c r="FN43" s="529"/>
      <c r="FO43" s="529"/>
      <c r="FP43" s="529"/>
      <c r="FQ43" s="529"/>
      <c r="FR43" s="529"/>
      <c r="FS43" s="529"/>
      <c r="FT43" s="529"/>
      <c r="FU43" s="529"/>
      <c r="FV43" s="529"/>
      <c r="FW43" s="529"/>
      <c r="FX43" s="529"/>
      <c r="FY43" s="529"/>
      <c r="FZ43" s="529"/>
      <c r="GA43" s="529"/>
      <c r="GB43" s="529"/>
      <c r="GC43" s="529"/>
      <c r="GD43" s="529"/>
      <c r="GE43" s="529"/>
      <c r="GF43" s="529"/>
      <c r="GG43" s="529"/>
      <c r="GH43" s="529"/>
      <c r="GI43" s="529"/>
      <c r="GJ43" s="529"/>
      <c r="GK43" s="529"/>
      <c r="GL43" s="529"/>
      <c r="GM43" s="529"/>
      <c r="GN43" s="529"/>
      <c r="GO43" s="529"/>
      <c r="GP43" s="529"/>
      <c r="GQ43" s="529"/>
      <c r="GR43" s="529"/>
      <c r="GS43" s="529"/>
      <c r="GT43" s="529"/>
      <c r="GU43" s="529"/>
      <c r="GV43" s="529"/>
      <c r="GW43" s="529"/>
      <c r="GX43" s="529"/>
      <c r="GY43" s="529"/>
      <c r="GZ43" s="529"/>
      <c r="HA43" s="529"/>
      <c r="HB43" s="529"/>
      <c r="HC43" s="529"/>
      <c r="HD43" s="529"/>
      <c r="HE43" s="529"/>
      <c r="HF43" s="529"/>
      <c r="HG43" s="529"/>
      <c r="HH43" s="529"/>
      <c r="HI43" s="529"/>
      <c r="HJ43" s="529"/>
      <c r="HK43" s="529"/>
      <c r="HL43" s="529"/>
      <c r="HM43" s="529"/>
      <c r="HN43" s="529"/>
      <c r="HO43" s="529"/>
      <c r="HP43" s="529"/>
      <c r="HQ43" s="529"/>
      <c r="HR43" s="529"/>
      <c r="HS43" s="529"/>
      <c r="HT43" s="529"/>
      <c r="HU43" s="529"/>
      <c r="HV43" s="529"/>
      <c r="HW43" s="529"/>
      <c r="HX43" s="529"/>
      <c r="HY43" s="529"/>
      <c r="HZ43" s="529"/>
      <c r="IA43" s="529"/>
      <c r="IB43" s="529"/>
      <c r="IC43" s="529"/>
      <c r="ID43" s="529"/>
      <c r="IE43" s="529"/>
      <c r="IF43" s="529"/>
      <c r="IG43" s="529"/>
      <c r="IH43" s="529"/>
      <c r="II43" s="529"/>
      <c r="IJ43" s="529"/>
      <c r="IK43" s="529"/>
      <c r="IL43" s="529"/>
      <c r="IM43" s="529"/>
      <c r="IN43" s="529"/>
      <c r="IO43" s="529"/>
      <c r="IP43" s="529"/>
      <c r="IQ43" s="529"/>
      <c r="IR43" s="529"/>
      <c r="IS43" s="529"/>
      <c r="IT43" s="529"/>
      <c r="IU43" s="529"/>
      <c r="IV43" s="529"/>
      <c r="IW43" s="529"/>
    </row>
    <row r="44" customFormat="false" ht="12.6" hidden="false" customHeight="true" outlineLevel="0" collapsed="false">
      <c r="A44" s="524" t="s">
        <v>448</v>
      </c>
      <c r="B44" s="561"/>
      <c r="C44" s="561"/>
      <c r="D44" s="525"/>
      <c r="E44" s="562" t="n">
        <f aca="false">+E45-E43</f>
        <v>0</v>
      </c>
      <c r="F44" s="562" t="n">
        <f aca="false">+F45-F43</f>
        <v>0</v>
      </c>
      <c r="G44" s="562" t="n">
        <f aca="false">+G45-G43</f>
        <v>0</v>
      </c>
      <c r="H44" s="562" t="n">
        <f aca="false">+H45-H43</f>
        <v>0</v>
      </c>
      <c r="I44" s="562" t="n">
        <f aca="false">+I45-I43</f>
        <v>0</v>
      </c>
      <c r="J44" s="562" t="n">
        <f aca="false">+J45-J43</f>
        <v>0</v>
      </c>
      <c r="K44" s="562" t="n">
        <f aca="false">+K45-K43</f>
        <v>0</v>
      </c>
      <c r="L44" s="562" t="n">
        <f aca="false">+L45-L43</f>
        <v>0</v>
      </c>
      <c r="M44" s="562" t="n">
        <f aca="false">+M45-M43</f>
        <v>0</v>
      </c>
      <c r="N44" s="562" t="n">
        <f aca="false">+N45-N43</f>
        <v>0</v>
      </c>
      <c r="O44" s="562" t="n">
        <f aca="false">+O45-O43</f>
        <v>8209.85964120919</v>
      </c>
      <c r="P44" s="562" t="n">
        <f aca="false">+P45-P43</f>
        <v>9074.10216005916</v>
      </c>
      <c r="Q44" s="562" t="n">
        <f aca="false">+Q45-Q43</f>
        <v>10003.5499342238</v>
      </c>
      <c r="R44" s="562" t="n">
        <f aca="false">+R45-R43</f>
        <v>11019.8276712328</v>
      </c>
      <c r="S44" s="562" t="n">
        <f aca="false">+S45-S43</f>
        <v>12095.9226137481</v>
      </c>
      <c r="T44" s="562" t="n">
        <f aca="false">+T45-T43</f>
        <v>13252.9672118911</v>
      </c>
      <c r="U44" s="562" t="n">
        <f aca="false">+U45-U43</f>
        <v>14497.0014471169</v>
      </c>
      <c r="V44" s="562" t="n">
        <f aca="false">+V45-V43</f>
        <v>15851.3245497693</v>
      </c>
      <c r="W44" s="562" t="n">
        <f aca="false">+W45-W43</f>
        <v>17290.7307650594</v>
      </c>
      <c r="X44" s="562" t="n">
        <f aca="false">+X45-X43</f>
        <v>18362.4167462959</v>
      </c>
      <c r="Y44" s="562" t="n">
        <f aca="false">+Y45-Y43</f>
        <v>0</v>
      </c>
      <c r="Z44" s="562" t="n">
        <f aca="false">+Z45-Z43</f>
        <v>0</v>
      </c>
      <c r="AA44" s="562" t="n">
        <f aca="false">+AA45-AA43</f>
        <v>0</v>
      </c>
      <c r="AB44" s="562" t="n">
        <f aca="false">+AB45-AB43</f>
        <v>0</v>
      </c>
      <c r="AC44" s="563" t="n">
        <f aca="false">+AC45-AC43</f>
        <v>0</v>
      </c>
      <c r="AD44" s="529"/>
      <c r="AE44" s="529"/>
      <c r="AF44" s="529"/>
      <c r="AG44" s="529"/>
      <c r="AH44" s="529"/>
      <c r="AI44" s="529"/>
      <c r="AJ44" s="529"/>
      <c r="AK44" s="529"/>
      <c r="AL44" s="529"/>
      <c r="AM44" s="529"/>
      <c r="AN44" s="529"/>
      <c r="AO44" s="529"/>
      <c r="AP44" s="529"/>
      <c r="AQ44" s="529"/>
      <c r="AR44" s="529"/>
      <c r="AS44" s="529"/>
      <c r="AT44" s="529"/>
      <c r="AU44" s="529"/>
      <c r="AV44" s="529"/>
      <c r="AW44" s="529"/>
      <c r="AX44" s="529"/>
      <c r="AY44" s="529"/>
      <c r="AZ44" s="529"/>
      <c r="BA44" s="529"/>
      <c r="BB44" s="529"/>
      <c r="BC44" s="529"/>
      <c r="BD44" s="529"/>
      <c r="BE44" s="529"/>
      <c r="BF44" s="529"/>
      <c r="BG44" s="529"/>
      <c r="BH44" s="529"/>
      <c r="BI44" s="529"/>
      <c r="BJ44" s="529"/>
      <c r="BK44" s="529"/>
      <c r="BL44" s="529"/>
      <c r="BM44" s="529"/>
      <c r="BN44" s="529"/>
      <c r="BO44" s="529"/>
      <c r="BP44" s="529"/>
      <c r="BQ44" s="529"/>
      <c r="BR44" s="529"/>
      <c r="BS44" s="529"/>
      <c r="BT44" s="529"/>
      <c r="BU44" s="529"/>
      <c r="BV44" s="529"/>
      <c r="BW44" s="529"/>
      <c r="BX44" s="529"/>
      <c r="BY44" s="529"/>
      <c r="BZ44" s="529"/>
      <c r="CA44" s="529"/>
      <c r="CB44" s="529"/>
      <c r="CC44" s="529"/>
      <c r="CD44" s="529"/>
      <c r="CE44" s="529"/>
      <c r="CF44" s="529"/>
      <c r="CG44" s="529"/>
      <c r="CH44" s="529"/>
      <c r="CI44" s="529"/>
      <c r="CJ44" s="529"/>
      <c r="CK44" s="529"/>
      <c r="CL44" s="529"/>
      <c r="CM44" s="529"/>
      <c r="CN44" s="529"/>
      <c r="CO44" s="529"/>
      <c r="CP44" s="529"/>
      <c r="CQ44" s="529"/>
      <c r="CR44" s="529"/>
      <c r="CS44" s="529"/>
      <c r="CT44" s="529"/>
      <c r="CU44" s="529"/>
      <c r="CV44" s="529"/>
      <c r="CW44" s="529"/>
      <c r="CX44" s="529"/>
      <c r="CY44" s="529"/>
      <c r="CZ44" s="529"/>
      <c r="DA44" s="529"/>
      <c r="DB44" s="529"/>
      <c r="DC44" s="529"/>
      <c r="DD44" s="529"/>
      <c r="DE44" s="529"/>
      <c r="DF44" s="529"/>
      <c r="DG44" s="529"/>
      <c r="DH44" s="529"/>
      <c r="DI44" s="529"/>
      <c r="DJ44" s="529"/>
      <c r="DK44" s="529"/>
      <c r="DL44" s="529"/>
      <c r="DM44" s="529"/>
      <c r="DN44" s="529"/>
      <c r="DO44" s="529"/>
      <c r="DP44" s="529"/>
      <c r="DQ44" s="529"/>
      <c r="DR44" s="529"/>
      <c r="DS44" s="529"/>
      <c r="DT44" s="529"/>
      <c r="DU44" s="529"/>
      <c r="DV44" s="529"/>
      <c r="DW44" s="529"/>
      <c r="DX44" s="529"/>
      <c r="DY44" s="529"/>
      <c r="DZ44" s="529"/>
      <c r="EA44" s="529"/>
      <c r="EB44" s="529"/>
      <c r="EC44" s="529"/>
      <c r="ED44" s="529"/>
      <c r="EE44" s="529"/>
      <c r="EF44" s="529"/>
      <c r="EG44" s="529"/>
      <c r="EH44" s="529"/>
      <c r="EI44" s="529"/>
      <c r="EJ44" s="529"/>
      <c r="EK44" s="529"/>
      <c r="EL44" s="529"/>
      <c r="EM44" s="529"/>
      <c r="EN44" s="529"/>
      <c r="EO44" s="529"/>
      <c r="EP44" s="529"/>
      <c r="EQ44" s="529"/>
      <c r="ER44" s="529"/>
      <c r="ES44" s="529"/>
      <c r="ET44" s="529"/>
      <c r="EU44" s="529"/>
      <c r="EV44" s="529"/>
      <c r="EW44" s="529"/>
      <c r="EX44" s="529"/>
      <c r="EY44" s="529"/>
      <c r="EZ44" s="529"/>
      <c r="FA44" s="529"/>
      <c r="FB44" s="529"/>
      <c r="FC44" s="529"/>
      <c r="FD44" s="529"/>
      <c r="FE44" s="529"/>
      <c r="FF44" s="529"/>
      <c r="FG44" s="529"/>
      <c r="FH44" s="529"/>
      <c r="FI44" s="529"/>
      <c r="FJ44" s="529"/>
      <c r="FK44" s="529"/>
      <c r="FL44" s="529"/>
      <c r="FM44" s="529"/>
      <c r="FN44" s="529"/>
      <c r="FO44" s="529"/>
      <c r="FP44" s="529"/>
      <c r="FQ44" s="529"/>
      <c r="FR44" s="529"/>
      <c r="FS44" s="529"/>
      <c r="FT44" s="529"/>
      <c r="FU44" s="529"/>
      <c r="FV44" s="529"/>
      <c r="FW44" s="529"/>
      <c r="FX44" s="529"/>
      <c r="FY44" s="529"/>
      <c r="FZ44" s="529"/>
      <c r="GA44" s="529"/>
      <c r="GB44" s="529"/>
      <c r="GC44" s="529"/>
      <c r="GD44" s="529"/>
      <c r="GE44" s="529"/>
      <c r="GF44" s="529"/>
      <c r="GG44" s="529"/>
      <c r="GH44" s="529"/>
      <c r="GI44" s="529"/>
      <c r="GJ44" s="529"/>
      <c r="GK44" s="529"/>
      <c r="GL44" s="529"/>
      <c r="GM44" s="529"/>
      <c r="GN44" s="529"/>
      <c r="GO44" s="529"/>
      <c r="GP44" s="529"/>
      <c r="GQ44" s="529"/>
      <c r="GR44" s="529"/>
      <c r="GS44" s="529"/>
      <c r="GT44" s="529"/>
      <c r="GU44" s="529"/>
      <c r="GV44" s="529"/>
      <c r="GW44" s="529"/>
      <c r="GX44" s="529"/>
      <c r="GY44" s="529"/>
      <c r="GZ44" s="529"/>
      <c r="HA44" s="529"/>
      <c r="HB44" s="529"/>
      <c r="HC44" s="529"/>
      <c r="HD44" s="529"/>
      <c r="HE44" s="529"/>
      <c r="HF44" s="529"/>
      <c r="HG44" s="529"/>
      <c r="HH44" s="529"/>
      <c r="HI44" s="529"/>
      <c r="HJ44" s="529"/>
      <c r="HK44" s="529"/>
      <c r="HL44" s="529"/>
      <c r="HM44" s="529"/>
      <c r="HN44" s="529"/>
      <c r="HO44" s="529"/>
      <c r="HP44" s="529"/>
      <c r="HQ44" s="529"/>
      <c r="HR44" s="529"/>
      <c r="HS44" s="529"/>
      <c r="HT44" s="529"/>
      <c r="HU44" s="529"/>
      <c r="HV44" s="529"/>
      <c r="HW44" s="529"/>
      <c r="HX44" s="529"/>
      <c r="HY44" s="529"/>
      <c r="HZ44" s="529"/>
      <c r="IA44" s="529"/>
      <c r="IB44" s="529"/>
      <c r="IC44" s="529"/>
      <c r="ID44" s="529"/>
      <c r="IE44" s="529"/>
      <c r="IF44" s="529"/>
      <c r="IG44" s="529"/>
      <c r="IH44" s="529"/>
      <c r="II44" s="529"/>
      <c r="IJ44" s="529"/>
      <c r="IK44" s="529"/>
      <c r="IL44" s="529"/>
      <c r="IM44" s="529"/>
      <c r="IN44" s="529"/>
      <c r="IO44" s="529"/>
      <c r="IP44" s="529"/>
      <c r="IQ44" s="529"/>
      <c r="IR44" s="529"/>
      <c r="IS44" s="529"/>
      <c r="IT44" s="529"/>
      <c r="IU44" s="529"/>
      <c r="IV44" s="529"/>
      <c r="IW44" s="529"/>
    </row>
    <row r="45" customFormat="false" ht="12.6" hidden="false" customHeight="true" outlineLevel="0" collapsed="false">
      <c r="A45" s="524" t="s">
        <v>449</v>
      </c>
      <c r="B45" s="432"/>
      <c r="C45" s="432"/>
      <c r="D45" s="525"/>
      <c r="E45" s="498" t="n">
        <f aca="false">IF(E4&lt;='Project Assumptions'!$F$39,E43,E21)</f>
        <v>0</v>
      </c>
      <c r="F45" s="498" t="n">
        <f aca="false">IF(F4&lt;='Project Assumptions'!$F$39,F43,F21)</f>
        <v>0</v>
      </c>
      <c r="G45" s="498" t="n">
        <f aca="false">IF(G4&lt;='Project Assumptions'!$F$39,G43,G21)</f>
        <v>0</v>
      </c>
      <c r="H45" s="498" t="n">
        <f aca="false">IF(H4&lt;='Project Assumptions'!$F$39,H43,H21)</f>
        <v>0</v>
      </c>
      <c r="I45" s="498" t="n">
        <f aca="false">IF(I4&lt;='Project Assumptions'!$F$39,I43,I21)</f>
        <v>0</v>
      </c>
      <c r="J45" s="498" t="n">
        <f aca="false">IF(J4&lt;='Project Assumptions'!$F$39,J43,J21)</f>
        <v>0</v>
      </c>
      <c r="K45" s="498" t="n">
        <f aca="false">IF(K4&lt;='Project Assumptions'!$F$39,K43,K21)</f>
        <v>0</v>
      </c>
      <c r="L45" s="498" t="n">
        <f aca="false">IF(L4&lt;='Project Assumptions'!$F$39,L43,L21)</f>
        <v>0</v>
      </c>
      <c r="M45" s="498" t="n">
        <f aca="false">IF(M4&lt;='Project Assumptions'!$G$39,M43,M21)</f>
        <v>0</v>
      </c>
      <c r="N45" s="498" t="n">
        <f aca="false">IF(N4&lt;='Project Assumptions'!$G$39,N43,N21)</f>
        <v>0</v>
      </c>
      <c r="O45" s="498" t="n">
        <f aca="false">IF(O4&lt;='Project Assumptions'!$G$39,O43,O21)</f>
        <v>18815.8597253907</v>
      </c>
      <c r="P45" s="498" t="n">
        <f aca="false">IF(P4&lt;='Project Assumptions'!$G$39,P43,P21)</f>
        <v>19008.5357255898</v>
      </c>
      <c r="Q45" s="498" t="n">
        <f aca="false">IF(Q4&lt;='Project Assumptions'!$G$39,Q43,Q21)</f>
        <v>19195.7219430616</v>
      </c>
      <c r="R45" s="498" t="n">
        <f aca="false">IF(R4&lt;='Project Assumptions'!$G$39,R43,R21)</f>
        <v>19393.709295451</v>
      </c>
      <c r="S45" s="498" t="n">
        <f aca="false">IF(S4&lt;='Project Assumptions'!$G$39,S43,S21)</f>
        <v>19568.3823344595</v>
      </c>
      <c r="T45" s="498" t="n">
        <f aca="false">IF(T4&lt;='Project Assumptions'!$G$39,T43,T21)</f>
        <v>19735.9804627979</v>
      </c>
      <c r="U45" s="498" t="n">
        <f aca="false">IF(U4&lt;='Project Assumptions'!$G$39,U43,U21)</f>
        <v>19895.921980091</v>
      </c>
      <c r="V45" s="498" t="n">
        <f aca="false">IF(V4&lt;='Project Assumptions'!$G$39,V43,V21)</f>
        <v>20064.3903643693</v>
      </c>
      <c r="W45" s="498" t="n">
        <f aca="false">IF(W4&lt;='Project Assumptions'!$G$39,W43,W21)</f>
        <v>20207.1582314882</v>
      </c>
      <c r="X45" s="498" t="n">
        <f aca="false">IF(X4&lt;='Project Assumptions'!$G$39,X43,X21)</f>
        <v>19864.4624361428</v>
      </c>
      <c r="Y45" s="498" t="n">
        <f aca="false">IF(Y4&lt;='Project Assumptions'!$G$39,Y43,Y21)</f>
        <v>0</v>
      </c>
      <c r="Z45" s="498" t="n">
        <f aca="false">IF(Z4&lt;='Project Assumptions'!$G$39,Z43,Z21)</f>
        <v>0</v>
      </c>
      <c r="AA45" s="498" t="n">
        <f aca="false">IF(AA4&lt;='Project Assumptions'!$G$39,AA43,AA21)</f>
        <v>0</v>
      </c>
      <c r="AB45" s="498" t="n">
        <f aca="false">IF(AB4&lt;='Project Assumptions'!$G$39,AB43,AB21)</f>
        <v>0</v>
      </c>
      <c r="AC45" s="534" t="n">
        <f aca="false">IF(AC4&lt;='Project Assumptions'!$G$39,AC43,AC21)</f>
        <v>0</v>
      </c>
      <c r="AD45" s="529"/>
      <c r="AE45" s="529"/>
      <c r="AF45" s="529"/>
      <c r="AG45" s="529"/>
      <c r="AH45" s="529"/>
      <c r="AI45" s="529"/>
      <c r="AJ45" s="529"/>
      <c r="AK45" s="529"/>
      <c r="AL45" s="529"/>
      <c r="AM45" s="529"/>
      <c r="AN45" s="529"/>
      <c r="AO45" s="529"/>
      <c r="AP45" s="529"/>
      <c r="AQ45" s="529"/>
      <c r="AR45" s="529"/>
      <c r="AS45" s="529"/>
      <c r="AT45" s="529"/>
      <c r="AU45" s="529"/>
      <c r="AV45" s="529"/>
      <c r="AW45" s="529"/>
      <c r="AX45" s="529"/>
      <c r="AY45" s="529"/>
      <c r="AZ45" s="529"/>
      <c r="BA45" s="529"/>
      <c r="BB45" s="529"/>
      <c r="BC45" s="529"/>
      <c r="BD45" s="529"/>
      <c r="BE45" s="529"/>
      <c r="BF45" s="529"/>
      <c r="BG45" s="529"/>
      <c r="BH45" s="529"/>
      <c r="BI45" s="529"/>
      <c r="BJ45" s="529"/>
      <c r="BK45" s="529"/>
      <c r="BL45" s="529"/>
      <c r="BM45" s="529"/>
      <c r="BN45" s="529"/>
      <c r="BO45" s="529"/>
      <c r="BP45" s="529"/>
      <c r="BQ45" s="529"/>
      <c r="BR45" s="529"/>
      <c r="BS45" s="529"/>
      <c r="BT45" s="529"/>
      <c r="BU45" s="529"/>
      <c r="BV45" s="529"/>
      <c r="BW45" s="529"/>
      <c r="BX45" s="529"/>
      <c r="BY45" s="529"/>
      <c r="BZ45" s="529"/>
      <c r="CA45" s="529"/>
      <c r="CB45" s="529"/>
      <c r="CC45" s="529"/>
      <c r="CD45" s="529"/>
      <c r="CE45" s="529"/>
      <c r="CF45" s="529"/>
      <c r="CG45" s="529"/>
      <c r="CH45" s="529"/>
      <c r="CI45" s="529"/>
      <c r="CJ45" s="529"/>
      <c r="CK45" s="529"/>
      <c r="CL45" s="529"/>
      <c r="CM45" s="529"/>
      <c r="CN45" s="529"/>
      <c r="CO45" s="529"/>
      <c r="CP45" s="529"/>
      <c r="CQ45" s="529"/>
      <c r="CR45" s="529"/>
      <c r="CS45" s="529"/>
      <c r="CT45" s="529"/>
      <c r="CU45" s="529"/>
      <c r="CV45" s="529"/>
      <c r="CW45" s="529"/>
      <c r="CX45" s="529"/>
      <c r="CY45" s="529"/>
      <c r="CZ45" s="529"/>
      <c r="DA45" s="529"/>
      <c r="DB45" s="529"/>
      <c r="DC45" s="529"/>
      <c r="DD45" s="529"/>
      <c r="DE45" s="529"/>
      <c r="DF45" s="529"/>
      <c r="DG45" s="529"/>
      <c r="DH45" s="529"/>
      <c r="DI45" s="529"/>
      <c r="DJ45" s="529"/>
      <c r="DK45" s="529"/>
      <c r="DL45" s="529"/>
      <c r="DM45" s="529"/>
      <c r="DN45" s="529"/>
      <c r="DO45" s="529"/>
      <c r="DP45" s="529"/>
      <c r="DQ45" s="529"/>
      <c r="DR45" s="529"/>
      <c r="DS45" s="529"/>
      <c r="DT45" s="529"/>
      <c r="DU45" s="529"/>
      <c r="DV45" s="529"/>
      <c r="DW45" s="529"/>
      <c r="DX45" s="529"/>
      <c r="DY45" s="529"/>
      <c r="DZ45" s="529"/>
      <c r="EA45" s="529"/>
      <c r="EB45" s="529"/>
      <c r="EC45" s="529"/>
      <c r="ED45" s="529"/>
      <c r="EE45" s="529"/>
      <c r="EF45" s="529"/>
      <c r="EG45" s="529"/>
      <c r="EH45" s="529"/>
      <c r="EI45" s="529"/>
      <c r="EJ45" s="529"/>
      <c r="EK45" s="529"/>
      <c r="EL45" s="529"/>
      <c r="EM45" s="529"/>
      <c r="EN45" s="529"/>
      <c r="EO45" s="529"/>
      <c r="EP45" s="529"/>
      <c r="EQ45" s="529"/>
      <c r="ER45" s="529"/>
      <c r="ES45" s="529"/>
      <c r="ET45" s="529"/>
      <c r="EU45" s="529"/>
      <c r="EV45" s="529"/>
      <c r="EW45" s="529"/>
      <c r="EX45" s="529"/>
      <c r="EY45" s="529"/>
      <c r="EZ45" s="529"/>
      <c r="FA45" s="529"/>
      <c r="FB45" s="529"/>
      <c r="FC45" s="529"/>
      <c r="FD45" s="529"/>
      <c r="FE45" s="529"/>
      <c r="FF45" s="529"/>
      <c r="FG45" s="529"/>
      <c r="FH45" s="529"/>
      <c r="FI45" s="529"/>
      <c r="FJ45" s="529"/>
      <c r="FK45" s="529"/>
      <c r="FL45" s="529"/>
      <c r="FM45" s="529"/>
      <c r="FN45" s="529"/>
      <c r="FO45" s="529"/>
      <c r="FP45" s="529"/>
      <c r="FQ45" s="529"/>
      <c r="FR45" s="529"/>
      <c r="FS45" s="529"/>
      <c r="FT45" s="529"/>
      <c r="FU45" s="529"/>
      <c r="FV45" s="529"/>
      <c r="FW45" s="529"/>
      <c r="FX45" s="529"/>
      <c r="FY45" s="529"/>
      <c r="FZ45" s="529"/>
      <c r="GA45" s="529"/>
      <c r="GB45" s="529"/>
      <c r="GC45" s="529"/>
      <c r="GD45" s="529"/>
      <c r="GE45" s="529"/>
      <c r="GF45" s="529"/>
      <c r="GG45" s="529"/>
      <c r="GH45" s="529"/>
      <c r="GI45" s="529"/>
      <c r="GJ45" s="529"/>
      <c r="GK45" s="529"/>
      <c r="GL45" s="529"/>
      <c r="GM45" s="529"/>
      <c r="GN45" s="529"/>
      <c r="GO45" s="529"/>
      <c r="GP45" s="529"/>
      <c r="GQ45" s="529"/>
      <c r="GR45" s="529"/>
      <c r="GS45" s="529"/>
      <c r="GT45" s="529"/>
      <c r="GU45" s="529"/>
      <c r="GV45" s="529"/>
      <c r="GW45" s="529"/>
      <c r="GX45" s="529"/>
      <c r="GY45" s="529"/>
      <c r="GZ45" s="529"/>
      <c r="HA45" s="529"/>
      <c r="HB45" s="529"/>
      <c r="HC45" s="529"/>
      <c r="HD45" s="529"/>
      <c r="HE45" s="529"/>
      <c r="HF45" s="529"/>
      <c r="HG45" s="529"/>
      <c r="HH45" s="529"/>
      <c r="HI45" s="529"/>
      <c r="HJ45" s="529"/>
      <c r="HK45" s="529"/>
      <c r="HL45" s="529"/>
      <c r="HM45" s="529"/>
      <c r="HN45" s="529"/>
      <c r="HO45" s="529"/>
      <c r="HP45" s="529"/>
      <c r="HQ45" s="529"/>
      <c r="HR45" s="529"/>
      <c r="HS45" s="529"/>
      <c r="HT45" s="529"/>
      <c r="HU45" s="529"/>
      <c r="HV45" s="529"/>
      <c r="HW45" s="529"/>
      <c r="HX45" s="529"/>
      <c r="HY45" s="529"/>
      <c r="HZ45" s="529"/>
      <c r="IA45" s="529"/>
      <c r="IB45" s="529"/>
      <c r="IC45" s="529"/>
      <c r="ID45" s="529"/>
      <c r="IE45" s="529"/>
      <c r="IF45" s="529"/>
      <c r="IG45" s="529"/>
      <c r="IH45" s="529"/>
      <c r="II45" s="529"/>
      <c r="IJ45" s="529"/>
      <c r="IK45" s="529"/>
      <c r="IL45" s="529"/>
      <c r="IM45" s="529"/>
      <c r="IN45" s="529"/>
      <c r="IO45" s="529"/>
      <c r="IP45" s="529"/>
      <c r="IQ45" s="529"/>
      <c r="IR45" s="529"/>
      <c r="IS45" s="529"/>
      <c r="IT45" s="529"/>
      <c r="IU45" s="529"/>
      <c r="IV45" s="529"/>
      <c r="IW45" s="529"/>
    </row>
    <row r="46" customFormat="false" ht="12.6" hidden="false" customHeight="true" outlineLevel="0" collapsed="false">
      <c r="A46" s="524" t="s">
        <v>450</v>
      </c>
      <c r="B46" s="463"/>
      <c r="C46" s="463"/>
      <c r="D46" s="525"/>
      <c r="E46" s="520" t="n">
        <f aca="false">IF('Project Assumptions'!$H$39=0,0,E42-E44)</f>
        <v>129657.702740605</v>
      </c>
      <c r="F46" s="520" t="n">
        <f aca="false">IF('Project Assumptions'!$H$39=0,0,F42-F44)</f>
        <v>129657.702740605</v>
      </c>
      <c r="G46" s="520" t="n">
        <f aca="false">IF('Project Assumptions'!$H$39=0,0,G42-G44)</f>
        <v>129657.702740605</v>
      </c>
      <c r="H46" s="520" t="n">
        <f aca="false">IF('Project Assumptions'!$H$39=0,0,H42-H44)</f>
        <v>129657.702740605</v>
      </c>
      <c r="I46" s="520" t="n">
        <f aca="false">IF('Project Assumptions'!$H$39=0,0,I42-I44)</f>
        <v>129657.702740605</v>
      </c>
      <c r="J46" s="520" t="n">
        <f aca="false">IF('Project Assumptions'!$H$39=0,0,J42-J44)</f>
        <v>129657.702740605</v>
      </c>
      <c r="K46" s="520" t="n">
        <f aca="false">IF('Project Assumptions'!$H$39=0,0,K42-K44)</f>
        <v>129657.702740605</v>
      </c>
      <c r="L46" s="520" t="n">
        <f aca="false">IF('Project Assumptions'!$H$39=0,0,L42-L44)</f>
        <v>129657.702740605</v>
      </c>
      <c r="M46" s="520" t="n">
        <f aca="false">IF('Project Assumptions'!$H$39=0,0,M42-M44)</f>
        <v>129657.702740605</v>
      </c>
      <c r="N46" s="520" t="n">
        <f aca="false">IF('Project Assumptions'!$H$39=0,0,N42-N44)</f>
        <v>129657.702740605</v>
      </c>
      <c r="O46" s="520" t="n">
        <f aca="false">IF('Project Assumptions'!$H$39=0,0,O42-O44)</f>
        <v>121447.843099396</v>
      </c>
      <c r="P46" s="520" t="n">
        <f aca="false">IF('Project Assumptions'!$H$39=0,0,P42-P44)</f>
        <v>112373.740939337</v>
      </c>
      <c r="Q46" s="520" t="n">
        <f aca="false">IF('Project Assumptions'!$H$39=0,0,Q42-Q44)</f>
        <v>102370.191005113</v>
      </c>
      <c r="R46" s="520" t="n">
        <f aca="false">IF('Project Assumptions'!$H$39=0,0,R42-R44)</f>
        <v>91350.3633338804</v>
      </c>
      <c r="S46" s="520" t="n">
        <f aca="false">IF('Project Assumptions'!$H$39=0,0,S42-S44)</f>
        <v>79254.4407201323</v>
      </c>
      <c r="T46" s="520" t="n">
        <f aca="false">IF('Project Assumptions'!$H$39=0,0,T42-T44)</f>
        <v>66001.4735082412</v>
      </c>
      <c r="U46" s="520" t="n">
        <f aca="false">IF('Project Assumptions'!$H$39=0,0,U42-U44)</f>
        <v>51504.4720611244</v>
      </c>
      <c r="V46" s="520" t="n">
        <f aca="false">IF('Project Assumptions'!$H$39=0,0,V42-V44)</f>
        <v>35653.1475113551</v>
      </c>
      <c r="W46" s="520" t="n">
        <f aca="false">IF('Project Assumptions'!$H$39=0,0,W42-W44)</f>
        <v>18362.4167462957</v>
      </c>
      <c r="X46" s="520" t="n">
        <f aca="false">IF('Project Assumptions'!$H$39=0,0,X42-X44)</f>
        <v>-1.2732925824821E-010</v>
      </c>
      <c r="Y46" s="520" t="n">
        <f aca="false">IF('Project Assumptions'!$H$39=0,0,Y42-Y44)</f>
        <v>0</v>
      </c>
      <c r="Z46" s="520" t="n">
        <f aca="false">IF('Project Assumptions'!$H$39=0,0,Z42-Z44)</f>
        <v>0</v>
      </c>
      <c r="AA46" s="520" t="n">
        <f aca="false">IF('Project Assumptions'!$H$39=0,0,AA42-AA44)</f>
        <v>0</v>
      </c>
      <c r="AB46" s="520" t="n">
        <f aca="false">IF('Project Assumptions'!$H$39=0,0,AB42-AB44)</f>
        <v>0</v>
      </c>
      <c r="AC46" s="521" t="n">
        <f aca="false">IF('Project Assumptions'!$H$39=0,0,AC42-AC44)</f>
        <v>0</v>
      </c>
      <c r="AD46" s="529"/>
      <c r="AE46" s="529"/>
      <c r="AF46" s="529"/>
      <c r="AG46" s="529"/>
      <c r="AH46" s="529"/>
      <c r="AI46" s="529"/>
      <c r="AJ46" s="529"/>
      <c r="AK46" s="529"/>
      <c r="AL46" s="529"/>
      <c r="AM46" s="529"/>
      <c r="AN46" s="529"/>
      <c r="AO46" s="529"/>
      <c r="AP46" s="529"/>
      <c r="AQ46" s="529"/>
      <c r="AR46" s="529"/>
      <c r="AS46" s="529"/>
      <c r="AT46" s="529"/>
      <c r="AU46" s="529"/>
      <c r="AV46" s="529"/>
      <c r="AW46" s="529"/>
      <c r="AX46" s="529"/>
      <c r="AY46" s="529"/>
      <c r="AZ46" s="529"/>
      <c r="BA46" s="529"/>
      <c r="BB46" s="529"/>
      <c r="BC46" s="529"/>
      <c r="BD46" s="529"/>
      <c r="BE46" s="529"/>
      <c r="BF46" s="529"/>
      <c r="BG46" s="529"/>
      <c r="BH46" s="529"/>
      <c r="BI46" s="529"/>
      <c r="BJ46" s="529"/>
      <c r="BK46" s="529"/>
      <c r="BL46" s="529"/>
      <c r="BM46" s="529"/>
      <c r="BN46" s="529"/>
      <c r="BO46" s="529"/>
      <c r="BP46" s="529"/>
      <c r="BQ46" s="529"/>
      <c r="BR46" s="529"/>
      <c r="BS46" s="529"/>
      <c r="BT46" s="529"/>
      <c r="BU46" s="529"/>
      <c r="BV46" s="529"/>
      <c r="BW46" s="529"/>
      <c r="BX46" s="529"/>
      <c r="BY46" s="529"/>
      <c r="BZ46" s="529"/>
      <c r="CA46" s="529"/>
      <c r="CB46" s="529"/>
      <c r="CC46" s="529"/>
      <c r="CD46" s="529"/>
      <c r="CE46" s="529"/>
      <c r="CF46" s="529"/>
      <c r="CG46" s="529"/>
      <c r="CH46" s="529"/>
      <c r="CI46" s="529"/>
      <c r="CJ46" s="529"/>
      <c r="CK46" s="529"/>
      <c r="CL46" s="529"/>
      <c r="CM46" s="529"/>
      <c r="CN46" s="529"/>
      <c r="CO46" s="529"/>
      <c r="CP46" s="529"/>
      <c r="CQ46" s="529"/>
      <c r="CR46" s="529"/>
      <c r="CS46" s="529"/>
      <c r="CT46" s="529"/>
      <c r="CU46" s="529"/>
      <c r="CV46" s="529"/>
      <c r="CW46" s="529"/>
      <c r="CX46" s="529"/>
      <c r="CY46" s="529"/>
      <c r="CZ46" s="529"/>
      <c r="DA46" s="529"/>
      <c r="DB46" s="529"/>
      <c r="DC46" s="529"/>
      <c r="DD46" s="529"/>
      <c r="DE46" s="529"/>
      <c r="DF46" s="529"/>
      <c r="DG46" s="529"/>
      <c r="DH46" s="529"/>
      <c r="DI46" s="529"/>
      <c r="DJ46" s="529"/>
      <c r="DK46" s="529"/>
      <c r="DL46" s="529"/>
      <c r="DM46" s="529"/>
      <c r="DN46" s="529"/>
      <c r="DO46" s="529"/>
      <c r="DP46" s="529"/>
      <c r="DQ46" s="529"/>
      <c r="DR46" s="529"/>
      <c r="DS46" s="529"/>
      <c r="DT46" s="529"/>
      <c r="DU46" s="529"/>
      <c r="DV46" s="529"/>
      <c r="DW46" s="529"/>
      <c r="DX46" s="529"/>
      <c r="DY46" s="529"/>
      <c r="DZ46" s="529"/>
      <c r="EA46" s="529"/>
      <c r="EB46" s="529"/>
      <c r="EC46" s="529"/>
      <c r="ED46" s="529"/>
      <c r="EE46" s="529"/>
      <c r="EF46" s="529"/>
      <c r="EG46" s="529"/>
      <c r="EH46" s="529"/>
      <c r="EI46" s="529"/>
      <c r="EJ46" s="529"/>
      <c r="EK46" s="529"/>
      <c r="EL46" s="529"/>
      <c r="EM46" s="529"/>
      <c r="EN46" s="529"/>
      <c r="EO46" s="529"/>
      <c r="EP46" s="529"/>
      <c r="EQ46" s="529"/>
      <c r="ER46" s="529"/>
      <c r="ES46" s="529"/>
      <c r="ET46" s="529"/>
      <c r="EU46" s="529"/>
      <c r="EV46" s="529"/>
      <c r="EW46" s="529"/>
      <c r="EX46" s="529"/>
      <c r="EY46" s="529"/>
      <c r="EZ46" s="529"/>
      <c r="FA46" s="529"/>
      <c r="FB46" s="529"/>
      <c r="FC46" s="529"/>
      <c r="FD46" s="529"/>
      <c r="FE46" s="529"/>
      <c r="FF46" s="529"/>
      <c r="FG46" s="529"/>
      <c r="FH46" s="529"/>
      <c r="FI46" s="529"/>
      <c r="FJ46" s="529"/>
      <c r="FK46" s="529"/>
      <c r="FL46" s="529"/>
      <c r="FM46" s="529"/>
      <c r="FN46" s="529"/>
      <c r="FO46" s="529"/>
      <c r="FP46" s="529"/>
      <c r="FQ46" s="529"/>
      <c r="FR46" s="529"/>
      <c r="FS46" s="529"/>
      <c r="FT46" s="529"/>
      <c r="FU46" s="529"/>
      <c r="FV46" s="529"/>
      <c r="FW46" s="529"/>
      <c r="FX46" s="529"/>
      <c r="FY46" s="529"/>
      <c r="FZ46" s="529"/>
      <c r="GA46" s="529"/>
      <c r="GB46" s="529"/>
      <c r="GC46" s="529"/>
      <c r="GD46" s="529"/>
      <c r="GE46" s="529"/>
      <c r="GF46" s="529"/>
      <c r="GG46" s="529"/>
      <c r="GH46" s="529"/>
      <c r="GI46" s="529"/>
      <c r="GJ46" s="529"/>
      <c r="GK46" s="529"/>
      <c r="GL46" s="529"/>
      <c r="GM46" s="529"/>
      <c r="GN46" s="529"/>
      <c r="GO46" s="529"/>
      <c r="GP46" s="529"/>
      <c r="GQ46" s="529"/>
      <c r="GR46" s="529"/>
      <c r="GS46" s="529"/>
      <c r="GT46" s="529"/>
      <c r="GU46" s="529"/>
      <c r="GV46" s="529"/>
      <c r="GW46" s="529"/>
      <c r="GX46" s="529"/>
      <c r="GY46" s="529"/>
      <c r="GZ46" s="529"/>
      <c r="HA46" s="529"/>
      <c r="HB46" s="529"/>
      <c r="HC46" s="529"/>
      <c r="HD46" s="529"/>
      <c r="HE46" s="529"/>
      <c r="HF46" s="529"/>
      <c r="HG46" s="529"/>
      <c r="HH46" s="529"/>
      <c r="HI46" s="529"/>
      <c r="HJ46" s="529"/>
      <c r="HK46" s="529"/>
      <c r="HL46" s="529"/>
      <c r="HM46" s="529"/>
      <c r="HN46" s="529"/>
      <c r="HO46" s="529"/>
      <c r="HP46" s="529"/>
      <c r="HQ46" s="529"/>
      <c r="HR46" s="529"/>
      <c r="HS46" s="529"/>
      <c r="HT46" s="529"/>
      <c r="HU46" s="529"/>
      <c r="HV46" s="529"/>
      <c r="HW46" s="529"/>
      <c r="HX46" s="529"/>
      <c r="HY46" s="529"/>
      <c r="HZ46" s="529"/>
      <c r="IA46" s="529"/>
      <c r="IB46" s="529"/>
      <c r="IC46" s="529"/>
      <c r="ID46" s="529"/>
      <c r="IE46" s="529"/>
      <c r="IF46" s="529"/>
      <c r="IG46" s="529"/>
      <c r="IH46" s="529"/>
      <c r="II46" s="529"/>
      <c r="IJ46" s="529"/>
      <c r="IK46" s="529"/>
      <c r="IL46" s="529"/>
      <c r="IM46" s="529"/>
      <c r="IN46" s="529"/>
      <c r="IO46" s="529"/>
      <c r="IP46" s="529"/>
      <c r="IQ46" s="529"/>
      <c r="IR46" s="529"/>
      <c r="IS46" s="529"/>
      <c r="IT46" s="529"/>
      <c r="IU46" s="529"/>
      <c r="IV46" s="529"/>
      <c r="IW46" s="529"/>
    </row>
    <row r="47" customFormat="false" ht="12.6" hidden="false" customHeight="true" outlineLevel="0" collapsed="false">
      <c r="A47" s="552" t="s">
        <v>451</v>
      </c>
      <c r="B47" s="553"/>
      <c r="C47" s="553"/>
      <c r="D47" s="540"/>
      <c r="E47" s="554" t="n">
        <f aca="false">IF('Project Assumptions'!H39&gt;0,SUMPRODUCT(E4:AC4,E44:AC44)/B21,0)</f>
        <v>16.231606565496</v>
      </c>
      <c r="F47" s="541"/>
      <c r="G47" s="541"/>
      <c r="H47" s="541"/>
      <c r="I47" s="541"/>
      <c r="J47" s="541"/>
      <c r="K47" s="541"/>
      <c r="L47" s="541"/>
      <c r="M47" s="541"/>
      <c r="N47" s="541"/>
      <c r="O47" s="541"/>
      <c r="P47" s="541"/>
      <c r="Q47" s="541"/>
      <c r="R47" s="541"/>
      <c r="S47" s="541"/>
      <c r="T47" s="541"/>
      <c r="U47" s="541"/>
      <c r="V47" s="541"/>
      <c r="W47" s="541"/>
      <c r="X47" s="541"/>
      <c r="Y47" s="541"/>
      <c r="Z47" s="541"/>
      <c r="AA47" s="541"/>
      <c r="AB47" s="541"/>
      <c r="AC47" s="542"/>
      <c r="AD47" s="529"/>
      <c r="AE47" s="529"/>
      <c r="AF47" s="529"/>
      <c r="AG47" s="529"/>
      <c r="AH47" s="529"/>
      <c r="AI47" s="529"/>
      <c r="AJ47" s="529"/>
      <c r="AK47" s="529"/>
      <c r="AL47" s="529"/>
      <c r="AM47" s="529"/>
      <c r="AN47" s="529"/>
      <c r="AO47" s="529"/>
      <c r="AP47" s="529"/>
      <c r="AQ47" s="529"/>
      <c r="AR47" s="529"/>
      <c r="AS47" s="529"/>
      <c r="AT47" s="529"/>
      <c r="AU47" s="529"/>
      <c r="AV47" s="529"/>
      <c r="AW47" s="529"/>
      <c r="AX47" s="529"/>
      <c r="AY47" s="529"/>
      <c r="AZ47" s="529"/>
      <c r="BA47" s="529"/>
      <c r="BB47" s="529"/>
      <c r="BC47" s="529"/>
      <c r="BD47" s="529"/>
      <c r="BE47" s="529"/>
      <c r="BF47" s="529"/>
      <c r="BG47" s="529"/>
      <c r="BH47" s="529"/>
      <c r="BI47" s="529"/>
      <c r="BJ47" s="529"/>
      <c r="BK47" s="529"/>
      <c r="BL47" s="529"/>
      <c r="BM47" s="529"/>
      <c r="BN47" s="529"/>
      <c r="BO47" s="529"/>
      <c r="BP47" s="529"/>
      <c r="BQ47" s="529"/>
      <c r="BR47" s="529"/>
      <c r="BS47" s="529"/>
      <c r="BT47" s="529"/>
      <c r="BU47" s="529"/>
      <c r="BV47" s="529"/>
      <c r="BW47" s="529"/>
      <c r="BX47" s="529"/>
      <c r="BY47" s="529"/>
      <c r="BZ47" s="529"/>
      <c r="CA47" s="529"/>
      <c r="CB47" s="529"/>
      <c r="CC47" s="529"/>
      <c r="CD47" s="529"/>
      <c r="CE47" s="529"/>
      <c r="CF47" s="529"/>
      <c r="CG47" s="529"/>
      <c r="CH47" s="529"/>
      <c r="CI47" s="529"/>
      <c r="CJ47" s="529"/>
      <c r="CK47" s="529"/>
      <c r="CL47" s="529"/>
      <c r="CM47" s="529"/>
      <c r="CN47" s="529"/>
      <c r="CO47" s="529"/>
      <c r="CP47" s="529"/>
      <c r="CQ47" s="529"/>
      <c r="CR47" s="529"/>
      <c r="CS47" s="529"/>
      <c r="CT47" s="529"/>
      <c r="CU47" s="529"/>
      <c r="CV47" s="529"/>
      <c r="CW47" s="529"/>
      <c r="CX47" s="529"/>
      <c r="CY47" s="529"/>
      <c r="CZ47" s="529"/>
      <c r="DA47" s="529"/>
      <c r="DB47" s="529"/>
      <c r="DC47" s="529"/>
      <c r="DD47" s="529"/>
      <c r="DE47" s="529"/>
      <c r="DF47" s="529"/>
      <c r="DG47" s="529"/>
      <c r="DH47" s="529"/>
      <c r="DI47" s="529"/>
      <c r="DJ47" s="529"/>
      <c r="DK47" s="529"/>
      <c r="DL47" s="529"/>
      <c r="DM47" s="529"/>
      <c r="DN47" s="529"/>
      <c r="DO47" s="529"/>
      <c r="DP47" s="529"/>
      <c r="DQ47" s="529"/>
      <c r="DR47" s="529"/>
      <c r="DS47" s="529"/>
      <c r="DT47" s="529"/>
      <c r="DU47" s="529"/>
      <c r="DV47" s="529"/>
      <c r="DW47" s="529"/>
      <c r="DX47" s="529"/>
      <c r="DY47" s="529"/>
      <c r="DZ47" s="529"/>
      <c r="EA47" s="529"/>
      <c r="EB47" s="529"/>
      <c r="EC47" s="529"/>
      <c r="ED47" s="529"/>
      <c r="EE47" s="529"/>
      <c r="EF47" s="529"/>
      <c r="EG47" s="529"/>
      <c r="EH47" s="529"/>
      <c r="EI47" s="529"/>
      <c r="EJ47" s="529"/>
      <c r="EK47" s="529"/>
      <c r="EL47" s="529"/>
      <c r="EM47" s="529"/>
      <c r="EN47" s="529"/>
      <c r="EO47" s="529"/>
      <c r="EP47" s="529"/>
      <c r="EQ47" s="529"/>
      <c r="ER47" s="529"/>
      <c r="ES47" s="529"/>
      <c r="ET47" s="529"/>
      <c r="EU47" s="529"/>
      <c r="EV47" s="529"/>
      <c r="EW47" s="529"/>
      <c r="EX47" s="529"/>
      <c r="EY47" s="529"/>
      <c r="EZ47" s="529"/>
      <c r="FA47" s="529"/>
      <c r="FB47" s="529"/>
      <c r="FC47" s="529"/>
      <c r="FD47" s="529"/>
      <c r="FE47" s="529"/>
      <c r="FF47" s="529"/>
      <c r="FG47" s="529"/>
      <c r="FH47" s="529"/>
      <c r="FI47" s="529"/>
      <c r="FJ47" s="529"/>
      <c r="FK47" s="529"/>
      <c r="FL47" s="529"/>
      <c r="FM47" s="529"/>
      <c r="FN47" s="529"/>
      <c r="FO47" s="529"/>
      <c r="FP47" s="529"/>
      <c r="FQ47" s="529"/>
      <c r="FR47" s="529"/>
      <c r="FS47" s="529"/>
      <c r="FT47" s="529"/>
      <c r="FU47" s="529"/>
      <c r="FV47" s="529"/>
      <c r="FW47" s="529"/>
      <c r="FX47" s="529"/>
      <c r="FY47" s="529"/>
      <c r="FZ47" s="529"/>
      <c r="GA47" s="529"/>
      <c r="GB47" s="529"/>
      <c r="GC47" s="529"/>
      <c r="GD47" s="529"/>
      <c r="GE47" s="529"/>
      <c r="GF47" s="529"/>
      <c r="GG47" s="529"/>
      <c r="GH47" s="529"/>
      <c r="GI47" s="529"/>
      <c r="GJ47" s="529"/>
      <c r="GK47" s="529"/>
      <c r="GL47" s="529"/>
      <c r="GM47" s="529"/>
      <c r="GN47" s="529"/>
      <c r="GO47" s="529"/>
      <c r="GP47" s="529"/>
      <c r="GQ47" s="529"/>
      <c r="GR47" s="529"/>
      <c r="GS47" s="529"/>
      <c r="GT47" s="529"/>
      <c r="GU47" s="529"/>
      <c r="GV47" s="529"/>
      <c r="GW47" s="529"/>
      <c r="GX47" s="529"/>
      <c r="GY47" s="529"/>
      <c r="GZ47" s="529"/>
      <c r="HA47" s="529"/>
      <c r="HB47" s="529"/>
      <c r="HC47" s="529"/>
      <c r="HD47" s="529"/>
      <c r="HE47" s="529"/>
      <c r="HF47" s="529"/>
      <c r="HG47" s="529"/>
      <c r="HH47" s="529"/>
      <c r="HI47" s="529"/>
      <c r="HJ47" s="529"/>
      <c r="HK47" s="529"/>
      <c r="HL47" s="529"/>
      <c r="HM47" s="529"/>
      <c r="HN47" s="529"/>
      <c r="HO47" s="529"/>
      <c r="HP47" s="529"/>
      <c r="HQ47" s="529"/>
      <c r="HR47" s="529"/>
      <c r="HS47" s="529"/>
      <c r="HT47" s="529"/>
      <c r="HU47" s="529"/>
      <c r="HV47" s="529"/>
      <c r="HW47" s="529"/>
      <c r="HX47" s="529"/>
      <c r="HY47" s="529"/>
      <c r="HZ47" s="529"/>
      <c r="IA47" s="529"/>
      <c r="IB47" s="529"/>
      <c r="IC47" s="529"/>
      <c r="ID47" s="529"/>
      <c r="IE47" s="529"/>
      <c r="IF47" s="529"/>
      <c r="IG47" s="529"/>
      <c r="IH47" s="529"/>
      <c r="II47" s="529"/>
      <c r="IJ47" s="529"/>
      <c r="IK47" s="529"/>
      <c r="IL47" s="529"/>
      <c r="IM47" s="529"/>
      <c r="IN47" s="529"/>
      <c r="IO47" s="529"/>
      <c r="IP47" s="529"/>
      <c r="IQ47" s="529"/>
      <c r="IR47" s="529"/>
      <c r="IS47" s="529"/>
      <c r="IT47" s="529"/>
      <c r="IU47" s="529"/>
      <c r="IV47" s="529"/>
      <c r="IW47" s="529"/>
    </row>
    <row r="48" customFormat="false" ht="12.6" hidden="false" customHeight="true" outlineLevel="0" collapsed="false">
      <c r="A48" s="564"/>
      <c r="B48" s="463"/>
      <c r="C48" s="463"/>
      <c r="D48" s="529"/>
      <c r="E48" s="565"/>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29"/>
      <c r="AE48" s="529"/>
      <c r="AF48" s="529"/>
      <c r="AG48" s="529"/>
      <c r="AH48" s="529"/>
      <c r="AI48" s="529"/>
      <c r="AJ48" s="529"/>
      <c r="AK48" s="529"/>
      <c r="AL48" s="529"/>
      <c r="AM48" s="529"/>
      <c r="AN48" s="529"/>
      <c r="AO48" s="529"/>
      <c r="AP48" s="529"/>
      <c r="AQ48" s="529"/>
      <c r="AR48" s="529"/>
      <c r="AS48" s="529"/>
      <c r="AT48" s="529"/>
      <c r="AU48" s="529"/>
      <c r="AV48" s="529"/>
      <c r="AW48" s="529"/>
      <c r="AX48" s="529"/>
      <c r="AY48" s="529"/>
      <c r="AZ48" s="529"/>
      <c r="BA48" s="529"/>
      <c r="BB48" s="529"/>
      <c r="BC48" s="529"/>
      <c r="BD48" s="529"/>
      <c r="BE48" s="529"/>
      <c r="BF48" s="529"/>
      <c r="BG48" s="529"/>
      <c r="BH48" s="529"/>
      <c r="BI48" s="529"/>
      <c r="BJ48" s="529"/>
      <c r="BK48" s="529"/>
      <c r="BL48" s="529"/>
      <c r="BM48" s="529"/>
      <c r="BN48" s="529"/>
      <c r="BO48" s="529"/>
      <c r="BP48" s="529"/>
      <c r="BQ48" s="529"/>
      <c r="BR48" s="529"/>
      <c r="BS48" s="529"/>
      <c r="BT48" s="529"/>
      <c r="BU48" s="529"/>
      <c r="BV48" s="529"/>
      <c r="BW48" s="529"/>
      <c r="BX48" s="529"/>
      <c r="BY48" s="529"/>
      <c r="BZ48" s="529"/>
      <c r="CA48" s="529"/>
      <c r="CB48" s="529"/>
      <c r="CC48" s="529"/>
      <c r="CD48" s="529"/>
      <c r="CE48" s="529"/>
      <c r="CF48" s="529"/>
      <c r="CG48" s="529"/>
      <c r="CH48" s="529"/>
      <c r="CI48" s="529"/>
      <c r="CJ48" s="529"/>
      <c r="CK48" s="529"/>
      <c r="CL48" s="529"/>
      <c r="CM48" s="529"/>
      <c r="CN48" s="529"/>
      <c r="CO48" s="529"/>
      <c r="CP48" s="529"/>
      <c r="CQ48" s="529"/>
      <c r="CR48" s="529"/>
      <c r="CS48" s="529"/>
      <c r="CT48" s="529"/>
      <c r="CU48" s="529"/>
      <c r="CV48" s="529"/>
      <c r="CW48" s="529"/>
      <c r="CX48" s="529"/>
      <c r="CY48" s="529"/>
      <c r="CZ48" s="529"/>
      <c r="DA48" s="529"/>
      <c r="DB48" s="529"/>
      <c r="DC48" s="529"/>
      <c r="DD48" s="529"/>
      <c r="DE48" s="529"/>
      <c r="DF48" s="529"/>
      <c r="DG48" s="529"/>
      <c r="DH48" s="529"/>
      <c r="DI48" s="529"/>
      <c r="DJ48" s="529"/>
      <c r="DK48" s="529"/>
      <c r="DL48" s="529"/>
      <c r="DM48" s="529"/>
      <c r="DN48" s="529"/>
      <c r="DO48" s="529"/>
      <c r="DP48" s="529"/>
      <c r="DQ48" s="529"/>
      <c r="DR48" s="529"/>
      <c r="DS48" s="529"/>
      <c r="DT48" s="529"/>
      <c r="DU48" s="529"/>
      <c r="DV48" s="529"/>
      <c r="DW48" s="529"/>
      <c r="DX48" s="529"/>
      <c r="DY48" s="529"/>
      <c r="DZ48" s="529"/>
      <c r="EA48" s="529"/>
      <c r="EB48" s="529"/>
      <c r="EC48" s="529"/>
      <c r="ED48" s="529"/>
      <c r="EE48" s="529"/>
      <c r="EF48" s="529"/>
      <c r="EG48" s="529"/>
      <c r="EH48" s="529"/>
      <c r="EI48" s="529"/>
      <c r="EJ48" s="529"/>
      <c r="EK48" s="529"/>
      <c r="EL48" s="529"/>
      <c r="EM48" s="529"/>
      <c r="EN48" s="529"/>
      <c r="EO48" s="529"/>
      <c r="EP48" s="529"/>
      <c r="EQ48" s="529"/>
      <c r="ER48" s="529"/>
      <c r="ES48" s="529"/>
      <c r="ET48" s="529"/>
      <c r="EU48" s="529"/>
      <c r="EV48" s="529"/>
      <c r="EW48" s="529"/>
      <c r="EX48" s="529"/>
      <c r="EY48" s="529"/>
      <c r="EZ48" s="529"/>
      <c r="FA48" s="529"/>
      <c r="FB48" s="529"/>
      <c r="FC48" s="529"/>
      <c r="FD48" s="529"/>
      <c r="FE48" s="529"/>
      <c r="FF48" s="529"/>
      <c r="FG48" s="529"/>
      <c r="FH48" s="529"/>
      <c r="FI48" s="529"/>
      <c r="FJ48" s="529"/>
      <c r="FK48" s="529"/>
      <c r="FL48" s="529"/>
      <c r="FM48" s="529"/>
      <c r="FN48" s="529"/>
      <c r="FO48" s="529"/>
      <c r="FP48" s="529"/>
      <c r="FQ48" s="529"/>
      <c r="FR48" s="529"/>
      <c r="FS48" s="529"/>
      <c r="FT48" s="529"/>
      <c r="FU48" s="529"/>
      <c r="FV48" s="529"/>
      <c r="FW48" s="529"/>
      <c r="FX48" s="529"/>
      <c r="FY48" s="529"/>
      <c r="FZ48" s="529"/>
      <c r="GA48" s="529"/>
      <c r="GB48" s="529"/>
      <c r="GC48" s="529"/>
      <c r="GD48" s="529"/>
      <c r="GE48" s="529"/>
      <c r="GF48" s="529"/>
      <c r="GG48" s="529"/>
      <c r="GH48" s="529"/>
      <c r="GI48" s="529"/>
      <c r="GJ48" s="529"/>
      <c r="GK48" s="529"/>
      <c r="GL48" s="529"/>
      <c r="GM48" s="529"/>
      <c r="GN48" s="529"/>
      <c r="GO48" s="529"/>
      <c r="GP48" s="529"/>
      <c r="GQ48" s="529"/>
      <c r="GR48" s="529"/>
      <c r="GS48" s="529"/>
      <c r="GT48" s="529"/>
      <c r="GU48" s="529"/>
      <c r="GV48" s="529"/>
      <c r="GW48" s="529"/>
      <c r="GX48" s="529"/>
      <c r="GY48" s="529"/>
      <c r="GZ48" s="529"/>
      <c r="HA48" s="529"/>
      <c r="HB48" s="529"/>
      <c r="HC48" s="529"/>
      <c r="HD48" s="529"/>
      <c r="HE48" s="529"/>
      <c r="HF48" s="529"/>
      <c r="HG48" s="529"/>
      <c r="HH48" s="529"/>
      <c r="HI48" s="529"/>
      <c r="HJ48" s="529"/>
      <c r="HK48" s="529"/>
      <c r="HL48" s="529"/>
      <c r="HM48" s="529"/>
      <c r="HN48" s="529"/>
      <c r="HO48" s="529"/>
      <c r="HP48" s="529"/>
      <c r="HQ48" s="529"/>
      <c r="HR48" s="529"/>
      <c r="HS48" s="529"/>
      <c r="HT48" s="529"/>
      <c r="HU48" s="529"/>
      <c r="HV48" s="529"/>
      <c r="HW48" s="529"/>
      <c r="HX48" s="529"/>
      <c r="HY48" s="529"/>
      <c r="HZ48" s="529"/>
      <c r="IA48" s="529"/>
      <c r="IB48" s="529"/>
      <c r="IC48" s="529"/>
      <c r="ID48" s="529"/>
      <c r="IE48" s="529"/>
      <c r="IF48" s="529"/>
      <c r="IG48" s="529"/>
      <c r="IH48" s="529"/>
      <c r="II48" s="529"/>
      <c r="IJ48" s="529"/>
      <c r="IK48" s="529"/>
      <c r="IL48" s="529"/>
      <c r="IM48" s="529"/>
      <c r="IN48" s="529"/>
      <c r="IO48" s="529"/>
      <c r="IP48" s="529"/>
      <c r="IQ48" s="529"/>
      <c r="IR48" s="529"/>
      <c r="IS48" s="529"/>
      <c r="IT48" s="529"/>
      <c r="IU48" s="529"/>
      <c r="IV48" s="529"/>
      <c r="IW48" s="529"/>
    </row>
    <row r="49" customFormat="false" ht="13.5" hidden="false" customHeight="false" outlineLevel="0" collapsed="false">
      <c r="A49" s="529"/>
      <c r="B49" s="529"/>
      <c r="C49" s="529"/>
      <c r="D49" s="529"/>
      <c r="E49" s="498"/>
      <c r="F49" s="498"/>
      <c r="G49" s="498"/>
      <c r="H49" s="498"/>
      <c r="I49" s="498"/>
      <c r="J49" s="498"/>
      <c r="K49" s="498"/>
      <c r="L49" s="498"/>
      <c r="M49" s="498"/>
      <c r="N49" s="498"/>
      <c r="O49" s="498"/>
      <c r="P49" s="498"/>
      <c r="Q49" s="498"/>
      <c r="R49" s="498"/>
      <c r="S49" s="498"/>
      <c r="T49" s="498"/>
      <c r="U49" s="498"/>
      <c r="V49" s="498"/>
      <c r="W49" s="498"/>
      <c r="X49" s="498"/>
      <c r="Y49" s="498"/>
      <c r="Z49" s="498"/>
      <c r="AA49" s="498"/>
      <c r="AB49" s="498"/>
      <c r="AC49" s="498"/>
      <c r="AD49" s="529"/>
      <c r="AE49" s="529"/>
      <c r="AF49" s="529"/>
      <c r="AG49" s="529"/>
      <c r="AH49" s="529"/>
      <c r="AI49" s="529"/>
      <c r="AJ49" s="529"/>
      <c r="AK49" s="529"/>
      <c r="AL49" s="529"/>
      <c r="AM49" s="529"/>
      <c r="AN49" s="529"/>
      <c r="AO49" s="529"/>
      <c r="AP49" s="529"/>
      <c r="AQ49" s="529"/>
      <c r="AR49" s="529"/>
      <c r="AS49" s="529"/>
      <c r="AT49" s="529"/>
      <c r="AU49" s="529"/>
      <c r="AV49" s="529"/>
      <c r="AW49" s="529"/>
      <c r="AX49" s="529"/>
      <c r="AY49" s="529"/>
      <c r="AZ49" s="529"/>
      <c r="BA49" s="529"/>
      <c r="BB49" s="529"/>
      <c r="BC49" s="529"/>
      <c r="BD49" s="529"/>
      <c r="BE49" s="529"/>
      <c r="BF49" s="529"/>
      <c r="BG49" s="529"/>
      <c r="BH49" s="529"/>
      <c r="BI49" s="529"/>
      <c r="BJ49" s="529"/>
      <c r="BK49" s="529"/>
      <c r="BL49" s="529"/>
      <c r="BM49" s="529"/>
      <c r="BN49" s="529"/>
      <c r="BO49" s="529"/>
      <c r="BP49" s="529"/>
      <c r="BQ49" s="529"/>
      <c r="BR49" s="529"/>
      <c r="BS49" s="529"/>
      <c r="BT49" s="529"/>
      <c r="BU49" s="529"/>
      <c r="BV49" s="529"/>
      <c r="BW49" s="529"/>
      <c r="BX49" s="529"/>
      <c r="BY49" s="529"/>
      <c r="BZ49" s="529"/>
      <c r="CA49" s="529"/>
      <c r="CB49" s="529"/>
      <c r="CC49" s="529"/>
      <c r="CD49" s="529"/>
      <c r="CE49" s="529"/>
      <c r="CF49" s="529"/>
      <c r="CG49" s="529"/>
      <c r="CH49" s="529"/>
      <c r="CI49" s="529"/>
      <c r="CJ49" s="529"/>
      <c r="CK49" s="529"/>
      <c r="CL49" s="529"/>
      <c r="CM49" s="529"/>
      <c r="CN49" s="529"/>
      <c r="CO49" s="529"/>
      <c r="CP49" s="529"/>
      <c r="CQ49" s="529"/>
      <c r="CR49" s="529"/>
      <c r="CS49" s="529"/>
      <c r="CT49" s="529"/>
      <c r="CU49" s="529"/>
      <c r="CV49" s="529"/>
      <c r="CW49" s="529"/>
      <c r="CX49" s="529"/>
      <c r="CY49" s="529"/>
      <c r="CZ49" s="529"/>
      <c r="DA49" s="529"/>
      <c r="DB49" s="529"/>
      <c r="DC49" s="529"/>
      <c r="DD49" s="529"/>
      <c r="DE49" s="529"/>
      <c r="DF49" s="529"/>
      <c r="DG49" s="529"/>
      <c r="DH49" s="529"/>
      <c r="DI49" s="529"/>
      <c r="DJ49" s="529"/>
      <c r="DK49" s="529"/>
      <c r="DL49" s="529"/>
      <c r="DM49" s="529"/>
      <c r="DN49" s="529"/>
      <c r="DO49" s="529"/>
      <c r="DP49" s="529"/>
      <c r="DQ49" s="529"/>
      <c r="DR49" s="529"/>
      <c r="DS49" s="529"/>
      <c r="DT49" s="529"/>
      <c r="DU49" s="529"/>
      <c r="DV49" s="529"/>
      <c r="DW49" s="529"/>
      <c r="DX49" s="529"/>
      <c r="DY49" s="529"/>
      <c r="DZ49" s="529"/>
      <c r="EA49" s="529"/>
      <c r="EB49" s="529"/>
      <c r="EC49" s="529"/>
      <c r="ED49" s="529"/>
      <c r="EE49" s="529"/>
      <c r="EF49" s="529"/>
      <c r="EG49" s="529"/>
      <c r="EH49" s="529"/>
      <c r="EI49" s="529"/>
      <c r="EJ49" s="529"/>
      <c r="EK49" s="529"/>
      <c r="EL49" s="529"/>
      <c r="EM49" s="529"/>
      <c r="EN49" s="529"/>
      <c r="EO49" s="529"/>
      <c r="EP49" s="529"/>
      <c r="EQ49" s="529"/>
      <c r="ER49" s="529"/>
      <c r="ES49" s="529"/>
      <c r="ET49" s="529"/>
      <c r="EU49" s="529"/>
      <c r="EV49" s="529"/>
      <c r="EW49" s="529"/>
      <c r="EX49" s="529"/>
      <c r="EY49" s="529"/>
      <c r="EZ49" s="529"/>
      <c r="FA49" s="529"/>
      <c r="FB49" s="529"/>
      <c r="FC49" s="529"/>
      <c r="FD49" s="529"/>
      <c r="FE49" s="529"/>
      <c r="FF49" s="529"/>
      <c r="FG49" s="529"/>
      <c r="FH49" s="529"/>
      <c r="FI49" s="529"/>
      <c r="FJ49" s="529"/>
      <c r="FK49" s="529"/>
      <c r="FL49" s="529"/>
      <c r="FM49" s="529"/>
      <c r="FN49" s="529"/>
      <c r="FO49" s="529"/>
      <c r="FP49" s="529"/>
      <c r="FQ49" s="529"/>
      <c r="FR49" s="529"/>
      <c r="FS49" s="529"/>
      <c r="FT49" s="529"/>
      <c r="FU49" s="529"/>
      <c r="FV49" s="529"/>
      <c r="FW49" s="529"/>
      <c r="FX49" s="529"/>
      <c r="FY49" s="529"/>
      <c r="FZ49" s="529"/>
      <c r="GA49" s="529"/>
      <c r="GB49" s="529"/>
      <c r="GC49" s="529"/>
      <c r="GD49" s="529"/>
      <c r="GE49" s="529"/>
      <c r="GF49" s="529"/>
      <c r="GG49" s="529"/>
      <c r="GH49" s="529"/>
      <c r="GI49" s="529"/>
      <c r="GJ49" s="529"/>
      <c r="GK49" s="529"/>
      <c r="GL49" s="529"/>
      <c r="GM49" s="529"/>
      <c r="GN49" s="529"/>
      <c r="GO49" s="529"/>
      <c r="GP49" s="529"/>
      <c r="GQ49" s="529"/>
      <c r="GR49" s="529"/>
      <c r="GS49" s="529"/>
      <c r="GT49" s="529"/>
      <c r="GU49" s="529"/>
      <c r="GV49" s="529"/>
      <c r="GW49" s="529"/>
      <c r="GX49" s="529"/>
      <c r="GY49" s="529"/>
      <c r="GZ49" s="529"/>
      <c r="HA49" s="529"/>
      <c r="HB49" s="529"/>
      <c r="HC49" s="529"/>
      <c r="HD49" s="529"/>
      <c r="HE49" s="529"/>
      <c r="HF49" s="529"/>
      <c r="HG49" s="529"/>
      <c r="HH49" s="529"/>
      <c r="HI49" s="529"/>
      <c r="HJ49" s="529"/>
      <c r="HK49" s="529"/>
      <c r="HL49" s="529"/>
      <c r="HM49" s="529"/>
      <c r="HN49" s="529"/>
      <c r="HO49" s="529"/>
      <c r="HP49" s="529"/>
      <c r="HQ49" s="529"/>
      <c r="HR49" s="529"/>
      <c r="HS49" s="529"/>
      <c r="HT49" s="529"/>
      <c r="HU49" s="529"/>
      <c r="HV49" s="529"/>
      <c r="HW49" s="529"/>
      <c r="HX49" s="529"/>
      <c r="HY49" s="529"/>
      <c r="HZ49" s="529"/>
      <c r="IA49" s="529"/>
      <c r="IB49" s="529"/>
      <c r="IC49" s="529"/>
      <c r="ID49" s="529"/>
      <c r="IE49" s="529"/>
      <c r="IF49" s="529"/>
      <c r="IG49" s="529"/>
      <c r="IH49" s="529"/>
      <c r="II49" s="529"/>
      <c r="IJ49" s="529"/>
      <c r="IK49" s="529"/>
      <c r="IL49" s="529"/>
      <c r="IM49" s="529"/>
      <c r="IN49" s="529"/>
      <c r="IO49" s="529"/>
      <c r="IP49" s="529"/>
      <c r="IQ49" s="529"/>
      <c r="IR49" s="529"/>
      <c r="IS49" s="529"/>
      <c r="IT49" s="529"/>
      <c r="IU49" s="529"/>
      <c r="IV49" s="529"/>
      <c r="IW49" s="529"/>
    </row>
    <row r="50" customFormat="false" ht="12.75" hidden="false" customHeight="false" outlineLevel="0" collapsed="false">
      <c r="A50" s="566" t="s">
        <v>452</v>
      </c>
      <c r="B50" s="567"/>
      <c r="C50" s="567"/>
      <c r="D50" s="567"/>
      <c r="E50" s="568"/>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9"/>
      <c r="AD50" s="529"/>
      <c r="AE50" s="529"/>
      <c r="AF50" s="529"/>
      <c r="AG50" s="529"/>
      <c r="AH50" s="529"/>
      <c r="AI50" s="529"/>
      <c r="AJ50" s="529"/>
      <c r="AK50" s="529"/>
      <c r="AL50" s="529"/>
      <c r="AM50" s="529"/>
      <c r="AN50" s="529"/>
      <c r="AO50" s="529"/>
      <c r="AP50" s="529"/>
      <c r="AQ50" s="529"/>
      <c r="AR50" s="529"/>
      <c r="AS50" s="529"/>
      <c r="AT50" s="529"/>
      <c r="AU50" s="529"/>
      <c r="AV50" s="529"/>
      <c r="AW50" s="529"/>
      <c r="AX50" s="529"/>
      <c r="AY50" s="529"/>
      <c r="AZ50" s="529"/>
      <c r="BA50" s="529"/>
      <c r="BB50" s="529"/>
      <c r="BC50" s="529"/>
      <c r="BD50" s="529"/>
      <c r="BE50" s="529"/>
      <c r="BF50" s="529"/>
      <c r="BG50" s="529"/>
      <c r="BH50" s="529"/>
      <c r="BI50" s="529"/>
      <c r="BJ50" s="529"/>
      <c r="BK50" s="529"/>
      <c r="BL50" s="529"/>
      <c r="BM50" s="529"/>
      <c r="BN50" s="529"/>
      <c r="BO50" s="529"/>
      <c r="BP50" s="529"/>
      <c r="BQ50" s="529"/>
      <c r="BR50" s="529"/>
      <c r="BS50" s="529"/>
      <c r="BT50" s="529"/>
      <c r="BU50" s="529"/>
      <c r="BV50" s="529"/>
      <c r="BW50" s="529"/>
      <c r="BX50" s="529"/>
      <c r="BY50" s="529"/>
      <c r="BZ50" s="529"/>
      <c r="CA50" s="529"/>
      <c r="CB50" s="529"/>
      <c r="CC50" s="529"/>
      <c r="CD50" s="529"/>
      <c r="CE50" s="529"/>
      <c r="CF50" s="529"/>
      <c r="CG50" s="529"/>
      <c r="CH50" s="529"/>
      <c r="CI50" s="529"/>
      <c r="CJ50" s="529"/>
      <c r="CK50" s="529"/>
      <c r="CL50" s="529"/>
      <c r="CM50" s="529"/>
      <c r="CN50" s="529"/>
      <c r="CO50" s="529"/>
      <c r="CP50" s="529"/>
      <c r="CQ50" s="529"/>
      <c r="CR50" s="529"/>
      <c r="CS50" s="529"/>
      <c r="CT50" s="529"/>
      <c r="CU50" s="529"/>
      <c r="CV50" s="529"/>
      <c r="CW50" s="529"/>
      <c r="CX50" s="529"/>
      <c r="CY50" s="529"/>
      <c r="CZ50" s="529"/>
      <c r="DA50" s="529"/>
      <c r="DB50" s="529"/>
      <c r="DC50" s="529"/>
      <c r="DD50" s="529"/>
      <c r="DE50" s="529"/>
      <c r="DF50" s="529"/>
      <c r="DG50" s="529"/>
      <c r="DH50" s="529"/>
      <c r="DI50" s="529"/>
      <c r="DJ50" s="529"/>
      <c r="DK50" s="529"/>
      <c r="DL50" s="529"/>
      <c r="DM50" s="529"/>
      <c r="DN50" s="529"/>
      <c r="DO50" s="529"/>
      <c r="DP50" s="529"/>
      <c r="DQ50" s="529"/>
      <c r="DR50" s="529"/>
      <c r="DS50" s="529"/>
      <c r="DT50" s="529"/>
      <c r="DU50" s="529"/>
      <c r="DV50" s="529"/>
      <c r="DW50" s="529"/>
      <c r="DX50" s="529"/>
      <c r="DY50" s="529"/>
      <c r="DZ50" s="529"/>
      <c r="EA50" s="529"/>
      <c r="EB50" s="529"/>
      <c r="EC50" s="529"/>
      <c r="ED50" s="529"/>
      <c r="EE50" s="529"/>
      <c r="EF50" s="529"/>
      <c r="EG50" s="529"/>
      <c r="EH50" s="529"/>
      <c r="EI50" s="529"/>
      <c r="EJ50" s="529"/>
      <c r="EK50" s="529"/>
      <c r="EL50" s="529"/>
      <c r="EM50" s="529"/>
      <c r="EN50" s="529"/>
      <c r="EO50" s="529"/>
      <c r="EP50" s="529"/>
      <c r="EQ50" s="529"/>
      <c r="ER50" s="529"/>
      <c r="ES50" s="529"/>
      <c r="ET50" s="529"/>
      <c r="EU50" s="529"/>
      <c r="EV50" s="529"/>
      <c r="EW50" s="529"/>
      <c r="EX50" s="529"/>
      <c r="EY50" s="529"/>
      <c r="EZ50" s="529"/>
      <c r="FA50" s="529"/>
      <c r="FB50" s="529"/>
      <c r="FC50" s="529"/>
      <c r="FD50" s="529"/>
      <c r="FE50" s="529"/>
      <c r="FF50" s="529"/>
      <c r="FG50" s="529"/>
      <c r="FH50" s="529"/>
      <c r="FI50" s="529"/>
      <c r="FJ50" s="529"/>
      <c r="FK50" s="529"/>
      <c r="FL50" s="529"/>
      <c r="FM50" s="529"/>
      <c r="FN50" s="529"/>
      <c r="FO50" s="529"/>
      <c r="FP50" s="529"/>
      <c r="FQ50" s="529"/>
      <c r="FR50" s="529"/>
      <c r="FS50" s="529"/>
      <c r="FT50" s="529"/>
      <c r="FU50" s="529"/>
      <c r="FV50" s="529"/>
      <c r="FW50" s="529"/>
      <c r="FX50" s="529"/>
      <c r="FY50" s="529"/>
      <c r="FZ50" s="529"/>
      <c r="GA50" s="529"/>
      <c r="GB50" s="529"/>
      <c r="GC50" s="529"/>
      <c r="GD50" s="529"/>
      <c r="GE50" s="529"/>
      <c r="GF50" s="529"/>
      <c r="GG50" s="529"/>
      <c r="GH50" s="529"/>
      <c r="GI50" s="529"/>
      <c r="GJ50" s="529"/>
      <c r="GK50" s="529"/>
      <c r="GL50" s="529"/>
      <c r="GM50" s="529"/>
      <c r="GN50" s="529"/>
      <c r="GO50" s="529"/>
      <c r="GP50" s="529"/>
      <c r="GQ50" s="529"/>
      <c r="GR50" s="529"/>
      <c r="GS50" s="529"/>
      <c r="GT50" s="529"/>
      <c r="GU50" s="529"/>
      <c r="GV50" s="529"/>
      <c r="GW50" s="529"/>
      <c r="GX50" s="529"/>
      <c r="GY50" s="529"/>
      <c r="GZ50" s="529"/>
      <c r="HA50" s="529"/>
      <c r="HB50" s="529"/>
      <c r="HC50" s="529"/>
      <c r="HD50" s="529"/>
      <c r="HE50" s="529"/>
      <c r="HF50" s="529"/>
      <c r="HG50" s="529"/>
      <c r="HH50" s="529"/>
      <c r="HI50" s="529"/>
      <c r="HJ50" s="529"/>
      <c r="HK50" s="529"/>
      <c r="HL50" s="529"/>
      <c r="HM50" s="529"/>
      <c r="HN50" s="529"/>
      <c r="HO50" s="529"/>
      <c r="HP50" s="529"/>
      <c r="HQ50" s="529"/>
      <c r="HR50" s="529"/>
      <c r="HS50" s="529"/>
      <c r="HT50" s="529"/>
      <c r="HU50" s="529"/>
      <c r="HV50" s="529"/>
      <c r="HW50" s="529"/>
      <c r="HX50" s="529"/>
      <c r="HY50" s="529"/>
      <c r="HZ50" s="529"/>
      <c r="IA50" s="529"/>
      <c r="IB50" s="529"/>
      <c r="IC50" s="529"/>
      <c r="ID50" s="529"/>
      <c r="IE50" s="529"/>
      <c r="IF50" s="529"/>
      <c r="IG50" s="529"/>
      <c r="IH50" s="529"/>
      <c r="II50" s="529"/>
      <c r="IJ50" s="529"/>
      <c r="IK50" s="529"/>
      <c r="IL50" s="529"/>
      <c r="IM50" s="529"/>
      <c r="IN50" s="529"/>
      <c r="IO50" s="529"/>
      <c r="IP50" s="529"/>
      <c r="IQ50" s="529"/>
      <c r="IR50" s="529"/>
      <c r="IS50" s="529"/>
      <c r="IT50" s="529"/>
      <c r="IU50" s="529"/>
      <c r="IV50" s="529"/>
      <c r="IW50" s="529"/>
    </row>
    <row r="51" customFormat="false" ht="12.75" hidden="false" customHeight="false" outlineLevel="0" collapsed="false">
      <c r="A51" s="570" t="s">
        <v>446</v>
      </c>
      <c r="B51" s="525"/>
      <c r="C51" s="525"/>
      <c r="D51" s="525"/>
      <c r="E51" s="520" t="n">
        <f aca="false">IF('Project Assumptions'!$I$34="Normal",E26+E34+E42,E68+E82+E96)</f>
        <v>182797</v>
      </c>
      <c r="F51" s="520" t="n">
        <f aca="false">IF('Project Assumptions'!$I$34="Normal",F26+F34+F42,F68+F82+F96)</f>
        <v>175403.75</v>
      </c>
      <c r="G51" s="520" t="n">
        <f aca="false">IF('Project Assumptions'!$I$34="Normal",G26+G34+G42,G68+G82+G96)</f>
        <v>168010.5</v>
      </c>
      <c r="H51" s="520" t="n">
        <f aca="false">IF('Project Assumptions'!$I$34="Normal",H26+H34+H42,H68+H82+H96)</f>
        <v>157896.75</v>
      </c>
      <c r="I51" s="520" t="n">
        <f aca="false">IF('Project Assumptions'!$I$34="Normal",I26+I34+I42,I68+I82+I96)</f>
        <v>145062.5</v>
      </c>
      <c r="J51" s="520" t="n">
        <f aca="false">IF('Project Assumptions'!$I$34="Normal",J26+J34+J42,J68+J82+J96)</f>
        <v>137645.22</v>
      </c>
      <c r="K51" s="520" t="n">
        <f aca="false">IF('Project Assumptions'!$I$34="Normal",K26+K34+K42,K68+K82+K96)</f>
        <v>130227.94</v>
      </c>
      <c r="L51" s="520" t="n">
        <f aca="false">IF('Project Assumptions'!$I$34="Normal",L26+L34+L42,L68+L82+L96)</f>
        <v>121822.52</v>
      </c>
      <c r="M51" s="520" t="n">
        <f aca="false">IF('Project Assumptions'!$I$34="Normal",M26+M34+M42,M68+M82+M96)</f>
        <v>113417.1</v>
      </c>
      <c r="N51" s="520" t="n">
        <f aca="false">IF('Project Assumptions'!$I$34="Normal",N26+N34+N42,N68+N82+N96)</f>
        <v>99570.68</v>
      </c>
      <c r="O51" s="520" t="n">
        <f aca="false">IF('Project Assumptions'!$I$34="Normal",O26+O34+O42,O68+O82+O96)</f>
        <v>82015.62</v>
      </c>
      <c r="P51" s="520" t="n">
        <f aca="false">IF('Project Assumptions'!$I$34="Normal",P26+P34+P42,P68+P82+P96)</f>
        <v>78063.06</v>
      </c>
      <c r="Q51" s="520" t="n">
        <f aca="false">IF('Project Assumptions'!$I$34="Normal",Q26+Q34+Q42,Q68+Q82+Q96)</f>
        <v>73122.36</v>
      </c>
      <c r="R51" s="520" t="n">
        <f aca="false">IF('Project Assumptions'!$I$34="Normal",R26+R34+R42,R68+R82+R96)</f>
        <v>68181.66</v>
      </c>
      <c r="S51" s="520" t="n">
        <f aca="false">IF('Project Assumptions'!$I$34="Normal",S26+S34+S42,S68+S82+S96)</f>
        <v>63240.96</v>
      </c>
      <c r="T51" s="520" t="n">
        <f aca="false">IF('Project Assumptions'!$I$34="Normal",T26+T34+T42,T68+T82+T96)</f>
        <v>58300.26</v>
      </c>
      <c r="U51" s="520" t="n">
        <f aca="false">IF('Project Assumptions'!$I$34="Normal",U26+U34+U42,U68+U82+U96)</f>
        <v>53359.56</v>
      </c>
      <c r="V51" s="520" t="n">
        <f aca="false">IF('Project Assumptions'!$I$34="Normal",V26+V34+V42,V68+V82+V96)</f>
        <v>43478.16</v>
      </c>
      <c r="W51" s="520" t="n">
        <f aca="false">IF('Project Assumptions'!$I$34="Normal",W26+W34+W42,W68+W82+W96)</f>
        <v>31620.48</v>
      </c>
      <c r="X51" s="520" t="n">
        <f aca="false">IF('Project Assumptions'!$I$34="Normal",X26+X34+X42,X68+X82+X96)</f>
        <v>16798.38</v>
      </c>
      <c r="Y51" s="520" t="n">
        <f aca="false">IF('Project Assumptions'!$I$34="Normal",Y26+Y34+Y42,Y68+Y82+Y96)</f>
        <v>0</v>
      </c>
      <c r="Z51" s="520" t="n">
        <f aca="false">IF('Project Assumptions'!$I$34="Normal",Z26+Z34+Z42,Z68+Z82+Z96)</f>
        <v>0</v>
      </c>
      <c r="AA51" s="520" t="n">
        <f aca="false">IF('Project Assumptions'!$I$34="Normal",AA26+AA34+AA42,AA68+AA82+AA96)</f>
        <v>0</v>
      </c>
      <c r="AB51" s="520" t="n">
        <f aca="false">IF('Project Assumptions'!$I$34="Normal",AB26+AB34+AB42,AB68+AB82+AB96)</f>
        <v>0</v>
      </c>
      <c r="AC51" s="571" t="n">
        <f aca="false">IF('Project Assumptions'!$I$34="Normal",AC26+AC34+AC42,AC68+AC82+AC96)</f>
        <v>0</v>
      </c>
      <c r="AD51" s="529"/>
      <c r="AE51" s="529"/>
      <c r="AF51" s="529"/>
      <c r="AG51" s="529"/>
      <c r="AH51" s="529"/>
      <c r="AI51" s="529"/>
      <c r="AJ51" s="529"/>
      <c r="AK51" s="529"/>
      <c r="AL51" s="529"/>
      <c r="AM51" s="529"/>
      <c r="AN51" s="529"/>
      <c r="AO51" s="529"/>
      <c r="AP51" s="529"/>
      <c r="AQ51" s="529"/>
      <c r="AR51" s="529"/>
      <c r="AS51" s="529"/>
      <c r="AT51" s="529"/>
      <c r="AU51" s="529"/>
      <c r="AV51" s="529"/>
      <c r="AW51" s="529"/>
      <c r="AX51" s="529"/>
      <c r="AY51" s="529"/>
      <c r="AZ51" s="529"/>
      <c r="BA51" s="529"/>
      <c r="BB51" s="529"/>
      <c r="BC51" s="529"/>
      <c r="BD51" s="529"/>
      <c r="BE51" s="529"/>
      <c r="BF51" s="529"/>
      <c r="BG51" s="529"/>
      <c r="BH51" s="529"/>
      <c r="BI51" s="529"/>
      <c r="BJ51" s="529"/>
      <c r="BK51" s="529"/>
      <c r="BL51" s="529"/>
      <c r="BM51" s="529"/>
      <c r="BN51" s="529"/>
      <c r="BO51" s="529"/>
      <c r="BP51" s="529"/>
      <c r="BQ51" s="529"/>
      <c r="BR51" s="529"/>
      <c r="BS51" s="529"/>
      <c r="BT51" s="529"/>
      <c r="BU51" s="529"/>
      <c r="BV51" s="529"/>
      <c r="BW51" s="529"/>
      <c r="BX51" s="529"/>
      <c r="BY51" s="529"/>
      <c r="BZ51" s="529"/>
      <c r="CA51" s="529"/>
      <c r="CB51" s="529"/>
      <c r="CC51" s="529"/>
      <c r="CD51" s="529"/>
      <c r="CE51" s="529"/>
      <c r="CF51" s="529"/>
      <c r="CG51" s="529"/>
      <c r="CH51" s="529"/>
      <c r="CI51" s="529"/>
      <c r="CJ51" s="529"/>
      <c r="CK51" s="529"/>
      <c r="CL51" s="529"/>
      <c r="CM51" s="529"/>
      <c r="CN51" s="529"/>
      <c r="CO51" s="529"/>
      <c r="CP51" s="529"/>
      <c r="CQ51" s="529"/>
      <c r="CR51" s="529"/>
      <c r="CS51" s="529"/>
      <c r="CT51" s="529"/>
      <c r="CU51" s="529"/>
      <c r="CV51" s="529"/>
      <c r="CW51" s="529"/>
      <c r="CX51" s="529"/>
      <c r="CY51" s="529"/>
      <c r="CZ51" s="529"/>
      <c r="DA51" s="529"/>
      <c r="DB51" s="529"/>
      <c r="DC51" s="529"/>
      <c r="DD51" s="529"/>
      <c r="DE51" s="529"/>
      <c r="DF51" s="529"/>
      <c r="DG51" s="529"/>
      <c r="DH51" s="529"/>
      <c r="DI51" s="529"/>
      <c r="DJ51" s="529"/>
      <c r="DK51" s="529"/>
      <c r="DL51" s="529"/>
      <c r="DM51" s="529"/>
      <c r="DN51" s="529"/>
      <c r="DO51" s="529"/>
      <c r="DP51" s="529"/>
      <c r="DQ51" s="529"/>
      <c r="DR51" s="529"/>
      <c r="DS51" s="529"/>
      <c r="DT51" s="529"/>
      <c r="DU51" s="529"/>
      <c r="DV51" s="529"/>
      <c r="DW51" s="529"/>
      <c r="DX51" s="529"/>
      <c r="DY51" s="529"/>
      <c r="DZ51" s="529"/>
      <c r="EA51" s="529"/>
      <c r="EB51" s="529"/>
      <c r="EC51" s="529"/>
      <c r="ED51" s="529"/>
      <c r="EE51" s="529"/>
      <c r="EF51" s="529"/>
      <c r="EG51" s="529"/>
      <c r="EH51" s="529"/>
      <c r="EI51" s="529"/>
      <c r="EJ51" s="529"/>
      <c r="EK51" s="529"/>
      <c r="EL51" s="529"/>
      <c r="EM51" s="529"/>
      <c r="EN51" s="529"/>
      <c r="EO51" s="529"/>
      <c r="EP51" s="529"/>
      <c r="EQ51" s="529"/>
      <c r="ER51" s="529"/>
      <c r="ES51" s="529"/>
      <c r="ET51" s="529"/>
      <c r="EU51" s="529"/>
      <c r="EV51" s="529"/>
      <c r="EW51" s="529"/>
      <c r="EX51" s="529"/>
      <c r="EY51" s="529"/>
      <c r="EZ51" s="529"/>
      <c r="FA51" s="529"/>
      <c r="FB51" s="529"/>
      <c r="FC51" s="529"/>
      <c r="FD51" s="529"/>
      <c r="FE51" s="529"/>
      <c r="FF51" s="529"/>
      <c r="FG51" s="529"/>
      <c r="FH51" s="529"/>
      <c r="FI51" s="529"/>
      <c r="FJ51" s="529"/>
      <c r="FK51" s="529"/>
      <c r="FL51" s="529"/>
      <c r="FM51" s="529"/>
      <c r="FN51" s="529"/>
      <c r="FO51" s="529"/>
      <c r="FP51" s="529"/>
      <c r="FQ51" s="529"/>
      <c r="FR51" s="529"/>
      <c r="FS51" s="529"/>
      <c r="FT51" s="529"/>
      <c r="FU51" s="529"/>
      <c r="FV51" s="529"/>
      <c r="FW51" s="529"/>
      <c r="FX51" s="529"/>
      <c r="FY51" s="529"/>
      <c r="FZ51" s="529"/>
      <c r="GA51" s="529"/>
      <c r="GB51" s="529"/>
      <c r="GC51" s="529"/>
      <c r="GD51" s="529"/>
      <c r="GE51" s="529"/>
      <c r="GF51" s="529"/>
      <c r="GG51" s="529"/>
      <c r="GH51" s="529"/>
      <c r="GI51" s="529"/>
      <c r="GJ51" s="529"/>
      <c r="GK51" s="529"/>
      <c r="GL51" s="529"/>
      <c r="GM51" s="529"/>
      <c r="GN51" s="529"/>
      <c r="GO51" s="529"/>
      <c r="GP51" s="529"/>
      <c r="GQ51" s="529"/>
      <c r="GR51" s="529"/>
      <c r="GS51" s="529"/>
      <c r="GT51" s="529"/>
      <c r="GU51" s="529"/>
      <c r="GV51" s="529"/>
      <c r="GW51" s="529"/>
      <c r="GX51" s="529"/>
      <c r="GY51" s="529"/>
      <c r="GZ51" s="529"/>
      <c r="HA51" s="529"/>
      <c r="HB51" s="529"/>
      <c r="HC51" s="529"/>
      <c r="HD51" s="529"/>
      <c r="HE51" s="529"/>
      <c r="HF51" s="529"/>
      <c r="HG51" s="529"/>
      <c r="HH51" s="529"/>
      <c r="HI51" s="529"/>
      <c r="HJ51" s="529"/>
      <c r="HK51" s="529"/>
      <c r="HL51" s="529"/>
      <c r="HM51" s="529"/>
      <c r="HN51" s="529"/>
      <c r="HO51" s="529"/>
      <c r="HP51" s="529"/>
      <c r="HQ51" s="529"/>
      <c r="HR51" s="529"/>
      <c r="HS51" s="529"/>
      <c r="HT51" s="529"/>
      <c r="HU51" s="529"/>
      <c r="HV51" s="529"/>
      <c r="HW51" s="529"/>
      <c r="HX51" s="529"/>
      <c r="HY51" s="529"/>
      <c r="HZ51" s="529"/>
      <c r="IA51" s="529"/>
      <c r="IB51" s="529"/>
      <c r="IC51" s="529"/>
      <c r="ID51" s="529"/>
      <c r="IE51" s="529"/>
      <c r="IF51" s="529"/>
      <c r="IG51" s="529"/>
      <c r="IH51" s="529"/>
      <c r="II51" s="529"/>
      <c r="IJ51" s="529"/>
      <c r="IK51" s="529"/>
      <c r="IL51" s="529"/>
      <c r="IM51" s="529"/>
      <c r="IN51" s="529"/>
      <c r="IO51" s="529"/>
      <c r="IP51" s="529"/>
      <c r="IQ51" s="529"/>
      <c r="IR51" s="529"/>
      <c r="IS51" s="529"/>
      <c r="IT51" s="529"/>
      <c r="IU51" s="529"/>
      <c r="IV51" s="529"/>
      <c r="IW51" s="529"/>
    </row>
    <row r="52" customFormat="false" ht="12.75" hidden="false" customHeight="false" outlineLevel="0" collapsed="false">
      <c r="A52" s="570" t="s">
        <v>447</v>
      </c>
      <c r="B52" s="525"/>
      <c r="C52" s="525"/>
      <c r="D52" s="525"/>
      <c r="E52" s="498" t="n">
        <f aca="false">IF('Project Assumptions'!$I$34="Normal",E27+E35+E43,E69+E83+E97)</f>
        <v>14192.0851</v>
      </c>
      <c r="F52" s="498" t="n">
        <f aca="false">IF('Project Assumptions'!$I$34="Normal",F27+F35+F43,F69+F83+F97)</f>
        <v>13694.519375</v>
      </c>
      <c r="G52" s="498" t="n">
        <f aca="false">IF('Project Assumptions'!$I$34="Normal",G27+G35+G43,G69+G83+G97)</f>
        <v>13196.95365</v>
      </c>
      <c r="H52" s="498" t="n">
        <f aca="false">IF('Project Assumptions'!$I$34="Normal",H27+H35+H43,H69+H83+H97)</f>
        <v>12493.446075</v>
      </c>
      <c r="I52" s="498" t="n">
        <f aca="false">IF('Project Assumptions'!$I$34="Normal",I27+I35+I43,I69+I83+I97)</f>
        <v>11583.99665</v>
      </c>
      <c r="J52" s="498" t="n">
        <f aca="false">IF('Project Assumptions'!$I$34="Normal",J27+J35+J43,J69+J83+J97)</f>
        <v>11010.453246</v>
      </c>
      <c r="K52" s="498" t="n">
        <f aca="false">IF('Project Assumptions'!$I$34="Normal",K27+K35+K43,K69+K83+K97)</f>
        <v>10436.909842</v>
      </c>
      <c r="L52" s="498" t="n">
        <f aca="false">IF('Project Assumptions'!$I$34="Normal",L27+L35+L43,L69+L83+L97)</f>
        <v>9782.536586</v>
      </c>
      <c r="M52" s="498" t="n">
        <f aca="false">IF('Project Assumptions'!$I$34="Normal",M27+M35+M43,M69+M83+M97)</f>
        <v>9128.16333</v>
      </c>
      <c r="N52" s="498" t="n">
        <f aca="false">IF('Project Assumptions'!$I$34="Normal",N27+N35+N43,N69+N83+N97)</f>
        <v>8061.906374</v>
      </c>
      <c r="O52" s="498" t="n">
        <f aca="false">IF('Project Assumptions'!$I$34="Normal",O27+O35+O43,O69+O83+O97)</f>
        <v>6708.877716</v>
      </c>
      <c r="P52" s="498" t="n">
        <f aca="false">IF('Project Assumptions'!$I$34="Normal",P27+P35+P43,P69+P83+P97)</f>
        <v>6385.558308</v>
      </c>
      <c r="Q52" s="498" t="n">
        <f aca="false">IF('Project Assumptions'!$I$34="Normal",Q27+Q35+Q43,Q69+Q83+Q97)</f>
        <v>5981.409048</v>
      </c>
      <c r="R52" s="498" t="n">
        <f aca="false">IF('Project Assumptions'!$I$34="Normal",R27+R35+R43,R69+R83+R97)</f>
        <v>5577.259788</v>
      </c>
      <c r="S52" s="498" t="n">
        <f aca="false">IF('Project Assumptions'!$I$34="Normal",S27+S35+S43,S69+S83+S97)</f>
        <v>5173.110528</v>
      </c>
      <c r="T52" s="498" t="n">
        <f aca="false">IF('Project Assumptions'!$I$34="Normal",T27+T35+T43,T69+T83+T97)</f>
        <v>4768.961268</v>
      </c>
      <c r="U52" s="498" t="n">
        <f aca="false">IF('Project Assumptions'!$I$34="Normal",U27+U35+U43,U69+U83+U97)</f>
        <v>4364.812008</v>
      </c>
      <c r="V52" s="498" t="n">
        <f aca="false">IF('Project Assumptions'!$I$34="Normal",V27+V35+V43,V69+V83+V97)</f>
        <v>3556.513488</v>
      </c>
      <c r="W52" s="498" t="n">
        <f aca="false">IF('Project Assumptions'!$I$34="Normal",W27+W35+W43,W69+W83+W97)</f>
        <v>2586.555264</v>
      </c>
      <c r="X52" s="498" t="n">
        <f aca="false">IF('Project Assumptions'!$I$34="Normal",X27+X35+X43,X69+X83+X97)</f>
        <v>1374.107484</v>
      </c>
      <c r="Y52" s="498" t="n">
        <f aca="false">IF('Project Assumptions'!$I$34="Normal",Y27+Y35+Y43,Y69+Y83+Y97)</f>
        <v>0</v>
      </c>
      <c r="Z52" s="498" t="n">
        <f aca="false">IF('Project Assumptions'!$I$34="Normal",Z27+Z35+Z43,Z69+Z83+Z97)</f>
        <v>0</v>
      </c>
      <c r="AA52" s="498" t="n">
        <f aca="false">IF('Project Assumptions'!$I$34="Normal",AA27+AA35+AA43,AA69+AA83+AA97)</f>
        <v>0</v>
      </c>
      <c r="AB52" s="498" t="n">
        <f aca="false">IF('Project Assumptions'!$I$34="Normal",AB27+AB35+AB43,AB69+AB83+AB97)</f>
        <v>0</v>
      </c>
      <c r="AC52" s="572" t="n">
        <f aca="false">IF('Project Assumptions'!$I$34="Normal",AC27+AC35+AC43,AC69+AC83+AC97)</f>
        <v>0</v>
      </c>
      <c r="AD52" s="529"/>
      <c r="AE52" s="529"/>
      <c r="AF52" s="529"/>
      <c r="AG52" s="529"/>
      <c r="AH52" s="529"/>
      <c r="AI52" s="529"/>
      <c r="AJ52" s="529"/>
      <c r="AK52" s="529"/>
      <c r="AL52" s="529"/>
      <c r="AM52" s="529"/>
      <c r="AN52" s="529"/>
      <c r="AO52" s="529"/>
      <c r="AP52" s="529"/>
      <c r="AQ52" s="529"/>
      <c r="AR52" s="529"/>
      <c r="AS52" s="529"/>
      <c r="AT52" s="529"/>
      <c r="AU52" s="529"/>
      <c r="AV52" s="529"/>
      <c r="AW52" s="529"/>
      <c r="AX52" s="529"/>
      <c r="AY52" s="529"/>
      <c r="AZ52" s="529"/>
      <c r="BA52" s="529"/>
      <c r="BB52" s="529"/>
      <c r="BC52" s="529"/>
      <c r="BD52" s="529"/>
      <c r="BE52" s="529"/>
      <c r="BF52" s="529"/>
      <c r="BG52" s="529"/>
      <c r="BH52" s="529"/>
      <c r="BI52" s="529"/>
      <c r="BJ52" s="529"/>
      <c r="BK52" s="529"/>
      <c r="BL52" s="529"/>
      <c r="BM52" s="529"/>
      <c r="BN52" s="529"/>
      <c r="BO52" s="529"/>
      <c r="BP52" s="529"/>
      <c r="BQ52" s="529"/>
      <c r="BR52" s="529"/>
      <c r="BS52" s="529"/>
      <c r="BT52" s="529"/>
      <c r="BU52" s="529"/>
      <c r="BV52" s="529"/>
      <c r="BW52" s="529"/>
      <c r="BX52" s="529"/>
      <c r="BY52" s="529"/>
      <c r="BZ52" s="529"/>
      <c r="CA52" s="529"/>
      <c r="CB52" s="529"/>
      <c r="CC52" s="529"/>
      <c r="CD52" s="529"/>
      <c r="CE52" s="529"/>
      <c r="CF52" s="529"/>
      <c r="CG52" s="529"/>
      <c r="CH52" s="529"/>
      <c r="CI52" s="529"/>
      <c r="CJ52" s="529"/>
      <c r="CK52" s="529"/>
      <c r="CL52" s="529"/>
      <c r="CM52" s="529"/>
      <c r="CN52" s="529"/>
      <c r="CO52" s="529"/>
      <c r="CP52" s="529"/>
      <c r="CQ52" s="529"/>
      <c r="CR52" s="529"/>
      <c r="CS52" s="529"/>
      <c r="CT52" s="529"/>
      <c r="CU52" s="529"/>
      <c r="CV52" s="529"/>
      <c r="CW52" s="529"/>
      <c r="CX52" s="529"/>
      <c r="CY52" s="529"/>
      <c r="CZ52" s="529"/>
      <c r="DA52" s="529"/>
      <c r="DB52" s="529"/>
      <c r="DC52" s="529"/>
      <c r="DD52" s="529"/>
      <c r="DE52" s="529"/>
      <c r="DF52" s="529"/>
      <c r="DG52" s="529"/>
      <c r="DH52" s="529"/>
      <c r="DI52" s="529"/>
      <c r="DJ52" s="529"/>
      <c r="DK52" s="529"/>
      <c r="DL52" s="529"/>
      <c r="DM52" s="529"/>
      <c r="DN52" s="529"/>
      <c r="DO52" s="529"/>
      <c r="DP52" s="529"/>
      <c r="DQ52" s="529"/>
      <c r="DR52" s="529"/>
      <c r="DS52" s="529"/>
      <c r="DT52" s="529"/>
      <c r="DU52" s="529"/>
      <c r="DV52" s="529"/>
      <c r="DW52" s="529"/>
      <c r="DX52" s="529"/>
      <c r="DY52" s="529"/>
      <c r="DZ52" s="529"/>
      <c r="EA52" s="529"/>
      <c r="EB52" s="529"/>
      <c r="EC52" s="529"/>
      <c r="ED52" s="529"/>
      <c r="EE52" s="529"/>
      <c r="EF52" s="529"/>
      <c r="EG52" s="529"/>
      <c r="EH52" s="529"/>
      <c r="EI52" s="529"/>
      <c r="EJ52" s="529"/>
      <c r="EK52" s="529"/>
      <c r="EL52" s="529"/>
      <c r="EM52" s="529"/>
      <c r="EN52" s="529"/>
      <c r="EO52" s="529"/>
      <c r="EP52" s="529"/>
      <c r="EQ52" s="529"/>
      <c r="ER52" s="529"/>
      <c r="ES52" s="529"/>
      <c r="ET52" s="529"/>
      <c r="EU52" s="529"/>
      <c r="EV52" s="529"/>
      <c r="EW52" s="529"/>
      <c r="EX52" s="529"/>
      <c r="EY52" s="529"/>
      <c r="EZ52" s="529"/>
      <c r="FA52" s="529"/>
      <c r="FB52" s="529"/>
      <c r="FC52" s="529"/>
      <c r="FD52" s="529"/>
      <c r="FE52" s="529"/>
      <c r="FF52" s="529"/>
      <c r="FG52" s="529"/>
      <c r="FH52" s="529"/>
      <c r="FI52" s="529"/>
      <c r="FJ52" s="529"/>
      <c r="FK52" s="529"/>
      <c r="FL52" s="529"/>
      <c r="FM52" s="529"/>
      <c r="FN52" s="529"/>
      <c r="FO52" s="529"/>
      <c r="FP52" s="529"/>
      <c r="FQ52" s="529"/>
      <c r="FR52" s="529"/>
      <c r="FS52" s="529"/>
      <c r="FT52" s="529"/>
      <c r="FU52" s="529"/>
      <c r="FV52" s="529"/>
      <c r="FW52" s="529"/>
      <c r="FX52" s="529"/>
      <c r="FY52" s="529"/>
      <c r="FZ52" s="529"/>
      <c r="GA52" s="529"/>
      <c r="GB52" s="529"/>
      <c r="GC52" s="529"/>
      <c r="GD52" s="529"/>
      <c r="GE52" s="529"/>
      <c r="GF52" s="529"/>
      <c r="GG52" s="529"/>
      <c r="GH52" s="529"/>
      <c r="GI52" s="529"/>
      <c r="GJ52" s="529"/>
      <c r="GK52" s="529"/>
      <c r="GL52" s="529"/>
      <c r="GM52" s="529"/>
      <c r="GN52" s="529"/>
      <c r="GO52" s="529"/>
      <c r="GP52" s="529"/>
      <c r="GQ52" s="529"/>
      <c r="GR52" s="529"/>
      <c r="GS52" s="529"/>
      <c r="GT52" s="529"/>
      <c r="GU52" s="529"/>
      <c r="GV52" s="529"/>
      <c r="GW52" s="529"/>
      <c r="GX52" s="529"/>
      <c r="GY52" s="529"/>
      <c r="GZ52" s="529"/>
      <c r="HA52" s="529"/>
      <c r="HB52" s="529"/>
      <c r="HC52" s="529"/>
      <c r="HD52" s="529"/>
      <c r="HE52" s="529"/>
      <c r="HF52" s="529"/>
      <c r="HG52" s="529"/>
      <c r="HH52" s="529"/>
      <c r="HI52" s="529"/>
      <c r="HJ52" s="529"/>
      <c r="HK52" s="529"/>
      <c r="HL52" s="529"/>
      <c r="HM52" s="529"/>
      <c r="HN52" s="529"/>
      <c r="HO52" s="529"/>
      <c r="HP52" s="529"/>
      <c r="HQ52" s="529"/>
      <c r="HR52" s="529"/>
      <c r="HS52" s="529"/>
      <c r="HT52" s="529"/>
      <c r="HU52" s="529"/>
      <c r="HV52" s="529"/>
      <c r="HW52" s="529"/>
      <c r="HX52" s="529"/>
      <c r="HY52" s="529"/>
      <c r="HZ52" s="529"/>
      <c r="IA52" s="529"/>
      <c r="IB52" s="529"/>
      <c r="IC52" s="529"/>
      <c r="ID52" s="529"/>
      <c r="IE52" s="529"/>
      <c r="IF52" s="529"/>
      <c r="IG52" s="529"/>
      <c r="IH52" s="529"/>
      <c r="II52" s="529"/>
      <c r="IJ52" s="529"/>
      <c r="IK52" s="529"/>
      <c r="IL52" s="529"/>
      <c r="IM52" s="529"/>
      <c r="IN52" s="529"/>
      <c r="IO52" s="529"/>
      <c r="IP52" s="529"/>
      <c r="IQ52" s="529"/>
      <c r="IR52" s="529"/>
      <c r="IS52" s="529"/>
      <c r="IT52" s="529"/>
      <c r="IU52" s="529"/>
      <c r="IV52" s="529"/>
      <c r="IW52" s="529"/>
    </row>
    <row r="53" customFormat="false" ht="12.75" hidden="false" customHeight="false" outlineLevel="0" collapsed="false">
      <c r="A53" s="570" t="s">
        <v>448</v>
      </c>
      <c r="B53" s="525"/>
      <c r="C53" s="525"/>
      <c r="D53" s="525"/>
      <c r="E53" s="498" t="n">
        <f aca="false">IF('Project Assumptions'!$I$34="Normal",E28+E36+E44,E70+E84+E98)</f>
        <v>7393.25</v>
      </c>
      <c r="F53" s="498" t="n">
        <f aca="false">IF('Project Assumptions'!$I$34="Normal",F28+F36+F44,F70+F84+F98)</f>
        <v>7393.25</v>
      </c>
      <c r="G53" s="498" t="n">
        <f aca="false">IF('Project Assumptions'!$I$34="Normal",G28+G36+G44,G70+G84+G98)</f>
        <v>10113.75</v>
      </c>
      <c r="H53" s="498" t="n">
        <f aca="false">IF('Project Assumptions'!$I$34="Normal",H28+H36+H44,H70+H84+H98)</f>
        <v>12834.25</v>
      </c>
      <c r="I53" s="498" t="n">
        <f aca="false">IF('Project Assumptions'!$I$34="Normal",I28+I36+I44,I70+I84+I98)</f>
        <v>7417.28</v>
      </c>
      <c r="J53" s="498" t="n">
        <f aca="false">IF('Project Assumptions'!$I$34="Normal",J28+J36+J44,J70+J84+J98)</f>
        <v>7417.28</v>
      </c>
      <c r="K53" s="498" t="n">
        <f aca="false">IF('Project Assumptions'!$I$34="Normal",K28+K36+K44,K70+K84+K98)</f>
        <v>8405.42</v>
      </c>
      <c r="L53" s="498" t="n">
        <f aca="false">IF('Project Assumptions'!$I$34="Normal",L28+L36+L44,L70+L84+L98)</f>
        <v>8405.42</v>
      </c>
      <c r="M53" s="498" t="n">
        <f aca="false">IF('Project Assumptions'!$I$34="Normal",M28+M36+M44,M70+M84+M98)</f>
        <v>13846.42</v>
      </c>
      <c r="N53" s="498" t="n">
        <f aca="false">IF('Project Assumptions'!$I$34="Normal",N28+N36+N44,N70+N84+N98)</f>
        <v>17555.06</v>
      </c>
      <c r="O53" s="498" t="n">
        <f aca="false">IF('Project Assumptions'!$I$34="Normal",O28+O36+O44,O70+O84+O98)</f>
        <v>3952.56</v>
      </c>
      <c r="P53" s="498" t="n">
        <f aca="false">IF('Project Assumptions'!$I$34="Normal",P28+P36+P44,P70+P84+P98)</f>
        <v>4940.7</v>
      </c>
      <c r="Q53" s="498" t="n">
        <f aca="false">IF('Project Assumptions'!$I$34="Normal",Q28+Q36+Q44,Q70+Q84+Q98)</f>
        <v>4940.7</v>
      </c>
      <c r="R53" s="498" t="n">
        <f aca="false">IF('Project Assumptions'!$I$34="Normal",R28+R36+R44,R70+R84+R98)</f>
        <v>4940.7</v>
      </c>
      <c r="S53" s="498" t="n">
        <f aca="false">IF('Project Assumptions'!$I$34="Normal",S28+S36+S44,S70+S84+S98)</f>
        <v>4940.7</v>
      </c>
      <c r="T53" s="498" t="n">
        <f aca="false">IF('Project Assumptions'!$I$34="Normal",T28+T36+T44,T70+T84+T98)</f>
        <v>4940.7</v>
      </c>
      <c r="U53" s="498" t="n">
        <f aca="false">IF('Project Assumptions'!$I$34="Normal",U28+U36+U44,U70+U84+U98)</f>
        <v>9881.4</v>
      </c>
      <c r="V53" s="498" t="n">
        <f aca="false">IF('Project Assumptions'!$I$34="Normal",V28+V36+V44,V70+V84+V98)</f>
        <v>11857.68</v>
      </c>
      <c r="W53" s="498" t="n">
        <f aca="false">IF('Project Assumptions'!$I$34="Normal",W28+W36+W44,W70+W84+W98)</f>
        <v>14822.1</v>
      </c>
      <c r="X53" s="498" t="n">
        <f aca="false">IF('Project Assumptions'!$I$34="Normal",X28+X36+X44,X70+X84+X98)</f>
        <v>16798.38</v>
      </c>
      <c r="Y53" s="498" t="n">
        <f aca="false">IF('Project Assumptions'!$I$34="Normal",Y28+Y36+Y44,Y70+Y84+Y98)</f>
        <v>0</v>
      </c>
      <c r="Z53" s="498" t="n">
        <f aca="false">IF('Project Assumptions'!$I$34="Normal",Z28+Z36+Z44,Z70+Z84+Z98)</f>
        <v>0</v>
      </c>
      <c r="AA53" s="498" t="n">
        <f aca="false">IF('Project Assumptions'!$I$34="Normal",AA28+AA36+AA44,AA70+AA84+AA98)</f>
        <v>0</v>
      </c>
      <c r="AB53" s="498" t="n">
        <f aca="false">IF('Project Assumptions'!$I$34="Normal",AB28+AB36+AB44,AB70+AB84+AB98)</f>
        <v>0</v>
      </c>
      <c r="AC53" s="572" t="n">
        <f aca="false">IF('Project Assumptions'!$I$34="Normal",AC28+AC36+AC44,AC70+AC84+AC98)</f>
        <v>0</v>
      </c>
      <c r="AD53" s="529"/>
      <c r="AE53" s="529"/>
      <c r="AF53" s="529"/>
      <c r="AG53" s="529"/>
      <c r="AH53" s="529"/>
      <c r="AI53" s="529"/>
      <c r="AJ53" s="529"/>
      <c r="AK53" s="529"/>
      <c r="AL53" s="529"/>
      <c r="AM53" s="529"/>
      <c r="AN53" s="529"/>
      <c r="AO53" s="529"/>
      <c r="AP53" s="529"/>
      <c r="AQ53" s="529"/>
      <c r="AR53" s="529"/>
      <c r="AS53" s="529"/>
      <c r="AT53" s="529"/>
      <c r="AU53" s="529"/>
      <c r="AV53" s="529"/>
      <c r="AW53" s="529"/>
      <c r="AX53" s="529"/>
      <c r="AY53" s="529"/>
      <c r="AZ53" s="529"/>
      <c r="BA53" s="529"/>
      <c r="BB53" s="529"/>
      <c r="BC53" s="529"/>
      <c r="BD53" s="529"/>
      <c r="BE53" s="529"/>
      <c r="BF53" s="529"/>
      <c r="BG53" s="529"/>
      <c r="BH53" s="529"/>
      <c r="BI53" s="529"/>
      <c r="BJ53" s="529"/>
      <c r="BK53" s="529"/>
      <c r="BL53" s="529"/>
      <c r="BM53" s="529"/>
      <c r="BN53" s="529"/>
      <c r="BO53" s="529"/>
      <c r="BP53" s="529"/>
      <c r="BQ53" s="529"/>
      <c r="BR53" s="529"/>
      <c r="BS53" s="529"/>
      <c r="BT53" s="529"/>
      <c r="BU53" s="529"/>
      <c r="BV53" s="529"/>
      <c r="BW53" s="529"/>
      <c r="BX53" s="529"/>
      <c r="BY53" s="529"/>
      <c r="BZ53" s="529"/>
      <c r="CA53" s="529"/>
      <c r="CB53" s="529"/>
      <c r="CC53" s="529"/>
      <c r="CD53" s="529"/>
      <c r="CE53" s="529"/>
      <c r="CF53" s="529"/>
      <c r="CG53" s="529"/>
      <c r="CH53" s="529"/>
      <c r="CI53" s="529"/>
      <c r="CJ53" s="529"/>
      <c r="CK53" s="529"/>
      <c r="CL53" s="529"/>
      <c r="CM53" s="529"/>
      <c r="CN53" s="529"/>
      <c r="CO53" s="529"/>
      <c r="CP53" s="529"/>
      <c r="CQ53" s="529"/>
      <c r="CR53" s="529"/>
      <c r="CS53" s="529"/>
      <c r="CT53" s="529"/>
      <c r="CU53" s="529"/>
      <c r="CV53" s="529"/>
      <c r="CW53" s="529"/>
      <c r="CX53" s="529"/>
      <c r="CY53" s="529"/>
      <c r="CZ53" s="529"/>
      <c r="DA53" s="529"/>
      <c r="DB53" s="529"/>
      <c r="DC53" s="529"/>
      <c r="DD53" s="529"/>
      <c r="DE53" s="529"/>
      <c r="DF53" s="529"/>
      <c r="DG53" s="529"/>
      <c r="DH53" s="529"/>
      <c r="DI53" s="529"/>
      <c r="DJ53" s="529"/>
      <c r="DK53" s="529"/>
      <c r="DL53" s="529"/>
      <c r="DM53" s="529"/>
      <c r="DN53" s="529"/>
      <c r="DO53" s="529"/>
      <c r="DP53" s="529"/>
      <c r="DQ53" s="529"/>
      <c r="DR53" s="529"/>
      <c r="DS53" s="529"/>
      <c r="DT53" s="529"/>
      <c r="DU53" s="529"/>
      <c r="DV53" s="529"/>
      <c r="DW53" s="529"/>
      <c r="DX53" s="529"/>
      <c r="DY53" s="529"/>
      <c r="DZ53" s="529"/>
      <c r="EA53" s="529"/>
      <c r="EB53" s="529"/>
      <c r="EC53" s="529"/>
      <c r="ED53" s="529"/>
      <c r="EE53" s="529"/>
      <c r="EF53" s="529"/>
      <c r="EG53" s="529"/>
      <c r="EH53" s="529"/>
      <c r="EI53" s="529"/>
      <c r="EJ53" s="529"/>
      <c r="EK53" s="529"/>
      <c r="EL53" s="529"/>
      <c r="EM53" s="529"/>
      <c r="EN53" s="529"/>
      <c r="EO53" s="529"/>
      <c r="EP53" s="529"/>
      <c r="EQ53" s="529"/>
      <c r="ER53" s="529"/>
      <c r="ES53" s="529"/>
      <c r="ET53" s="529"/>
      <c r="EU53" s="529"/>
      <c r="EV53" s="529"/>
      <c r="EW53" s="529"/>
      <c r="EX53" s="529"/>
      <c r="EY53" s="529"/>
      <c r="EZ53" s="529"/>
      <c r="FA53" s="529"/>
      <c r="FB53" s="529"/>
      <c r="FC53" s="529"/>
      <c r="FD53" s="529"/>
      <c r="FE53" s="529"/>
      <c r="FF53" s="529"/>
      <c r="FG53" s="529"/>
      <c r="FH53" s="529"/>
      <c r="FI53" s="529"/>
      <c r="FJ53" s="529"/>
      <c r="FK53" s="529"/>
      <c r="FL53" s="529"/>
      <c r="FM53" s="529"/>
      <c r="FN53" s="529"/>
      <c r="FO53" s="529"/>
      <c r="FP53" s="529"/>
      <c r="FQ53" s="529"/>
      <c r="FR53" s="529"/>
      <c r="FS53" s="529"/>
      <c r="FT53" s="529"/>
      <c r="FU53" s="529"/>
      <c r="FV53" s="529"/>
      <c r="FW53" s="529"/>
      <c r="FX53" s="529"/>
      <c r="FY53" s="529"/>
      <c r="FZ53" s="529"/>
      <c r="GA53" s="529"/>
      <c r="GB53" s="529"/>
      <c r="GC53" s="529"/>
      <c r="GD53" s="529"/>
      <c r="GE53" s="529"/>
      <c r="GF53" s="529"/>
      <c r="GG53" s="529"/>
      <c r="GH53" s="529"/>
      <c r="GI53" s="529"/>
      <c r="GJ53" s="529"/>
      <c r="GK53" s="529"/>
      <c r="GL53" s="529"/>
      <c r="GM53" s="529"/>
      <c r="GN53" s="529"/>
      <c r="GO53" s="529"/>
      <c r="GP53" s="529"/>
      <c r="GQ53" s="529"/>
      <c r="GR53" s="529"/>
      <c r="GS53" s="529"/>
      <c r="GT53" s="529"/>
      <c r="GU53" s="529"/>
      <c r="GV53" s="529"/>
      <c r="GW53" s="529"/>
      <c r="GX53" s="529"/>
      <c r="GY53" s="529"/>
      <c r="GZ53" s="529"/>
      <c r="HA53" s="529"/>
      <c r="HB53" s="529"/>
      <c r="HC53" s="529"/>
      <c r="HD53" s="529"/>
      <c r="HE53" s="529"/>
      <c r="HF53" s="529"/>
      <c r="HG53" s="529"/>
      <c r="HH53" s="529"/>
      <c r="HI53" s="529"/>
      <c r="HJ53" s="529"/>
      <c r="HK53" s="529"/>
      <c r="HL53" s="529"/>
      <c r="HM53" s="529"/>
      <c r="HN53" s="529"/>
      <c r="HO53" s="529"/>
      <c r="HP53" s="529"/>
      <c r="HQ53" s="529"/>
      <c r="HR53" s="529"/>
      <c r="HS53" s="529"/>
      <c r="HT53" s="529"/>
      <c r="HU53" s="529"/>
      <c r="HV53" s="529"/>
      <c r="HW53" s="529"/>
      <c r="HX53" s="529"/>
      <c r="HY53" s="529"/>
      <c r="HZ53" s="529"/>
      <c r="IA53" s="529"/>
      <c r="IB53" s="529"/>
      <c r="IC53" s="529"/>
      <c r="ID53" s="529"/>
      <c r="IE53" s="529"/>
      <c r="IF53" s="529"/>
      <c r="IG53" s="529"/>
      <c r="IH53" s="529"/>
      <c r="II53" s="529"/>
      <c r="IJ53" s="529"/>
      <c r="IK53" s="529"/>
      <c r="IL53" s="529"/>
      <c r="IM53" s="529"/>
      <c r="IN53" s="529"/>
      <c r="IO53" s="529"/>
      <c r="IP53" s="529"/>
      <c r="IQ53" s="529"/>
      <c r="IR53" s="529"/>
      <c r="IS53" s="529"/>
      <c r="IT53" s="529"/>
      <c r="IU53" s="529"/>
      <c r="IV53" s="529"/>
      <c r="IW53" s="529"/>
    </row>
    <row r="54" customFormat="false" ht="12.75" hidden="false" customHeight="false" outlineLevel="0" collapsed="false">
      <c r="A54" s="570" t="s">
        <v>449</v>
      </c>
      <c r="B54" s="525"/>
      <c r="C54" s="525"/>
      <c r="D54" s="525"/>
      <c r="E54" s="498" t="n">
        <f aca="false">IF('Project Assumptions'!$I$34="Normal",E29+E37+E45,E71+E85+E99)</f>
        <v>21585.3351</v>
      </c>
      <c r="F54" s="498" t="n">
        <f aca="false">IF('Project Assumptions'!$I$34="Normal",F29+F37+F45,F71+F85+F99)</f>
        <v>21087.769375</v>
      </c>
      <c r="G54" s="498" t="n">
        <f aca="false">IF('Project Assumptions'!$I$34="Normal",G29+G37+G45,G71+G85+G99)</f>
        <v>23310.70365</v>
      </c>
      <c r="H54" s="498" t="n">
        <f aca="false">IF('Project Assumptions'!$I$34="Normal",H29+H37+H45,H71+H85+H99)</f>
        <v>25327.696075</v>
      </c>
      <c r="I54" s="498" t="n">
        <f aca="false">IF('Project Assumptions'!$I$34="Normal",I29+I37+I45,I71+I85+I99)</f>
        <v>19001.27665</v>
      </c>
      <c r="J54" s="498" t="n">
        <f aca="false">IF('Project Assumptions'!$I$34="Normal",J29+J37+J45,J71+J85+J99)</f>
        <v>18427.733246</v>
      </c>
      <c r="K54" s="498" t="n">
        <f aca="false">IF('Project Assumptions'!$I$34="Normal",K29+K37+K45,K71+K85+K99)</f>
        <v>18842.329842</v>
      </c>
      <c r="L54" s="498" t="n">
        <f aca="false">IF('Project Assumptions'!$I$34="Normal",L29+L37+L45,L71+L85+L99)</f>
        <v>18187.956586</v>
      </c>
      <c r="M54" s="498" t="n">
        <f aca="false">IF('Project Assumptions'!$I$34="Normal",M29+M37+M45,M71+M85+M99)</f>
        <v>22974.58333</v>
      </c>
      <c r="N54" s="498" t="n">
        <f aca="false">IF('Project Assumptions'!$I$34="Normal",N29+N37+N45,N71+N85+N99)</f>
        <v>25616.966374</v>
      </c>
      <c r="O54" s="498" t="n">
        <f aca="false">IF('Project Assumptions'!$I$34="Normal",O29+O37+O45,O71+O85+O99)</f>
        <v>10661.437716</v>
      </c>
      <c r="P54" s="498" t="n">
        <f aca="false">IF('Project Assumptions'!$I$34="Normal",P29+P37+P45,P71+P85+P99)</f>
        <v>11326.258308</v>
      </c>
      <c r="Q54" s="498" t="n">
        <f aca="false">IF('Project Assumptions'!$I$34="Normal",Q29+Q37+Q45,Q71+Q85+Q99)</f>
        <v>10922.109048</v>
      </c>
      <c r="R54" s="498" t="n">
        <f aca="false">IF('Project Assumptions'!$I$34="Normal",R29+R37+R45,R71+R85+R99)</f>
        <v>10517.959788</v>
      </c>
      <c r="S54" s="498" t="n">
        <f aca="false">IF('Project Assumptions'!$I$34="Normal",S29+S37+S45,S71+S85+S99)</f>
        <v>10113.810528</v>
      </c>
      <c r="T54" s="498" t="n">
        <f aca="false">IF('Project Assumptions'!$I$34="Normal",T29+T37+T45,T71+T85+T99)</f>
        <v>9709.661268</v>
      </c>
      <c r="U54" s="498" t="n">
        <f aca="false">IF('Project Assumptions'!$I$34="Normal",U29+U37+U45,U71+U85+U99)</f>
        <v>14246.212008</v>
      </c>
      <c r="V54" s="498" t="n">
        <f aca="false">IF('Project Assumptions'!$I$34="Normal",V29+V37+V45,V71+V85+V99)</f>
        <v>15414.193488</v>
      </c>
      <c r="W54" s="498" t="n">
        <f aca="false">IF('Project Assumptions'!$I$34="Normal",W29+W37+W45,W71+W85+W99)</f>
        <v>17408.655264</v>
      </c>
      <c r="X54" s="498" t="n">
        <f aca="false">IF('Project Assumptions'!$I$34="Normal",X29+X37+X45,X71+X85+X99)</f>
        <v>18172.487484</v>
      </c>
      <c r="Y54" s="498" t="n">
        <f aca="false">IF('Project Assumptions'!$I$34="Normal",Y29+Y37+Y45,Y71+Y85+Y99)</f>
        <v>0</v>
      </c>
      <c r="Z54" s="498" t="n">
        <f aca="false">IF('Project Assumptions'!$I$34="Normal",Z29+Z37+Z45,Z71+Z85+Z99)</f>
        <v>0</v>
      </c>
      <c r="AA54" s="498" t="n">
        <f aca="false">IF('Project Assumptions'!$I$34="Normal",AA29+AA37+AA45,AA71+AA85+AA99)</f>
        <v>0</v>
      </c>
      <c r="AB54" s="498" t="n">
        <f aca="false">IF('Project Assumptions'!$I$34="Normal",AB29+AB37+AB45,AB71+AB85+AB99)</f>
        <v>0</v>
      </c>
      <c r="AC54" s="572" t="n">
        <f aca="false">IF('Project Assumptions'!$I$34="Normal",AC29+AC37+AC45,AC71+AC85+AC99)</f>
        <v>0</v>
      </c>
      <c r="AD54" s="529"/>
      <c r="AE54" s="529"/>
      <c r="AF54" s="529"/>
      <c r="AG54" s="529"/>
      <c r="AH54" s="529"/>
      <c r="AI54" s="529"/>
      <c r="AJ54" s="529"/>
      <c r="AK54" s="529"/>
      <c r="AL54" s="529"/>
      <c r="AM54" s="529"/>
      <c r="AN54" s="529"/>
      <c r="AO54" s="529"/>
      <c r="AP54" s="529"/>
      <c r="AQ54" s="529"/>
      <c r="AR54" s="529"/>
      <c r="AS54" s="529"/>
      <c r="AT54" s="529"/>
      <c r="AU54" s="529"/>
      <c r="AV54" s="529"/>
      <c r="AW54" s="529"/>
      <c r="AX54" s="529"/>
      <c r="AY54" s="529"/>
      <c r="AZ54" s="529"/>
      <c r="BA54" s="529"/>
      <c r="BB54" s="529"/>
      <c r="BC54" s="529"/>
      <c r="BD54" s="529"/>
      <c r="BE54" s="529"/>
      <c r="BF54" s="529"/>
      <c r="BG54" s="529"/>
      <c r="BH54" s="529"/>
      <c r="BI54" s="529"/>
      <c r="BJ54" s="529"/>
      <c r="BK54" s="529"/>
      <c r="BL54" s="529"/>
      <c r="BM54" s="529"/>
      <c r="BN54" s="529"/>
      <c r="BO54" s="529"/>
      <c r="BP54" s="529"/>
      <c r="BQ54" s="529"/>
      <c r="BR54" s="529"/>
      <c r="BS54" s="529"/>
      <c r="BT54" s="529"/>
      <c r="BU54" s="529"/>
      <c r="BV54" s="529"/>
      <c r="BW54" s="529"/>
      <c r="BX54" s="529"/>
      <c r="BY54" s="529"/>
      <c r="BZ54" s="529"/>
      <c r="CA54" s="529"/>
      <c r="CB54" s="529"/>
      <c r="CC54" s="529"/>
      <c r="CD54" s="529"/>
      <c r="CE54" s="529"/>
      <c r="CF54" s="529"/>
      <c r="CG54" s="529"/>
      <c r="CH54" s="529"/>
      <c r="CI54" s="529"/>
      <c r="CJ54" s="529"/>
      <c r="CK54" s="529"/>
      <c r="CL54" s="529"/>
      <c r="CM54" s="529"/>
      <c r="CN54" s="529"/>
      <c r="CO54" s="529"/>
      <c r="CP54" s="529"/>
      <c r="CQ54" s="529"/>
      <c r="CR54" s="529"/>
      <c r="CS54" s="529"/>
      <c r="CT54" s="529"/>
      <c r="CU54" s="529"/>
      <c r="CV54" s="529"/>
      <c r="CW54" s="529"/>
      <c r="CX54" s="529"/>
      <c r="CY54" s="529"/>
      <c r="CZ54" s="529"/>
      <c r="DA54" s="529"/>
      <c r="DB54" s="529"/>
      <c r="DC54" s="529"/>
      <c r="DD54" s="529"/>
      <c r="DE54" s="529"/>
      <c r="DF54" s="529"/>
      <c r="DG54" s="529"/>
      <c r="DH54" s="529"/>
      <c r="DI54" s="529"/>
      <c r="DJ54" s="529"/>
      <c r="DK54" s="529"/>
      <c r="DL54" s="529"/>
      <c r="DM54" s="529"/>
      <c r="DN54" s="529"/>
      <c r="DO54" s="529"/>
      <c r="DP54" s="529"/>
      <c r="DQ54" s="529"/>
      <c r="DR54" s="529"/>
      <c r="DS54" s="529"/>
      <c r="DT54" s="529"/>
      <c r="DU54" s="529"/>
      <c r="DV54" s="529"/>
      <c r="DW54" s="529"/>
      <c r="DX54" s="529"/>
      <c r="DY54" s="529"/>
      <c r="DZ54" s="529"/>
      <c r="EA54" s="529"/>
      <c r="EB54" s="529"/>
      <c r="EC54" s="529"/>
      <c r="ED54" s="529"/>
      <c r="EE54" s="529"/>
      <c r="EF54" s="529"/>
      <c r="EG54" s="529"/>
      <c r="EH54" s="529"/>
      <c r="EI54" s="529"/>
      <c r="EJ54" s="529"/>
      <c r="EK54" s="529"/>
      <c r="EL54" s="529"/>
      <c r="EM54" s="529"/>
      <c r="EN54" s="529"/>
      <c r="EO54" s="529"/>
      <c r="EP54" s="529"/>
      <c r="EQ54" s="529"/>
      <c r="ER54" s="529"/>
      <c r="ES54" s="529"/>
      <c r="ET54" s="529"/>
      <c r="EU54" s="529"/>
      <c r="EV54" s="529"/>
      <c r="EW54" s="529"/>
      <c r="EX54" s="529"/>
      <c r="EY54" s="529"/>
      <c r="EZ54" s="529"/>
      <c r="FA54" s="529"/>
      <c r="FB54" s="529"/>
      <c r="FC54" s="529"/>
      <c r="FD54" s="529"/>
      <c r="FE54" s="529"/>
      <c r="FF54" s="529"/>
      <c r="FG54" s="529"/>
      <c r="FH54" s="529"/>
      <c r="FI54" s="529"/>
      <c r="FJ54" s="529"/>
      <c r="FK54" s="529"/>
      <c r="FL54" s="529"/>
      <c r="FM54" s="529"/>
      <c r="FN54" s="529"/>
      <c r="FO54" s="529"/>
      <c r="FP54" s="529"/>
      <c r="FQ54" s="529"/>
      <c r="FR54" s="529"/>
      <c r="FS54" s="529"/>
      <c r="FT54" s="529"/>
      <c r="FU54" s="529"/>
      <c r="FV54" s="529"/>
      <c r="FW54" s="529"/>
      <c r="FX54" s="529"/>
      <c r="FY54" s="529"/>
      <c r="FZ54" s="529"/>
      <c r="GA54" s="529"/>
      <c r="GB54" s="529"/>
      <c r="GC54" s="529"/>
      <c r="GD54" s="529"/>
      <c r="GE54" s="529"/>
      <c r="GF54" s="529"/>
      <c r="GG54" s="529"/>
      <c r="GH54" s="529"/>
      <c r="GI54" s="529"/>
      <c r="GJ54" s="529"/>
      <c r="GK54" s="529"/>
      <c r="GL54" s="529"/>
      <c r="GM54" s="529"/>
      <c r="GN54" s="529"/>
      <c r="GO54" s="529"/>
      <c r="GP54" s="529"/>
      <c r="GQ54" s="529"/>
      <c r="GR54" s="529"/>
      <c r="GS54" s="529"/>
      <c r="GT54" s="529"/>
      <c r="GU54" s="529"/>
      <c r="GV54" s="529"/>
      <c r="GW54" s="529"/>
      <c r="GX54" s="529"/>
      <c r="GY54" s="529"/>
      <c r="GZ54" s="529"/>
      <c r="HA54" s="529"/>
      <c r="HB54" s="529"/>
      <c r="HC54" s="529"/>
      <c r="HD54" s="529"/>
      <c r="HE54" s="529"/>
      <c r="HF54" s="529"/>
      <c r="HG54" s="529"/>
      <c r="HH54" s="529"/>
      <c r="HI54" s="529"/>
      <c r="HJ54" s="529"/>
      <c r="HK54" s="529"/>
      <c r="HL54" s="529"/>
      <c r="HM54" s="529"/>
      <c r="HN54" s="529"/>
      <c r="HO54" s="529"/>
      <c r="HP54" s="529"/>
      <c r="HQ54" s="529"/>
      <c r="HR54" s="529"/>
      <c r="HS54" s="529"/>
      <c r="HT54" s="529"/>
      <c r="HU54" s="529"/>
      <c r="HV54" s="529"/>
      <c r="HW54" s="529"/>
      <c r="HX54" s="529"/>
      <c r="HY54" s="529"/>
      <c r="HZ54" s="529"/>
      <c r="IA54" s="529"/>
      <c r="IB54" s="529"/>
      <c r="IC54" s="529"/>
      <c r="ID54" s="529"/>
      <c r="IE54" s="529"/>
      <c r="IF54" s="529"/>
      <c r="IG54" s="529"/>
      <c r="IH54" s="529"/>
      <c r="II54" s="529"/>
      <c r="IJ54" s="529"/>
      <c r="IK54" s="529"/>
      <c r="IL54" s="529"/>
      <c r="IM54" s="529"/>
      <c r="IN54" s="529"/>
      <c r="IO54" s="529"/>
      <c r="IP54" s="529"/>
      <c r="IQ54" s="529"/>
      <c r="IR54" s="529"/>
      <c r="IS54" s="529"/>
      <c r="IT54" s="529"/>
      <c r="IU54" s="529"/>
      <c r="IV54" s="529"/>
      <c r="IW54" s="529"/>
    </row>
    <row r="55" customFormat="false" ht="12.6" hidden="false" customHeight="true" outlineLevel="0" collapsed="false">
      <c r="A55" s="570" t="s">
        <v>450</v>
      </c>
      <c r="B55" s="573"/>
      <c r="C55" s="573"/>
      <c r="D55" s="525"/>
      <c r="E55" s="520" t="n">
        <f aca="false">IF('Project Assumptions'!$I$34="Normal",E30+E38+E46,E72+E86+E100)</f>
        <v>175403.75</v>
      </c>
      <c r="F55" s="520" t="n">
        <f aca="false">IF('Project Assumptions'!$I$34="Normal",F30+F38+F46,F72+F86+F100)</f>
        <v>168010.5</v>
      </c>
      <c r="G55" s="520" t="n">
        <f aca="false">IF('Project Assumptions'!$I$34="Normal",G30+G38+G46,G72+G86+G100)</f>
        <v>157896.75</v>
      </c>
      <c r="H55" s="520" t="n">
        <f aca="false">IF('Project Assumptions'!$I$34="Normal",H30+H38+H46,H72+H86+H100)</f>
        <v>145062.5</v>
      </c>
      <c r="I55" s="520" t="n">
        <f aca="false">IF('Project Assumptions'!$I$34="Normal",I30+I38+I46,I72+I86+I100)</f>
        <v>137645.22</v>
      </c>
      <c r="J55" s="520" t="n">
        <f aca="false">IF('Project Assumptions'!$I$34="Normal",J30+J38+J46,J72+J86+J100)</f>
        <v>130227.94</v>
      </c>
      <c r="K55" s="520" t="n">
        <f aca="false">IF('Project Assumptions'!$I$34="Normal",K30+K38+K46,K72+K86+K100)</f>
        <v>121822.52</v>
      </c>
      <c r="L55" s="520" t="n">
        <f aca="false">IF('Project Assumptions'!$I$34="Normal",L30+L38+L46,L72+L86+L100)</f>
        <v>113417.1</v>
      </c>
      <c r="M55" s="520" t="n">
        <f aca="false">IF('Project Assumptions'!$I$34="Normal",M30+M38+M46,M72+M86+M100)</f>
        <v>99570.68</v>
      </c>
      <c r="N55" s="520" t="n">
        <f aca="false">IF('Project Assumptions'!$I$34="Normal",N30+N38+N46,N72+N86+N100)</f>
        <v>82015.62</v>
      </c>
      <c r="O55" s="520" t="n">
        <f aca="false">IF('Project Assumptions'!$I$34="Normal",O30+O38+O46,O72+O86+O100)</f>
        <v>78063.06</v>
      </c>
      <c r="P55" s="520" t="n">
        <f aca="false">IF('Project Assumptions'!$I$34="Normal",P30+P38+P46,P72+P86+P100)</f>
        <v>73122.36</v>
      </c>
      <c r="Q55" s="520" t="n">
        <f aca="false">IF('Project Assumptions'!$I$34="Normal",Q30+Q38+Q46,Q72+Q86+Q100)</f>
        <v>68181.66</v>
      </c>
      <c r="R55" s="520" t="n">
        <f aca="false">IF('Project Assumptions'!$I$34="Normal",R30+R38+R46,R72+R86+R100)</f>
        <v>63240.96</v>
      </c>
      <c r="S55" s="520" t="n">
        <f aca="false">IF('Project Assumptions'!$I$34="Normal",S30+S38+S46,S72+S86+S100)</f>
        <v>58300.26</v>
      </c>
      <c r="T55" s="520" t="n">
        <f aca="false">IF('Project Assumptions'!$I$34="Normal",T30+T38+T46,T72+T86+T100)</f>
        <v>53359.56</v>
      </c>
      <c r="U55" s="520" t="n">
        <f aca="false">IF('Project Assumptions'!$I$34="Normal",U30+U38+U46,U72+U86+U100)</f>
        <v>43478.16</v>
      </c>
      <c r="V55" s="520" t="n">
        <f aca="false">IF('Project Assumptions'!$I$34="Normal",V30+V38+V46,V72+V86+V100)</f>
        <v>31620.48</v>
      </c>
      <c r="W55" s="520" t="n">
        <f aca="false">IF('Project Assumptions'!$I$34="Normal",W30+W38+W46,W72+W86+W100)</f>
        <v>16798.38</v>
      </c>
      <c r="X55" s="520" t="n">
        <f aca="false">IF('Project Assumptions'!$I$34="Normal",X30+X38+X46,X72+X86+X100)</f>
        <v>0</v>
      </c>
      <c r="Y55" s="520" t="n">
        <f aca="false">IF('Project Assumptions'!$I$34="Normal",Y30+Y38+Y46,Y72+Y86+Y100)</f>
        <v>0</v>
      </c>
      <c r="Z55" s="520" t="n">
        <f aca="false">IF('Project Assumptions'!$I$34="Normal",Z30+Z38+Z46,Z72+Z86+Z100)</f>
        <v>0</v>
      </c>
      <c r="AA55" s="520" t="n">
        <f aca="false">IF('Project Assumptions'!$I$34="Normal",AA30+AA38+AA46,AA72+AA86+AA100)</f>
        <v>0</v>
      </c>
      <c r="AB55" s="520" t="n">
        <f aca="false">IF('Project Assumptions'!$I$34="Normal",AB30+AB38+AB46,AB72+AB86+AB100)</f>
        <v>0</v>
      </c>
      <c r="AC55" s="571" t="n">
        <f aca="false">IF('Project Assumptions'!$I$34="Normal",AC30+AC38+AC46,AC72+AC86+AC100)</f>
        <v>0</v>
      </c>
      <c r="AD55" s="529"/>
      <c r="AE55" s="529"/>
      <c r="AF55" s="529"/>
      <c r="AG55" s="529"/>
      <c r="AH55" s="529"/>
      <c r="AI55" s="529"/>
      <c r="AJ55" s="529"/>
      <c r="AK55" s="529"/>
      <c r="AL55" s="529"/>
      <c r="AM55" s="529"/>
      <c r="AN55" s="529"/>
      <c r="AO55" s="529"/>
      <c r="AP55" s="529"/>
      <c r="AQ55" s="529"/>
      <c r="AR55" s="529"/>
      <c r="AS55" s="529"/>
      <c r="AT55" s="529"/>
      <c r="AU55" s="529"/>
      <c r="AV55" s="529"/>
      <c r="AW55" s="529"/>
      <c r="AX55" s="529"/>
      <c r="AY55" s="529"/>
      <c r="AZ55" s="529"/>
      <c r="BA55" s="529"/>
      <c r="BB55" s="529"/>
      <c r="BC55" s="529"/>
      <c r="BD55" s="529"/>
      <c r="BE55" s="529"/>
      <c r="BF55" s="529"/>
      <c r="BG55" s="529"/>
      <c r="BH55" s="529"/>
      <c r="BI55" s="529"/>
      <c r="BJ55" s="529"/>
      <c r="BK55" s="529"/>
      <c r="BL55" s="529"/>
      <c r="BM55" s="529"/>
      <c r="BN55" s="529"/>
      <c r="BO55" s="529"/>
      <c r="BP55" s="529"/>
      <c r="BQ55" s="529"/>
      <c r="BR55" s="529"/>
      <c r="BS55" s="529"/>
      <c r="BT55" s="529"/>
      <c r="BU55" s="529"/>
      <c r="BV55" s="529"/>
      <c r="BW55" s="529"/>
      <c r="BX55" s="529"/>
      <c r="BY55" s="529"/>
      <c r="BZ55" s="529"/>
      <c r="CA55" s="529"/>
      <c r="CB55" s="529"/>
      <c r="CC55" s="529"/>
      <c r="CD55" s="529"/>
      <c r="CE55" s="529"/>
      <c r="CF55" s="529"/>
      <c r="CG55" s="529"/>
      <c r="CH55" s="529"/>
      <c r="CI55" s="529"/>
      <c r="CJ55" s="529"/>
      <c r="CK55" s="529"/>
      <c r="CL55" s="529"/>
      <c r="CM55" s="529"/>
      <c r="CN55" s="529"/>
      <c r="CO55" s="529"/>
      <c r="CP55" s="529"/>
      <c r="CQ55" s="529"/>
      <c r="CR55" s="529"/>
      <c r="CS55" s="529"/>
      <c r="CT55" s="529"/>
      <c r="CU55" s="529"/>
      <c r="CV55" s="529"/>
      <c r="CW55" s="529"/>
      <c r="CX55" s="529"/>
      <c r="CY55" s="529"/>
      <c r="CZ55" s="529"/>
      <c r="DA55" s="529"/>
      <c r="DB55" s="529"/>
      <c r="DC55" s="529"/>
      <c r="DD55" s="529"/>
      <c r="DE55" s="529"/>
      <c r="DF55" s="529"/>
      <c r="DG55" s="529"/>
      <c r="DH55" s="529"/>
      <c r="DI55" s="529"/>
      <c r="DJ55" s="529"/>
      <c r="DK55" s="529"/>
      <c r="DL55" s="529"/>
      <c r="DM55" s="529"/>
      <c r="DN55" s="529"/>
      <c r="DO55" s="529"/>
      <c r="DP55" s="529"/>
      <c r="DQ55" s="529"/>
      <c r="DR55" s="529"/>
      <c r="DS55" s="529"/>
      <c r="DT55" s="529"/>
      <c r="DU55" s="529"/>
      <c r="DV55" s="529"/>
      <c r="DW55" s="529"/>
      <c r="DX55" s="529"/>
      <c r="DY55" s="529"/>
      <c r="DZ55" s="529"/>
      <c r="EA55" s="529"/>
      <c r="EB55" s="529"/>
      <c r="EC55" s="529"/>
      <c r="ED55" s="529"/>
      <c r="EE55" s="529"/>
      <c r="EF55" s="529"/>
      <c r="EG55" s="529"/>
      <c r="EH55" s="529"/>
      <c r="EI55" s="529"/>
      <c r="EJ55" s="529"/>
      <c r="EK55" s="529"/>
      <c r="EL55" s="529"/>
      <c r="EM55" s="529"/>
      <c r="EN55" s="529"/>
      <c r="EO55" s="529"/>
      <c r="EP55" s="529"/>
      <c r="EQ55" s="529"/>
      <c r="ER55" s="529"/>
      <c r="ES55" s="529"/>
      <c r="ET55" s="529"/>
      <c r="EU55" s="529"/>
      <c r="EV55" s="529"/>
      <c r="EW55" s="529"/>
      <c r="EX55" s="529"/>
      <c r="EY55" s="529"/>
      <c r="EZ55" s="529"/>
      <c r="FA55" s="529"/>
      <c r="FB55" s="529"/>
      <c r="FC55" s="529"/>
      <c r="FD55" s="529"/>
      <c r="FE55" s="529"/>
      <c r="FF55" s="529"/>
      <c r="FG55" s="529"/>
      <c r="FH55" s="529"/>
      <c r="FI55" s="529"/>
      <c r="FJ55" s="529"/>
      <c r="FK55" s="529"/>
      <c r="FL55" s="529"/>
      <c r="FM55" s="529"/>
      <c r="FN55" s="529"/>
      <c r="FO55" s="529"/>
      <c r="FP55" s="529"/>
      <c r="FQ55" s="529"/>
      <c r="FR55" s="529"/>
      <c r="FS55" s="529"/>
      <c r="FT55" s="529"/>
      <c r="FU55" s="529"/>
      <c r="FV55" s="529"/>
      <c r="FW55" s="529"/>
      <c r="FX55" s="529"/>
      <c r="FY55" s="529"/>
      <c r="FZ55" s="529"/>
      <c r="GA55" s="529"/>
      <c r="GB55" s="529"/>
      <c r="GC55" s="529"/>
      <c r="GD55" s="529"/>
      <c r="GE55" s="529"/>
      <c r="GF55" s="529"/>
      <c r="GG55" s="529"/>
      <c r="GH55" s="529"/>
      <c r="GI55" s="529"/>
      <c r="GJ55" s="529"/>
      <c r="GK55" s="529"/>
      <c r="GL55" s="529"/>
      <c r="GM55" s="529"/>
      <c r="GN55" s="529"/>
      <c r="GO55" s="529"/>
      <c r="GP55" s="529"/>
      <c r="GQ55" s="529"/>
      <c r="GR55" s="529"/>
      <c r="GS55" s="529"/>
      <c r="GT55" s="529"/>
      <c r="GU55" s="529"/>
      <c r="GV55" s="529"/>
      <c r="GW55" s="529"/>
      <c r="GX55" s="529"/>
      <c r="GY55" s="529"/>
      <c r="GZ55" s="529"/>
      <c r="HA55" s="529"/>
      <c r="HB55" s="529"/>
      <c r="HC55" s="529"/>
      <c r="HD55" s="529"/>
      <c r="HE55" s="529"/>
      <c r="HF55" s="529"/>
      <c r="HG55" s="529"/>
      <c r="HH55" s="529"/>
      <c r="HI55" s="529"/>
      <c r="HJ55" s="529"/>
      <c r="HK55" s="529"/>
      <c r="HL55" s="529"/>
      <c r="HM55" s="529"/>
      <c r="HN55" s="529"/>
      <c r="HO55" s="529"/>
      <c r="HP55" s="529"/>
      <c r="HQ55" s="529"/>
      <c r="HR55" s="529"/>
      <c r="HS55" s="529"/>
      <c r="HT55" s="529"/>
      <c r="HU55" s="529"/>
      <c r="HV55" s="529"/>
      <c r="HW55" s="529"/>
      <c r="HX55" s="529"/>
      <c r="HY55" s="529"/>
      <c r="HZ55" s="529"/>
      <c r="IA55" s="529"/>
      <c r="IB55" s="529"/>
      <c r="IC55" s="529"/>
      <c r="ID55" s="529"/>
      <c r="IE55" s="529"/>
      <c r="IF55" s="529"/>
      <c r="IG55" s="529"/>
      <c r="IH55" s="529"/>
      <c r="II55" s="529"/>
      <c r="IJ55" s="529"/>
      <c r="IK55" s="529"/>
      <c r="IL55" s="529"/>
      <c r="IM55" s="529"/>
      <c r="IN55" s="529"/>
      <c r="IO55" s="529"/>
      <c r="IP55" s="529"/>
      <c r="IQ55" s="529"/>
      <c r="IR55" s="529"/>
      <c r="IS55" s="529"/>
      <c r="IT55" s="529"/>
      <c r="IU55" s="529"/>
      <c r="IV55" s="529"/>
      <c r="IW55" s="529"/>
    </row>
    <row r="56" customFormat="false" ht="12.6" hidden="false" customHeight="true" outlineLevel="0" collapsed="false">
      <c r="A56" s="570" t="s">
        <v>451</v>
      </c>
      <c r="B56" s="573"/>
      <c r="C56" s="573"/>
      <c r="D56" s="525"/>
      <c r="E56" s="574" t="n">
        <f aca="false">IF('Project Assumptions'!$I$34="Normal",SUMPRODUCT(E4:AC4,E53:AC53)/B22,SUMPRODUCT(E4:AC4,E53:AC53)/(C68+C82+C96))</f>
        <v>10.9412871108388</v>
      </c>
      <c r="F56" s="498"/>
      <c r="G56" s="498"/>
      <c r="H56" s="498"/>
      <c r="I56" s="498"/>
      <c r="J56" s="498"/>
      <c r="K56" s="498"/>
      <c r="L56" s="498"/>
      <c r="M56" s="498"/>
      <c r="N56" s="498"/>
      <c r="O56" s="498"/>
      <c r="P56" s="498"/>
      <c r="Q56" s="498"/>
      <c r="R56" s="498"/>
      <c r="S56" s="498"/>
      <c r="T56" s="498"/>
      <c r="U56" s="498"/>
      <c r="V56" s="498"/>
      <c r="W56" s="498"/>
      <c r="X56" s="498"/>
      <c r="Y56" s="498"/>
      <c r="Z56" s="498"/>
      <c r="AA56" s="498"/>
      <c r="AB56" s="498"/>
      <c r="AC56" s="572"/>
      <c r="AD56" s="529"/>
      <c r="AE56" s="529"/>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c r="BG56" s="529"/>
      <c r="BH56" s="529"/>
      <c r="BI56" s="529"/>
      <c r="BJ56" s="529"/>
      <c r="BK56" s="529"/>
      <c r="BL56" s="529"/>
      <c r="BM56" s="529"/>
      <c r="BN56" s="529"/>
      <c r="BO56" s="529"/>
      <c r="BP56" s="529"/>
      <c r="BQ56" s="529"/>
      <c r="BR56" s="529"/>
      <c r="BS56" s="529"/>
      <c r="BT56" s="529"/>
      <c r="BU56" s="529"/>
      <c r="BV56" s="529"/>
      <c r="BW56" s="529"/>
      <c r="BX56" s="529"/>
      <c r="BY56" s="529"/>
      <c r="BZ56" s="529"/>
      <c r="CA56" s="529"/>
      <c r="CB56" s="529"/>
      <c r="CC56" s="529"/>
      <c r="CD56" s="529"/>
      <c r="CE56" s="529"/>
      <c r="CF56" s="529"/>
      <c r="CG56" s="529"/>
      <c r="CH56" s="529"/>
      <c r="CI56" s="529"/>
      <c r="CJ56" s="529"/>
      <c r="CK56" s="529"/>
      <c r="CL56" s="529"/>
      <c r="CM56" s="529"/>
      <c r="CN56" s="529"/>
      <c r="CO56" s="529"/>
      <c r="CP56" s="529"/>
      <c r="CQ56" s="529"/>
      <c r="CR56" s="529"/>
      <c r="CS56" s="529"/>
      <c r="CT56" s="529"/>
      <c r="CU56" s="529"/>
      <c r="CV56" s="529"/>
      <c r="CW56" s="529"/>
      <c r="CX56" s="529"/>
      <c r="CY56" s="529"/>
      <c r="CZ56" s="529"/>
      <c r="DA56" s="529"/>
      <c r="DB56" s="529"/>
      <c r="DC56" s="529"/>
      <c r="DD56" s="529"/>
      <c r="DE56" s="529"/>
      <c r="DF56" s="529"/>
      <c r="DG56" s="529"/>
      <c r="DH56" s="529"/>
      <c r="DI56" s="529"/>
      <c r="DJ56" s="529"/>
      <c r="DK56" s="529"/>
      <c r="DL56" s="529"/>
      <c r="DM56" s="529"/>
      <c r="DN56" s="529"/>
      <c r="DO56" s="529"/>
      <c r="DP56" s="529"/>
      <c r="DQ56" s="529"/>
      <c r="DR56" s="529"/>
      <c r="DS56" s="529"/>
      <c r="DT56" s="529"/>
      <c r="DU56" s="529"/>
      <c r="DV56" s="529"/>
      <c r="DW56" s="529"/>
      <c r="DX56" s="529"/>
      <c r="DY56" s="529"/>
      <c r="DZ56" s="529"/>
      <c r="EA56" s="529"/>
      <c r="EB56" s="529"/>
      <c r="EC56" s="529"/>
      <c r="ED56" s="529"/>
      <c r="EE56" s="529"/>
      <c r="EF56" s="529"/>
      <c r="EG56" s="529"/>
      <c r="EH56" s="529"/>
      <c r="EI56" s="529"/>
      <c r="EJ56" s="529"/>
      <c r="EK56" s="529"/>
      <c r="EL56" s="529"/>
      <c r="EM56" s="529"/>
      <c r="EN56" s="529"/>
      <c r="EO56" s="529"/>
      <c r="EP56" s="529"/>
      <c r="EQ56" s="529"/>
      <c r="ER56" s="529"/>
      <c r="ES56" s="529"/>
      <c r="ET56" s="529"/>
      <c r="EU56" s="529"/>
      <c r="EV56" s="529"/>
      <c r="EW56" s="529"/>
      <c r="EX56" s="529"/>
      <c r="EY56" s="529"/>
      <c r="EZ56" s="529"/>
      <c r="FA56" s="529"/>
      <c r="FB56" s="529"/>
      <c r="FC56" s="529"/>
      <c r="FD56" s="529"/>
      <c r="FE56" s="529"/>
      <c r="FF56" s="529"/>
      <c r="FG56" s="529"/>
      <c r="FH56" s="529"/>
      <c r="FI56" s="529"/>
      <c r="FJ56" s="529"/>
      <c r="FK56" s="529"/>
      <c r="FL56" s="529"/>
      <c r="FM56" s="529"/>
      <c r="FN56" s="529"/>
      <c r="FO56" s="529"/>
      <c r="FP56" s="529"/>
      <c r="FQ56" s="529"/>
      <c r="FR56" s="529"/>
      <c r="FS56" s="529"/>
      <c r="FT56" s="529"/>
      <c r="FU56" s="529"/>
      <c r="FV56" s="529"/>
      <c r="FW56" s="529"/>
      <c r="FX56" s="529"/>
      <c r="FY56" s="529"/>
      <c r="FZ56" s="529"/>
      <c r="GA56" s="529"/>
      <c r="GB56" s="529"/>
      <c r="GC56" s="529"/>
      <c r="GD56" s="529"/>
      <c r="GE56" s="529"/>
      <c r="GF56" s="529"/>
      <c r="GG56" s="529"/>
      <c r="GH56" s="529"/>
      <c r="GI56" s="529"/>
      <c r="GJ56" s="529"/>
      <c r="GK56" s="529"/>
      <c r="GL56" s="529"/>
      <c r="GM56" s="529"/>
      <c r="GN56" s="529"/>
      <c r="GO56" s="529"/>
      <c r="GP56" s="529"/>
      <c r="GQ56" s="529"/>
      <c r="GR56" s="529"/>
      <c r="GS56" s="529"/>
      <c r="GT56" s="529"/>
      <c r="GU56" s="529"/>
      <c r="GV56" s="529"/>
      <c r="GW56" s="529"/>
      <c r="GX56" s="529"/>
      <c r="GY56" s="529"/>
      <c r="GZ56" s="529"/>
      <c r="HA56" s="529"/>
      <c r="HB56" s="529"/>
      <c r="HC56" s="529"/>
      <c r="HD56" s="529"/>
      <c r="HE56" s="529"/>
      <c r="HF56" s="529"/>
      <c r="HG56" s="529"/>
      <c r="HH56" s="529"/>
      <c r="HI56" s="529"/>
      <c r="HJ56" s="529"/>
      <c r="HK56" s="529"/>
      <c r="HL56" s="529"/>
      <c r="HM56" s="529"/>
      <c r="HN56" s="529"/>
      <c r="HO56" s="529"/>
      <c r="HP56" s="529"/>
      <c r="HQ56" s="529"/>
      <c r="HR56" s="529"/>
      <c r="HS56" s="529"/>
      <c r="HT56" s="529"/>
      <c r="HU56" s="529"/>
      <c r="HV56" s="529"/>
      <c r="HW56" s="529"/>
      <c r="HX56" s="529"/>
      <c r="HY56" s="529"/>
      <c r="HZ56" s="529"/>
      <c r="IA56" s="529"/>
      <c r="IB56" s="529"/>
      <c r="IC56" s="529"/>
      <c r="ID56" s="529"/>
      <c r="IE56" s="529"/>
      <c r="IF56" s="529"/>
      <c r="IG56" s="529"/>
      <c r="IH56" s="529"/>
      <c r="II56" s="529"/>
      <c r="IJ56" s="529"/>
      <c r="IK56" s="529"/>
      <c r="IL56" s="529"/>
      <c r="IM56" s="529"/>
      <c r="IN56" s="529"/>
      <c r="IO56" s="529"/>
      <c r="IP56" s="529"/>
      <c r="IQ56" s="529"/>
      <c r="IR56" s="529"/>
      <c r="IS56" s="529"/>
      <c r="IT56" s="529"/>
      <c r="IU56" s="529"/>
      <c r="IV56" s="529"/>
      <c r="IW56" s="529"/>
    </row>
    <row r="57" customFormat="false" ht="12.6" hidden="false" customHeight="true" outlineLevel="0" collapsed="false">
      <c r="A57" s="575"/>
      <c r="B57" s="530"/>
      <c r="C57" s="530"/>
      <c r="D57" s="432"/>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7"/>
    </row>
    <row r="58" customFormat="false" ht="12.6" hidden="false" customHeight="true" outlineLevel="0" collapsed="false">
      <c r="A58" s="578" t="s">
        <v>453</v>
      </c>
      <c r="B58" s="579"/>
      <c r="C58" s="579"/>
      <c r="D58" s="580"/>
      <c r="E58" s="581" t="n">
        <f aca="false">E45+E37+E29</f>
        <v>10102.6942735086</v>
      </c>
      <c r="F58" s="581" t="n">
        <f aca="false">F45+F37+F29</f>
        <v>17545.2498354775</v>
      </c>
      <c r="G58" s="581" t="n">
        <f aca="false">G45+G37+G29</f>
        <v>17496.3682182221</v>
      </c>
      <c r="H58" s="581" t="n">
        <f aca="false">H45+H37+H29</f>
        <v>24102.8217477787</v>
      </c>
      <c r="I58" s="581" t="n">
        <f aca="false">I45+I37+I29</f>
        <v>17536.158407446</v>
      </c>
      <c r="J58" s="581" t="n">
        <f aca="false">J45+J37+J29</f>
        <v>18083.9134616703</v>
      </c>
      <c r="K58" s="581" t="n">
        <f aca="false">K45+K37+K29</f>
        <v>17982.6933021727</v>
      </c>
      <c r="L58" s="581" t="n">
        <f aca="false">L45+L37+L29</f>
        <v>18192.7700532508</v>
      </c>
      <c r="M58" s="581" t="n">
        <f aca="false">M45+M37+M29</f>
        <v>18399.1358020935</v>
      </c>
      <c r="N58" s="581" t="n">
        <f aca="false">N45+N37+N29</f>
        <v>18618.1725324995</v>
      </c>
      <c r="O58" s="581" t="n">
        <f aca="false">O45+O37+O29</f>
        <v>18815.8597253907</v>
      </c>
      <c r="P58" s="581" t="n">
        <f aca="false">P45+P37+P29</f>
        <v>19008.5357255898</v>
      </c>
      <c r="Q58" s="581" t="n">
        <f aca="false">Q45+Q37+Q29</f>
        <v>19195.7219430616</v>
      </c>
      <c r="R58" s="581" t="n">
        <f aca="false">R45+R37+R29</f>
        <v>19393.709295451</v>
      </c>
      <c r="S58" s="581" t="n">
        <f aca="false">S45+S37+S29</f>
        <v>19568.3823344595</v>
      </c>
      <c r="T58" s="581" t="n">
        <f aca="false">T45+T37+T29</f>
        <v>19735.9804627979</v>
      </c>
      <c r="U58" s="581" t="n">
        <f aca="false">U45+U37+U29</f>
        <v>19895.921980091</v>
      </c>
      <c r="V58" s="581" t="n">
        <f aca="false">V45+V37+V29</f>
        <v>20064.3903643693</v>
      </c>
      <c r="W58" s="581" t="n">
        <f aca="false">W45+W37+W29</f>
        <v>20207.1582314882</v>
      </c>
      <c r="X58" s="581" t="n">
        <f aca="false">X45+X37+X29</f>
        <v>19864.4624361428</v>
      </c>
      <c r="Y58" s="581" t="n">
        <f aca="false">Y45+Y37+Y29</f>
        <v>0</v>
      </c>
      <c r="Z58" s="581" t="n">
        <f aca="false">Z45+Z37+Z29</f>
        <v>0</v>
      </c>
      <c r="AA58" s="581" t="n">
        <f aca="false">AA45+AA37+AA29</f>
        <v>0</v>
      </c>
      <c r="AB58" s="581" t="n">
        <f aca="false">AB45+AB37+AB29</f>
        <v>0</v>
      </c>
      <c r="AC58" s="582" t="n">
        <f aca="false">AC45+AC37+AC29</f>
        <v>0</v>
      </c>
    </row>
    <row r="59" customFormat="false" ht="12.6" hidden="false" customHeight="true" outlineLevel="0" collapsed="false">
      <c r="B59" s="530"/>
      <c r="C59" s="530"/>
      <c r="E59" s="544"/>
      <c r="F59" s="544"/>
      <c r="G59" s="544"/>
      <c r="H59" s="544"/>
      <c r="I59" s="544"/>
      <c r="J59" s="544"/>
      <c r="K59" s="544"/>
      <c r="L59" s="544"/>
      <c r="M59" s="544"/>
      <c r="N59" s="544"/>
      <c r="O59" s="544"/>
      <c r="P59" s="544"/>
      <c r="Q59" s="544"/>
      <c r="R59" s="544"/>
      <c r="S59" s="544"/>
      <c r="T59" s="544"/>
      <c r="U59" s="544"/>
      <c r="V59" s="544"/>
      <c r="W59" s="544"/>
      <c r="X59" s="544"/>
      <c r="Y59" s="544"/>
      <c r="Z59" s="544"/>
      <c r="AA59" s="544"/>
      <c r="AB59" s="544"/>
      <c r="AC59" s="544"/>
    </row>
    <row r="60" customFormat="false" ht="15.75" hidden="false" customHeight="false" outlineLevel="0" collapsed="false">
      <c r="A60" s="583" t="s">
        <v>454</v>
      </c>
      <c r="B60" s="530"/>
      <c r="C60" s="530"/>
      <c r="E60" s="544"/>
      <c r="F60" s="544"/>
      <c r="G60" s="544"/>
      <c r="H60" s="544"/>
      <c r="I60" s="544"/>
      <c r="J60" s="544"/>
      <c r="K60" s="544"/>
      <c r="L60" s="544"/>
      <c r="M60" s="544"/>
      <c r="N60" s="544"/>
      <c r="O60" s="544"/>
      <c r="P60" s="544"/>
      <c r="Q60" s="544"/>
      <c r="R60" s="544"/>
      <c r="S60" s="544"/>
      <c r="T60" s="544"/>
      <c r="U60" s="544"/>
      <c r="V60" s="544"/>
      <c r="W60" s="544"/>
      <c r="X60" s="544"/>
      <c r="Y60" s="544"/>
      <c r="Z60" s="544"/>
      <c r="AA60" s="544"/>
      <c r="AB60" s="544"/>
      <c r="AC60" s="544"/>
    </row>
    <row r="61" customFormat="false" ht="12.6" hidden="false" customHeight="true" outlineLevel="0" collapsed="false">
      <c r="B61" s="530"/>
      <c r="C61" s="530"/>
      <c r="E61" s="544"/>
      <c r="F61" s="544"/>
      <c r="G61" s="544"/>
      <c r="H61" s="544"/>
      <c r="I61" s="544"/>
      <c r="J61" s="544"/>
      <c r="K61" s="544"/>
      <c r="L61" s="544"/>
      <c r="M61" s="544"/>
      <c r="N61" s="544"/>
      <c r="O61" s="544"/>
      <c r="P61" s="544"/>
      <c r="Q61" s="544"/>
      <c r="R61" s="544"/>
      <c r="S61" s="544"/>
      <c r="T61" s="544"/>
      <c r="U61" s="544"/>
      <c r="V61" s="544"/>
      <c r="W61" s="544"/>
      <c r="X61" s="544"/>
      <c r="Y61" s="544"/>
      <c r="Z61" s="544"/>
      <c r="AA61" s="544"/>
      <c r="AB61" s="544"/>
      <c r="AC61" s="544"/>
    </row>
    <row r="62" customFormat="false" ht="12.6" hidden="false" customHeight="true" outlineLevel="0" collapsed="false">
      <c r="A62" s="383" t="s">
        <v>455</v>
      </c>
    </row>
    <row r="63" customFormat="false" ht="12.6" hidden="false" customHeight="true" outlineLevel="0" collapsed="false">
      <c r="A63" s="366" t="s">
        <v>456</v>
      </c>
      <c r="B63" s="584" t="n">
        <f aca="false">principal1</f>
        <v>29573</v>
      </c>
    </row>
    <row r="64" customFormat="false" ht="12.75" hidden="false" customHeight="false" outlineLevel="0" collapsed="false">
      <c r="A64" s="387" t="s">
        <v>246</v>
      </c>
      <c r="B64" s="585" t="n">
        <f aca="false">Int1</f>
        <v>0.0673</v>
      </c>
    </row>
    <row r="65" customFormat="false" ht="12.75" hidden="false" customHeight="false" outlineLevel="0" collapsed="false">
      <c r="A65" s="499" t="s">
        <v>243</v>
      </c>
      <c r="B65" s="470" t="n">
        <f aca="false">term1</f>
        <v>4</v>
      </c>
      <c r="E65" s="586" t="n">
        <f aca="false">E4</f>
        <v>1</v>
      </c>
      <c r="F65" s="586" t="n">
        <f aca="false">F4</f>
        <v>2</v>
      </c>
      <c r="G65" s="586" t="n">
        <f aca="false">G4</f>
        <v>3</v>
      </c>
      <c r="H65" s="586" t="n">
        <f aca="false">H4</f>
        <v>4</v>
      </c>
      <c r="I65" s="586" t="n">
        <f aca="false">I4</f>
        <v>5</v>
      </c>
      <c r="J65" s="586" t="n">
        <f aca="false">J4</f>
        <v>6</v>
      </c>
      <c r="K65" s="586" t="n">
        <f aca="false">K4</f>
        <v>7</v>
      </c>
      <c r="L65" s="586" t="n">
        <f aca="false">L4</f>
        <v>8</v>
      </c>
      <c r="M65" s="586" t="n">
        <f aca="false">M4</f>
        <v>9</v>
      </c>
      <c r="N65" s="586" t="n">
        <f aca="false">N4</f>
        <v>10</v>
      </c>
      <c r="O65" s="586" t="n">
        <f aca="false">O4</f>
        <v>11</v>
      </c>
      <c r="P65" s="586" t="n">
        <f aca="false">P4</f>
        <v>12</v>
      </c>
      <c r="Q65" s="586" t="n">
        <f aca="false">Q4</f>
        <v>13</v>
      </c>
      <c r="R65" s="586" t="n">
        <f aca="false">R4</f>
        <v>14</v>
      </c>
      <c r="S65" s="586" t="n">
        <f aca="false">S4</f>
        <v>15</v>
      </c>
      <c r="T65" s="586" t="n">
        <f aca="false">T4</f>
        <v>16</v>
      </c>
      <c r="U65" s="586" t="n">
        <f aca="false">U4</f>
        <v>17</v>
      </c>
      <c r="V65" s="586" t="n">
        <f aca="false">V4</f>
        <v>18</v>
      </c>
      <c r="W65" s="586" t="n">
        <f aca="false">W4</f>
        <v>19</v>
      </c>
      <c r="X65" s="586" t="n">
        <f aca="false">X4</f>
        <v>20</v>
      </c>
      <c r="Y65" s="586" t="n">
        <f aca="false">Y4</f>
        <v>21</v>
      </c>
      <c r="Z65" s="586" t="n">
        <f aca="false">Z4</f>
        <v>22</v>
      </c>
      <c r="AA65" s="586" t="n">
        <f aca="false">AA4</f>
        <v>23</v>
      </c>
      <c r="AB65" s="586" t="n">
        <f aca="false">AB4</f>
        <v>24</v>
      </c>
      <c r="AC65" s="586" t="n">
        <f aca="false">AC4</f>
        <v>25</v>
      </c>
    </row>
    <row r="66" customFormat="false" ht="12.6" hidden="false" customHeight="true" outlineLevel="0" collapsed="false">
      <c r="A66" s="432"/>
      <c r="B66" s="432"/>
      <c r="C66" s="383" t="s">
        <v>457</v>
      </c>
      <c r="E66" s="586" t="n">
        <f aca="false">E5</f>
        <v>2000</v>
      </c>
      <c r="F66" s="586" t="n">
        <f aca="false">F5</f>
        <v>2001</v>
      </c>
      <c r="G66" s="586" t="n">
        <f aca="false">G5</f>
        <v>2002</v>
      </c>
      <c r="H66" s="586" t="n">
        <f aca="false">H5</f>
        <v>2003</v>
      </c>
      <c r="I66" s="586" t="n">
        <f aca="false">I5</f>
        <v>2004</v>
      </c>
      <c r="J66" s="586" t="n">
        <f aca="false">J5</f>
        <v>2005</v>
      </c>
      <c r="K66" s="586" t="n">
        <f aca="false">K5</f>
        <v>2006</v>
      </c>
      <c r="L66" s="586" t="n">
        <f aca="false">L5</f>
        <v>2007</v>
      </c>
      <c r="M66" s="586" t="n">
        <f aca="false">M5</f>
        <v>2008</v>
      </c>
      <c r="N66" s="586" t="n">
        <f aca="false">N5</f>
        <v>2009</v>
      </c>
      <c r="O66" s="586" t="n">
        <f aca="false">O5</f>
        <v>2010</v>
      </c>
      <c r="P66" s="586" t="n">
        <f aca="false">P5</f>
        <v>2011</v>
      </c>
      <c r="Q66" s="586" t="n">
        <f aca="false">Q5</f>
        <v>2012</v>
      </c>
      <c r="R66" s="586" t="n">
        <f aca="false">R5</f>
        <v>2013</v>
      </c>
      <c r="S66" s="586" t="n">
        <f aca="false">S5</f>
        <v>2014</v>
      </c>
      <c r="T66" s="586" t="n">
        <f aca="false">T5</f>
        <v>2015</v>
      </c>
      <c r="U66" s="586" t="n">
        <f aca="false">U5</f>
        <v>2016</v>
      </c>
      <c r="V66" s="586" t="n">
        <f aca="false">V5</f>
        <v>2017</v>
      </c>
      <c r="W66" s="586" t="n">
        <f aca="false">W5</f>
        <v>2018</v>
      </c>
      <c r="X66" s="586" t="n">
        <f aca="false">X5</f>
        <v>2019</v>
      </c>
      <c r="Y66" s="586" t="n">
        <f aca="false">Y5</f>
        <v>2020</v>
      </c>
      <c r="Z66" s="586" t="n">
        <f aca="false">Z5</f>
        <v>2021</v>
      </c>
      <c r="AA66" s="586" t="n">
        <f aca="false">AA5</f>
        <v>2022</v>
      </c>
      <c r="AB66" s="586" t="n">
        <f aca="false">AB5</f>
        <v>2023</v>
      </c>
      <c r="AC66" s="586" t="n">
        <f aca="false">AC5</f>
        <v>2024</v>
      </c>
      <c r="AI66" s="384"/>
      <c r="AJ66" s="384"/>
      <c r="AK66" s="384"/>
      <c r="AL66" s="384"/>
      <c r="AM66" s="384"/>
      <c r="AN66" s="384"/>
      <c r="AO66" s="384"/>
      <c r="AP66" s="384"/>
      <c r="AQ66" s="384"/>
      <c r="AR66" s="384"/>
      <c r="AS66" s="384"/>
      <c r="AT66" s="384"/>
      <c r="AU66" s="384"/>
      <c r="AV66" s="384"/>
      <c r="AW66" s="384"/>
      <c r="AX66" s="384"/>
      <c r="AY66" s="384"/>
      <c r="AZ66" s="384"/>
      <c r="BA66" s="384"/>
      <c r="BB66" s="473"/>
      <c r="BC66" s="473"/>
      <c r="BD66" s="473"/>
      <c r="BE66" s="473"/>
      <c r="BF66" s="473"/>
      <c r="BG66" s="473"/>
      <c r="BH66" s="473"/>
      <c r="BI66" s="473"/>
      <c r="BJ66" s="473"/>
      <c r="BK66" s="473"/>
      <c r="BL66" s="473"/>
      <c r="BM66" s="473"/>
      <c r="BN66" s="473"/>
      <c r="BO66" s="473"/>
      <c r="BP66" s="473"/>
      <c r="BQ66" s="473"/>
      <c r="BR66" s="473"/>
      <c r="BS66" s="473"/>
      <c r="BT66" s="473"/>
      <c r="BU66" s="473"/>
      <c r="BV66" s="473"/>
      <c r="BW66" s="473"/>
      <c r="BX66" s="473"/>
      <c r="BY66" s="473"/>
      <c r="BZ66" s="473"/>
      <c r="CA66" s="473"/>
      <c r="CB66" s="473"/>
      <c r="CC66" s="473"/>
      <c r="CD66" s="473"/>
      <c r="CE66" s="473"/>
      <c r="CF66" s="473"/>
      <c r="CG66" s="473"/>
      <c r="CH66" s="473"/>
      <c r="CI66" s="473"/>
      <c r="CJ66" s="473"/>
      <c r="CK66" s="473"/>
      <c r="CL66" s="473"/>
      <c r="CM66" s="473"/>
      <c r="CN66" s="473"/>
      <c r="CO66" s="473"/>
      <c r="CP66" s="473"/>
      <c r="CQ66" s="473"/>
      <c r="CR66" s="473"/>
      <c r="CS66" s="473"/>
      <c r="CT66" s="473"/>
      <c r="CU66" s="473"/>
      <c r="CV66" s="473"/>
      <c r="CW66" s="473"/>
      <c r="CX66" s="473"/>
      <c r="CY66" s="473"/>
      <c r="CZ66" s="473"/>
      <c r="DA66" s="473"/>
      <c r="DB66" s="473"/>
      <c r="DC66" s="473"/>
      <c r="DD66" s="473"/>
      <c r="DE66" s="473"/>
      <c r="DF66" s="473"/>
      <c r="DG66" s="473"/>
      <c r="DH66" s="473"/>
      <c r="DI66" s="473"/>
      <c r="DJ66" s="473"/>
      <c r="DK66" s="473"/>
      <c r="DL66" s="473"/>
      <c r="DM66" s="473"/>
      <c r="DN66" s="473"/>
      <c r="DO66" s="473"/>
      <c r="DP66" s="473"/>
      <c r="DQ66" s="473"/>
      <c r="DR66" s="473"/>
      <c r="DS66" s="473"/>
      <c r="DT66" s="473"/>
      <c r="DU66" s="473"/>
      <c r="DV66" s="473"/>
      <c r="DW66" s="473"/>
      <c r="DX66" s="473"/>
      <c r="DY66" s="473"/>
      <c r="DZ66" s="473"/>
      <c r="EA66" s="473"/>
      <c r="EB66" s="473"/>
      <c r="EC66" s="473"/>
      <c r="ED66" s="473"/>
      <c r="EE66" s="473"/>
      <c r="EF66" s="473"/>
      <c r="EG66" s="473"/>
      <c r="EH66" s="473"/>
      <c r="EI66" s="473"/>
      <c r="EJ66" s="473"/>
      <c r="EK66" s="473"/>
      <c r="EL66" s="473"/>
      <c r="EM66" s="473"/>
      <c r="EN66" s="473"/>
      <c r="EO66" s="473"/>
      <c r="EP66" s="473"/>
      <c r="EQ66" s="473"/>
      <c r="ER66" s="473"/>
      <c r="ES66" s="473"/>
      <c r="ET66" s="473"/>
      <c r="EU66" s="473"/>
      <c r="EV66" s="473"/>
      <c r="EW66" s="473"/>
      <c r="EX66" s="473"/>
      <c r="EY66" s="473"/>
      <c r="EZ66" s="473"/>
      <c r="FA66" s="473"/>
      <c r="FB66" s="473"/>
      <c r="FC66" s="473"/>
      <c r="FD66" s="473"/>
      <c r="FE66" s="473"/>
      <c r="FF66" s="473"/>
      <c r="FG66" s="473"/>
      <c r="FH66" s="473"/>
      <c r="FI66" s="473"/>
      <c r="FJ66" s="473"/>
      <c r="FK66" s="473"/>
      <c r="FL66" s="473"/>
      <c r="FM66" s="473"/>
      <c r="FN66" s="473"/>
      <c r="FO66" s="473"/>
      <c r="FP66" s="473"/>
      <c r="FQ66" s="473"/>
      <c r="FR66" s="473"/>
      <c r="FS66" s="473"/>
      <c r="FT66" s="473"/>
      <c r="FU66" s="473"/>
      <c r="FV66" s="473"/>
      <c r="FW66" s="473"/>
      <c r="FX66" s="473"/>
      <c r="FY66" s="473"/>
      <c r="FZ66" s="473"/>
      <c r="GA66" s="473"/>
      <c r="GB66" s="473"/>
      <c r="GC66" s="473"/>
      <c r="GD66" s="473"/>
      <c r="GE66" s="473"/>
      <c r="GF66" s="473"/>
      <c r="GG66" s="473"/>
      <c r="GH66" s="473"/>
      <c r="GI66" s="473"/>
      <c r="GJ66" s="473"/>
      <c r="GK66" s="473"/>
      <c r="GL66" s="473"/>
      <c r="GM66" s="473"/>
      <c r="GN66" s="473"/>
      <c r="GO66" s="473"/>
      <c r="GP66" s="473"/>
      <c r="GQ66" s="473"/>
      <c r="GR66" s="473"/>
      <c r="GS66" s="473"/>
      <c r="GT66" s="473"/>
      <c r="GU66" s="473"/>
      <c r="GV66" s="473"/>
      <c r="GW66" s="473"/>
      <c r="GX66" s="473"/>
      <c r="GY66" s="473"/>
      <c r="GZ66" s="473"/>
      <c r="HA66" s="473"/>
      <c r="HB66" s="473"/>
      <c r="HC66" s="473"/>
      <c r="HD66" s="473"/>
      <c r="HE66" s="473"/>
      <c r="HF66" s="473"/>
      <c r="HG66" s="473"/>
      <c r="HH66" s="473"/>
      <c r="HI66" s="473"/>
      <c r="HJ66" s="473"/>
      <c r="HK66" s="473"/>
      <c r="HL66" s="473"/>
      <c r="HM66" s="473"/>
      <c r="HN66" s="473"/>
      <c r="HO66" s="473"/>
      <c r="HP66" s="473"/>
      <c r="HQ66" s="473"/>
      <c r="HR66" s="473"/>
      <c r="HS66" s="473"/>
      <c r="HT66" s="473"/>
      <c r="HU66" s="473"/>
      <c r="HV66" s="473"/>
      <c r="HW66" s="473"/>
      <c r="HX66" s="473"/>
      <c r="HY66" s="473"/>
      <c r="HZ66" s="473"/>
      <c r="IA66" s="473"/>
      <c r="IB66" s="473"/>
      <c r="IC66" s="473"/>
      <c r="ID66" s="473"/>
      <c r="IE66" s="473"/>
      <c r="IF66" s="473"/>
      <c r="IG66" s="473"/>
      <c r="IH66" s="473"/>
      <c r="II66" s="473"/>
      <c r="IJ66" s="473"/>
      <c r="IK66" s="473"/>
      <c r="IL66" s="473"/>
      <c r="IM66" s="473"/>
      <c r="IN66" s="473"/>
      <c r="IO66" s="473"/>
      <c r="IP66" s="473"/>
      <c r="IQ66" s="473"/>
      <c r="IR66" s="473"/>
      <c r="IS66" s="473"/>
      <c r="IT66" s="473"/>
      <c r="IU66" s="473"/>
      <c r="IV66" s="473"/>
      <c r="IW66" s="473"/>
    </row>
    <row r="67" customFormat="false" ht="12.6" hidden="false" customHeight="true" outlineLevel="0" collapsed="false">
      <c r="A67" s="587"/>
      <c r="B67" s="588"/>
      <c r="C67" s="588"/>
      <c r="D67" s="588"/>
      <c r="E67" s="589"/>
      <c r="F67" s="589"/>
      <c r="G67" s="589"/>
      <c r="H67" s="589"/>
      <c r="I67" s="589"/>
      <c r="J67" s="589"/>
      <c r="K67" s="589"/>
      <c r="L67" s="589"/>
      <c r="M67" s="589"/>
      <c r="N67" s="589"/>
      <c r="O67" s="589"/>
      <c r="P67" s="589"/>
      <c r="Q67" s="589"/>
      <c r="R67" s="589"/>
      <c r="S67" s="589"/>
      <c r="AI67" s="519"/>
      <c r="AJ67" s="519"/>
      <c r="AK67" s="519"/>
      <c r="AL67" s="519"/>
      <c r="AM67" s="519"/>
      <c r="AN67" s="519"/>
      <c r="AO67" s="519"/>
      <c r="AP67" s="519"/>
      <c r="AQ67" s="519"/>
      <c r="AR67" s="519"/>
      <c r="AS67" s="519"/>
      <c r="AT67" s="519"/>
      <c r="AU67" s="519"/>
      <c r="AV67" s="519"/>
      <c r="AW67" s="519"/>
      <c r="AX67" s="519"/>
      <c r="AY67" s="519"/>
      <c r="AZ67" s="519"/>
      <c r="BA67" s="519"/>
      <c r="BB67" s="519"/>
      <c r="BC67" s="519"/>
      <c r="BD67" s="519"/>
      <c r="BE67" s="519"/>
      <c r="BF67" s="519"/>
      <c r="BG67" s="519"/>
      <c r="BH67" s="519"/>
      <c r="BI67" s="519"/>
      <c r="BJ67" s="519"/>
      <c r="BK67" s="519"/>
      <c r="BL67" s="519"/>
      <c r="BM67" s="519"/>
      <c r="BN67" s="519"/>
      <c r="BO67" s="519"/>
      <c r="BP67" s="519"/>
      <c r="BQ67" s="519"/>
      <c r="BR67" s="519"/>
      <c r="BS67" s="519"/>
      <c r="BT67" s="519"/>
      <c r="BU67" s="519"/>
      <c r="BV67" s="519"/>
      <c r="BW67" s="519"/>
      <c r="BX67" s="519"/>
      <c r="BY67" s="519"/>
      <c r="BZ67" s="519"/>
      <c r="CA67" s="519"/>
      <c r="CB67" s="519"/>
      <c r="CC67" s="519"/>
      <c r="CD67" s="519"/>
      <c r="CE67" s="519"/>
      <c r="CF67" s="519"/>
      <c r="CG67" s="519"/>
      <c r="CH67" s="519"/>
      <c r="CI67" s="519"/>
      <c r="CJ67" s="519"/>
      <c r="CK67" s="519"/>
      <c r="CL67" s="519"/>
      <c r="CM67" s="519"/>
      <c r="CN67" s="519"/>
      <c r="CO67" s="519"/>
      <c r="CP67" s="519"/>
      <c r="CQ67" s="519"/>
      <c r="CR67" s="519"/>
      <c r="CS67" s="519"/>
      <c r="CT67" s="519"/>
      <c r="CU67" s="519"/>
      <c r="CV67" s="519"/>
      <c r="CW67" s="519"/>
      <c r="CX67" s="519"/>
      <c r="CY67" s="519"/>
      <c r="CZ67" s="519"/>
      <c r="DA67" s="519"/>
      <c r="DB67" s="519"/>
      <c r="DC67" s="519"/>
      <c r="DD67" s="519"/>
      <c r="DE67" s="519"/>
      <c r="DF67" s="519"/>
      <c r="DG67" s="519"/>
      <c r="DH67" s="519"/>
      <c r="DI67" s="519"/>
      <c r="DJ67" s="519"/>
      <c r="DK67" s="519"/>
      <c r="DL67" s="519"/>
      <c r="DM67" s="519"/>
      <c r="DN67" s="519"/>
      <c r="DO67" s="519"/>
      <c r="DP67" s="519"/>
      <c r="DQ67" s="519"/>
      <c r="DR67" s="519"/>
      <c r="DS67" s="519"/>
      <c r="DT67" s="519"/>
      <c r="DU67" s="519"/>
      <c r="DV67" s="519"/>
      <c r="DW67" s="519"/>
      <c r="DX67" s="519"/>
      <c r="DY67" s="519"/>
      <c r="DZ67" s="519"/>
      <c r="EA67" s="519"/>
      <c r="EB67" s="519"/>
      <c r="EC67" s="519"/>
      <c r="ED67" s="519"/>
      <c r="EE67" s="519"/>
      <c r="EF67" s="519"/>
      <c r="EG67" s="519"/>
      <c r="EH67" s="519"/>
      <c r="EI67" s="519"/>
      <c r="EJ67" s="519"/>
      <c r="EK67" s="519"/>
      <c r="EL67" s="519"/>
      <c r="EM67" s="519"/>
      <c r="EN67" s="519"/>
      <c r="EO67" s="519"/>
      <c r="EP67" s="519"/>
      <c r="EQ67" s="519"/>
      <c r="ER67" s="519"/>
      <c r="ES67" s="519"/>
      <c r="ET67" s="519"/>
      <c r="EU67" s="519"/>
      <c r="EV67" s="519"/>
      <c r="EW67" s="519"/>
      <c r="EX67" s="519"/>
      <c r="EY67" s="519"/>
      <c r="EZ67" s="519"/>
      <c r="FA67" s="519"/>
      <c r="FB67" s="519"/>
      <c r="FC67" s="519"/>
      <c r="FD67" s="519"/>
      <c r="FE67" s="519"/>
      <c r="FF67" s="519"/>
      <c r="FG67" s="519"/>
      <c r="FH67" s="519"/>
      <c r="FI67" s="519"/>
      <c r="FJ67" s="519"/>
      <c r="FK67" s="519"/>
      <c r="FL67" s="519"/>
      <c r="FM67" s="519"/>
      <c r="FN67" s="519"/>
      <c r="FO67" s="519"/>
      <c r="FP67" s="519"/>
      <c r="FQ67" s="519"/>
      <c r="FR67" s="519"/>
      <c r="FS67" s="519"/>
      <c r="FT67" s="519"/>
      <c r="FU67" s="519"/>
      <c r="FV67" s="519"/>
      <c r="FW67" s="519"/>
      <c r="FX67" s="519"/>
      <c r="FY67" s="519"/>
      <c r="FZ67" s="519"/>
      <c r="GA67" s="519"/>
      <c r="GB67" s="519"/>
      <c r="GC67" s="519"/>
      <c r="GD67" s="519"/>
      <c r="GE67" s="519"/>
      <c r="GF67" s="519"/>
      <c r="GG67" s="519"/>
      <c r="GH67" s="519"/>
      <c r="GI67" s="519"/>
      <c r="GJ67" s="519"/>
      <c r="GK67" s="519"/>
      <c r="GL67" s="519"/>
      <c r="GM67" s="519"/>
      <c r="GN67" s="519"/>
      <c r="GO67" s="519"/>
      <c r="GP67" s="519"/>
      <c r="GQ67" s="519"/>
      <c r="GR67" s="519"/>
      <c r="GS67" s="519"/>
      <c r="GT67" s="519"/>
      <c r="GU67" s="519"/>
      <c r="GV67" s="519"/>
      <c r="GW67" s="519"/>
      <c r="GX67" s="519"/>
      <c r="GY67" s="519"/>
      <c r="GZ67" s="519"/>
      <c r="HA67" s="519"/>
      <c r="HB67" s="519"/>
      <c r="HC67" s="519"/>
      <c r="HD67" s="519"/>
      <c r="HE67" s="519"/>
      <c r="HF67" s="519"/>
      <c r="HG67" s="519"/>
      <c r="HH67" s="519"/>
      <c r="HI67" s="519"/>
      <c r="HJ67" s="519"/>
      <c r="HK67" s="519"/>
      <c r="HL67" s="519"/>
      <c r="HM67" s="519"/>
      <c r="HN67" s="519"/>
      <c r="HO67" s="519"/>
      <c r="HP67" s="519"/>
      <c r="HQ67" s="519"/>
      <c r="HR67" s="519"/>
      <c r="HS67" s="519"/>
      <c r="HT67" s="519"/>
      <c r="HU67" s="519"/>
      <c r="HV67" s="519"/>
      <c r="HW67" s="519"/>
      <c r="HX67" s="519"/>
      <c r="HY67" s="519"/>
      <c r="HZ67" s="519"/>
      <c r="IA67" s="519"/>
      <c r="IB67" s="519"/>
      <c r="IC67" s="519"/>
      <c r="ID67" s="519"/>
      <c r="IE67" s="519"/>
      <c r="IF67" s="519"/>
      <c r="IG67" s="519"/>
      <c r="IH67" s="519"/>
      <c r="II67" s="519"/>
      <c r="IJ67" s="519"/>
      <c r="IK67" s="519"/>
      <c r="IL67" s="519"/>
      <c r="IM67" s="519"/>
      <c r="IN67" s="519"/>
      <c r="IO67" s="519"/>
      <c r="IP67" s="519"/>
      <c r="IQ67" s="519"/>
      <c r="IR67" s="519"/>
      <c r="IS67" s="519"/>
      <c r="IT67" s="519"/>
      <c r="IU67" s="519"/>
      <c r="IV67" s="519"/>
      <c r="IW67" s="519"/>
    </row>
    <row r="68" customFormat="false" ht="12.6" hidden="false" customHeight="true" outlineLevel="0" collapsed="false">
      <c r="A68" s="520" t="s">
        <v>458</v>
      </c>
      <c r="B68" s="590"/>
      <c r="C68" s="591" t="n">
        <f aca="false">B63</f>
        <v>29573</v>
      </c>
      <c r="E68" s="590" t="n">
        <f aca="false">C68</f>
        <v>29573</v>
      </c>
      <c r="F68" s="590" t="n">
        <f aca="false">E72</f>
        <v>22179.75</v>
      </c>
      <c r="G68" s="590" t="n">
        <f aca="false">F72</f>
        <v>14786.5</v>
      </c>
      <c r="H68" s="590" t="n">
        <f aca="false">G72</f>
        <v>7393.25</v>
      </c>
      <c r="I68" s="590" t="n">
        <f aca="false">H72</f>
        <v>0</v>
      </c>
      <c r="J68" s="590" t="n">
        <f aca="false">I72</f>
        <v>0</v>
      </c>
      <c r="K68" s="590" t="n">
        <f aca="false">J72</f>
        <v>0</v>
      </c>
      <c r="L68" s="590" t="n">
        <f aca="false">K72</f>
        <v>0</v>
      </c>
      <c r="M68" s="590" t="n">
        <f aca="false">L72</f>
        <v>0</v>
      </c>
      <c r="N68" s="590" t="n">
        <f aca="false">M72</f>
        <v>0</v>
      </c>
      <c r="O68" s="590" t="n">
        <f aca="false">N72</f>
        <v>0</v>
      </c>
      <c r="P68" s="590" t="n">
        <f aca="false">O72</f>
        <v>0</v>
      </c>
      <c r="Q68" s="590" t="n">
        <f aca="false">P72</f>
        <v>0</v>
      </c>
      <c r="R68" s="590" t="n">
        <f aca="false">Q72</f>
        <v>0</v>
      </c>
      <c r="S68" s="590" t="n">
        <f aca="false">R72</f>
        <v>0</v>
      </c>
      <c r="T68" s="590" t="n">
        <f aca="false">S72</f>
        <v>0</v>
      </c>
      <c r="U68" s="590" t="n">
        <f aca="false">T72</f>
        <v>0</v>
      </c>
      <c r="V68" s="590" t="n">
        <f aca="false">U72</f>
        <v>0</v>
      </c>
      <c r="W68" s="590" t="n">
        <f aca="false">V72</f>
        <v>0</v>
      </c>
      <c r="X68" s="590" t="n">
        <f aca="false">W72</f>
        <v>0</v>
      </c>
      <c r="Y68" s="590" t="n">
        <f aca="false">X72</f>
        <v>0</v>
      </c>
      <c r="Z68" s="590" t="n">
        <f aca="false">Y72</f>
        <v>0</v>
      </c>
      <c r="AA68" s="590" t="n">
        <f aca="false">Z72</f>
        <v>0</v>
      </c>
      <c r="AB68" s="590" t="n">
        <f aca="false">AA72</f>
        <v>0</v>
      </c>
      <c r="AC68" s="590" t="n">
        <f aca="false">AB72</f>
        <v>0</v>
      </c>
    </row>
    <row r="69" customFormat="false" ht="12.6" hidden="false" customHeight="true" outlineLevel="0" collapsed="false">
      <c r="A69" s="520" t="s">
        <v>459</v>
      </c>
      <c r="B69" s="592"/>
      <c r="C69" s="590"/>
      <c r="E69" s="590" t="n">
        <f aca="false">E68*$B$64</f>
        <v>1990.2629</v>
      </c>
      <c r="F69" s="590" t="n">
        <f aca="false">F68*$B$64</f>
        <v>1492.697175</v>
      </c>
      <c r="G69" s="590" t="n">
        <f aca="false">G68*$B$64</f>
        <v>995.13145</v>
      </c>
      <c r="H69" s="590" t="n">
        <f aca="false">H68*$B$64</f>
        <v>497.565725</v>
      </c>
      <c r="I69" s="590" t="n">
        <f aca="false">I68*$B$64</f>
        <v>0</v>
      </c>
      <c r="J69" s="590" t="n">
        <f aca="false">J68*$B$64</f>
        <v>0</v>
      </c>
      <c r="K69" s="590" t="n">
        <f aca="false">K68*$B$64</f>
        <v>0</v>
      </c>
      <c r="L69" s="590" t="n">
        <f aca="false">L68*$B$64</f>
        <v>0</v>
      </c>
      <c r="M69" s="590" t="n">
        <f aca="false">M68*$B$64</f>
        <v>0</v>
      </c>
      <c r="N69" s="590" t="n">
        <f aca="false">N68*$B$64</f>
        <v>0</v>
      </c>
      <c r="O69" s="590" t="n">
        <f aca="false">O68*$B$64</f>
        <v>0</v>
      </c>
      <c r="P69" s="590" t="n">
        <f aca="false">P68*$B$64</f>
        <v>0</v>
      </c>
      <c r="Q69" s="590" t="n">
        <f aca="false">Q68*$B$64</f>
        <v>0</v>
      </c>
      <c r="R69" s="590" t="n">
        <f aca="false">R68*$B$64</f>
        <v>0</v>
      </c>
      <c r="S69" s="590" t="n">
        <f aca="false">S68*$B$64</f>
        <v>0</v>
      </c>
      <c r="T69" s="590" t="n">
        <f aca="false">T68*$B$64</f>
        <v>0</v>
      </c>
      <c r="U69" s="590" t="n">
        <f aca="false">U68*$B$64</f>
        <v>0</v>
      </c>
      <c r="V69" s="590" t="n">
        <f aca="false">V68*$B$64</f>
        <v>0</v>
      </c>
      <c r="W69" s="590" t="n">
        <f aca="false">W68*$B$64</f>
        <v>0</v>
      </c>
      <c r="X69" s="590" t="n">
        <f aca="false">X68*$B$64</f>
        <v>0</v>
      </c>
      <c r="Y69" s="590" t="n">
        <f aca="false">Y68*$B$64</f>
        <v>0</v>
      </c>
      <c r="Z69" s="590" t="n">
        <f aca="false">Z68*$B$64</f>
        <v>0</v>
      </c>
      <c r="AA69" s="590" t="n">
        <f aca="false">AA68*$B$64</f>
        <v>0</v>
      </c>
      <c r="AB69" s="590" t="n">
        <f aca="false">AB68*$B$64</f>
        <v>0</v>
      </c>
      <c r="AC69" s="590" t="n">
        <f aca="false">AC68*$B$64</f>
        <v>0</v>
      </c>
    </row>
    <row r="70" customFormat="false" ht="12.6" hidden="false" customHeight="true" outlineLevel="0" collapsed="false">
      <c r="A70" s="520" t="s">
        <v>460</v>
      </c>
      <c r="B70" s="590"/>
      <c r="C70" s="590"/>
      <c r="E70" s="593" t="n">
        <f aca="false">$C$68*E74</f>
        <v>7393.25</v>
      </c>
      <c r="F70" s="593" t="n">
        <f aca="false">$C$68*F74</f>
        <v>7393.25</v>
      </c>
      <c r="G70" s="593" t="n">
        <f aca="false">$C$68*G74</f>
        <v>7393.25</v>
      </c>
      <c r="H70" s="593" t="n">
        <f aca="false">$C$68*H74</f>
        <v>7393.25</v>
      </c>
      <c r="I70" s="593" t="n">
        <f aca="false">$C$68*I74</f>
        <v>0</v>
      </c>
      <c r="J70" s="593" t="n">
        <f aca="false">$C$68*J74</f>
        <v>0</v>
      </c>
      <c r="K70" s="593" t="n">
        <f aca="false">$C$68*K74</f>
        <v>0</v>
      </c>
      <c r="L70" s="593" t="n">
        <f aca="false">$C$68*L74</f>
        <v>0</v>
      </c>
      <c r="M70" s="593" t="n">
        <f aca="false">$C$68*M74</f>
        <v>0</v>
      </c>
      <c r="N70" s="593" t="n">
        <f aca="false">$C$68*N74</f>
        <v>0</v>
      </c>
      <c r="O70" s="593" t="n">
        <f aca="false">$C$68*O74</f>
        <v>0</v>
      </c>
      <c r="P70" s="593" t="n">
        <f aca="false">$C$68*P74</f>
        <v>0</v>
      </c>
      <c r="Q70" s="593" t="n">
        <f aca="false">$C$68*Q74</f>
        <v>0</v>
      </c>
      <c r="R70" s="593" t="n">
        <f aca="false">$C$68*R74</f>
        <v>0</v>
      </c>
      <c r="S70" s="593" t="n">
        <f aca="false">$C$68*S74</f>
        <v>0</v>
      </c>
      <c r="T70" s="593" t="n">
        <f aca="false">$C$68*T74</f>
        <v>0</v>
      </c>
      <c r="U70" s="593" t="n">
        <f aca="false">$C$68*U74</f>
        <v>0</v>
      </c>
      <c r="V70" s="593" t="n">
        <f aca="false">$C$68*V74</f>
        <v>0</v>
      </c>
      <c r="W70" s="593" t="n">
        <f aca="false">$C$68*W74</f>
        <v>0</v>
      </c>
      <c r="X70" s="593" t="n">
        <f aca="false">$C$68*X74</f>
        <v>0</v>
      </c>
      <c r="Y70" s="593" t="n">
        <f aca="false">$C$68*Y74</f>
        <v>0</v>
      </c>
      <c r="Z70" s="593" t="n">
        <f aca="false">$C$68*Z74</f>
        <v>0</v>
      </c>
      <c r="AA70" s="593" t="n">
        <f aca="false">$C$68*AA74</f>
        <v>0</v>
      </c>
      <c r="AB70" s="593" t="n">
        <f aca="false">$C$68*AB74</f>
        <v>0</v>
      </c>
      <c r="AC70" s="593" t="n">
        <f aca="false">$C$68*AC74</f>
        <v>0</v>
      </c>
    </row>
    <row r="71" customFormat="false" ht="12.6" hidden="false" customHeight="true" outlineLevel="0" collapsed="false">
      <c r="A71" s="520" t="s">
        <v>461</v>
      </c>
      <c r="B71" s="590"/>
      <c r="C71" s="594"/>
      <c r="E71" s="594" t="n">
        <f aca="false">E70+E69</f>
        <v>9383.5129</v>
      </c>
      <c r="F71" s="594" t="n">
        <f aca="false">F70+F69</f>
        <v>8885.947175</v>
      </c>
      <c r="G71" s="594" t="n">
        <f aca="false">G70+G69</f>
        <v>8388.38145</v>
      </c>
      <c r="H71" s="594" t="n">
        <f aca="false">H70+H69</f>
        <v>7890.815725</v>
      </c>
      <c r="I71" s="594" t="n">
        <f aca="false">I70+I69</f>
        <v>0</v>
      </c>
      <c r="J71" s="594" t="n">
        <f aca="false">J70+J69</f>
        <v>0</v>
      </c>
      <c r="K71" s="594" t="n">
        <f aca="false">K70+K69</f>
        <v>0</v>
      </c>
      <c r="L71" s="594" t="n">
        <f aca="false">L70+L69</f>
        <v>0</v>
      </c>
      <c r="M71" s="594" t="n">
        <f aca="false">M70+M69</f>
        <v>0</v>
      </c>
      <c r="N71" s="594" t="n">
        <f aca="false">N70+N69</f>
        <v>0</v>
      </c>
      <c r="O71" s="594" t="n">
        <f aca="false">O70+O69</f>
        <v>0</v>
      </c>
      <c r="P71" s="594" t="n">
        <f aca="false">P70+P69</f>
        <v>0</v>
      </c>
      <c r="Q71" s="594" t="n">
        <f aca="false">Q70+Q69</f>
        <v>0</v>
      </c>
      <c r="R71" s="594" t="n">
        <f aca="false">R70+R69</f>
        <v>0</v>
      </c>
      <c r="S71" s="594" t="n">
        <f aca="false">S70+S69</f>
        <v>0</v>
      </c>
      <c r="T71" s="594" t="n">
        <f aca="false">T70+T69</f>
        <v>0</v>
      </c>
      <c r="U71" s="594" t="n">
        <f aca="false">U70+U69</f>
        <v>0</v>
      </c>
      <c r="V71" s="594" t="n">
        <f aca="false">V70+V69</f>
        <v>0</v>
      </c>
      <c r="W71" s="594" t="n">
        <f aca="false">W70+W69</f>
        <v>0</v>
      </c>
      <c r="X71" s="594" t="n">
        <f aca="false">X70+X69</f>
        <v>0</v>
      </c>
      <c r="Y71" s="594" t="n">
        <f aca="false">Y70+Y69</f>
        <v>0</v>
      </c>
      <c r="Z71" s="594" t="n">
        <f aca="false">Z70+Z69</f>
        <v>0</v>
      </c>
      <c r="AA71" s="594" t="n">
        <f aca="false">AA70+AA69</f>
        <v>0</v>
      </c>
      <c r="AB71" s="594" t="n">
        <f aca="false">AB70+AB69</f>
        <v>0</v>
      </c>
      <c r="AC71" s="594" t="n">
        <f aca="false">AC70+AC69</f>
        <v>0</v>
      </c>
    </row>
    <row r="72" customFormat="false" ht="12.6" hidden="false" customHeight="true" outlineLevel="0" collapsed="false">
      <c r="A72" s="520" t="s">
        <v>462</v>
      </c>
      <c r="B72" s="590"/>
      <c r="C72" s="590"/>
      <c r="E72" s="590" t="n">
        <f aca="false">E68-E70</f>
        <v>22179.75</v>
      </c>
      <c r="F72" s="590" t="n">
        <f aca="false">F68-F70</f>
        <v>14786.5</v>
      </c>
      <c r="G72" s="590" t="n">
        <f aca="false">G68-G70</f>
        <v>7393.25</v>
      </c>
      <c r="H72" s="590" t="n">
        <f aca="false">H68-H70</f>
        <v>0</v>
      </c>
      <c r="I72" s="590" t="n">
        <f aca="false">I68-I70</f>
        <v>0</v>
      </c>
      <c r="J72" s="590" t="n">
        <f aca="false">J68-J70</f>
        <v>0</v>
      </c>
      <c r="K72" s="590" t="n">
        <f aca="false">K68-K70</f>
        <v>0</v>
      </c>
      <c r="L72" s="590" t="n">
        <f aca="false">L68-L70</f>
        <v>0</v>
      </c>
      <c r="M72" s="590" t="n">
        <f aca="false">M68-M70</f>
        <v>0</v>
      </c>
      <c r="N72" s="590" t="n">
        <f aca="false">N68-N70</f>
        <v>0</v>
      </c>
      <c r="O72" s="590" t="n">
        <f aca="false">O68-O70</f>
        <v>0</v>
      </c>
      <c r="P72" s="590" t="n">
        <f aca="false">P68-P70</f>
        <v>0</v>
      </c>
      <c r="Q72" s="590" t="n">
        <f aca="false">Q68-Q70</f>
        <v>0</v>
      </c>
      <c r="R72" s="590" t="n">
        <f aca="false">R68-R70</f>
        <v>0</v>
      </c>
      <c r="S72" s="590" t="n">
        <f aca="false">S68-S70</f>
        <v>0</v>
      </c>
      <c r="T72" s="590" t="n">
        <f aca="false">T68-T70</f>
        <v>0</v>
      </c>
      <c r="U72" s="590" t="n">
        <f aca="false">U68-U70</f>
        <v>0</v>
      </c>
      <c r="V72" s="590" t="n">
        <f aca="false">V68-V70</f>
        <v>0</v>
      </c>
      <c r="W72" s="590" t="n">
        <f aca="false">W68-W70</f>
        <v>0</v>
      </c>
      <c r="X72" s="590" t="n">
        <f aca="false">X68-X70</f>
        <v>0</v>
      </c>
      <c r="Y72" s="590" t="n">
        <f aca="false">Y68-Y70</f>
        <v>0</v>
      </c>
      <c r="Z72" s="590" t="n">
        <f aca="false">Z68-Z70</f>
        <v>0</v>
      </c>
      <c r="AA72" s="590" t="n">
        <f aca="false">AA68-AA70</f>
        <v>0</v>
      </c>
      <c r="AB72" s="590" t="n">
        <f aca="false">AB68-AB70</f>
        <v>0</v>
      </c>
      <c r="AC72" s="590" t="n">
        <f aca="false">AC68-AC70</f>
        <v>0</v>
      </c>
    </row>
    <row r="73" customFormat="false" ht="12.6" hidden="false" customHeight="true" outlineLevel="0" collapsed="false">
      <c r="A73" s="520" t="s">
        <v>463</v>
      </c>
      <c r="B73" s="590"/>
      <c r="C73" s="595" t="n">
        <f aca="false">SUMPRODUCT(E70:AC70,E65:AC65)/SUM(E70:AC70)</f>
        <v>2.5</v>
      </c>
      <c r="D73" s="473"/>
      <c r="E73" s="592"/>
      <c r="F73" s="590"/>
      <c r="G73" s="590"/>
      <c r="H73" s="590"/>
      <c r="I73" s="590"/>
      <c r="J73" s="590"/>
      <c r="K73" s="590"/>
      <c r="L73" s="590"/>
      <c r="M73" s="590"/>
      <c r="N73" s="590"/>
      <c r="O73" s="590"/>
      <c r="P73" s="590"/>
      <c r="Q73" s="590"/>
      <c r="R73" s="590"/>
      <c r="S73" s="590"/>
      <c r="T73" s="590"/>
      <c r="U73" s="590"/>
      <c r="V73" s="590"/>
      <c r="W73" s="590"/>
      <c r="X73" s="590"/>
      <c r="Y73" s="590"/>
      <c r="Z73" s="590"/>
      <c r="AA73" s="590"/>
      <c r="AB73" s="590"/>
      <c r="AC73" s="590"/>
    </row>
    <row r="74" customFormat="false" ht="12.6" hidden="false" customHeight="true" outlineLevel="0" collapsed="false">
      <c r="B74" s="519"/>
      <c r="C74" s="596" t="s">
        <v>464</v>
      </c>
      <c r="D74" s="597" t="n">
        <f aca="false">SUM(E74:AC74)</f>
        <v>1</v>
      </c>
      <c r="E74" s="549" t="n">
        <v>0.25</v>
      </c>
      <c r="F74" s="549" t="n">
        <v>0.25</v>
      </c>
      <c r="G74" s="549" t="n">
        <v>0.25</v>
      </c>
      <c r="H74" s="549" t="n">
        <v>0.25</v>
      </c>
      <c r="I74" s="549" t="n">
        <v>0</v>
      </c>
      <c r="J74" s="549" t="n">
        <v>0</v>
      </c>
      <c r="K74" s="549" t="n">
        <v>0</v>
      </c>
      <c r="L74" s="549" t="n">
        <v>0</v>
      </c>
      <c r="M74" s="549" t="n">
        <v>0</v>
      </c>
      <c r="N74" s="549" t="n">
        <v>0</v>
      </c>
      <c r="O74" s="549" t="n">
        <v>0</v>
      </c>
      <c r="P74" s="549" t="n">
        <v>0</v>
      </c>
      <c r="Q74" s="549" t="n">
        <v>0</v>
      </c>
      <c r="R74" s="549" t="n">
        <v>0</v>
      </c>
      <c r="S74" s="549" t="n">
        <v>0</v>
      </c>
      <c r="T74" s="549" t="n">
        <v>0</v>
      </c>
      <c r="U74" s="549" t="n">
        <v>0</v>
      </c>
      <c r="V74" s="549" t="n">
        <v>0</v>
      </c>
      <c r="W74" s="549" t="n">
        <v>0</v>
      </c>
      <c r="X74" s="549" t="n">
        <v>0</v>
      </c>
      <c r="Y74" s="549" t="n">
        <v>0</v>
      </c>
      <c r="Z74" s="549" t="n">
        <v>0</v>
      </c>
      <c r="AA74" s="549" t="n">
        <v>0</v>
      </c>
      <c r="AB74" s="549" t="n">
        <v>0</v>
      </c>
      <c r="AC74" s="549" t="n">
        <v>0</v>
      </c>
    </row>
    <row r="75" customFormat="false" ht="12.6" hidden="false" customHeight="true" outlineLevel="0" collapsed="false"/>
    <row r="76" customFormat="false" ht="12.6" hidden="false" customHeight="true" outlineLevel="0" collapsed="false">
      <c r="A76" s="383" t="s">
        <v>465</v>
      </c>
    </row>
    <row r="77" customFormat="false" ht="12.6" hidden="false" customHeight="true" outlineLevel="0" collapsed="false">
      <c r="A77" s="366" t="s">
        <v>456</v>
      </c>
      <c r="B77" s="584" t="n">
        <f aca="false">principal2</f>
        <v>54410</v>
      </c>
    </row>
    <row r="78" customFormat="false" ht="12.75" hidden="false" customHeight="false" outlineLevel="0" collapsed="false">
      <c r="A78" s="387" t="s">
        <v>246</v>
      </c>
      <c r="B78" s="585" t="n">
        <f aca="false">Int2</f>
        <v>0.0757</v>
      </c>
    </row>
    <row r="79" customFormat="false" ht="12.75" hidden="false" customHeight="false" outlineLevel="0" collapsed="false">
      <c r="A79" s="499" t="s">
        <v>243</v>
      </c>
      <c r="B79" s="470" t="n">
        <f aca="false">term2</f>
        <v>10</v>
      </c>
      <c r="E79" s="586" t="n">
        <f aca="false">E4</f>
        <v>1</v>
      </c>
      <c r="F79" s="586" t="n">
        <f aca="false">F4</f>
        <v>2</v>
      </c>
      <c r="G79" s="586" t="n">
        <f aca="false">G4</f>
        <v>3</v>
      </c>
      <c r="H79" s="586" t="n">
        <f aca="false">H4</f>
        <v>4</v>
      </c>
      <c r="I79" s="586" t="n">
        <f aca="false">I4</f>
        <v>5</v>
      </c>
      <c r="J79" s="586" t="n">
        <f aca="false">J4</f>
        <v>6</v>
      </c>
      <c r="K79" s="586" t="n">
        <f aca="false">K4</f>
        <v>7</v>
      </c>
      <c r="L79" s="586" t="n">
        <f aca="false">L4</f>
        <v>8</v>
      </c>
      <c r="M79" s="586" t="n">
        <f aca="false">M4</f>
        <v>9</v>
      </c>
      <c r="N79" s="586" t="n">
        <f aca="false">N4</f>
        <v>10</v>
      </c>
      <c r="O79" s="586" t="n">
        <f aca="false">O4</f>
        <v>11</v>
      </c>
      <c r="P79" s="586" t="n">
        <f aca="false">P4</f>
        <v>12</v>
      </c>
      <c r="Q79" s="586" t="n">
        <f aca="false">Q4</f>
        <v>13</v>
      </c>
      <c r="R79" s="586" t="n">
        <f aca="false">R4</f>
        <v>14</v>
      </c>
      <c r="S79" s="586" t="n">
        <f aca="false">S4</f>
        <v>15</v>
      </c>
      <c r="T79" s="586" t="n">
        <f aca="false">T4</f>
        <v>16</v>
      </c>
      <c r="U79" s="586" t="n">
        <f aca="false">U4</f>
        <v>17</v>
      </c>
      <c r="V79" s="586" t="n">
        <f aca="false">V4</f>
        <v>18</v>
      </c>
      <c r="W79" s="586" t="n">
        <f aca="false">W4</f>
        <v>19</v>
      </c>
      <c r="X79" s="586" t="n">
        <f aca="false">X4</f>
        <v>20</v>
      </c>
      <c r="Y79" s="586" t="n">
        <f aca="false">Y4</f>
        <v>21</v>
      </c>
      <c r="Z79" s="586" t="n">
        <f aca="false">Z4</f>
        <v>22</v>
      </c>
      <c r="AA79" s="586" t="n">
        <f aca="false">AA4</f>
        <v>23</v>
      </c>
      <c r="AB79" s="586" t="n">
        <f aca="false">AB4</f>
        <v>24</v>
      </c>
      <c r="AC79" s="586" t="n">
        <f aca="false">AC4</f>
        <v>25</v>
      </c>
    </row>
    <row r="80" customFormat="false" ht="12.75" hidden="false" customHeight="false" outlineLevel="0" collapsed="false">
      <c r="A80" s="432"/>
      <c r="B80" s="432"/>
      <c r="C80" s="383" t="s">
        <v>457</v>
      </c>
      <c r="E80" s="586" t="n">
        <f aca="false">E5</f>
        <v>2000</v>
      </c>
      <c r="F80" s="586" t="n">
        <f aca="false">F5</f>
        <v>2001</v>
      </c>
      <c r="G80" s="586" t="n">
        <f aca="false">G5</f>
        <v>2002</v>
      </c>
      <c r="H80" s="586" t="n">
        <f aca="false">H5</f>
        <v>2003</v>
      </c>
      <c r="I80" s="586" t="n">
        <f aca="false">I5</f>
        <v>2004</v>
      </c>
      <c r="J80" s="586" t="n">
        <f aca="false">J5</f>
        <v>2005</v>
      </c>
      <c r="K80" s="586" t="n">
        <f aca="false">K5</f>
        <v>2006</v>
      </c>
      <c r="L80" s="586" t="n">
        <f aca="false">L5</f>
        <v>2007</v>
      </c>
      <c r="M80" s="586" t="n">
        <f aca="false">M5</f>
        <v>2008</v>
      </c>
      <c r="N80" s="586" t="n">
        <f aca="false">N5</f>
        <v>2009</v>
      </c>
      <c r="O80" s="586" t="n">
        <f aca="false">O5</f>
        <v>2010</v>
      </c>
      <c r="P80" s="586" t="n">
        <f aca="false">P5</f>
        <v>2011</v>
      </c>
      <c r="Q80" s="586" t="n">
        <f aca="false">Q5</f>
        <v>2012</v>
      </c>
      <c r="R80" s="586" t="n">
        <f aca="false">R5</f>
        <v>2013</v>
      </c>
      <c r="S80" s="586" t="n">
        <f aca="false">S5</f>
        <v>2014</v>
      </c>
      <c r="T80" s="586" t="n">
        <f aca="false">T5</f>
        <v>2015</v>
      </c>
      <c r="U80" s="586" t="n">
        <f aca="false">U5</f>
        <v>2016</v>
      </c>
      <c r="V80" s="586" t="n">
        <f aca="false">V5</f>
        <v>2017</v>
      </c>
      <c r="W80" s="586" t="n">
        <f aca="false">W5</f>
        <v>2018</v>
      </c>
      <c r="X80" s="586" t="n">
        <f aca="false">X5</f>
        <v>2019</v>
      </c>
      <c r="Y80" s="586" t="n">
        <f aca="false">Y5</f>
        <v>2020</v>
      </c>
      <c r="Z80" s="586" t="n">
        <f aca="false">Z5</f>
        <v>2021</v>
      </c>
      <c r="AA80" s="586" t="n">
        <f aca="false">AA5</f>
        <v>2022</v>
      </c>
      <c r="AB80" s="586" t="n">
        <f aca="false">AB5</f>
        <v>2023</v>
      </c>
      <c r="AC80" s="586" t="n">
        <f aca="false">AC5</f>
        <v>2024</v>
      </c>
    </row>
    <row r="81" customFormat="false" ht="12.75" hidden="false" customHeight="false" outlineLevel="0" collapsed="false">
      <c r="A81" s="587"/>
      <c r="B81" s="588"/>
      <c r="C81" s="588"/>
      <c r="D81" s="588"/>
      <c r="E81" s="589"/>
      <c r="F81" s="589"/>
      <c r="G81" s="589"/>
      <c r="H81" s="589"/>
      <c r="I81" s="589"/>
      <c r="J81" s="589"/>
      <c r="K81" s="589"/>
      <c r="L81" s="589"/>
      <c r="M81" s="589"/>
      <c r="N81" s="589"/>
      <c r="O81" s="589"/>
      <c r="P81" s="589"/>
      <c r="Q81" s="589"/>
      <c r="R81" s="589"/>
      <c r="S81" s="589"/>
    </row>
    <row r="82" customFormat="false" ht="12.75" hidden="false" customHeight="false" outlineLevel="0" collapsed="false">
      <c r="A82" s="520" t="s">
        <v>458</v>
      </c>
      <c r="B82" s="590"/>
      <c r="C82" s="591" t="n">
        <f aca="false">B77</f>
        <v>54410</v>
      </c>
      <c r="E82" s="590" t="n">
        <f aca="false">C82</f>
        <v>54410</v>
      </c>
      <c r="F82" s="590" t="n">
        <f aca="false">E86</f>
        <v>54410</v>
      </c>
      <c r="G82" s="590" t="n">
        <f aca="false">F86</f>
        <v>54410</v>
      </c>
      <c r="H82" s="590" t="n">
        <f aca="false">G86</f>
        <v>51689.5</v>
      </c>
      <c r="I82" s="590" t="n">
        <f aca="false">H86</f>
        <v>46248.5</v>
      </c>
      <c r="J82" s="590" t="n">
        <f aca="false">I86</f>
        <v>40807.5</v>
      </c>
      <c r="K82" s="590" t="n">
        <f aca="false">J86</f>
        <v>35366.5</v>
      </c>
      <c r="L82" s="590" t="n">
        <f aca="false">K86</f>
        <v>29925.5</v>
      </c>
      <c r="M82" s="590" t="n">
        <f aca="false">L86</f>
        <v>24484.5</v>
      </c>
      <c r="N82" s="590" t="n">
        <f aca="false">M86</f>
        <v>13602.5</v>
      </c>
      <c r="O82" s="590" t="n">
        <f aca="false">N86</f>
        <v>0</v>
      </c>
      <c r="P82" s="590" t="n">
        <f aca="false">O86</f>
        <v>0</v>
      </c>
      <c r="Q82" s="590" t="n">
        <f aca="false">P86</f>
        <v>0</v>
      </c>
      <c r="R82" s="590" t="n">
        <f aca="false">Q86</f>
        <v>0</v>
      </c>
      <c r="S82" s="590" t="n">
        <f aca="false">R86</f>
        <v>0</v>
      </c>
      <c r="T82" s="590" t="n">
        <f aca="false">S86</f>
        <v>0</v>
      </c>
      <c r="U82" s="590" t="n">
        <f aca="false">T86</f>
        <v>0</v>
      </c>
      <c r="V82" s="590" t="n">
        <f aca="false">U86</f>
        <v>0</v>
      </c>
      <c r="W82" s="590" t="n">
        <f aca="false">V86</f>
        <v>0</v>
      </c>
      <c r="X82" s="590" t="n">
        <f aca="false">W86</f>
        <v>0</v>
      </c>
      <c r="Y82" s="590" t="n">
        <f aca="false">X86</f>
        <v>0</v>
      </c>
      <c r="Z82" s="590" t="n">
        <f aca="false">Y86</f>
        <v>0</v>
      </c>
      <c r="AA82" s="590" t="n">
        <f aca="false">Z86</f>
        <v>0</v>
      </c>
      <c r="AB82" s="590" t="n">
        <f aca="false">AA86</f>
        <v>0</v>
      </c>
      <c r="AC82" s="590" t="n">
        <f aca="false">AB86</f>
        <v>0</v>
      </c>
    </row>
    <row r="83" customFormat="false" ht="12.75" hidden="false" customHeight="false" outlineLevel="0" collapsed="false">
      <c r="A83" s="520" t="s">
        <v>459</v>
      </c>
      <c r="B83" s="592"/>
      <c r="C83" s="590"/>
      <c r="E83" s="590" t="n">
        <f aca="false">E82*$B$78</f>
        <v>4118.837</v>
      </c>
      <c r="F83" s="590" t="n">
        <f aca="false">F82*$B$78</f>
        <v>4118.837</v>
      </c>
      <c r="G83" s="590" t="n">
        <f aca="false">G82*$B$78</f>
        <v>4118.837</v>
      </c>
      <c r="H83" s="590" t="n">
        <f aca="false">H82*$B$78</f>
        <v>3912.89515</v>
      </c>
      <c r="I83" s="590" t="n">
        <f aca="false">I82*$B$78</f>
        <v>3501.01145</v>
      </c>
      <c r="J83" s="590" t="n">
        <f aca="false">J82*$B$78</f>
        <v>3089.12775</v>
      </c>
      <c r="K83" s="590" t="n">
        <f aca="false">K82*$B$78</f>
        <v>2677.24405</v>
      </c>
      <c r="L83" s="590" t="n">
        <f aca="false">L82*$B$78</f>
        <v>2265.36035</v>
      </c>
      <c r="M83" s="590" t="n">
        <f aca="false">M82*$B$78</f>
        <v>1853.47665</v>
      </c>
      <c r="N83" s="590" t="n">
        <f aca="false">N82*$B$78</f>
        <v>1029.70925</v>
      </c>
      <c r="O83" s="590" t="n">
        <f aca="false">O82*$B$78</f>
        <v>0</v>
      </c>
      <c r="P83" s="590" t="n">
        <f aca="false">P82*$B$78</f>
        <v>0</v>
      </c>
      <c r="Q83" s="590" t="n">
        <f aca="false">Q82*$B$78</f>
        <v>0</v>
      </c>
      <c r="R83" s="590" t="n">
        <f aca="false">R82*$B$78</f>
        <v>0</v>
      </c>
      <c r="S83" s="590" t="n">
        <f aca="false">S82*$B$78</f>
        <v>0</v>
      </c>
      <c r="T83" s="590" t="n">
        <f aca="false">T82*$B$78</f>
        <v>0</v>
      </c>
      <c r="U83" s="590" t="n">
        <f aca="false">U82*$B$78</f>
        <v>0</v>
      </c>
      <c r="V83" s="590" t="n">
        <f aca="false">V82*$B$78</f>
        <v>0</v>
      </c>
      <c r="W83" s="590" t="n">
        <f aca="false">W82*$B$78</f>
        <v>0</v>
      </c>
      <c r="X83" s="590" t="n">
        <f aca="false">X82*$B$78</f>
        <v>0</v>
      </c>
      <c r="Y83" s="590" t="n">
        <f aca="false">Y82*$B$78</f>
        <v>0</v>
      </c>
      <c r="Z83" s="590" t="n">
        <f aca="false">Z82*$B$78</f>
        <v>0</v>
      </c>
      <c r="AA83" s="590" t="n">
        <f aca="false">AA82*$B$78</f>
        <v>0</v>
      </c>
      <c r="AB83" s="590" t="n">
        <f aca="false">AB82*$B$78</f>
        <v>0</v>
      </c>
      <c r="AC83" s="590" t="n">
        <f aca="false">AC82*$B$78</f>
        <v>0</v>
      </c>
    </row>
    <row r="84" customFormat="false" ht="12.6" hidden="false" customHeight="true" outlineLevel="0" collapsed="false">
      <c r="A84" s="520" t="s">
        <v>460</v>
      </c>
      <c r="B84" s="590"/>
      <c r="C84" s="590"/>
      <c r="E84" s="593" t="n">
        <f aca="false">$C$82*E88</f>
        <v>0</v>
      </c>
      <c r="F84" s="593" t="n">
        <f aca="false">$C$82*F88</f>
        <v>0</v>
      </c>
      <c r="G84" s="593" t="n">
        <f aca="false">$C$82*G88</f>
        <v>2720.5</v>
      </c>
      <c r="H84" s="593" t="n">
        <f aca="false">$C$82*H88</f>
        <v>5441</v>
      </c>
      <c r="I84" s="593" t="n">
        <f aca="false">$C$82*I88</f>
        <v>5441</v>
      </c>
      <c r="J84" s="593" t="n">
        <f aca="false">$C$82*J88</f>
        <v>5441</v>
      </c>
      <c r="K84" s="593" t="n">
        <f aca="false">$C$82*K88</f>
        <v>5441</v>
      </c>
      <c r="L84" s="593" t="n">
        <f aca="false">$C$82*L88</f>
        <v>5441</v>
      </c>
      <c r="M84" s="593" t="n">
        <f aca="false">$C$82*M88</f>
        <v>10882</v>
      </c>
      <c r="N84" s="593" t="n">
        <f aca="false">$C$82*N88</f>
        <v>13602.5</v>
      </c>
      <c r="O84" s="593" t="n">
        <f aca="false">$C$82*O88</f>
        <v>0</v>
      </c>
      <c r="P84" s="593" t="n">
        <f aca="false">$C$82*P88</f>
        <v>0</v>
      </c>
      <c r="Q84" s="593" t="n">
        <f aca="false">$C$82*Q88</f>
        <v>0</v>
      </c>
      <c r="R84" s="593" t="n">
        <f aca="false">$C$82*R88</f>
        <v>0</v>
      </c>
      <c r="S84" s="593" t="n">
        <f aca="false">$C$82*S88</f>
        <v>0</v>
      </c>
      <c r="T84" s="593" t="n">
        <f aca="false">$C$82*T88</f>
        <v>0</v>
      </c>
      <c r="U84" s="593" t="n">
        <f aca="false">$C$82*U88</f>
        <v>0</v>
      </c>
      <c r="V84" s="593" t="n">
        <f aca="false">$C$82*V88</f>
        <v>0</v>
      </c>
      <c r="W84" s="593" t="n">
        <f aca="false">$C$82*W88</f>
        <v>0</v>
      </c>
      <c r="X84" s="593" t="n">
        <f aca="false">$C$82*X88</f>
        <v>0</v>
      </c>
      <c r="Y84" s="593" t="n">
        <f aca="false">$C$82*Y88</f>
        <v>0</v>
      </c>
      <c r="Z84" s="593" t="n">
        <f aca="false">$C$82*Z88</f>
        <v>0</v>
      </c>
      <c r="AA84" s="593" t="n">
        <f aca="false">$C$82*AA88</f>
        <v>0</v>
      </c>
      <c r="AB84" s="593" t="n">
        <f aca="false">$C$82*AB88</f>
        <v>0</v>
      </c>
      <c r="AC84" s="593" t="n">
        <f aca="false">$C$82*AC88</f>
        <v>0</v>
      </c>
    </row>
    <row r="85" customFormat="false" ht="12.6" hidden="false" customHeight="true" outlineLevel="0" collapsed="false">
      <c r="A85" s="520" t="s">
        <v>461</v>
      </c>
      <c r="B85" s="590"/>
      <c r="C85" s="594"/>
      <c r="E85" s="594" t="n">
        <f aca="false">E84+E83</f>
        <v>4118.837</v>
      </c>
      <c r="F85" s="594" t="n">
        <f aca="false">F84+F83</f>
        <v>4118.837</v>
      </c>
      <c r="G85" s="594" t="n">
        <f aca="false">G84+G83</f>
        <v>6839.337</v>
      </c>
      <c r="H85" s="594" t="n">
        <f aca="false">H84+H83</f>
        <v>9353.89515</v>
      </c>
      <c r="I85" s="594" t="n">
        <f aca="false">I84+I83</f>
        <v>8942.01145</v>
      </c>
      <c r="J85" s="594" t="n">
        <f aca="false">J84+J83</f>
        <v>8530.12775</v>
      </c>
      <c r="K85" s="594" t="n">
        <f aca="false">K84+K83</f>
        <v>8118.24405</v>
      </c>
      <c r="L85" s="594" t="n">
        <f aca="false">L84+L83</f>
        <v>7706.36035</v>
      </c>
      <c r="M85" s="594" t="n">
        <f aca="false">M84+M83</f>
        <v>12735.47665</v>
      </c>
      <c r="N85" s="594" t="n">
        <f aca="false">N84+N83</f>
        <v>14632.20925</v>
      </c>
      <c r="O85" s="594" t="n">
        <f aca="false">O84+O83</f>
        <v>0</v>
      </c>
      <c r="P85" s="594" t="n">
        <f aca="false">P84+P83</f>
        <v>0</v>
      </c>
      <c r="Q85" s="594" t="n">
        <f aca="false">Q84+Q83</f>
        <v>0</v>
      </c>
      <c r="R85" s="594" t="n">
        <f aca="false">R84+R83</f>
        <v>0</v>
      </c>
      <c r="S85" s="594" t="n">
        <f aca="false">S84+S83</f>
        <v>0</v>
      </c>
      <c r="T85" s="594" t="n">
        <f aca="false">T84+T83</f>
        <v>0</v>
      </c>
      <c r="U85" s="594" t="n">
        <f aca="false">U84+U83</f>
        <v>0</v>
      </c>
      <c r="V85" s="594" t="n">
        <f aca="false">V84+V83</f>
        <v>0</v>
      </c>
      <c r="W85" s="594" t="n">
        <f aca="false">W84+W83</f>
        <v>0</v>
      </c>
      <c r="X85" s="594" t="n">
        <f aca="false">X84+X83</f>
        <v>0</v>
      </c>
      <c r="Y85" s="594" t="n">
        <f aca="false">Y84+Y83</f>
        <v>0</v>
      </c>
      <c r="Z85" s="594" t="n">
        <f aca="false">Z84+Z83</f>
        <v>0</v>
      </c>
      <c r="AA85" s="594" t="n">
        <f aca="false">AA84+AA83</f>
        <v>0</v>
      </c>
      <c r="AB85" s="594" t="n">
        <f aca="false">AB84+AB83</f>
        <v>0</v>
      </c>
      <c r="AC85" s="594" t="n">
        <f aca="false">AC84+AC83</f>
        <v>0</v>
      </c>
    </row>
    <row r="86" customFormat="false" ht="12.6" hidden="false" customHeight="true" outlineLevel="0" collapsed="false">
      <c r="A86" s="520" t="s">
        <v>462</v>
      </c>
      <c r="B86" s="590"/>
      <c r="C86" s="590"/>
      <c r="E86" s="590" t="n">
        <f aca="false">E82-E84</f>
        <v>54410</v>
      </c>
      <c r="F86" s="590" t="n">
        <f aca="false">F82-F84</f>
        <v>54410</v>
      </c>
      <c r="G86" s="590" t="n">
        <f aca="false">G82-G84</f>
        <v>51689.5</v>
      </c>
      <c r="H86" s="590" t="n">
        <f aca="false">H82-H84</f>
        <v>46248.5</v>
      </c>
      <c r="I86" s="590" t="n">
        <f aca="false">I82-I84</f>
        <v>40807.5</v>
      </c>
      <c r="J86" s="590" t="n">
        <f aca="false">J82-J84</f>
        <v>35366.5</v>
      </c>
      <c r="K86" s="590" t="n">
        <f aca="false">K82-K84</f>
        <v>29925.5</v>
      </c>
      <c r="L86" s="590" t="n">
        <f aca="false">L82-L84</f>
        <v>24484.5</v>
      </c>
      <c r="M86" s="590" t="n">
        <f aca="false">M82-M84</f>
        <v>13602.5</v>
      </c>
      <c r="N86" s="590" t="n">
        <f aca="false">N82-N84</f>
        <v>0</v>
      </c>
      <c r="O86" s="590" t="n">
        <f aca="false">O82-O84</f>
        <v>0</v>
      </c>
      <c r="P86" s="590" t="n">
        <f aca="false">P82-P84</f>
        <v>0</v>
      </c>
      <c r="Q86" s="590" t="n">
        <f aca="false">Q82-Q84</f>
        <v>0</v>
      </c>
      <c r="R86" s="590" t="n">
        <f aca="false">R82-R84</f>
        <v>0</v>
      </c>
      <c r="S86" s="590" t="n">
        <f aca="false">S82-S84</f>
        <v>0</v>
      </c>
      <c r="T86" s="590" t="n">
        <f aca="false">T82-T84</f>
        <v>0</v>
      </c>
      <c r="U86" s="590" t="n">
        <f aca="false">U82-U84</f>
        <v>0</v>
      </c>
      <c r="V86" s="590" t="n">
        <f aca="false">V82-V84</f>
        <v>0</v>
      </c>
      <c r="W86" s="590" t="n">
        <f aca="false">W82-W84</f>
        <v>0</v>
      </c>
      <c r="X86" s="590" t="n">
        <f aca="false">X82-X84</f>
        <v>0</v>
      </c>
      <c r="Y86" s="590" t="n">
        <f aca="false">Y82-Y84</f>
        <v>0</v>
      </c>
      <c r="Z86" s="590" t="n">
        <f aca="false">Z82-Z84</f>
        <v>0</v>
      </c>
      <c r="AA86" s="590" t="n">
        <f aca="false">AA82-AA84</f>
        <v>0</v>
      </c>
      <c r="AB86" s="590" t="n">
        <f aca="false">AB82-AB84</f>
        <v>0</v>
      </c>
      <c r="AC86" s="590" t="n">
        <f aca="false">AC82-AC84</f>
        <v>0</v>
      </c>
    </row>
    <row r="87" customFormat="false" ht="12.6" hidden="false" customHeight="true" outlineLevel="0" collapsed="false">
      <c r="A87" s="520" t="s">
        <v>463</v>
      </c>
      <c r="B87" s="590"/>
      <c r="C87" s="598" t="n">
        <f aca="false">SUMPRODUCT(E84:AC84,E79:AC79)/SUM(E84:AC84)</f>
        <v>7.45</v>
      </c>
      <c r="E87" s="592"/>
      <c r="F87" s="590"/>
      <c r="G87" s="590"/>
      <c r="H87" s="590"/>
      <c r="I87" s="590"/>
      <c r="J87" s="590"/>
      <c r="K87" s="590"/>
      <c r="L87" s="590"/>
      <c r="M87" s="590"/>
      <c r="N87" s="590"/>
      <c r="O87" s="590"/>
      <c r="P87" s="590"/>
      <c r="Q87" s="590"/>
      <c r="R87" s="590"/>
      <c r="S87" s="590"/>
      <c r="T87" s="590"/>
      <c r="U87" s="590"/>
      <c r="V87" s="590"/>
      <c r="W87" s="590"/>
      <c r="X87" s="590"/>
      <c r="Y87" s="590"/>
      <c r="Z87" s="590"/>
      <c r="AA87" s="590"/>
      <c r="AB87" s="590"/>
      <c r="AC87" s="590"/>
    </row>
    <row r="88" customFormat="false" ht="12.6" hidden="false" customHeight="true" outlineLevel="0" collapsed="false">
      <c r="B88" s="519"/>
      <c r="C88" s="596" t="s">
        <v>464</v>
      </c>
      <c r="D88" s="597" t="n">
        <f aca="false">SUM(E88:AC88)</f>
        <v>1</v>
      </c>
      <c r="E88" s="549" t="n">
        <v>0</v>
      </c>
      <c r="F88" s="549" t="n">
        <v>0</v>
      </c>
      <c r="G88" s="549" t="n">
        <v>0.05</v>
      </c>
      <c r="H88" s="549" t="n">
        <v>0.1</v>
      </c>
      <c r="I88" s="549" t="n">
        <v>0.1</v>
      </c>
      <c r="J88" s="549" t="n">
        <v>0.1</v>
      </c>
      <c r="K88" s="549" t="n">
        <v>0.1</v>
      </c>
      <c r="L88" s="549" t="n">
        <v>0.1</v>
      </c>
      <c r="M88" s="549" t="n">
        <v>0.2</v>
      </c>
      <c r="N88" s="549" t="n">
        <v>0.25</v>
      </c>
      <c r="O88" s="549" t="n">
        <v>0</v>
      </c>
      <c r="P88" s="549" t="n">
        <v>0</v>
      </c>
      <c r="Q88" s="549" t="n">
        <v>0</v>
      </c>
      <c r="R88" s="549" t="n">
        <v>0</v>
      </c>
      <c r="S88" s="549" t="n">
        <v>0</v>
      </c>
      <c r="T88" s="549" t="n">
        <v>0</v>
      </c>
      <c r="U88" s="549" t="n">
        <v>0</v>
      </c>
      <c r="V88" s="549" t="n">
        <v>0</v>
      </c>
      <c r="W88" s="549" t="n">
        <v>0</v>
      </c>
      <c r="X88" s="549" t="n">
        <v>0</v>
      </c>
      <c r="Y88" s="549" t="n">
        <v>0</v>
      </c>
      <c r="Z88" s="549" t="n">
        <v>0</v>
      </c>
      <c r="AA88" s="549" t="n">
        <v>0</v>
      </c>
      <c r="AB88" s="549" t="n">
        <v>0</v>
      </c>
      <c r="AC88" s="549" t="n">
        <v>0</v>
      </c>
    </row>
    <row r="89" customFormat="false" ht="12.6" hidden="false" customHeight="true" outlineLevel="0" collapsed="false"/>
    <row r="90" customFormat="false" ht="12.6" hidden="false" customHeight="true" outlineLevel="0" collapsed="false">
      <c r="A90" s="383" t="s">
        <v>466</v>
      </c>
    </row>
    <row r="91" customFormat="false" ht="12.6" hidden="false" customHeight="true" outlineLevel="0" collapsed="false">
      <c r="A91" s="366" t="s">
        <v>456</v>
      </c>
      <c r="B91" s="584" t="n">
        <f aca="false">principal3</f>
        <v>98814</v>
      </c>
    </row>
    <row r="92" customFormat="false" ht="12.6" hidden="false" customHeight="true" outlineLevel="0" collapsed="false">
      <c r="A92" s="387" t="s">
        <v>246</v>
      </c>
      <c r="B92" s="585" t="n">
        <f aca="false">Int3</f>
        <v>0.0818</v>
      </c>
      <c r="AI92" s="473"/>
      <c r="AJ92" s="473"/>
      <c r="AK92" s="473"/>
      <c r="AL92" s="473"/>
      <c r="AM92" s="473"/>
      <c r="AN92" s="473"/>
      <c r="AO92" s="473"/>
      <c r="AP92" s="473"/>
      <c r="AQ92" s="473"/>
      <c r="AR92" s="473"/>
      <c r="AS92" s="473"/>
      <c r="AT92" s="473"/>
      <c r="AU92" s="473"/>
      <c r="AV92" s="473"/>
      <c r="AW92" s="473"/>
      <c r="AX92" s="473"/>
      <c r="AY92" s="473"/>
      <c r="AZ92" s="473"/>
      <c r="BA92" s="473"/>
      <c r="BB92" s="473"/>
      <c r="BC92" s="473"/>
      <c r="BD92" s="473"/>
      <c r="BE92" s="473"/>
      <c r="BF92" s="473"/>
      <c r="BG92" s="473"/>
      <c r="BH92" s="473"/>
      <c r="BI92" s="473"/>
      <c r="BJ92" s="473"/>
      <c r="BK92" s="473"/>
      <c r="BL92" s="473"/>
      <c r="BM92" s="473"/>
      <c r="BN92" s="473"/>
      <c r="BO92" s="473"/>
      <c r="BP92" s="473"/>
      <c r="BQ92" s="473"/>
      <c r="BR92" s="473"/>
      <c r="BS92" s="473"/>
      <c r="BT92" s="473"/>
      <c r="BU92" s="473"/>
      <c r="BV92" s="473"/>
      <c r="BW92" s="473"/>
      <c r="BX92" s="473"/>
      <c r="BY92" s="473"/>
      <c r="BZ92" s="473"/>
      <c r="CA92" s="473"/>
      <c r="CB92" s="473"/>
      <c r="CC92" s="473"/>
      <c r="CD92" s="473"/>
      <c r="CE92" s="473"/>
      <c r="CF92" s="473"/>
      <c r="CG92" s="473"/>
      <c r="CH92" s="473"/>
      <c r="CI92" s="473"/>
      <c r="CJ92" s="473"/>
      <c r="CK92" s="473"/>
      <c r="CL92" s="473"/>
      <c r="CM92" s="473"/>
      <c r="CN92" s="473"/>
      <c r="CO92" s="473"/>
      <c r="CP92" s="473"/>
      <c r="CQ92" s="473"/>
      <c r="CR92" s="473"/>
      <c r="CS92" s="473"/>
      <c r="CT92" s="473"/>
      <c r="CU92" s="473"/>
      <c r="CV92" s="473"/>
      <c r="CW92" s="473"/>
      <c r="CX92" s="473"/>
      <c r="CY92" s="473"/>
      <c r="CZ92" s="473"/>
      <c r="DA92" s="473"/>
      <c r="DB92" s="473"/>
      <c r="DC92" s="473"/>
      <c r="DD92" s="473"/>
      <c r="DE92" s="473"/>
      <c r="DF92" s="473"/>
      <c r="DG92" s="473"/>
      <c r="DH92" s="473"/>
      <c r="DI92" s="473"/>
      <c r="DJ92" s="473"/>
      <c r="DK92" s="473"/>
      <c r="DL92" s="473"/>
      <c r="DM92" s="473"/>
      <c r="DN92" s="473"/>
      <c r="DO92" s="473"/>
      <c r="DP92" s="473"/>
      <c r="DQ92" s="473"/>
      <c r="DR92" s="473"/>
      <c r="DS92" s="473"/>
      <c r="DT92" s="473"/>
      <c r="DU92" s="473"/>
      <c r="DV92" s="473"/>
      <c r="DW92" s="473"/>
      <c r="DX92" s="473"/>
      <c r="DY92" s="473"/>
      <c r="DZ92" s="473"/>
      <c r="EA92" s="473"/>
      <c r="EB92" s="473"/>
      <c r="EC92" s="473"/>
      <c r="ED92" s="473"/>
      <c r="EE92" s="473"/>
      <c r="EF92" s="473"/>
      <c r="EG92" s="473"/>
      <c r="EH92" s="473"/>
      <c r="EI92" s="473"/>
      <c r="EJ92" s="473"/>
      <c r="EK92" s="473"/>
      <c r="EL92" s="473"/>
      <c r="EM92" s="473"/>
      <c r="EN92" s="473"/>
      <c r="EO92" s="473"/>
      <c r="EP92" s="473"/>
      <c r="EQ92" s="473"/>
      <c r="ER92" s="473"/>
      <c r="ES92" s="473"/>
      <c r="ET92" s="473"/>
      <c r="EU92" s="473"/>
      <c r="EV92" s="473"/>
      <c r="EW92" s="473"/>
      <c r="EX92" s="473"/>
      <c r="EY92" s="473"/>
      <c r="EZ92" s="473"/>
      <c r="FA92" s="473"/>
      <c r="FB92" s="473"/>
      <c r="FC92" s="473"/>
      <c r="FD92" s="473"/>
      <c r="FE92" s="473"/>
      <c r="FF92" s="473"/>
      <c r="FG92" s="473"/>
      <c r="FH92" s="473"/>
      <c r="FI92" s="473"/>
      <c r="FJ92" s="473"/>
      <c r="FK92" s="473"/>
      <c r="FL92" s="473"/>
      <c r="FM92" s="473"/>
      <c r="FN92" s="473"/>
      <c r="FO92" s="473"/>
      <c r="FP92" s="473"/>
      <c r="FQ92" s="473"/>
      <c r="FR92" s="473"/>
      <c r="FS92" s="473"/>
      <c r="FT92" s="473"/>
      <c r="FU92" s="473"/>
      <c r="FV92" s="473"/>
      <c r="FW92" s="473"/>
      <c r="FX92" s="473"/>
      <c r="FY92" s="473"/>
      <c r="FZ92" s="473"/>
      <c r="GA92" s="473"/>
      <c r="GB92" s="473"/>
      <c r="GC92" s="473"/>
      <c r="GD92" s="473"/>
      <c r="GE92" s="473"/>
      <c r="GF92" s="473"/>
      <c r="GG92" s="473"/>
      <c r="GH92" s="473"/>
      <c r="GI92" s="473"/>
      <c r="GJ92" s="473"/>
      <c r="GK92" s="473"/>
      <c r="GL92" s="473"/>
      <c r="GM92" s="473"/>
      <c r="GN92" s="473"/>
      <c r="GO92" s="473"/>
      <c r="GP92" s="473"/>
      <c r="GQ92" s="473"/>
      <c r="GR92" s="473"/>
      <c r="GS92" s="473"/>
      <c r="GT92" s="473"/>
      <c r="GU92" s="473"/>
      <c r="GV92" s="473"/>
      <c r="GW92" s="473"/>
      <c r="GX92" s="473"/>
      <c r="GY92" s="473"/>
      <c r="GZ92" s="473"/>
      <c r="HA92" s="473"/>
      <c r="HB92" s="473"/>
      <c r="HC92" s="473"/>
      <c r="HD92" s="473"/>
      <c r="HE92" s="473"/>
      <c r="HF92" s="473"/>
      <c r="HG92" s="473"/>
      <c r="HH92" s="473"/>
      <c r="HI92" s="473"/>
      <c r="HJ92" s="473"/>
      <c r="HK92" s="473"/>
      <c r="HL92" s="473"/>
      <c r="HM92" s="473"/>
      <c r="HN92" s="473"/>
      <c r="HO92" s="473"/>
      <c r="HP92" s="473"/>
      <c r="HQ92" s="473"/>
      <c r="HR92" s="473"/>
      <c r="HS92" s="473"/>
      <c r="HT92" s="473"/>
      <c r="HU92" s="473"/>
      <c r="HV92" s="473"/>
      <c r="HW92" s="473"/>
      <c r="HX92" s="473"/>
      <c r="HY92" s="473"/>
      <c r="HZ92" s="473"/>
      <c r="IA92" s="473"/>
      <c r="IB92" s="473"/>
      <c r="IC92" s="473"/>
      <c r="ID92" s="473"/>
      <c r="IE92" s="473"/>
      <c r="IF92" s="473"/>
      <c r="IG92" s="473"/>
      <c r="IH92" s="473"/>
      <c r="II92" s="473"/>
      <c r="IJ92" s="473"/>
      <c r="IK92" s="473"/>
      <c r="IL92" s="473"/>
      <c r="IM92" s="473"/>
      <c r="IN92" s="473"/>
      <c r="IO92" s="473"/>
      <c r="IP92" s="473"/>
      <c r="IQ92" s="473"/>
      <c r="IR92" s="473"/>
      <c r="IS92" s="473"/>
      <c r="IT92" s="473"/>
      <c r="IU92" s="473"/>
      <c r="IV92" s="473"/>
      <c r="IW92" s="473"/>
    </row>
    <row r="93" customFormat="false" ht="12.6" hidden="false" customHeight="true" outlineLevel="0" collapsed="false">
      <c r="A93" s="499" t="s">
        <v>243</v>
      </c>
      <c r="B93" s="470" t="n">
        <f aca="false">term3</f>
        <v>20</v>
      </c>
      <c r="E93" s="586" t="n">
        <f aca="false">E4</f>
        <v>1</v>
      </c>
      <c r="F93" s="586" t="n">
        <f aca="false">F4</f>
        <v>2</v>
      </c>
      <c r="G93" s="586" t="n">
        <f aca="false">G4</f>
        <v>3</v>
      </c>
      <c r="H93" s="586" t="n">
        <f aca="false">H4</f>
        <v>4</v>
      </c>
      <c r="I93" s="586" t="n">
        <f aca="false">I4</f>
        <v>5</v>
      </c>
      <c r="J93" s="586" t="n">
        <f aca="false">J4</f>
        <v>6</v>
      </c>
      <c r="K93" s="586" t="n">
        <f aca="false">K4</f>
        <v>7</v>
      </c>
      <c r="L93" s="586" t="n">
        <f aca="false">L4</f>
        <v>8</v>
      </c>
      <c r="M93" s="586" t="n">
        <f aca="false">M4</f>
        <v>9</v>
      </c>
      <c r="N93" s="586" t="n">
        <f aca="false">N4</f>
        <v>10</v>
      </c>
      <c r="O93" s="586" t="n">
        <f aca="false">O4</f>
        <v>11</v>
      </c>
      <c r="P93" s="586" t="n">
        <f aca="false">P4</f>
        <v>12</v>
      </c>
      <c r="Q93" s="586" t="n">
        <f aca="false">Q4</f>
        <v>13</v>
      </c>
      <c r="R93" s="586" t="n">
        <f aca="false">R4</f>
        <v>14</v>
      </c>
      <c r="S93" s="586" t="n">
        <f aca="false">S4</f>
        <v>15</v>
      </c>
      <c r="T93" s="586" t="n">
        <f aca="false">T4</f>
        <v>16</v>
      </c>
      <c r="U93" s="586" t="n">
        <f aca="false">U4</f>
        <v>17</v>
      </c>
      <c r="V93" s="586" t="n">
        <f aca="false">V4</f>
        <v>18</v>
      </c>
      <c r="W93" s="586" t="n">
        <f aca="false">W4</f>
        <v>19</v>
      </c>
      <c r="X93" s="586" t="n">
        <f aca="false">X4</f>
        <v>20</v>
      </c>
      <c r="Y93" s="586" t="n">
        <f aca="false">Y4</f>
        <v>21</v>
      </c>
      <c r="Z93" s="586" t="n">
        <f aca="false">Z4</f>
        <v>22</v>
      </c>
      <c r="AA93" s="586" t="n">
        <f aca="false">AA4</f>
        <v>23</v>
      </c>
      <c r="AB93" s="586" t="n">
        <f aca="false">AB4</f>
        <v>24</v>
      </c>
      <c r="AC93" s="586" t="n">
        <f aca="false">AC4</f>
        <v>25</v>
      </c>
      <c r="AI93" s="473"/>
      <c r="AJ93" s="473"/>
      <c r="AK93" s="473"/>
      <c r="AL93" s="473"/>
      <c r="AM93" s="473"/>
      <c r="AN93" s="473"/>
      <c r="AO93" s="473"/>
      <c r="AP93" s="473"/>
      <c r="AQ93" s="473"/>
      <c r="AR93" s="473"/>
      <c r="AS93" s="473"/>
      <c r="AT93" s="473"/>
      <c r="AU93" s="473"/>
      <c r="AV93" s="473"/>
      <c r="AW93" s="473"/>
      <c r="AX93" s="473"/>
      <c r="AY93" s="473"/>
      <c r="AZ93" s="473"/>
      <c r="BA93" s="473"/>
      <c r="BB93" s="473"/>
      <c r="BC93" s="473"/>
      <c r="BD93" s="473"/>
      <c r="BE93" s="473"/>
      <c r="BF93" s="473"/>
      <c r="BG93" s="473"/>
      <c r="BH93" s="473"/>
      <c r="BI93" s="473"/>
      <c r="BJ93" s="473"/>
      <c r="BK93" s="473"/>
      <c r="BL93" s="473"/>
      <c r="BM93" s="473"/>
      <c r="BN93" s="473"/>
      <c r="BO93" s="473"/>
      <c r="BP93" s="473"/>
      <c r="BQ93" s="473"/>
      <c r="BR93" s="473"/>
      <c r="BS93" s="473"/>
      <c r="BT93" s="473"/>
      <c r="BU93" s="473"/>
      <c r="BV93" s="473"/>
      <c r="BW93" s="473"/>
      <c r="BX93" s="473"/>
      <c r="BY93" s="473"/>
      <c r="BZ93" s="473"/>
      <c r="CA93" s="473"/>
      <c r="CB93" s="473"/>
      <c r="CC93" s="473"/>
      <c r="CD93" s="473"/>
      <c r="CE93" s="473"/>
      <c r="CF93" s="473"/>
      <c r="CG93" s="473"/>
      <c r="CH93" s="473"/>
      <c r="CI93" s="473"/>
      <c r="CJ93" s="473"/>
      <c r="CK93" s="473"/>
      <c r="CL93" s="473"/>
      <c r="CM93" s="473"/>
      <c r="CN93" s="473"/>
      <c r="CO93" s="473"/>
      <c r="CP93" s="473"/>
      <c r="CQ93" s="473"/>
      <c r="CR93" s="473"/>
      <c r="CS93" s="473"/>
      <c r="CT93" s="473"/>
      <c r="CU93" s="473"/>
      <c r="CV93" s="473"/>
      <c r="CW93" s="473"/>
      <c r="CX93" s="473"/>
      <c r="CY93" s="473"/>
      <c r="CZ93" s="473"/>
      <c r="DA93" s="473"/>
      <c r="DB93" s="473"/>
      <c r="DC93" s="473"/>
      <c r="DD93" s="473"/>
      <c r="DE93" s="473"/>
      <c r="DF93" s="473"/>
      <c r="DG93" s="473"/>
      <c r="DH93" s="473"/>
      <c r="DI93" s="473"/>
      <c r="DJ93" s="473"/>
      <c r="DK93" s="473"/>
      <c r="DL93" s="473"/>
      <c r="DM93" s="473"/>
      <c r="DN93" s="473"/>
      <c r="DO93" s="473"/>
      <c r="DP93" s="473"/>
      <c r="DQ93" s="473"/>
      <c r="DR93" s="473"/>
      <c r="DS93" s="473"/>
      <c r="DT93" s="473"/>
      <c r="DU93" s="473"/>
      <c r="DV93" s="473"/>
      <c r="DW93" s="473"/>
      <c r="DX93" s="473"/>
      <c r="DY93" s="473"/>
      <c r="DZ93" s="473"/>
      <c r="EA93" s="473"/>
      <c r="EB93" s="473"/>
      <c r="EC93" s="473"/>
      <c r="ED93" s="473"/>
      <c r="EE93" s="473"/>
      <c r="EF93" s="473"/>
      <c r="EG93" s="473"/>
      <c r="EH93" s="473"/>
      <c r="EI93" s="473"/>
      <c r="EJ93" s="473"/>
      <c r="EK93" s="473"/>
      <c r="EL93" s="473"/>
      <c r="EM93" s="473"/>
      <c r="EN93" s="473"/>
      <c r="EO93" s="473"/>
      <c r="EP93" s="473"/>
      <c r="EQ93" s="473"/>
      <c r="ER93" s="473"/>
      <c r="ES93" s="473"/>
      <c r="ET93" s="473"/>
      <c r="EU93" s="473"/>
      <c r="EV93" s="473"/>
      <c r="EW93" s="473"/>
      <c r="EX93" s="473"/>
      <c r="EY93" s="473"/>
      <c r="EZ93" s="473"/>
      <c r="FA93" s="473"/>
      <c r="FB93" s="473"/>
      <c r="FC93" s="473"/>
      <c r="FD93" s="473"/>
      <c r="FE93" s="473"/>
      <c r="FF93" s="473"/>
      <c r="FG93" s="473"/>
      <c r="FH93" s="473"/>
      <c r="FI93" s="473"/>
      <c r="FJ93" s="473"/>
      <c r="FK93" s="473"/>
      <c r="FL93" s="473"/>
      <c r="FM93" s="473"/>
      <c r="FN93" s="473"/>
      <c r="FO93" s="473"/>
      <c r="FP93" s="473"/>
      <c r="FQ93" s="473"/>
      <c r="FR93" s="473"/>
      <c r="FS93" s="473"/>
      <c r="FT93" s="473"/>
      <c r="FU93" s="473"/>
      <c r="FV93" s="473"/>
      <c r="FW93" s="473"/>
      <c r="FX93" s="473"/>
      <c r="FY93" s="473"/>
      <c r="FZ93" s="473"/>
      <c r="GA93" s="473"/>
      <c r="GB93" s="473"/>
      <c r="GC93" s="473"/>
      <c r="GD93" s="473"/>
      <c r="GE93" s="473"/>
      <c r="GF93" s="473"/>
      <c r="GG93" s="473"/>
      <c r="GH93" s="473"/>
      <c r="GI93" s="473"/>
      <c r="GJ93" s="473"/>
      <c r="GK93" s="473"/>
      <c r="GL93" s="473"/>
      <c r="GM93" s="473"/>
      <c r="GN93" s="473"/>
      <c r="GO93" s="473"/>
      <c r="GP93" s="473"/>
      <c r="GQ93" s="473"/>
      <c r="GR93" s="473"/>
      <c r="GS93" s="473"/>
      <c r="GT93" s="473"/>
      <c r="GU93" s="473"/>
      <c r="GV93" s="473"/>
      <c r="GW93" s="473"/>
      <c r="GX93" s="473"/>
      <c r="GY93" s="473"/>
      <c r="GZ93" s="473"/>
      <c r="HA93" s="473"/>
      <c r="HB93" s="473"/>
      <c r="HC93" s="473"/>
      <c r="HD93" s="473"/>
      <c r="HE93" s="473"/>
      <c r="HF93" s="473"/>
      <c r="HG93" s="473"/>
      <c r="HH93" s="473"/>
      <c r="HI93" s="473"/>
      <c r="HJ93" s="473"/>
      <c r="HK93" s="473"/>
      <c r="HL93" s="473"/>
      <c r="HM93" s="473"/>
      <c r="HN93" s="473"/>
      <c r="HO93" s="473"/>
      <c r="HP93" s="473"/>
      <c r="HQ93" s="473"/>
      <c r="HR93" s="473"/>
      <c r="HS93" s="473"/>
      <c r="HT93" s="473"/>
      <c r="HU93" s="473"/>
      <c r="HV93" s="473"/>
      <c r="HW93" s="473"/>
      <c r="HX93" s="473"/>
      <c r="HY93" s="473"/>
      <c r="HZ93" s="473"/>
      <c r="IA93" s="473"/>
      <c r="IB93" s="473"/>
      <c r="IC93" s="473"/>
      <c r="ID93" s="473"/>
      <c r="IE93" s="473"/>
      <c r="IF93" s="473"/>
      <c r="IG93" s="473"/>
      <c r="IH93" s="473"/>
      <c r="II93" s="473"/>
      <c r="IJ93" s="473"/>
      <c r="IK93" s="473"/>
      <c r="IL93" s="473"/>
      <c r="IM93" s="473"/>
      <c r="IN93" s="473"/>
      <c r="IO93" s="473"/>
      <c r="IP93" s="473"/>
      <c r="IQ93" s="473"/>
      <c r="IR93" s="473"/>
      <c r="IS93" s="473"/>
      <c r="IT93" s="473"/>
      <c r="IU93" s="473"/>
      <c r="IV93" s="473"/>
      <c r="IW93" s="473"/>
    </row>
    <row r="94" customFormat="false" ht="12.75" hidden="false" customHeight="false" outlineLevel="0" collapsed="false">
      <c r="A94" s="432"/>
      <c r="B94" s="432"/>
      <c r="C94" s="383" t="s">
        <v>457</v>
      </c>
      <c r="E94" s="586" t="n">
        <f aca="false">E5</f>
        <v>2000</v>
      </c>
      <c r="F94" s="586" t="n">
        <f aca="false">F5</f>
        <v>2001</v>
      </c>
      <c r="G94" s="586" t="n">
        <f aca="false">G5</f>
        <v>2002</v>
      </c>
      <c r="H94" s="586" t="n">
        <f aca="false">H5</f>
        <v>2003</v>
      </c>
      <c r="I94" s="586" t="n">
        <f aca="false">I5</f>
        <v>2004</v>
      </c>
      <c r="J94" s="586" t="n">
        <f aca="false">J5</f>
        <v>2005</v>
      </c>
      <c r="K94" s="586" t="n">
        <f aca="false">K5</f>
        <v>2006</v>
      </c>
      <c r="L94" s="586" t="n">
        <f aca="false">L5</f>
        <v>2007</v>
      </c>
      <c r="M94" s="586" t="n">
        <f aca="false">M5</f>
        <v>2008</v>
      </c>
      <c r="N94" s="586" t="n">
        <f aca="false">N5</f>
        <v>2009</v>
      </c>
      <c r="O94" s="586" t="n">
        <f aca="false">O5</f>
        <v>2010</v>
      </c>
      <c r="P94" s="586" t="n">
        <f aca="false">P5</f>
        <v>2011</v>
      </c>
      <c r="Q94" s="586" t="n">
        <f aca="false">Q5</f>
        <v>2012</v>
      </c>
      <c r="R94" s="586" t="n">
        <f aca="false">R5</f>
        <v>2013</v>
      </c>
      <c r="S94" s="586" t="n">
        <f aca="false">S5</f>
        <v>2014</v>
      </c>
      <c r="T94" s="586" t="n">
        <f aca="false">T5</f>
        <v>2015</v>
      </c>
      <c r="U94" s="586" t="n">
        <f aca="false">U5</f>
        <v>2016</v>
      </c>
      <c r="V94" s="586" t="n">
        <f aca="false">V5</f>
        <v>2017</v>
      </c>
      <c r="W94" s="586" t="n">
        <f aca="false">W5</f>
        <v>2018</v>
      </c>
      <c r="X94" s="586" t="n">
        <f aca="false">X5</f>
        <v>2019</v>
      </c>
      <c r="Y94" s="586" t="n">
        <f aca="false">Y5</f>
        <v>2020</v>
      </c>
      <c r="Z94" s="586" t="n">
        <f aca="false">Z5</f>
        <v>2021</v>
      </c>
      <c r="AA94" s="586" t="n">
        <f aca="false">AA5</f>
        <v>2022</v>
      </c>
      <c r="AB94" s="586" t="n">
        <f aca="false">AB5</f>
        <v>2023</v>
      </c>
      <c r="AC94" s="586" t="n">
        <f aca="false">AC5</f>
        <v>2024</v>
      </c>
    </row>
    <row r="95" customFormat="false" ht="12.75" hidden="false" customHeight="false" outlineLevel="0" collapsed="false">
      <c r="A95" s="587" t="s">
        <v>231</v>
      </c>
      <c r="B95" s="588"/>
      <c r="C95" s="588"/>
      <c r="E95" s="588"/>
      <c r="F95" s="589"/>
      <c r="G95" s="589"/>
      <c r="H95" s="589"/>
      <c r="I95" s="589"/>
      <c r="J95" s="589"/>
      <c r="K95" s="589"/>
      <c r="L95" s="589"/>
      <c r="M95" s="589"/>
      <c r="N95" s="589"/>
      <c r="O95" s="589"/>
      <c r="P95" s="589"/>
      <c r="Q95" s="589"/>
      <c r="R95" s="589"/>
      <c r="S95" s="589"/>
      <c r="T95" s="589"/>
    </row>
    <row r="96" customFormat="false" ht="12.75" hidden="false" customHeight="false" outlineLevel="0" collapsed="false">
      <c r="A96" s="520" t="s">
        <v>458</v>
      </c>
      <c r="B96" s="590"/>
      <c r="C96" s="591" t="n">
        <f aca="false">B91</f>
        <v>98814</v>
      </c>
      <c r="D96" s="473"/>
      <c r="E96" s="590" t="n">
        <f aca="false">C96</f>
        <v>98814</v>
      </c>
      <c r="F96" s="590" t="n">
        <f aca="false">E100</f>
        <v>98814</v>
      </c>
      <c r="G96" s="590" t="n">
        <f aca="false">F100</f>
        <v>98814</v>
      </c>
      <c r="H96" s="590" t="n">
        <f aca="false">G100</f>
        <v>98814</v>
      </c>
      <c r="I96" s="590" t="n">
        <f aca="false">H100</f>
        <v>98814</v>
      </c>
      <c r="J96" s="590" t="n">
        <f aca="false">I100</f>
        <v>96837.72</v>
      </c>
      <c r="K96" s="590" t="n">
        <f aca="false">J100</f>
        <v>94861.44</v>
      </c>
      <c r="L96" s="590" t="n">
        <f aca="false">K100</f>
        <v>91897.02</v>
      </c>
      <c r="M96" s="590" t="n">
        <f aca="false">L100</f>
        <v>88932.6</v>
      </c>
      <c r="N96" s="590" t="n">
        <f aca="false">M100</f>
        <v>85968.18</v>
      </c>
      <c r="O96" s="590" t="n">
        <f aca="false">N100</f>
        <v>82015.62</v>
      </c>
      <c r="P96" s="590" t="n">
        <f aca="false">O100</f>
        <v>78063.06</v>
      </c>
      <c r="Q96" s="590" t="n">
        <f aca="false">P100</f>
        <v>73122.36</v>
      </c>
      <c r="R96" s="590" t="n">
        <f aca="false">Q100</f>
        <v>68181.66</v>
      </c>
      <c r="S96" s="590" t="n">
        <f aca="false">R100</f>
        <v>63240.96</v>
      </c>
      <c r="T96" s="590" t="n">
        <f aca="false">S100</f>
        <v>58300.26</v>
      </c>
      <c r="U96" s="590" t="n">
        <f aca="false">T100</f>
        <v>53359.56</v>
      </c>
      <c r="V96" s="590" t="n">
        <f aca="false">U100</f>
        <v>43478.16</v>
      </c>
      <c r="W96" s="590" t="n">
        <f aca="false">V100</f>
        <v>31620.48</v>
      </c>
      <c r="X96" s="590" t="n">
        <f aca="false">W100</f>
        <v>16798.38</v>
      </c>
      <c r="Y96" s="590" t="n">
        <f aca="false">X100</f>
        <v>0</v>
      </c>
      <c r="Z96" s="590" t="n">
        <f aca="false">Y100</f>
        <v>0</v>
      </c>
      <c r="AA96" s="590" t="n">
        <f aca="false">Z100</f>
        <v>0</v>
      </c>
      <c r="AB96" s="590" t="n">
        <f aca="false">AA100</f>
        <v>0</v>
      </c>
      <c r="AC96" s="590" t="n">
        <f aca="false">AB100</f>
        <v>0</v>
      </c>
    </row>
    <row r="97" customFormat="false" ht="12.75" hidden="false" customHeight="false" outlineLevel="0" collapsed="false">
      <c r="A97" s="520" t="s">
        <v>459</v>
      </c>
      <c r="B97" s="592"/>
      <c r="C97" s="590"/>
      <c r="D97" s="473"/>
      <c r="E97" s="590" t="n">
        <f aca="false">E96*$B$92</f>
        <v>8082.9852</v>
      </c>
      <c r="F97" s="590" t="n">
        <f aca="false">F96*$B$92</f>
        <v>8082.9852</v>
      </c>
      <c r="G97" s="590" t="n">
        <f aca="false">G96*$B$92</f>
        <v>8082.9852</v>
      </c>
      <c r="H97" s="590" t="n">
        <f aca="false">H96*$B$92</f>
        <v>8082.9852</v>
      </c>
      <c r="I97" s="590" t="n">
        <f aca="false">I96*$B$92</f>
        <v>8082.9852</v>
      </c>
      <c r="J97" s="590" t="n">
        <f aca="false">J96*$B$92</f>
        <v>7921.325496</v>
      </c>
      <c r="K97" s="590" t="n">
        <f aca="false">K96*$B$92</f>
        <v>7759.665792</v>
      </c>
      <c r="L97" s="590" t="n">
        <f aca="false">L96*$B$92</f>
        <v>7517.176236</v>
      </c>
      <c r="M97" s="590" t="n">
        <f aca="false">M96*$B$92</f>
        <v>7274.68668</v>
      </c>
      <c r="N97" s="590" t="n">
        <f aca="false">N96*$B$92</f>
        <v>7032.197124</v>
      </c>
      <c r="O97" s="590" t="n">
        <f aca="false">O96*$B$92</f>
        <v>6708.877716</v>
      </c>
      <c r="P97" s="590" t="n">
        <f aca="false">P96*$B$92</f>
        <v>6385.558308</v>
      </c>
      <c r="Q97" s="590" t="n">
        <f aca="false">Q96*$B$92</f>
        <v>5981.409048</v>
      </c>
      <c r="R97" s="590" t="n">
        <f aca="false">R96*$B$92</f>
        <v>5577.259788</v>
      </c>
      <c r="S97" s="590" t="n">
        <f aca="false">S96*$B$92</f>
        <v>5173.110528</v>
      </c>
      <c r="T97" s="590" t="n">
        <f aca="false">T96*$B$92</f>
        <v>4768.961268</v>
      </c>
      <c r="U97" s="590" t="n">
        <f aca="false">U96*$B$92</f>
        <v>4364.812008</v>
      </c>
      <c r="V97" s="590" t="n">
        <f aca="false">V96*$B$92</f>
        <v>3556.513488</v>
      </c>
      <c r="W97" s="590" t="n">
        <f aca="false">W96*$B$92</f>
        <v>2586.555264</v>
      </c>
      <c r="X97" s="590" t="n">
        <f aca="false">X96*$B$92</f>
        <v>1374.107484</v>
      </c>
      <c r="Y97" s="590" t="n">
        <f aca="false">Y96*$B$92</f>
        <v>0</v>
      </c>
      <c r="Z97" s="590" t="n">
        <f aca="false">Z96*$B$92</f>
        <v>0</v>
      </c>
      <c r="AA97" s="590" t="n">
        <f aca="false">AA96*$B$92</f>
        <v>0</v>
      </c>
      <c r="AB97" s="590" t="n">
        <f aca="false">AB96*$B$92</f>
        <v>0</v>
      </c>
      <c r="AC97" s="590" t="n">
        <f aca="false">AC96*$B$92</f>
        <v>0</v>
      </c>
    </row>
    <row r="98" customFormat="false" ht="12.75" hidden="false" customHeight="false" outlineLevel="0" collapsed="false">
      <c r="A98" s="520" t="s">
        <v>460</v>
      </c>
      <c r="B98" s="590"/>
      <c r="C98" s="590"/>
      <c r="E98" s="593" t="n">
        <f aca="false">$C$96*E102</f>
        <v>0</v>
      </c>
      <c r="F98" s="593" t="n">
        <f aca="false">$C$96*F102</f>
        <v>0</v>
      </c>
      <c r="G98" s="593" t="n">
        <f aca="false">$C$96*G102</f>
        <v>0</v>
      </c>
      <c r="H98" s="593" t="n">
        <f aca="false">$C$96*H102</f>
        <v>0</v>
      </c>
      <c r="I98" s="593" t="n">
        <f aca="false">$C$96*I102</f>
        <v>1976.28</v>
      </c>
      <c r="J98" s="593" t="n">
        <f aca="false">$C$96*J102</f>
        <v>1976.28</v>
      </c>
      <c r="K98" s="593" t="n">
        <f aca="false">$C$96*K102</f>
        <v>2964.42</v>
      </c>
      <c r="L98" s="593" t="n">
        <f aca="false">$C$96*L102</f>
        <v>2964.42</v>
      </c>
      <c r="M98" s="593" t="n">
        <f aca="false">$C$96*M102</f>
        <v>2964.42</v>
      </c>
      <c r="N98" s="593" t="n">
        <f aca="false">$C$96*N102</f>
        <v>3952.56</v>
      </c>
      <c r="O98" s="593" t="n">
        <f aca="false">$C$96*O102</f>
        <v>3952.56</v>
      </c>
      <c r="P98" s="593" t="n">
        <f aca="false">$C$96*P102</f>
        <v>4940.7</v>
      </c>
      <c r="Q98" s="593" t="n">
        <f aca="false">$C$96*Q102</f>
        <v>4940.7</v>
      </c>
      <c r="R98" s="593" t="n">
        <f aca="false">$C$96*R102</f>
        <v>4940.7</v>
      </c>
      <c r="S98" s="593" t="n">
        <f aca="false">$C$96*S102</f>
        <v>4940.7</v>
      </c>
      <c r="T98" s="593" t="n">
        <f aca="false">$C$96*T102</f>
        <v>4940.7</v>
      </c>
      <c r="U98" s="593" t="n">
        <f aca="false">$C$96*U102</f>
        <v>9881.4</v>
      </c>
      <c r="V98" s="593" t="n">
        <f aca="false">$C$96*V102</f>
        <v>11857.68</v>
      </c>
      <c r="W98" s="593" t="n">
        <f aca="false">$C$96*W102</f>
        <v>14822.1</v>
      </c>
      <c r="X98" s="593" t="n">
        <f aca="false">$C$96*X102</f>
        <v>16798.38</v>
      </c>
      <c r="Y98" s="593" t="n">
        <f aca="false">$C$96*Y102</f>
        <v>0</v>
      </c>
      <c r="Z98" s="593" t="n">
        <f aca="false">$C$96*Z102</f>
        <v>0</v>
      </c>
      <c r="AA98" s="593" t="n">
        <f aca="false">$C$96*AA102</f>
        <v>0</v>
      </c>
      <c r="AB98" s="593" t="n">
        <f aca="false">$C$96*AB102</f>
        <v>0</v>
      </c>
      <c r="AC98" s="593" t="n">
        <f aca="false">$C$96*AC102</f>
        <v>0</v>
      </c>
    </row>
    <row r="99" customFormat="false" ht="12.75" hidden="false" customHeight="false" outlineLevel="0" collapsed="false">
      <c r="A99" s="520" t="s">
        <v>461</v>
      </c>
      <c r="B99" s="590"/>
      <c r="C99" s="594"/>
      <c r="E99" s="594" t="n">
        <f aca="false">E98+E97</f>
        <v>8082.9852</v>
      </c>
      <c r="F99" s="594" t="n">
        <f aca="false">F98+F97</f>
        <v>8082.9852</v>
      </c>
      <c r="G99" s="594" t="n">
        <f aca="false">G98+G97</f>
        <v>8082.9852</v>
      </c>
      <c r="H99" s="594" t="n">
        <f aca="false">H98+H97</f>
        <v>8082.9852</v>
      </c>
      <c r="I99" s="594" t="n">
        <f aca="false">I98+I97</f>
        <v>10059.2652</v>
      </c>
      <c r="J99" s="594" t="n">
        <f aca="false">J98+J97</f>
        <v>9897.605496</v>
      </c>
      <c r="K99" s="594" t="n">
        <f aca="false">K98+K97</f>
        <v>10724.085792</v>
      </c>
      <c r="L99" s="594" t="n">
        <f aca="false">L98+L97</f>
        <v>10481.596236</v>
      </c>
      <c r="M99" s="594" t="n">
        <f aca="false">M98+M97</f>
        <v>10239.10668</v>
      </c>
      <c r="N99" s="594" t="n">
        <f aca="false">N98+N97</f>
        <v>10984.757124</v>
      </c>
      <c r="O99" s="594" t="n">
        <f aca="false">O98+O97</f>
        <v>10661.437716</v>
      </c>
      <c r="P99" s="594" t="n">
        <f aca="false">P98+P97</f>
        <v>11326.258308</v>
      </c>
      <c r="Q99" s="594" t="n">
        <f aca="false">Q98+Q97</f>
        <v>10922.109048</v>
      </c>
      <c r="R99" s="594" t="n">
        <f aca="false">R98+R97</f>
        <v>10517.959788</v>
      </c>
      <c r="S99" s="594" t="n">
        <f aca="false">S98+S97</f>
        <v>10113.810528</v>
      </c>
      <c r="T99" s="594" t="n">
        <f aca="false">T98+T97</f>
        <v>9709.661268</v>
      </c>
      <c r="U99" s="594" t="n">
        <f aca="false">U98+U97</f>
        <v>14246.212008</v>
      </c>
      <c r="V99" s="594" t="n">
        <f aca="false">V98+V97</f>
        <v>15414.193488</v>
      </c>
      <c r="W99" s="594" t="n">
        <f aca="false">W98+W97</f>
        <v>17408.655264</v>
      </c>
      <c r="X99" s="594" t="n">
        <f aca="false">X98+X97</f>
        <v>18172.487484</v>
      </c>
      <c r="Y99" s="594" t="n">
        <f aca="false">Y98+Y97</f>
        <v>0</v>
      </c>
      <c r="Z99" s="594" t="n">
        <f aca="false">Z98+Z97</f>
        <v>0</v>
      </c>
      <c r="AA99" s="594" t="n">
        <f aca="false">AA98+AA97</f>
        <v>0</v>
      </c>
      <c r="AB99" s="594" t="n">
        <f aca="false">AB98+AB97</f>
        <v>0</v>
      </c>
      <c r="AC99" s="594" t="n">
        <f aca="false">AC98+AC97</f>
        <v>0</v>
      </c>
    </row>
    <row r="100" customFormat="false" ht="12.75" hidden="false" customHeight="false" outlineLevel="0" collapsed="false">
      <c r="A100" s="520" t="s">
        <v>462</v>
      </c>
      <c r="B100" s="590"/>
      <c r="C100" s="590"/>
      <c r="E100" s="590" t="n">
        <f aca="false">E96-E98</f>
        <v>98814</v>
      </c>
      <c r="F100" s="590" t="n">
        <f aca="false">F96-F98</f>
        <v>98814</v>
      </c>
      <c r="G100" s="590" t="n">
        <f aca="false">G96-G98</f>
        <v>98814</v>
      </c>
      <c r="H100" s="590" t="n">
        <f aca="false">H96-H98</f>
        <v>98814</v>
      </c>
      <c r="I100" s="590" t="n">
        <f aca="false">I96-I98</f>
        <v>96837.72</v>
      </c>
      <c r="J100" s="590" t="n">
        <f aca="false">J96-J98</f>
        <v>94861.44</v>
      </c>
      <c r="K100" s="590" t="n">
        <f aca="false">K96-K98</f>
        <v>91897.02</v>
      </c>
      <c r="L100" s="590" t="n">
        <f aca="false">L96-L98</f>
        <v>88932.6</v>
      </c>
      <c r="M100" s="590" t="n">
        <f aca="false">M96-M98</f>
        <v>85968.18</v>
      </c>
      <c r="N100" s="590" t="n">
        <f aca="false">N96-N98</f>
        <v>82015.62</v>
      </c>
      <c r="O100" s="590" t="n">
        <f aca="false">O96-O98</f>
        <v>78063.06</v>
      </c>
      <c r="P100" s="590" t="n">
        <f aca="false">P96-P98</f>
        <v>73122.36</v>
      </c>
      <c r="Q100" s="590" t="n">
        <f aca="false">Q96-Q98</f>
        <v>68181.66</v>
      </c>
      <c r="R100" s="590" t="n">
        <f aca="false">R96-R98</f>
        <v>63240.96</v>
      </c>
      <c r="S100" s="590" t="n">
        <f aca="false">S96-S98</f>
        <v>58300.26</v>
      </c>
      <c r="T100" s="590" t="n">
        <f aca="false">T96-T98</f>
        <v>53359.56</v>
      </c>
      <c r="U100" s="590" t="n">
        <f aca="false">U96-U98</f>
        <v>43478.16</v>
      </c>
      <c r="V100" s="590" t="n">
        <f aca="false">V96-V98</f>
        <v>31620.48</v>
      </c>
      <c r="W100" s="590" t="n">
        <f aca="false">W96-W98</f>
        <v>16798.38</v>
      </c>
      <c r="X100" s="590" t="n">
        <f aca="false">X96-X98</f>
        <v>0</v>
      </c>
      <c r="Y100" s="590" t="n">
        <f aca="false">Y96-Y98</f>
        <v>0</v>
      </c>
      <c r="Z100" s="590" t="n">
        <f aca="false">Z96-Z98</f>
        <v>0</v>
      </c>
      <c r="AA100" s="590" t="n">
        <f aca="false">AA96-AA98</f>
        <v>0</v>
      </c>
      <c r="AB100" s="590" t="n">
        <f aca="false">AB96-AB98</f>
        <v>0</v>
      </c>
      <c r="AC100" s="590" t="n">
        <f aca="false">AC96-AC98</f>
        <v>0</v>
      </c>
    </row>
    <row r="101" customFormat="false" ht="12.6" hidden="false" customHeight="true" outlineLevel="0" collapsed="false">
      <c r="A101" s="520" t="s">
        <v>463</v>
      </c>
      <c r="B101" s="590"/>
      <c r="C101" s="599" t="n">
        <f aca="false">SUMPRODUCT(E98:AC98,E93:AC93)/SUM(E98:AC98)</f>
        <v>15.39</v>
      </c>
      <c r="E101" s="592"/>
      <c r="F101" s="590"/>
      <c r="G101" s="590"/>
      <c r="H101" s="590"/>
      <c r="I101" s="590"/>
      <c r="J101" s="590"/>
      <c r="K101" s="590"/>
      <c r="L101" s="590"/>
      <c r="M101" s="590"/>
      <c r="N101" s="590"/>
      <c r="O101" s="590"/>
      <c r="P101" s="590"/>
      <c r="Q101" s="590"/>
      <c r="R101" s="590"/>
      <c r="S101" s="590"/>
      <c r="T101" s="590"/>
      <c r="U101" s="590"/>
      <c r="V101" s="590"/>
      <c r="W101" s="590"/>
      <c r="X101" s="590"/>
      <c r="Y101" s="590"/>
      <c r="Z101" s="590"/>
      <c r="AA101" s="590"/>
      <c r="AB101" s="590"/>
      <c r="AC101" s="590"/>
      <c r="AI101" s="473"/>
      <c r="AJ101" s="473"/>
      <c r="AK101" s="473"/>
      <c r="AL101" s="473"/>
      <c r="AM101" s="473"/>
      <c r="AN101" s="473"/>
      <c r="AO101" s="473"/>
      <c r="AP101" s="473"/>
      <c r="AQ101" s="473"/>
      <c r="AR101" s="473"/>
      <c r="AS101" s="473"/>
      <c r="AT101" s="473"/>
      <c r="AU101" s="473"/>
      <c r="AV101" s="473"/>
      <c r="AW101" s="473"/>
      <c r="AX101" s="473"/>
      <c r="AY101" s="473"/>
      <c r="AZ101" s="473"/>
      <c r="BA101" s="473"/>
      <c r="BB101" s="473"/>
      <c r="BC101" s="473"/>
      <c r="BD101" s="473"/>
      <c r="BE101" s="473"/>
      <c r="BF101" s="473"/>
      <c r="BG101" s="473"/>
      <c r="BH101" s="473"/>
      <c r="BI101" s="473"/>
      <c r="BJ101" s="473"/>
      <c r="BK101" s="473"/>
      <c r="BL101" s="473"/>
      <c r="BM101" s="473"/>
      <c r="BN101" s="473"/>
      <c r="BO101" s="473"/>
      <c r="BP101" s="473"/>
      <c r="BQ101" s="473"/>
      <c r="BR101" s="473"/>
      <c r="BS101" s="473"/>
      <c r="BT101" s="473"/>
      <c r="BU101" s="473"/>
      <c r="BV101" s="473"/>
      <c r="BW101" s="473"/>
      <c r="BX101" s="473"/>
      <c r="BY101" s="473"/>
      <c r="BZ101" s="473"/>
      <c r="CA101" s="473"/>
      <c r="CB101" s="473"/>
      <c r="CC101" s="473"/>
      <c r="CD101" s="473"/>
      <c r="CE101" s="473"/>
      <c r="CF101" s="473"/>
      <c r="CG101" s="473"/>
      <c r="CH101" s="473"/>
      <c r="CI101" s="473"/>
      <c r="CJ101" s="473"/>
      <c r="CK101" s="473"/>
      <c r="CL101" s="473"/>
      <c r="CM101" s="473"/>
      <c r="CN101" s="473"/>
      <c r="CO101" s="473"/>
      <c r="CP101" s="473"/>
      <c r="CQ101" s="473"/>
      <c r="CR101" s="473"/>
      <c r="CS101" s="473"/>
      <c r="CT101" s="473"/>
      <c r="CU101" s="473"/>
      <c r="CV101" s="473"/>
      <c r="CW101" s="473"/>
      <c r="CX101" s="473"/>
      <c r="CY101" s="473"/>
      <c r="CZ101" s="473"/>
      <c r="DA101" s="473"/>
      <c r="DB101" s="473"/>
      <c r="DC101" s="473"/>
      <c r="DD101" s="473"/>
      <c r="DE101" s="473"/>
      <c r="DF101" s="473"/>
      <c r="DG101" s="473"/>
      <c r="DH101" s="473"/>
      <c r="DI101" s="473"/>
      <c r="DJ101" s="473"/>
      <c r="DK101" s="473"/>
      <c r="DL101" s="473"/>
      <c r="DM101" s="473"/>
      <c r="DN101" s="473"/>
      <c r="DO101" s="473"/>
      <c r="DP101" s="473"/>
      <c r="DQ101" s="473"/>
      <c r="DR101" s="473"/>
      <c r="DS101" s="473"/>
      <c r="DT101" s="473"/>
      <c r="DU101" s="473"/>
      <c r="DV101" s="473"/>
      <c r="DW101" s="473"/>
      <c r="DX101" s="473"/>
      <c r="DY101" s="473"/>
      <c r="DZ101" s="473"/>
      <c r="EA101" s="473"/>
      <c r="EB101" s="473"/>
      <c r="EC101" s="473"/>
      <c r="ED101" s="473"/>
      <c r="EE101" s="473"/>
      <c r="EF101" s="473"/>
      <c r="EG101" s="473"/>
      <c r="EH101" s="473"/>
      <c r="EI101" s="473"/>
      <c r="EJ101" s="473"/>
      <c r="EK101" s="473"/>
      <c r="EL101" s="473"/>
      <c r="EM101" s="473"/>
      <c r="EN101" s="473"/>
      <c r="EO101" s="473"/>
      <c r="EP101" s="473"/>
      <c r="EQ101" s="473"/>
      <c r="ER101" s="473"/>
      <c r="ES101" s="473"/>
      <c r="ET101" s="473"/>
      <c r="EU101" s="473"/>
      <c r="EV101" s="473"/>
      <c r="EW101" s="473"/>
      <c r="EX101" s="473"/>
      <c r="EY101" s="473"/>
      <c r="EZ101" s="473"/>
      <c r="FA101" s="473"/>
      <c r="FB101" s="473"/>
      <c r="FC101" s="473"/>
      <c r="FD101" s="473"/>
      <c r="FE101" s="473"/>
      <c r="FF101" s="473"/>
      <c r="FG101" s="473"/>
      <c r="FH101" s="473"/>
      <c r="FI101" s="473"/>
      <c r="FJ101" s="473"/>
      <c r="FK101" s="473"/>
      <c r="FL101" s="473"/>
      <c r="FM101" s="473"/>
      <c r="FN101" s="473"/>
      <c r="FO101" s="473"/>
      <c r="FP101" s="473"/>
      <c r="FQ101" s="473"/>
      <c r="FR101" s="473"/>
      <c r="FS101" s="473"/>
      <c r="FT101" s="473"/>
      <c r="FU101" s="473"/>
      <c r="FV101" s="473"/>
      <c r="FW101" s="473"/>
      <c r="FX101" s="473"/>
      <c r="FY101" s="473"/>
      <c r="FZ101" s="473"/>
      <c r="GA101" s="473"/>
      <c r="GB101" s="473"/>
      <c r="GC101" s="473"/>
      <c r="GD101" s="473"/>
      <c r="GE101" s="473"/>
      <c r="GF101" s="473"/>
      <c r="GG101" s="473"/>
      <c r="GH101" s="473"/>
      <c r="GI101" s="473"/>
      <c r="GJ101" s="473"/>
      <c r="GK101" s="473"/>
      <c r="GL101" s="473"/>
      <c r="GM101" s="473"/>
      <c r="GN101" s="473"/>
      <c r="GO101" s="473"/>
      <c r="GP101" s="473"/>
      <c r="GQ101" s="473"/>
      <c r="GR101" s="473"/>
      <c r="GS101" s="473"/>
      <c r="GT101" s="473"/>
      <c r="GU101" s="473"/>
      <c r="GV101" s="473"/>
      <c r="GW101" s="473"/>
      <c r="GX101" s="473"/>
      <c r="GY101" s="473"/>
      <c r="GZ101" s="473"/>
      <c r="HA101" s="473"/>
      <c r="HB101" s="473"/>
      <c r="HC101" s="473"/>
      <c r="HD101" s="473"/>
      <c r="HE101" s="473"/>
      <c r="HF101" s="473"/>
      <c r="HG101" s="473"/>
      <c r="HH101" s="473"/>
      <c r="HI101" s="473"/>
      <c r="HJ101" s="473"/>
      <c r="HK101" s="473"/>
      <c r="HL101" s="473"/>
      <c r="HM101" s="473"/>
      <c r="HN101" s="473"/>
      <c r="HO101" s="473"/>
      <c r="HP101" s="473"/>
      <c r="HQ101" s="473"/>
      <c r="HR101" s="473"/>
      <c r="HS101" s="473"/>
      <c r="HT101" s="473"/>
      <c r="HU101" s="473"/>
      <c r="HV101" s="473"/>
      <c r="HW101" s="473"/>
      <c r="HX101" s="473"/>
      <c r="HY101" s="473"/>
      <c r="HZ101" s="473"/>
      <c r="IA101" s="473"/>
      <c r="IB101" s="473"/>
      <c r="IC101" s="473"/>
      <c r="ID101" s="473"/>
      <c r="IE101" s="473"/>
      <c r="IF101" s="473"/>
      <c r="IG101" s="473"/>
      <c r="IH101" s="473"/>
      <c r="II101" s="473"/>
      <c r="IJ101" s="473"/>
      <c r="IK101" s="473"/>
      <c r="IL101" s="473"/>
      <c r="IM101" s="473"/>
      <c r="IN101" s="473"/>
      <c r="IO101" s="473"/>
      <c r="IP101" s="473"/>
      <c r="IQ101" s="473"/>
      <c r="IR101" s="473"/>
      <c r="IS101" s="473"/>
      <c r="IT101" s="473"/>
      <c r="IU101" s="473"/>
      <c r="IV101" s="473"/>
      <c r="IW101" s="473"/>
    </row>
    <row r="102" customFormat="false" ht="12.75" hidden="false" customHeight="false" outlineLevel="0" collapsed="false">
      <c r="B102" s="519"/>
      <c r="C102" s="596" t="s">
        <v>464</v>
      </c>
      <c r="D102" s="597" t="n">
        <f aca="false">SUM(E102:AC102)</f>
        <v>1</v>
      </c>
      <c r="E102" s="549" t="n">
        <v>0</v>
      </c>
      <c r="F102" s="549" t="n">
        <v>0</v>
      </c>
      <c r="G102" s="549" t="n">
        <v>0</v>
      </c>
      <c r="H102" s="549" t="n">
        <v>0</v>
      </c>
      <c r="I102" s="549" t="n">
        <v>0.02</v>
      </c>
      <c r="J102" s="549" t="n">
        <v>0.02</v>
      </c>
      <c r="K102" s="549" t="n">
        <v>0.03</v>
      </c>
      <c r="L102" s="549" t="n">
        <v>0.03</v>
      </c>
      <c r="M102" s="549" t="n">
        <v>0.03</v>
      </c>
      <c r="N102" s="549" t="n">
        <v>0.04</v>
      </c>
      <c r="O102" s="549" t="n">
        <v>0.04</v>
      </c>
      <c r="P102" s="549" t="n">
        <v>0.05</v>
      </c>
      <c r="Q102" s="549" t="n">
        <v>0.05</v>
      </c>
      <c r="R102" s="549" t="n">
        <v>0.05</v>
      </c>
      <c r="S102" s="549" t="n">
        <v>0.05</v>
      </c>
      <c r="T102" s="549" t="n">
        <v>0.05</v>
      </c>
      <c r="U102" s="549" t="n">
        <v>0.1</v>
      </c>
      <c r="V102" s="549" t="n">
        <v>0.12</v>
      </c>
      <c r="W102" s="549" t="n">
        <v>0.15</v>
      </c>
      <c r="X102" s="549" t="n">
        <v>0.17</v>
      </c>
      <c r="Y102" s="549" t="n">
        <v>0</v>
      </c>
      <c r="Z102" s="549" t="n">
        <v>0</v>
      </c>
      <c r="AA102" s="549" t="n">
        <v>0</v>
      </c>
      <c r="AB102" s="549" t="n">
        <v>0</v>
      </c>
      <c r="AC102" s="549" t="n">
        <v>0</v>
      </c>
      <c r="AI102" s="529"/>
      <c r="AJ102" s="529"/>
      <c r="AK102" s="529"/>
      <c r="AL102" s="529"/>
      <c r="AM102" s="529"/>
      <c r="AN102" s="529"/>
      <c r="AO102" s="529"/>
      <c r="AP102" s="529"/>
      <c r="AQ102" s="529"/>
      <c r="AR102" s="529"/>
      <c r="AS102" s="529"/>
      <c r="AT102" s="529"/>
      <c r="AU102" s="529"/>
      <c r="AV102" s="529"/>
      <c r="AW102" s="529"/>
      <c r="AX102" s="529"/>
      <c r="AY102" s="529"/>
      <c r="AZ102" s="529"/>
      <c r="BA102" s="529"/>
      <c r="BB102" s="529"/>
      <c r="BC102" s="529"/>
      <c r="BD102" s="529"/>
      <c r="BE102" s="529"/>
      <c r="BF102" s="529"/>
      <c r="BG102" s="529"/>
      <c r="BH102" s="529"/>
      <c r="BI102" s="529"/>
      <c r="BJ102" s="529"/>
      <c r="BK102" s="529"/>
      <c r="BL102" s="529"/>
      <c r="BM102" s="529"/>
      <c r="BN102" s="529"/>
      <c r="BO102" s="529"/>
      <c r="BP102" s="529"/>
      <c r="BQ102" s="529"/>
      <c r="BR102" s="529"/>
      <c r="BS102" s="529"/>
      <c r="BT102" s="529"/>
      <c r="BU102" s="529"/>
      <c r="BV102" s="529"/>
      <c r="BW102" s="529"/>
      <c r="BX102" s="529"/>
      <c r="BY102" s="529"/>
      <c r="BZ102" s="529"/>
      <c r="CA102" s="529"/>
      <c r="CB102" s="529"/>
      <c r="CC102" s="529"/>
      <c r="CD102" s="529"/>
      <c r="CE102" s="529"/>
      <c r="CF102" s="529"/>
      <c r="CG102" s="529"/>
      <c r="CH102" s="529"/>
      <c r="CI102" s="529"/>
      <c r="CJ102" s="529"/>
      <c r="CK102" s="529"/>
      <c r="CL102" s="529"/>
      <c r="CM102" s="529"/>
      <c r="CN102" s="529"/>
      <c r="CO102" s="529"/>
      <c r="CP102" s="529"/>
      <c r="CQ102" s="529"/>
      <c r="CR102" s="529"/>
      <c r="CS102" s="529"/>
      <c r="CT102" s="529"/>
      <c r="CU102" s="529"/>
      <c r="CV102" s="529"/>
      <c r="CW102" s="529"/>
      <c r="CX102" s="529"/>
      <c r="CY102" s="529"/>
      <c r="CZ102" s="529"/>
      <c r="DA102" s="529"/>
      <c r="DB102" s="529"/>
      <c r="DC102" s="529"/>
      <c r="DD102" s="529"/>
      <c r="DE102" s="529"/>
      <c r="DF102" s="529"/>
      <c r="DG102" s="529"/>
      <c r="DH102" s="529"/>
      <c r="DI102" s="529"/>
      <c r="DJ102" s="529"/>
      <c r="DK102" s="529"/>
      <c r="DL102" s="529"/>
      <c r="DM102" s="529"/>
      <c r="DN102" s="529"/>
      <c r="DO102" s="529"/>
      <c r="DP102" s="529"/>
      <c r="DQ102" s="529"/>
      <c r="DR102" s="529"/>
      <c r="DS102" s="529"/>
      <c r="DT102" s="529"/>
      <c r="DU102" s="529"/>
      <c r="DV102" s="529"/>
      <c r="DW102" s="529"/>
      <c r="DX102" s="529"/>
      <c r="DY102" s="529"/>
      <c r="DZ102" s="529"/>
      <c r="EA102" s="529"/>
      <c r="EB102" s="529"/>
      <c r="EC102" s="529"/>
      <c r="ED102" s="529"/>
      <c r="EE102" s="529"/>
      <c r="EF102" s="529"/>
      <c r="EG102" s="529"/>
      <c r="EH102" s="529"/>
      <c r="EI102" s="529"/>
      <c r="EJ102" s="529"/>
      <c r="EK102" s="529"/>
      <c r="EL102" s="529"/>
      <c r="EM102" s="529"/>
      <c r="EN102" s="529"/>
      <c r="EO102" s="529"/>
      <c r="EP102" s="529"/>
      <c r="EQ102" s="529"/>
      <c r="ER102" s="529"/>
      <c r="ES102" s="529"/>
      <c r="ET102" s="529"/>
      <c r="EU102" s="529"/>
      <c r="EV102" s="529"/>
      <c r="EW102" s="529"/>
      <c r="EX102" s="529"/>
      <c r="EY102" s="529"/>
      <c r="EZ102" s="529"/>
      <c r="FA102" s="529"/>
      <c r="FB102" s="529"/>
      <c r="FC102" s="529"/>
      <c r="FD102" s="529"/>
      <c r="FE102" s="529"/>
      <c r="FF102" s="529"/>
      <c r="FG102" s="529"/>
      <c r="FH102" s="529"/>
      <c r="FI102" s="529"/>
      <c r="FJ102" s="529"/>
      <c r="FK102" s="529"/>
      <c r="FL102" s="529"/>
      <c r="FM102" s="529"/>
      <c r="FN102" s="529"/>
      <c r="FO102" s="529"/>
      <c r="FP102" s="529"/>
      <c r="FQ102" s="529"/>
      <c r="FR102" s="529"/>
      <c r="FS102" s="529"/>
      <c r="FT102" s="529"/>
      <c r="FU102" s="529"/>
      <c r="FV102" s="529"/>
      <c r="FW102" s="529"/>
      <c r="FX102" s="529"/>
      <c r="FY102" s="529"/>
      <c r="FZ102" s="529"/>
      <c r="GA102" s="529"/>
      <c r="GB102" s="529"/>
      <c r="GC102" s="529"/>
      <c r="GD102" s="529"/>
      <c r="GE102" s="529"/>
      <c r="GF102" s="529"/>
      <c r="GG102" s="529"/>
      <c r="GH102" s="529"/>
      <c r="GI102" s="529"/>
      <c r="GJ102" s="529"/>
      <c r="GK102" s="529"/>
      <c r="GL102" s="529"/>
      <c r="GM102" s="529"/>
      <c r="GN102" s="529"/>
      <c r="GO102" s="529"/>
      <c r="GP102" s="529"/>
      <c r="GQ102" s="529"/>
      <c r="GR102" s="529"/>
      <c r="GS102" s="529"/>
      <c r="GT102" s="529"/>
      <c r="GU102" s="529"/>
      <c r="GV102" s="529"/>
      <c r="GW102" s="529"/>
      <c r="GX102" s="529"/>
      <c r="GY102" s="529"/>
      <c r="GZ102" s="529"/>
      <c r="HA102" s="529"/>
      <c r="HB102" s="529"/>
      <c r="HC102" s="529"/>
      <c r="HD102" s="529"/>
      <c r="HE102" s="529"/>
      <c r="HF102" s="529"/>
      <c r="HG102" s="529"/>
      <c r="HH102" s="529"/>
      <c r="HI102" s="529"/>
      <c r="HJ102" s="529"/>
      <c r="HK102" s="529"/>
      <c r="HL102" s="529"/>
      <c r="HM102" s="529"/>
      <c r="HN102" s="529"/>
      <c r="HO102" s="529"/>
      <c r="HP102" s="529"/>
      <c r="HQ102" s="529"/>
      <c r="HR102" s="529"/>
      <c r="HS102" s="529"/>
      <c r="HT102" s="529"/>
      <c r="HU102" s="529"/>
      <c r="HV102" s="529"/>
      <c r="HW102" s="529"/>
      <c r="HX102" s="529"/>
      <c r="HY102" s="529"/>
      <c r="HZ102" s="529"/>
      <c r="IA102" s="529"/>
      <c r="IB102" s="529"/>
      <c r="IC102" s="529"/>
      <c r="ID102" s="529"/>
      <c r="IE102" s="529"/>
      <c r="IF102" s="529"/>
      <c r="IG102" s="529"/>
      <c r="IH102" s="529"/>
      <c r="II102" s="529"/>
      <c r="IJ102" s="529"/>
      <c r="IK102" s="529"/>
      <c r="IL102" s="529"/>
      <c r="IM102" s="529"/>
      <c r="IN102" s="529"/>
      <c r="IO102" s="529"/>
      <c r="IP102" s="529"/>
      <c r="IQ102" s="529"/>
      <c r="IR102" s="529"/>
      <c r="IS102" s="529"/>
      <c r="IT102" s="529"/>
      <c r="IU102" s="529"/>
      <c r="IV102" s="529"/>
      <c r="IW102" s="529"/>
    </row>
    <row r="103" customFormat="false" ht="12.75" hidden="false" customHeight="false" outlineLevel="0" collapsed="false">
      <c r="AI103" s="529"/>
      <c r="AJ103" s="529"/>
      <c r="AK103" s="529"/>
      <c r="AL103" s="529"/>
      <c r="AM103" s="529"/>
      <c r="AN103" s="529"/>
      <c r="AO103" s="529"/>
      <c r="AP103" s="529"/>
      <c r="AQ103" s="529"/>
      <c r="AR103" s="529"/>
      <c r="AS103" s="529"/>
      <c r="AT103" s="529"/>
      <c r="AU103" s="529"/>
      <c r="AV103" s="529"/>
      <c r="AW103" s="529"/>
      <c r="AX103" s="529"/>
      <c r="AY103" s="529"/>
      <c r="AZ103" s="529"/>
      <c r="BA103" s="529"/>
      <c r="BB103" s="529"/>
      <c r="BC103" s="529"/>
      <c r="BD103" s="529"/>
      <c r="BE103" s="529"/>
      <c r="BF103" s="529"/>
      <c r="BG103" s="529"/>
      <c r="BH103" s="529"/>
      <c r="BI103" s="529"/>
      <c r="BJ103" s="529"/>
      <c r="BK103" s="529"/>
      <c r="BL103" s="529"/>
      <c r="BM103" s="529"/>
      <c r="BN103" s="529"/>
      <c r="BO103" s="529"/>
      <c r="BP103" s="529"/>
      <c r="BQ103" s="529"/>
      <c r="BR103" s="529"/>
      <c r="BS103" s="529"/>
      <c r="BT103" s="529"/>
      <c r="BU103" s="529"/>
      <c r="BV103" s="529"/>
      <c r="BW103" s="529"/>
      <c r="BX103" s="529"/>
      <c r="BY103" s="529"/>
      <c r="BZ103" s="529"/>
      <c r="CA103" s="529"/>
      <c r="CB103" s="529"/>
      <c r="CC103" s="529"/>
      <c r="CD103" s="529"/>
      <c r="CE103" s="529"/>
      <c r="CF103" s="529"/>
      <c r="CG103" s="529"/>
      <c r="CH103" s="529"/>
      <c r="CI103" s="529"/>
      <c r="CJ103" s="529"/>
      <c r="CK103" s="529"/>
      <c r="CL103" s="529"/>
      <c r="CM103" s="529"/>
      <c r="CN103" s="529"/>
      <c r="CO103" s="529"/>
      <c r="CP103" s="529"/>
      <c r="CQ103" s="529"/>
      <c r="CR103" s="529"/>
      <c r="CS103" s="529"/>
      <c r="CT103" s="529"/>
      <c r="CU103" s="529"/>
      <c r="CV103" s="529"/>
      <c r="CW103" s="529"/>
      <c r="CX103" s="529"/>
      <c r="CY103" s="529"/>
      <c r="CZ103" s="529"/>
      <c r="DA103" s="529"/>
      <c r="DB103" s="529"/>
      <c r="DC103" s="529"/>
      <c r="DD103" s="529"/>
      <c r="DE103" s="529"/>
      <c r="DF103" s="529"/>
      <c r="DG103" s="529"/>
      <c r="DH103" s="529"/>
      <c r="DI103" s="529"/>
      <c r="DJ103" s="529"/>
      <c r="DK103" s="529"/>
      <c r="DL103" s="529"/>
      <c r="DM103" s="529"/>
      <c r="DN103" s="529"/>
      <c r="DO103" s="529"/>
      <c r="DP103" s="529"/>
      <c r="DQ103" s="529"/>
      <c r="DR103" s="529"/>
      <c r="DS103" s="529"/>
      <c r="DT103" s="529"/>
      <c r="DU103" s="529"/>
      <c r="DV103" s="529"/>
      <c r="DW103" s="529"/>
      <c r="DX103" s="529"/>
      <c r="DY103" s="529"/>
      <c r="DZ103" s="529"/>
      <c r="EA103" s="529"/>
      <c r="EB103" s="529"/>
      <c r="EC103" s="529"/>
      <c r="ED103" s="529"/>
      <c r="EE103" s="529"/>
      <c r="EF103" s="529"/>
      <c r="EG103" s="529"/>
      <c r="EH103" s="529"/>
      <c r="EI103" s="529"/>
      <c r="EJ103" s="529"/>
      <c r="EK103" s="529"/>
      <c r="EL103" s="529"/>
      <c r="EM103" s="529"/>
      <c r="EN103" s="529"/>
      <c r="EO103" s="529"/>
      <c r="EP103" s="529"/>
      <c r="EQ103" s="529"/>
      <c r="ER103" s="529"/>
      <c r="ES103" s="529"/>
      <c r="ET103" s="529"/>
      <c r="EU103" s="529"/>
      <c r="EV103" s="529"/>
      <c r="EW103" s="529"/>
      <c r="EX103" s="529"/>
      <c r="EY103" s="529"/>
      <c r="EZ103" s="529"/>
      <c r="FA103" s="529"/>
      <c r="FB103" s="529"/>
      <c r="FC103" s="529"/>
      <c r="FD103" s="529"/>
      <c r="FE103" s="529"/>
      <c r="FF103" s="529"/>
      <c r="FG103" s="529"/>
      <c r="FH103" s="529"/>
      <c r="FI103" s="529"/>
      <c r="FJ103" s="529"/>
      <c r="FK103" s="529"/>
      <c r="FL103" s="529"/>
      <c r="FM103" s="529"/>
      <c r="FN103" s="529"/>
      <c r="FO103" s="529"/>
      <c r="FP103" s="529"/>
      <c r="FQ103" s="529"/>
      <c r="FR103" s="529"/>
      <c r="FS103" s="529"/>
      <c r="FT103" s="529"/>
      <c r="FU103" s="529"/>
      <c r="FV103" s="529"/>
      <c r="FW103" s="529"/>
      <c r="FX103" s="529"/>
      <c r="FY103" s="529"/>
      <c r="FZ103" s="529"/>
      <c r="GA103" s="529"/>
      <c r="GB103" s="529"/>
      <c r="GC103" s="529"/>
      <c r="GD103" s="529"/>
      <c r="GE103" s="529"/>
      <c r="GF103" s="529"/>
      <c r="GG103" s="529"/>
      <c r="GH103" s="529"/>
      <c r="GI103" s="529"/>
      <c r="GJ103" s="529"/>
      <c r="GK103" s="529"/>
      <c r="GL103" s="529"/>
      <c r="GM103" s="529"/>
      <c r="GN103" s="529"/>
      <c r="GO103" s="529"/>
      <c r="GP103" s="529"/>
      <c r="GQ103" s="529"/>
      <c r="GR103" s="529"/>
      <c r="GS103" s="529"/>
      <c r="GT103" s="529"/>
      <c r="GU103" s="529"/>
      <c r="GV103" s="529"/>
      <c r="GW103" s="529"/>
      <c r="GX103" s="529"/>
      <c r="GY103" s="529"/>
      <c r="GZ103" s="529"/>
      <c r="HA103" s="529"/>
      <c r="HB103" s="529"/>
      <c r="HC103" s="529"/>
      <c r="HD103" s="529"/>
      <c r="HE103" s="529"/>
      <c r="HF103" s="529"/>
      <c r="HG103" s="529"/>
      <c r="HH103" s="529"/>
      <c r="HI103" s="529"/>
      <c r="HJ103" s="529"/>
      <c r="HK103" s="529"/>
      <c r="HL103" s="529"/>
      <c r="HM103" s="529"/>
      <c r="HN103" s="529"/>
      <c r="HO103" s="529"/>
      <c r="HP103" s="529"/>
      <c r="HQ103" s="529"/>
      <c r="HR103" s="529"/>
      <c r="HS103" s="529"/>
      <c r="HT103" s="529"/>
      <c r="HU103" s="529"/>
      <c r="HV103" s="529"/>
      <c r="HW103" s="529"/>
      <c r="HX103" s="529"/>
      <c r="HY103" s="529"/>
      <c r="HZ103" s="529"/>
      <c r="IA103" s="529"/>
      <c r="IB103" s="529"/>
      <c r="IC103" s="529"/>
      <c r="ID103" s="529"/>
      <c r="IE103" s="529"/>
      <c r="IF103" s="529"/>
      <c r="IG103" s="529"/>
      <c r="IH103" s="529"/>
      <c r="II103" s="529"/>
      <c r="IJ103" s="529"/>
      <c r="IK103" s="529"/>
      <c r="IL103" s="529"/>
      <c r="IM103" s="529"/>
      <c r="IN103" s="529"/>
      <c r="IO103" s="529"/>
      <c r="IP103" s="529"/>
      <c r="IQ103" s="529"/>
      <c r="IR103" s="529"/>
      <c r="IS103" s="529"/>
      <c r="IT103" s="529"/>
      <c r="IU103" s="529"/>
      <c r="IV103" s="529"/>
      <c r="IW103" s="529"/>
    </row>
    <row r="104" customFormat="false" ht="12.75" hidden="false" customHeight="false" outlineLevel="0" collapsed="false">
      <c r="AI104" s="529"/>
      <c r="AJ104" s="529"/>
      <c r="AK104" s="529"/>
      <c r="AL104" s="529"/>
      <c r="AM104" s="529"/>
      <c r="AN104" s="529"/>
      <c r="AO104" s="529"/>
      <c r="AP104" s="529"/>
      <c r="AQ104" s="529"/>
      <c r="AR104" s="529"/>
      <c r="AS104" s="529"/>
      <c r="AT104" s="529"/>
      <c r="AU104" s="529"/>
      <c r="AV104" s="529"/>
      <c r="AW104" s="529"/>
      <c r="AX104" s="529"/>
      <c r="AY104" s="529"/>
      <c r="AZ104" s="529"/>
      <c r="BA104" s="529"/>
      <c r="BB104" s="529"/>
      <c r="BC104" s="529"/>
      <c r="BD104" s="529"/>
      <c r="BE104" s="529"/>
      <c r="BF104" s="529"/>
      <c r="BG104" s="529"/>
      <c r="BH104" s="529"/>
      <c r="BI104" s="529"/>
      <c r="BJ104" s="529"/>
      <c r="BK104" s="529"/>
      <c r="BL104" s="529"/>
      <c r="BM104" s="529"/>
      <c r="BN104" s="529"/>
      <c r="BO104" s="529"/>
      <c r="BP104" s="529"/>
      <c r="BQ104" s="529"/>
      <c r="BR104" s="529"/>
      <c r="BS104" s="529"/>
      <c r="BT104" s="529"/>
      <c r="BU104" s="529"/>
      <c r="BV104" s="529"/>
      <c r="BW104" s="529"/>
      <c r="BX104" s="529"/>
      <c r="BY104" s="529"/>
      <c r="BZ104" s="529"/>
      <c r="CA104" s="529"/>
      <c r="CB104" s="529"/>
      <c r="CC104" s="529"/>
      <c r="CD104" s="529"/>
      <c r="CE104" s="529"/>
      <c r="CF104" s="529"/>
      <c r="CG104" s="529"/>
      <c r="CH104" s="529"/>
      <c r="CI104" s="529"/>
      <c r="CJ104" s="529"/>
      <c r="CK104" s="529"/>
      <c r="CL104" s="529"/>
      <c r="CM104" s="529"/>
      <c r="CN104" s="529"/>
      <c r="CO104" s="529"/>
      <c r="CP104" s="529"/>
      <c r="CQ104" s="529"/>
      <c r="CR104" s="529"/>
      <c r="CS104" s="529"/>
      <c r="CT104" s="529"/>
      <c r="CU104" s="529"/>
      <c r="CV104" s="529"/>
      <c r="CW104" s="529"/>
      <c r="CX104" s="529"/>
      <c r="CY104" s="529"/>
      <c r="CZ104" s="529"/>
      <c r="DA104" s="529"/>
      <c r="DB104" s="529"/>
      <c r="DC104" s="529"/>
      <c r="DD104" s="529"/>
      <c r="DE104" s="529"/>
      <c r="DF104" s="529"/>
      <c r="DG104" s="529"/>
      <c r="DH104" s="529"/>
      <c r="DI104" s="529"/>
      <c r="DJ104" s="529"/>
      <c r="DK104" s="529"/>
      <c r="DL104" s="529"/>
      <c r="DM104" s="529"/>
      <c r="DN104" s="529"/>
      <c r="DO104" s="529"/>
      <c r="DP104" s="529"/>
      <c r="DQ104" s="529"/>
      <c r="DR104" s="529"/>
      <c r="DS104" s="529"/>
      <c r="DT104" s="529"/>
      <c r="DU104" s="529"/>
      <c r="DV104" s="529"/>
      <c r="DW104" s="529"/>
      <c r="DX104" s="529"/>
      <c r="DY104" s="529"/>
      <c r="DZ104" s="529"/>
      <c r="EA104" s="529"/>
      <c r="EB104" s="529"/>
      <c r="EC104" s="529"/>
      <c r="ED104" s="529"/>
      <c r="EE104" s="529"/>
      <c r="EF104" s="529"/>
      <c r="EG104" s="529"/>
      <c r="EH104" s="529"/>
      <c r="EI104" s="529"/>
      <c r="EJ104" s="529"/>
      <c r="EK104" s="529"/>
      <c r="EL104" s="529"/>
      <c r="EM104" s="529"/>
      <c r="EN104" s="529"/>
      <c r="EO104" s="529"/>
      <c r="EP104" s="529"/>
      <c r="EQ104" s="529"/>
      <c r="ER104" s="529"/>
      <c r="ES104" s="529"/>
      <c r="ET104" s="529"/>
      <c r="EU104" s="529"/>
      <c r="EV104" s="529"/>
      <c r="EW104" s="529"/>
      <c r="EX104" s="529"/>
      <c r="EY104" s="529"/>
      <c r="EZ104" s="529"/>
      <c r="FA104" s="529"/>
      <c r="FB104" s="529"/>
      <c r="FC104" s="529"/>
      <c r="FD104" s="529"/>
      <c r="FE104" s="529"/>
      <c r="FF104" s="529"/>
      <c r="FG104" s="529"/>
      <c r="FH104" s="529"/>
      <c r="FI104" s="529"/>
      <c r="FJ104" s="529"/>
      <c r="FK104" s="529"/>
      <c r="FL104" s="529"/>
      <c r="FM104" s="529"/>
      <c r="FN104" s="529"/>
      <c r="FO104" s="529"/>
      <c r="FP104" s="529"/>
      <c r="FQ104" s="529"/>
      <c r="FR104" s="529"/>
      <c r="FS104" s="529"/>
      <c r="FT104" s="529"/>
      <c r="FU104" s="529"/>
      <c r="FV104" s="529"/>
      <c r="FW104" s="529"/>
      <c r="FX104" s="529"/>
      <c r="FY104" s="529"/>
      <c r="FZ104" s="529"/>
      <c r="GA104" s="529"/>
      <c r="GB104" s="529"/>
      <c r="GC104" s="529"/>
      <c r="GD104" s="529"/>
      <c r="GE104" s="529"/>
      <c r="GF104" s="529"/>
      <c r="GG104" s="529"/>
      <c r="GH104" s="529"/>
      <c r="GI104" s="529"/>
      <c r="GJ104" s="529"/>
      <c r="GK104" s="529"/>
      <c r="GL104" s="529"/>
      <c r="GM104" s="529"/>
      <c r="GN104" s="529"/>
      <c r="GO104" s="529"/>
      <c r="GP104" s="529"/>
      <c r="GQ104" s="529"/>
      <c r="GR104" s="529"/>
      <c r="GS104" s="529"/>
      <c r="GT104" s="529"/>
      <c r="GU104" s="529"/>
      <c r="GV104" s="529"/>
      <c r="GW104" s="529"/>
      <c r="GX104" s="529"/>
      <c r="GY104" s="529"/>
      <c r="GZ104" s="529"/>
      <c r="HA104" s="529"/>
      <c r="HB104" s="529"/>
      <c r="HC104" s="529"/>
      <c r="HD104" s="529"/>
      <c r="HE104" s="529"/>
      <c r="HF104" s="529"/>
      <c r="HG104" s="529"/>
      <c r="HH104" s="529"/>
      <c r="HI104" s="529"/>
      <c r="HJ104" s="529"/>
      <c r="HK104" s="529"/>
      <c r="HL104" s="529"/>
      <c r="HM104" s="529"/>
      <c r="HN104" s="529"/>
      <c r="HO104" s="529"/>
      <c r="HP104" s="529"/>
      <c r="HQ104" s="529"/>
      <c r="HR104" s="529"/>
      <c r="HS104" s="529"/>
      <c r="HT104" s="529"/>
      <c r="HU104" s="529"/>
      <c r="HV104" s="529"/>
      <c r="HW104" s="529"/>
      <c r="HX104" s="529"/>
      <c r="HY104" s="529"/>
      <c r="HZ104" s="529"/>
      <c r="IA104" s="529"/>
      <c r="IB104" s="529"/>
      <c r="IC104" s="529"/>
      <c r="ID104" s="529"/>
      <c r="IE104" s="529"/>
      <c r="IF104" s="529"/>
      <c r="IG104" s="529"/>
      <c r="IH104" s="529"/>
      <c r="II104" s="529"/>
      <c r="IJ104" s="529"/>
      <c r="IK104" s="529"/>
      <c r="IL104" s="529"/>
      <c r="IM104" s="529"/>
      <c r="IN104" s="529"/>
      <c r="IO104" s="529"/>
      <c r="IP104" s="529"/>
      <c r="IQ104" s="529"/>
      <c r="IR104" s="529"/>
      <c r="IS104" s="529"/>
      <c r="IT104" s="529"/>
      <c r="IU104" s="529"/>
      <c r="IV104" s="529"/>
      <c r="IW104" s="529"/>
    </row>
    <row r="105" customFormat="false" ht="12.75" hidden="false" customHeight="false" outlineLevel="0" collapsed="false">
      <c r="AI105" s="529"/>
      <c r="AJ105" s="529"/>
      <c r="AK105" s="529"/>
      <c r="AL105" s="529"/>
      <c r="AM105" s="529"/>
      <c r="AN105" s="529"/>
      <c r="AO105" s="529"/>
      <c r="AP105" s="529"/>
      <c r="AQ105" s="529"/>
      <c r="AR105" s="529"/>
      <c r="AS105" s="529"/>
      <c r="AT105" s="529"/>
      <c r="AU105" s="529"/>
      <c r="AV105" s="529"/>
      <c r="AW105" s="529"/>
      <c r="AX105" s="529"/>
      <c r="AY105" s="529"/>
      <c r="AZ105" s="529"/>
      <c r="BA105" s="529"/>
      <c r="BB105" s="529"/>
      <c r="BC105" s="529"/>
      <c r="BD105" s="529"/>
      <c r="BE105" s="529"/>
      <c r="BF105" s="529"/>
      <c r="BG105" s="529"/>
      <c r="BH105" s="529"/>
      <c r="BI105" s="529"/>
      <c r="BJ105" s="529"/>
      <c r="BK105" s="529"/>
      <c r="BL105" s="529"/>
      <c r="BM105" s="529"/>
      <c r="BN105" s="529"/>
      <c r="BO105" s="529"/>
      <c r="BP105" s="529"/>
      <c r="BQ105" s="529"/>
      <c r="BR105" s="529"/>
      <c r="BS105" s="529"/>
      <c r="BT105" s="529"/>
      <c r="BU105" s="529"/>
      <c r="BV105" s="529"/>
      <c r="BW105" s="529"/>
      <c r="BX105" s="529"/>
      <c r="BY105" s="529"/>
      <c r="BZ105" s="529"/>
      <c r="CA105" s="529"/>
      <c r="CB105" s="529"/>
      <c r="CC105" s="529"/>
      <c r="CD105" s="529"/>
      <c r="CE105" s="529"/>
      <c r="CF105" s="529"/>
      <c r="CG105" s="529"/>
      <c r="CH105" s="529"/>
      <c r="CI105" s="529"/>
      <c r="CJ105" s="529"/>
      <c r="CK105" s="529"/>
      <c r="CL105" s="529"/>
      <c r="CM105" s="529"/>
      <c r="CN105" s="529"/>
      <c r="CO105" s="529"/>
      <c r="CP105" s="529"/>
      <c r="CQ105" s="529"/>
      <c r="CR105" s="529"/>
      <c r="CS105" s="529"/>
      <c r="CT105" s="529"/>
      <c r="CU105" s="529"/>
      <c r="CV105" s="529"/>
      <c r="CW105" s="529"/>
      <c r="CX105" s="529"/>
      <c r="CY105" s="529"/>
      <c r="CZ105" s="529"/>
      <c r="DA105" s="529"/>
      <c r="DB105" s="529"/>
      <c r="DC105" s="529"/>
      <c r="DD105" s="529"/>
      <c r="DE105" s="529"/>
      <c r="DF105" s="529"/>
      <c r="DG105" s="529"/>
      <c r="DH105" s="529"/>
      <c r="DI105" s="529"/>
      <c r="DJ105" s="529"/>
      <c r="DK105" s="529"/>
      <c r="DL105" s="529"/>
      <c r="DM105" s="529"/>
      <c r="DN105" s="529"/>
      <c r="DO105" s="529"/>
      <c r="DP105" s="529"/>
      <c r="DQ105" s="529"/>
      <c r="DR105" s="529"/>
      <c r="DS105" s="529"/>
      <c r="DT105" s="529"/>
      <c r="DU105" s="529"/>
      <c r="DV105" s="529"/>
      <c r="DW105" s="529"/>
      <c r="DX105" s="529"/>
      <c r="DY105" s="529"/>
      <c r="DZ105" s="529"/>
      <c r="EA105" s="529"/>
      <c r="EB105" s="529"/>
      <c r="EC105" s="529"/>
      <c r="ED105" s="529"/>
      <c r="EE105" s="529"/>
      <c r="EF105" s="529"/>
      <c r="EG105" s="529"/>
      <c r="EH105" s="529"/>
      <c r="EI105" s="529"/>
      <c r="EJ105" s="529"/>
      <c r="EK105" s="529"/>
      <c r="EL105" s="529"/>
      <c r="EM105" s="529"/>
      <c r="EN105" s="529"/>
      <c r="EO105" s="529"/>
      <c r="EP105" s="529"/>
      <c r="EQ105" s="529"/>
      <c r="ER105" s="529"/>
      <c r="ES105" s="529"/>
      <c r="ET105" s="529"/>
      <c r="EU105" s="529"/>
      <c r="EV105" s="529"/>
      <c r="EW105" s="529"/>
      <c r="EX105" s="529"/>
      <c r="EY105" s="529"/>
      <c r="EZ105" s="529"/>
      <c r="FA105" s="529"/>
      <c r="FB105" s="529"/>
      <c r="FC105" s="529"/>
      <c r="FD105" s="529"/>
      <c r="FE105" s="529"/>
      <c r="FF105" s="529"/>
      <c r="FG105" s="529"/>
      <c r="FH105" s="529"/>
      <c r="FI105" s="529"/>
      <c r="FJ105" s="529"/>
      <c r="FK105" s="529"/>
      <c r="FL105" s="529"/>
      <c r="FM105" s="529"/>
      <c r="FN105" s="529"/>
      <c r="FO105" s="529"/>
      <c r="FP105" s="529"/>
      <c r="FQ105" s="529"/>
      <c r="FR105" s="529"/>
      <c r="FS105" s="529"/>
      <c r="FT105" s="529"/>
      <c r="FU105" s="529"/>
      <c r="FV105" s="529"/>
      <c r="FW105" s="529"/>
      <c r="FX105" s="529"/>
      <c r="FY105" s="529"/>
      <c r="FZ105" s="529"/>
      <c r="GA105" s="529"/>
      <c r="GB105" s="529"/>
      <c r="GC105" s="529"/>
      <c r="GD105" s="529"/>
      <c r="GE105" s="529"/>
      <c r="GF105" s="529"/>
      <c r="GG105" s="529"/>
      <c r="GH105" s="529"/>
      <c r="GI105" s="529"/>
      <c r="GJ105" s="529"/>
      <c r="GK105" s="529"/>
      <c r="GL105" s="529"/>
      <c r="GM105" s="529"/>
      <c r="GN105" s="529"/>
      <c r="GO105" s="529"/>
      <c r="GP105" s="529"/>
      <c r="GQ105" s="529"/>
      <c r="GR105" s="529"/>
      <c r="GS105" s="529"/>
      <c r="GT105" s="529"/>
      <c r="GU105" s="529"/>
      <c r="GV105" s="529"/>
      <c r="GW105" s="529"/>
      <c r="GX105" s="529"/>
      <c r="GY105" s="529"/>
      <c r="GZ105" s="529"/>
      <c r="HA105" s="529"/>
      <c r="HB105" s="529"/>
      <c r="HC105" s="529"/>
      <c r="HD105" s="529"/>
      <c r="HE105" s="529"/>
      <c r="HF105" s="529"/>
      <c r="HG105" s="529"/>
      <c r="HH105" s="529"/>
      <c r="HI105" s="529"/>
      <c r="HJ105" s="529"/>
      <c r="HK105" s="529"/>
      <c r="HL105" s="529"/>
      <c r="HM105" s="529"/>
      <c r="HN105" s="529"/>
      <c r="HO105" s="529"/>
      <c r="HP105" s="529"/>
      <c r="HQ105" s="529"/>
      <c r="HR105" s="529"/>
      <c r="HS105" s="529"/>
      <c r="HT105" s="529"/>
      <c r="HU105" s="529"/>
      <c r="HV105" s="529"/>
      <c r="HW105" s="529"/>
      <c r="HX105" s="529"/>
      <c r="HY105" s="529"/>
      <c r="HZ105" s="529"/>
      <c r="IA105" s="529"/>
      <c r="IB105" s="529"/>
      <c r="IC105" s="529"/>
      <c r="ID105" s="529"/>
      <c r="IE105" s="529"/>
      <c r="IF105" s="529"/>
      <c r="IG105" s="529"/>
      <c r="IH105" s="529"/>
      <c r="II105" s="529"/>
      <c r="IJ105" s="529"/>
      <c r="IK105" s="529"/>
      <c r="IL105" s="529"/>
      <c r="IM105" s="529"/>
      <c r="IN105" s="529"/>
      <c r="IO105" s="529"/>
      <c r="IP105" s="529"/>
      <c r="IQ105" s="529"/>
      <c r="IR105" s="529"/>
      <c r="IS105" s="529"/>
      <c r="IT105" s="529"/>
      <c r="IU105" s="529"/>
      <c r="IV105" s="529"/>
      <c r="IW105" s="529"/>
    </row>
    <row r="106" customFormat="false" ht="12.75" hidden="false" customHeight="false" outlineLevel="0" collapsed="false">
      <c r="AI106" s="529"/>
      <c r="AJ106" s="529"/>
      <c r="AK106" s="529"/>
      <c r="AL106" s="529"/>
      <c r="AM106" s="529"/>
      <c r="AN106" s="529"/>
      <c r="AO106" s="529"/>
      <c r="AP106" s="529"/>
      <c r="AQ106" s="529"/>
      <c r="AR106" s="529"/>
      <c r="AS106" s="529"/>
      <c r="AT106" s="529"/>
      <c r="AU106" s="529"/>
      <c r="AV106" s="529"/>
      <c r="AW106" s="529"/>
      <c r="AX106" s="529"/>
      <c r="AY106" s="529"/>
      <c r="AZ106" s="529"/>
      <c r="BA106" s="529"/>
      <c r="BB106" s="529"/>
      <c r="BC106" s="529"/>
      <c r="BD106" s="529"/>
      <c r="BE106" s="529"/>
      <c r="BF106" s="529"/>
      <c r="BG106" s="529"/>
      <c r="BH106" s="529"/>
      <c r="BI106" s="529"/>
      <c r="BJ106" s="529"/>
      <c r="BK106" s="529"/>
      <c r="BL106" s="529"/>
      <c r="BM106" s="529"/>
      <c r="BN106" s="529"/>
      <c r="BO106" s="529"/>
      <c r="BP106" s="529"/>
      <c r="BQ106" s="529"/>
      <c r="BR106" s="529"/>
      <c r="BS106" s="529"/>
      <c r="BT106" s="529"/>
      <c r="BU106" s="529"/>
      <c r="BV106" s="529"/>
      <c r="BW106" s="529"/>
      <c r="BX106" s="529"/>
      <c r="BY106" s="529"/>
      <c r="BZ106" s="529"/>
      <c r="CA106" s="529"/>
      <c r="CB106" s="529"/>
      <c r="CC106" s="529"/>
      <c r="CD106" s="529"/>
      <c r="CE106" s="529"/>
      <c r="CF106" s="529"/>
      <c r="CG106" s="529"/>
      <c r="CH106" s="529"/>
      <c r="CI106" s="529"/>
      <c r="CJ106" s="529"/>
      <c r="CK106" s="529"/>
      <c r="CL106" s="529"/>
      <c r="CM106" s="529"/>
      <c r="CN106" s="529"/>
      <c r="CO106" s="529"/>
      <c r="CP106" s="529"/>
      <c r="CQ106" s="529"/>
      <c r="CR106" s="529"/>
      <c r="CS106" s="529"/>
      <c r="CT106" s="529"/>
      <c r="CU106" s="529"/>
      <c r="CV106" s="529"/>
      <c r="CW106" s="529"/>
      <c r="CX106" s="529"/>
      <c r="CY106" s="529"/>
      <c r="CZ106" s="529"/>
      <c r="DA106" s="529"/>
      <c r="DB106" s="529"/>
      <c r="DC106" s="529"/>
      <c r="DD106" s="529"/>
      <c r="DE106" s="529"/>
      <c r="DF106" s="529"/>
      <c r="DG106" s="529"/>
      <c r="DH106" s="529"/>
      <c r="DI106" s="529"/>
      <c r="DJ106" s="529"/>
      <c r="DK106" s="529"/>
      <c r="DL106" s="529"/>
      <c r="DM106" s="529"/>
      <c r="DN106" s="529"/>
      <c r="DO106" s="529"/>
      <c r="DP106" s="529"/>
      <c r="DQ106" s="529"/>
      <c r="DR106" s="529"/>
      <c r="DS106" s="529"/>
      <c r="DT106" s="529"/>
      <c r="DU106" s="529"/>
      <c r="DV106" s="529"/>
      <c r="DW106" s="529"/>
      <c r="DX106" s="529"/>
      <c r="DY106" s="529"/>
      <c r="DZ106" s="529"/>
      <c r="EA106" s="529"/>
      <c r="EB106" s="529"/>
      <c r="EC106" s="529"/>
      <c r="ED106" s="529"/>
      <c r="EE106" s="529"/>
      <c r="EF106" s="529"/>
      <c r="EG106" s="529"/>
      <c r="EH106" s="529"/>
      <c r="EI106" s="529"/>
      <c r="EJ106" s="529"/>
      <c r="EK106" s="529"/>
      <c r="EL106" s="529"/>
      <c r="EM106" s="529"/>
      <c r="EN106" s="529"/>
      <c r="EO106" s="529"/>
      <c r="EP106" s="529"/>
      <c r="EQ106" s="529"/>
      <c r="ER106" s="529"/>
      <c r="ES106" s="529"/>
      <c r="ET106" s="529"/>
      <c r="EU106" s="529"/>
      <c r="EV106" s="529"/>
      <c r="EW106" s="529"/>
      <c r="EX106" s="529"/>
      <c r="EY106" s="529"/>
      <c r="EZ106" s="529"/>
      <c r="FA106" s="529"/>
      <c r="FB106" s="529"/>
      <c r="FC106" s="529"/>
      <c r="FD106" s="529"/>
      <c r="FE106" s="529"/>
      <c r="FF106" s="529"/>
      <c r="FG106" s="529"/>
      <c r="FH106" s="529"/>
      <c r="FI106" s="529"/>
      <c r="FJ106" s="529"/>
      <c r="FK106" s="529"/>
      <c r="FL106" s="529"/>
      <c r="FM106" s="529"/>
      <c r="FN106" s="529"/>
      <c r="FO106" s="529"/>
      <c r="FP106" s="529"/>
      <c r="FQ106" s="529"/>
      <c r="FR106" s="529"/>
      <c r="FS106" s="529"/>
      <c r="FT106" s="529"/>
      <c r="FU106" s="529"/>
      <c r="FV106" s="529"/>
      <c r="FW106" s="529"/>
      <c r="FX106" s="529"/>
      <c r="FY106" s="529"/>
      <c r="FZ106" s="529"/>
      <c r="GA106" s="529"/>
      <c r="GB106" s="529"/>
      <c r="GC106" s="529"/>
      <c r="GD106" s="529"/>
      <c r="GE106" s="529"/>
      <c r="GF106" s="529"/>
      <c r="GG106" s="529"/>
      <c r="GH106" s="529"/>
      <c r="GI106" s="529"/>
      <c r="GJ106" s="529"/>
      <c r="GK106" s="529"/>
      <c r="GL106" s="529"/>
      <c r="GM106" s="529"/>
      <c r="GN106" s="529"/>
      <c r="GO106" s="529"/>
      <c r="GP106" s="529"/>
      <c r="GQ106" s="529"/>
      <c r="GR106" s="529"/>
      <c r="GS106" s="529"/>
      <c r="GT106" s="529"/>
      <c r="GU106" s="529"/>
      <c r="GV106" s="529"/>
      <c r="GW106" s="529"/>
      <c r="GX106" s="529"/>
      <c r="GY106" s="529"/>
      <c r="GZ106" s="529"/>
      <c r="HA106" s="529"/>
      <c r="HB106" s="529"/>
      <c r="HC106" s="529"/>
      <c r="HD106" s="529"/>
      <c r="HE106" s="529"/>
      <c r="HF106" s="529"/>
      <c r="HG106" s="529"/>
      <c r="HH106" s="529"/>
      <c r="HI106" s="529"/>
      <c r="HJ106" s="529"/>
      <c r="HK106" s="529"/>
      <c r="HL106" s="529"/>
      <c r="HM106" s="529"/>
      <c r="HN106" s="529"/>
      <c r="HO106" s="529"/>
      <c r="HP106" s="529"/>
      <c r="HQ106" s="529"/>
      <c r="HR106" s="529"/>
      <c r="HS106" s="529"/>
      <c r="HT106" s="529"/>
      <c r="HU106" s="529"/>
      <c r="HV106" s="529"/>
      <c r="HW106" s="529"/>
      <c r="HX106" s="529"/>
      <c r="HY106" s="529"/>
      <c r="HZ106" s="529"/>
      <c r="IA106" s="529"/>
      <c r="IB106" s="529"/>
      <c r="IC106" s="529"/>
      <c r="ID106" s="529"/>
      <c r="IE106" s="529"/>
      <c r="IF106" s="529"/>
      <c r="IG106" s="529"/>
      <c r="IH106" s="529"/>
      <c r="II106" s="529"/>
      <c r="IJ106" s="529"/>
      <c r="IK106" s="529"/>
      <c r="IL106" s="529"/>
      <c r="IM106" s="529"/>
      <c r="IN106" s="529"/>
      <c r="IO106" s="529"/>
      <c r="IP106" s="529"/>
      <c r="IQ106" s="529"/>
      <c r="IR106" s="529"/>
      <c r="IS106" s="529"/>
      <c r="IT106" s="529"/>
      <c r="IU106" s="529"/>
      <c r="IV106" s="529"/>
      <c r="IW106" s="529"/>
    </row>
    <row r="107" customFormat="false" ht="12.6" hidden="false" customHeight="true" outlineLevel="0" collapsed="false">
      <c r="AI107" s="529"/>
      <c r="AJ107" s="529"/>
      <c r="AK107" s="529"/>
      <c r="AL107" s="529"/>
      <c r="AM107" s="529"/>
      <c r="AN107" s="529"/>
      <c r="AO107" s="529"/>
      <c r="AP107" s="529"/>
      <c r="AQ107" s="529"/>
      <c r="AR107" s="529"/>
      <c r="AS107" s="529"/>
      <c r="AT107" s="529"/>
      <c r="AU107" s="529"/>
      <c r="AV107" s="529"/>
      <c r="AW107" s="529"/>
      <c r="AX107" s="529"/>
      <c r="AY107" s="529"/>
      <c r="AZ107" s="529"/>
      <c r="BA107" s="529"/>
      <c r="BB107" s="529"/>
      <c r="BC107" s="529"/>
      <c r="BD107" s="529"/>
      <c r="BE107" s="529"/>
      <c r="BF107" s="529"/>
      <c r="BG107" s="529"/>
      <c r="BH107" s="529"/>
      <c r="BI107" s="529"/>
      <c r="BJ107" s="529"/>
      <c r="BK107" s="529"/>
      <c r="BL107" s="529"/>
      <c r="BM107" s="529"/>
      <c r="BN107" s="529"/>
      <c r="BO107" s="529"/>
      <c r="BP107" s="529"/>
      <c r="BQ107" s="529"/>
      <c r="BR107" s="529"/>
      <c r="BS107" s="529"/>
      <c r="BT107" s="529"/>
      <c r="BU107" s="529"/>
      <c r="BV107" s="529"/>
      <c r="BW107" s="529"/>
      <c r="BX107" s="529"/>
      <c r="BY107" s="529"/>
      <c r="BZ107" s="529"/>
      <c r="CA107" s="529"/>
      <c r="CB107" s="529"/>
      <c r="CC107" s="529"/>
      <c r="CD107" s="529"/>
      <c r="CE107" s="529"/>
      <c r="CF107" s="529"/>
      <c r="CG107" s="529"/>
      <c r="CH107" s="529"/>
      <c r="CI107" s="529"/>
      <c r="CJ107" s="529"/>
      <c r="CK107" s="529"/>
      <c r="CL107" s="529"/>
      <c r="CM107" s="529"/>
      <c r="CN107" s="529"/>
      <c r="CO107" s="529"/>
      <c r="CP107" s="529"/>
      <c r="CQ107" s="529"/>
      <c r="CR107" s="529"/>
      <c r="CS107" s="529"/>
      <c r="CT107" s="529"/>
      <c r="CU107" s="529"/>
      <c r="CV107" s="529"/>
      <c r="CW107" s="529"/>
      <c r="CX107" s="529"/>
      <c r="CY107" s="529"/>
      <c r="CZ107" s="529"/>
      <c r="DA107" s="529"/>
      <c r="DB107" s="529"/>
      <c r="DC107" s="529"/>
      <c r="DD107" s="529"/>
      <c r="DE107" s="529"/>
      <c r="DF107" s="529"/>
      <c r="DG107" s="529"/>
      <c r="DH107" s="529"/>
      <c r="DI107" s="529"/>
      <c r="DJ107" s="529"/>
      <c r="DK107" s="529"/>
      <c r="DL107" s="529"/>
      <c r="DM107" s="529"/>
      <c r="DN107" s="529"/>
      <c r="DO107" s="529"/>
      <c r="DP107" s="529"/>
      <c r="DQ107" s="529"/>
      <c r="DR107" s="529"/>
      <c r="DS107" s="529"/>
      <c r="DT107" s="529"/>
      <c r="DU107" s="529"/>
      <c r="DV107" s="529"/>
      <c r="DW107" s="529"/>
      <c r="DX107" s="529"/>
      <c r="DY107" s="529"/>
      <c r="DZ107" s="529"/>
      <c r="EA107" s="529"/>
      <c r="EB107" s="529"/>
      <c r="EC107" s="529"/>
      <c r="ED107" s="529"/>
      <c r="EE107" s="529"/>
      <c r="EF107" s="529"/>
      <c r="EG107" s="529"/>
      <c r="EH107" s="529"/>
      <c r="EI107" s="529"/>
      <c r="EJ107" s="529"/>
      <c r="EK107" s="529"/>
      <c r="EL107" s="529"/>
      <c r="EM107" s="529"/>
      <c r="EN107" s="529"/>
      <c r="EO107" s="529"/>
      <c r="EP107" s="529"/>
      <c r="EQ107" s="529"/>
      <c r="ER107" s="529"/>
      <c r="ES107" s="529"/>
      <c r="ET107" s="529"/>
      <c r="EU107" s="529"/>
      <c r="EV107" s="529"/>
      <c r="EW107" s="529"/>
      <c r="EX107" s="529"/>
      <c r="EY107" s="529"/>
      <c r="EZ107" s="529"/>
      <c r="FA107" s="529"/>
      <c r="FB107" s="529"/>
      <c r="FC107" s="529"/>
      <c r="FD107" s="529"/>
      <c r="FE107" s="529"/>
      <c r="FF107" s="529"/>
      <c r="FG107" s="529"/>
      <c r="FH107" s="529"/>
      <c r="FI107" s="529"/>
      <c r="FJ107" s="529"/>
      <c r="FK107" s="529"/>
      <c r="FL107" s="529"/>
      <c r="FM107" s="529"/>
      <c r="FN107" s="529"/>
      <c r="FO107" s="529"/>
      <c r="FP107" s="529"/>
      <c r="FQ107" s="529"/>
      <c r="FR107" s="529"/>
      <c r="FS107" s="529"/>
      <c r="FT107" s="529"/>
      <c r="FU107" s="529"/>
      <c r="FV107" s="529"/>
      <c r="FW107" s="529"/>
      <c r="FX107" s="529"/>
      <c r="FY107" s="529"/>
      <c r="FZ107" s="529"/>
      <c r="GA107" s="529"/>
      <c r="GB107" s="529"/>
      <c r="GC107" s="529"/>
      <c r="GD107" s="529"/>
      <c r="GE107" s="529"/>
      <c r="GF107" s="529"/>
      <c r="GG107" s="529"/>
      <c r="GH107" s="529"/>
      <c r="GI107" s="529"/>
      <c r="GJ107" s="529"/>
      <c r="GK107" s="529"/>
      <c r="GL107" s="529"/>
      <c r="GM107" s="529"/>
      <c r="GN107" s="529"/>
      <c r="GO107" s="529"/>
      <c r="GP107" s="529"/>
      <c r="GQ107" s="529"/>
      <c r="GR107" s="529"/>
      <c r="GS107" s="529"/>
      <c r="GT107" s="529"/>
      <c r="GU107" s="529"/>
      <c r="GV107" s="529"/>
      <c r="GW107" s="529"/>
      <c r="GX107" s="529"/>
      <c r="GY107" s="529"/>
      <c r="GZ107" s="529"/>
      <c r="HA107" s="529"/>
      <c r="HB107" s="529"/>
      <c r="HC107" s="529"/>
      <c r="HD107" s="529"/>
      <c r="HE107" s="529"/>
      <c r="HF107" s="529"/>
      <c r="HG107" s="529"/>
      <c r="HH107" s="529"/>
      <c r="HI107" s="529"/>
      <c r="HJ107" s="529"/>
      <c r="HK107" s="529"/>
      <c r="HL107" s="529"/>
      <c r="HM107" s="529"/>
      <c r="HN107" s="529"/>
      <c r="HO107" s="529"/>
      <c r="HP107" s="529"/>
      <c r="HQ107" s="529"/>
      <c r="HR107" s="529"/>
      <c r="HS107" s="529"/>
      <c r="HT107" s="529"/>
      <c r="HU107" s="529"/>
      <c r="HV107" s="529"/>
      <c r="HW107" s="529"/>
      <c r="HX107" s="529"/>
      <c r="HY107" s="529"/>
      <c r="HZ107" s="529"/>
      <c r="IA107" s="529"/>
      <c r="IB107" s="529"/>
      <c r="IC107" s="529"/>
      <c r="ID107" s="529"/>
      <c r="IE107" s="529"/>
      <c r="IF107" s="529"/>
      <c r="IG107" s="529"/>
      <c r="IH107" s="529"/>
      <c r="II107" s="529"/>
      <c r="IJ107" s="529"/>
      <c r="IK107" s="529"/>
      <c r="IL107" s="529"/>
      <c r="IM107" s="529"/>
      <c r="IN107" s="529"/>
      <c r="IO107" s="529"/>
      <c r="IP107" s="529"/>
      <c r="IQ107" s="529"/>
      <c r="IR107" s="529"/>
      <c r="IS107" s="529"/>
      <c r="IT107" s="529"/>
      <c r="IU107" s="529"/>
      <c r="IV107" s="529"/>
      <c r="IW107" s="529"/>
    </row>
    <row r="108" customFormat="false" ht="12.6" hidden="false" customHeight="true" outlineLevel="0" collapsed="false">
      <c r="AI108" s="529"/>
      <c r="AJ108" s="529"/>
      <c r="AK108" s="529"/>
      <c r="AL108" s="529"/>
      <c r="AM108" s="529"/>
      <c r="AN108" s="529"/>
      <c r="AO108" s="529"/>
      <c r="AP108" s="529"/>
      <c r="AQ108" s="529"/>
      <c r="AR108" s="529"/>
      <c r="AS108" s="529"/>
      <c r="AT108" s="529"/>
      <c r="AU108" s="529"/>
      <c r="AV108" s="529"/>
      <c r="AW108" s="529"/>
      <c r="AX108" s="529"/>
      <c r="AY108" s="529"/>
      <c r="AZ108" s="529"/>
      <c r="BA108" s="529"/>
      <c r="BB108" s="529"/>
      <c r="BC108" s="529"/>
      <c r="BD108" s="529"/>
      <c r="BE108" s="529"/>
      <c r="BF108" s="529"/>
      <c r="BG108" s="529"/>
      <c r="BH108" s="529"/>
      <c r="BI108" s="529"/>
      <c r="BJ108" s="529"/>
      <c r="BK108" s="529"/>
      <c r="BL108" s="529"/>
      <c r="BM108" s="529"/>
      <c r="BN108" s="529"/>
      <c r="BO108" s="529"/>
      <c r="BP108" s="529"/>
      <c r="BQ108" s="529"/>
      <c r="BR108" s="529"/>
      <c r="BS108" s="529"/>
      <c r="BT108" s="529"/>
      <c r="BU108" s="529"/>
      <c r="BV108" s="529"/>
      <c r="BW108" s="529"/>
      <c r="BX108" s="529"/>
      <c r="BY108" s="529"/>
      <c r="BZ108" s="529"/>
      <c r="CA108" s="529"/>
      <c r="CB108" s="529"/>
      <c r="CC108" s="529"/>
      <c r="CD108" s="529"/>
      <c r="CE108" s="529"/>
      <c r="CF108" s="529"/>
      <c r="CG108" s="529"/>
      <c r="CH108" s="529"/>
      <c r="CI108" s="529"/>
      <c r="CJ108" s="529"/>
      <c r="CK108" s="529"/>
      <c r="CL108" s="529"/>
      <c r="CM108" s="529"/>
      <c r="CN108" s="529"/>
      <c r="CO108" s="529"/>
      <c r="CP108" s="529"/>
      <c r="CQ108" s="529"/>
      <c r="CR108" s="529"/>
      <c r="CS108" s="529"/>
      <c r="CT108" s="529"/>
      <c r="CU108" s="529"/>
      <c r="CV108" s="529"/>
      <c r="CW108" s="529"/>
      <c r="CX108" s="529"/>
      <c r="CY108" s="529"/>
      <c r="CZ108" s="529"/>
      <c r="DA108" s="529"/>
      <c r="DB108" s="529"/>
      <c r="DC108" s="529"/>
      <c r="DD108" s="529"/>
      <c r="DE108" s="529"/>
      <c r="DF108" s="529"/>
      <c r="DG108" s="529"/>
      <c r="DH108" s="529"/>
      <c r="DI108" s="529"/>
      <c r="DJ108" s="529"/>
      <c r="DK108" s="529"/>
      <c r="DL108" s="529"/>
      <c r="DM108" s="529"/>
      <c r="DN108" s="529"/>
      <c r="DO108" s="529"/>
      <c r="DP108" s="529"/>
      <c r="DQ108" s="529"/>
      <c r="DR108" s="529"/>
      <c r="DS108" s="529"/>
      <c r="DT108" s="529"/>
      <c r="DU108" s="529"/>
      <c r="DV108" s="529"/>
      <c r="DW108" s="529"/>
      <c r="DX108" s="529"/>
      <c r="DY108" s="529"/>
      <c r="DZ108" s="529"/>
      <c r="EA108" s="529"/>
      <c r="EB108" s="529"/>
      <c r="EC108" s="529"/>
      <c r="ED108" s="529"/>
      <c r="EE108" s="529"/>
      <c r="EF108" s="529"/>
      <c r="EG108" s="529"/>
      <c r="EH108" s="529"/>
      <c r="EI108" s="529"/>
      <c r="EJ108" s="529"/>
      <c r="EK108" s="529"/>
      <c r="EL108" s="529"/>
      <c r="EM108" s="529"/>
      <c r="EN108" s="529"/>
      <c r="EO108" s="529"/>
      <c r="EP108" s="529"/>
      <c r="EQ108" s="529"/>
      <c r="ER108" s="529"/>
      <c r="ES108" s="529"/>
      <c r="ET108" s="529"/>
      <c r="EU108" s="529"/>
      <c r="EV108" s="529"/>
      <c r="EW108" s="529"/>
      <c r="EX108" s="529"/>
      <c r="EY108" s="529"/>
      <c r="EZ108" s="529"/>
      <c r="FA108" s="529"/>
      <c r="FB108" s="529"/>
      <c r="FC108" s="529"/>
      <c r="FD108" s="529"/>
      <c r="FE108" s="529"/>
      <c r="FF108" s="529"/>
      <c r="FG108" s="529"/>
      <c r="FH108" s="529"/>
      <c r="FI108" s="529"/>
      <c r="FJ108" s="529"/>
      <c r="FK108" s="529"/>
      <c r="FL108" s="529"/>
      <c r="FM108" s="529"/>
      <c r="FN108" s="529"/>
      <c r="FO108" s="529"/>
      <c r="FP108" s="529"/>
      <c r="FQ108" s="529"/>
      <c r="FR108" s="529"/>
      <c r="FS108" s="529"/>
      <c r="FT108" s="529"/>
      <c r="FU108" s="529"/>
      <c r="FV108" s="529"/>
      <c r="FW108" s="529"/>
      <c r="FX108" s="529"/>
      <c r="FY108" s="529"/>
      <c r="FZ108" s="529"/>
      <c r="GA108" s="529"/>
      <c r="GB108" s="529"/>
      <c r="GC108" s="529"/>
      <c r="GD108" s="529"/>
      <c r="GE108" s="529"/>
      <c r="GF108" s="529"/>
      <c r="GG108" s="529"/>
      <c r="GH108" s="529"/>
      <c r="GI108" s="529"/>
      <c r="GJ108" s="529"/>
      <c r="GK108" s="529"/>
      <c r="GL108" s="529"/>
      <c r="GM108" s="529"/>
      <c r="GN108" s="529"/>
      <c r="GO108" s="529"/>
      <c r="GP108" s="529"/>
      <c r="GQ108" s="529"/>
      <c r="GR108" s="529"/>
      <c r="GS108" s="529"/>
      <c r="GT108" s="529"/>
      <c r="GU108" s="529"/>
      <c r="GV108" s="529"/>
      <c r="GW108" s="529"/>
      <c r="GX108" s="529"/>
      <c r="GY108" s="529"/>
      <c r="GZ108" s="529"/>
      <c r="HA108" s="529"/>
      <c r="HB108" s="529"/>
      <c r="HC108" s="529"/>
      <c r="HD108" s="529"/>
      <c r="HE108" s="529"/>
      <c r="HF108" s="529"/>
      <c r="HG108" s="529"/>
      <c r="HH108" s="529"/>
      <c r="HI108" s="529"/>
      <c r="HJ108" s="529"/>
      <c r="HK108" s="529"/>
      <c r="HL108" s="529"/>
      <c r="HM108" s="529"/>
      <c r="HN108" s="529"/>
      <c r="HO108" s="529"/>
      <c r="HP108" s="529"/>
      <c r="HQ108" s="529"/>
      <c r="HR108" s="529"/>
      <c r="HS108" s="529"/>
      <c r="HT108" s="529"/>
      <c r="HU108" s="529"/>
      <c r="HV108" s="529"/>
      <c r="HW108" s="529"/>
      <c r="HX108" s="529"/>
      <c r="HY108" s="529"/>
      <c r="HZ108" s="529"/>
      <c r="IA108" s="529"/>
      <c r="IB108" s="529"/>
      <c r="IC108" s="529"/>
      <c r="ID108" s="529"/>
      <c r="IE108" s="529"/>
      <c r="IF108" s="529"/>
      <c r="IG108" s="529"/>
      <c r="IH108" s="529"/>
      <c r="II108" s="529"/>
      <c r="IJ108" s="529"/>
      <c r="IK108" s="529"/>
      <c r="IL108" s="529"/>
      <c r="IM108" s="529"/>
      <c r="IN108" s="529"/>
      <c r="IO108" s="529"/>
      <c r="IP108" s="529"/>
      <c r="IQ108" s="529"/>
      <c r="IR108" s="529"/>
      <c r="IS108" s="529"/>
      <c r="IT108" s="529"/>
      <c r="IU108" s="529"/>
      <c r="IV108" s="529"/>
      <c r="IW108" s="529"/>
    </row>
    <row r="109" customFormat="false" ht="12.6" hidden="false" customHeight="true" outlineLevel="0" collapsed="false"/>
    <row r="110" customFormat="false" ht="12.6" hidden="false" customHeight="true" outlineLevel="0" collapsed="false"/>
    <row r="111" customFormat="false" ht="12.6" hidden="false" customHeight="true" outlineLevel="0" collapsed="false"/>
    <row r="112" customFormat="false" ht="12.6" hidden="false" customHeight="true" outlineLevel="0" collapsed="false"/>
    <row r="113" customFormat="false" ht="12.6" hidden="false" customHeight="true" outlineLevel="0" collapsed="false"/>
    <row r="114" customFormat="false" ht="12.6" hidden="false" customHeight="true" outlineLevel="0" collapsed="false"/>
    <row r="115" customFormat="false" ht="12.6" hidden="false" customHeight="true" outlineLevel="0" collapsed="false"/>
    <row r="116" customFormat="false" ht="12.6" hidden="false" customHeight="true" outlineLevel="0" collapsed="false"/>
    <row r="117" customFormat="false" ht="12.6" hidden="false" customHeight="true" outlineLevel="0" collapsed="false">
      <c r="A117" s="600"/>
      <c r="B117" s="473"/>
      <c r="C117" s="473"/>
      <c r="D117" s="601"/>
      <c r="E117" s="404"/>
      <c r="F117" s="404"/>
      <c r="G117" s="404"/>
      <c r="H117" s="404"/>
      <c r="I117" s="404"/>
      <c r="J117" s="404"/>
      <c r="K117" s="404"/>
      <c r="L117" s="404"/>
      <c r="M117" s="404"/>
      <c r="N117" s="404"/>
      <c r="O117" s="404"/>
      <c r="P117" s="404"/>
      <c r="Q117" s="404"/>
      <c r="R117" s="404"/>
      <c r="S117" s="404"/>
      <c r="T117" s="404"/>
      <c r="U117" s="404"/>
      <c r="V117" s="404"/>
      <c r="W117" s="404"/>
      <c r="X117" s="404"/>
      <c r="Y117" s="404"/>
      <c r="Z117" s="404"/>
      <c r="AA117" s="404"/>
      <c r="AB117" s="404"/>
      <c r="AC117" s="404"/>
      <c r="AD117" s="473"/>
      <c r="AE117" s="473"/>
      <c r="AF117" s="473"/>
      <c r="AG117" s="473"/>
      <c r="AH117" s="473"/>
      <c r="AI117" s="473"/>
      <c r="AJ117" s="473"/>
      <c r="AK117" s="473"/>
      <c r="AL117" s="473"/>
      <c r="AM117" s="473"/>
      <c r="AN117" s="473"/>
      <c r="AO117" s="473"/>
      <c r="AP117" s="473"/>
      <c r="AQ117" s="473"/>
      <c r="AR117" s="473"/>
      <c r="AS117" s="473"/>
      <c r="AT117" s="473"/>
      <c r="AU117" s="473"/>
      <c r="AV117" s="473"/>
      <c r="AW117" s="473"/>
      <c r="AX117" s="473"/>
      <c r="AY117" s="473"/>
      <c r="AZ117" s="473"/>
      <c r="BA117" s="473"/>
      <c r="BB117" s="473"/>
      <c r="BC117" s="473"/>
      <c r="BD117" s="473"/>
      <c r="BE117" s="473"/>
      <c r="BF117" s="473"/>
      <c r="BG117" s="473"/>
      <c r="BH117" s="473"/>
      <c r="BI117" s="473"/>
      <c r="BJ117" s="473"/>
      <c r="BK117" s="473"/>
      <c r="BL117" s="473"/>
      <c r="BM117" s="473"/>
      <c r="BN117" s="473"/>
      <c r="BO117" s="473"/>
      <c r="BP117" s="473"/>
      <c r="BQ117" s="473"/>
      <c r="BR117" s="473"/>
      <c r="BS117" s="473"/>
      <c r="BT117" s="473"/>
      <c r="BU117" s="473"/>
      <c r="BV117" s="473"/>
      <c r="BW117" s="473"/>
      <c r="BX117" s="473"/>
      <c r="BY117" s="473"/>
      <c r="BZ117" s="473"/>
      <c r="CA117" s="473"/>
      <c r="CB117" s="473"/>
      <c r="CC117" s="473"/>
      <c r="CD117" s="473"/>
      <c r="CE117" s="473"/>
      <c r="CF117" s="473"/>
      <c r="CG117" s="473"/>
      <c r="CH117" s="473"/>
      <c r="CI117" s="473"/>
      <c r="CJ117" s="473"/>
      <c r="CK117" s="473"/>
      <c r="CL117" s="473"/>
      <c r="CM117" s="473"/>
      <c r="CN117" s="473"/>
      <c r="CO117" s="473"/>
      <c r="CP117" s="473"/>
      <c r="CQ117" s="473"/>
      <c r="CR117" s="473"/>
      <c r="CS117" s="473"/>
      <c r="CT117" s="473"/>
      <c r="CU117" s="473"/>
      <c r="CV117" s="473"/>
      <c r="CW117" s="473"/>
      <c r="CX117" s="473"/>
      <c r="CY117" s="473"/>
      <c r="CZ117" s="473"/>
      <c r="DA117" s="473"/>
      <c r="DB117" s="473"/>
      <c r="DC117" s="473"/>
      <c r="DD117" s="473"/>
      <c r="DE117" s="473"/>
      <c r="DF117" s="473"/>
      <c r="DG117" s="473"/>
      <c r="DH117" s="473"/>
      <c r="DI117" s="473"/>
      <c r="DJ117" s="473"/>
      <c r="DK117" s="473"/>
      <c r="DL117" s="473"/>
      <c r="DM117" s="473"/>
      <c r="DN117" s="473"/>
      <c r="DO117" s="473"/>
      <c r="DP117" s="473"/>
      <c r="DQ117" s="473"/>
      <c r="DR117" s="473"/>
      <c r="DS117" s="473"/>
      <c r="DT117" s="473"/>
      <c r="DU117" s="473"/>
      <c r="DV117" s="473"/>
      <c r="DW117" s="473"/>
      <c r="DX117" s="473"/>
      <c r="DY117" s="473"/>
      <c r="DZ117" s="473"/>
      <c r="EA117" s="473"/>
      <c r="EB117" s="473"/>
      <c r="EC117" s="473"/>
      <c r="ED117" s="473"/>
      <c r="EE117" s="473"/>
      <c r="EF117" s="473"/>
      <c r="EG117" s="473"/>
      <c r="EH117" s="473"/>
      <c r="EI117" s="473"/>
      <c r="EJ117" s="473"/>
      <c r="EK117" s="473"/>
      <c r="EL117" s="473"/>
      <c r="EM117" s="473"/>
      <c r="EN117" s="473"/>
      <c r="EO117" s="473"/>
      <c r="EP117" s="473"/>
      <c r="EQ117" s="473"/>
      <c r="ER117" s="473"/>
      <c r="ES117" s="473"/>
      <c r="ET117" s="473"/>
      <c r="EU117" s="473"/>
      <c r="EV117" s="473"/>
      <c r="EW117" s="473"/>
      <c r="EX117" s="473"/>
      <c r="EY117" s="473"/>
      <c r="EZ117" s="473"/>
      <c r="FA117" s="473"/>
      <c r="FB117" s="473"/>
      <c r="FC117" s="473"/>
      <c r="FD117" s="473"/>
      <c r="FE117" s="473"/>
      <c r="FF117" s="473"/>
      <c r="FG117" s="473"/>
      <c r="FH117" s="473"/>
      <c r="FI117" s="473"/>
      <c r="FJ117" s="473"/>
      <c r="FK117" s="473"/>
      <c r="FL117" s="473"/>
      <c r="FM117" s="473"/>
      <c r="FN117" s="473"/>
      <c r="FO117" s="473"/>
      <c r="FP117" s="473"/>
      <c r="FQ117" s="473"/>
      <c r="FR117" s="473"/>
      <c r="FS117" s="473"/>
      <c r="FT117" s="473"/>
      <c r="FU117" s="473"/>
      <c r="FV117" s="473"/>
      <c r="FW117" s="473"/>
      <c r="FX117" s="473"/>
      <c r="FY117" s="473"/>
      <c r="FZ117" s="473"/>
      <c r="GA117" s="473"/>
      <c r="GB117" s="473"/>
      <c r="GC117" s="473"/>
      <c r="GD117" s="473"/>
      <c r="GE117" s="473"/>
      <c r="GF117" s="473"/>
      <c r="GG117" s="473"/>
      <c r="GH117" s="473"/>
      <c r="GI117" s="473"/>
      <c r="GJ117" s="473"/>
      <c r="GK117" s="473"/>
      <c r="GL117" s="473"/>
      <c r="GM117" s="473"/>
      <c r="GN117" s="473"/>
      <c r="GO117" s="473"/>
      <c r="GP117" s="473"/>
      <c r="GQ117" s="473"/>
      <c r="GR117" s="473"/>
      <c r="GS117" s="473"/>
      <c r="GT117" s="473"/>
      <c r="GU117" s="473"/>
      <c r="GV117" s="473"/>
      <c r="GW117" s="473"/>
      <c r="GX117" s="473"/>
      <c r="GY117" s="473"/>
      <c r="GZ117" s="473"/>
      <c r="HA117" s="473"/>
      <c r="HB117" s="473"/>
      <c r="HC117" s="473"/>
      <c r="HD117" s="473"/>
      <c r="HE117" s="473"/>
      <c r="HF117" s="473"/>
      <c r="HG117" s="473"/>
      <c r="HH117" s="473"/>
      <c r="HI117" s="473"/>
      <c r="HJ117" s="473"/>
      <c r="HK117" s="473"/>
      <c r="HL117" s="473"/>
      <c r="HM117" s="473"/>
      <c r="HN117" s="473"/>
      <c r="HO117" s="473"/>
      <c r="HP117" s="473"/>
      <c r="HQ117" s="473"/>
      <c r="HR117" s="473"/>
      <c r="HS117" s="473"/>
      <c r="HT117" s="473"/>
      <c r="HU117" s="473"/>
      <c r="HV117" s="473"/>
      <c r="HW117" s="473"/>
      <c r="HX117" s="473"/>
      <c r="HY117" s="473"/>
      <c r="HZ117" s="473"/>
      <c r="IA117" s="473"/>
      <c r="IB117" s="473"/>
      <c r="IC117" s="473"/>
      <c r="ID117" s="473"/>
      <c r="IE117" s="473"/>
      <c r="IF117" s="473"/>
      <c r="IG117" s="473"/>
      <c r="IH117" s="473"/>
      <c r="II117" s="473"/>
      <c r="IJ117" s="473"/>
      <c r="IK117" s="473"/>
      <c r="IL117" s="473"/>
      <c r="IM117" s="473"/>
      <c r="IN117" s="473"/>
      <c r="IO117" s="473"/>
      <c r="IP117" s="473"/>
      <c r="IQ117" s="473"/>
      <c r="IR117" s="473"/>
      <c r="IS117" s="473"/>
      <c r="IT117" s="473"/>
      <c r="IU117" s="473"/>
      <c r="IV117" s="473"/>
      <c r="IW117" s="473"/>
    </row>
    <row r="118" customFormat="false" ht="12.6" hidden="false" customHeight="true" outlineLevel="0" collapsed="false">
      <c r="A118" s="1"/>
      <c r="B118" s="473"/>
      <c r="C118" s="473"/>
      <c r="D118" s="404"/>
      <c r="E118" s="404"/>
      <c r="F118" s="404"/>
      <c r="G118" s="404"/>
      <c r="H118" s="404"/>
      <c r="I118" s="404"/>
      <c r="J118" s="404"/>
      <c r="K118" s="404"/>
      <c r="L118" s="404"/>
      <c r="M118" s="404"/>
      <c r="N118" s="404"/>
      <c r="O118" s="404"/>
      <c r="P118" s="404"/>
      <c r="Q118" s="404"/>
      <c r="R118" s="404"/>
      <c r="S118" s="404"/>
      <c r="T118" s="404"/>
      <c r="U118" s="404"/>
      <c r="V118" s="404"/>
      <c r="W118" s="404"/>
      <c r="X118" s="404"/>
      <c r="Y118" s="404"/>
      <c r="Z118" s="404"/>
      <c r="AA118" s="404"/>
      <c r="AB118" s="404"/>
      <c r="AC118" s="404"/>
      <c r="AD118" s="473"/>
      <c r="AE118" s="473"/>
      <c r="AF118" s="473"/>
      <c r="AG118" s="473"/>
      <c r="AH118" s="473"/>
      <c r="AI118" s="473"/>
      <c r="AJ118" s="473"/>
      <c r="AK118" s="473"/>
      <c r="AL118" s="473"/>
      <c r="AM118" s="473"/>
      <c r="AN118" s="473"/>
      <c r="AO118" s="473"/>
      <c r="AP118" s="473"/>
      <c r="AQ118" s="473"/>
      <c r="AR118" s="473"/>
      <c r="AS118" s="473"/>
      <c r="AT118" s="473"/>
      <c r="AU118" s="473"/>
      <c r="AV118" s="473"/>
      <c r="AW118" s="473"/>
      <c r="AX118" s="473"/>
      <c r="AY118" s="473"/>
      <c r="AZ118" s="473"/>
      <c r="BA118" s="473"/>
      <c r="BB118" s="473"/>
      <c r="BC118" s="473"/>
      <c r="BD118" s="473"/>
      <c r="BE118" s="473"/>
      <c r="BF118" s="473"/>
      <c r="BG118" s="473"/>
      <c r="BH118" s="473"/>
      <c r="BI118" s="473"/>
      <c r="BJ118" s="473"/>
      <c r="BK118" s="473"/>
      <c r="BL118" s="473"/>
      <c r="BM118" s="473"/>
      <c r="BN118" s="473"/>
      <c r="BO118" s="473"/>
      <c r="BP118" s="473"/>
      <c r="BQ118" s="473"/>
      <c r="BR118" s="473"/>
      <c r="BS118" s="473"/>
      <c r="BT118" s="473"/>
      <c r="BU118" s="473"/>
      <c r="BV118" s="473"/>
      <c r="BW118" s="473"/>
      <c r="BX118" s="473"/>
      <c r="BY118" s="473"/>
      <c r="BZ118" s="473"/>
      <c r="CA118" s="473"/>
      <c r="CB118" s="473"/>
      <c r="CC118" s="473"/>
      <c r="CD118" s="473"/>
      <c r="CE118" s="473"/>
      <c r="CF118" s="473"/>
      <c r="CG118" s="473"/>
      <c r="CH118" s="473"/>
      <c r="CI118" s="473"/>
      <c r="CJ118" s="473"/>
      <c r="CK118" s="473"/>
      <c r="CL118" s="473"/>
      <c r="CM118" s="473"/>
      <c r="CN118" s="473"/>
      <c r="CO118" s="473"/>
      <c r="CP118" s="473"/>
      <c r="CQ118" s="473"/>
      <c r="CR118" s="473"/>
      <c r="CS118" s="473"/>
      <c r="CT118" s="473"/>
      <c r="CU118" s="473"/>
      <c r="CV118" s="473"/>
      <c r="CW118" s="473"/>
      <c r="CX118" s="473"/>
      <c r="CY118" s="473"/>
      <c r="CZ118" s="473"/>
      <c r="DA118" s="473"/>
      <c r="DB118" s="473"/>
      <c r="DC118" s="473"/>
      <c r="DD118" s="473"/>
      <c r="DE118" s="473"/>
      <c r="DF118" s="473"/>
      <c r="DG118" s="473"/>
      <c r="DH118" s="473"/>
      <c r="DI118" s="473"/>
      <c r="DJ118" s="473"/>
      <c r="DK118" s="473"/>
      <c r="DL118" s="473"/>
      <c r="DM118" s="473"/>
      <c r="DN118" s="473"/>
      <c r="DO118" s="473"/>
      <c r="DP118" s="473"/>
      <c r="DQ118" s="473"/>
      <c r="DR118" s="473"/>
      <c r="DS118" s="473"/>
      <c r="DT118" s="473"/>
      <c r="DU118" s="473"/>
      <c r="DV118" s="473"/>
      <c r="DW118" s="473"/>
      <c r="DX118" s="473"/>
      <c r="DY118" s="473"/>
      <c r="DZ118" s="473"/>
      <c r="EA118" s="473"/>
      <c r="EB118" s="473"/>
      <c r="EC118" s="473"/>
      <c r="ED118" s="473"/>
      <c r="EE118" s="473"/>
      <c r="EF118" s="473"/>
      <c r="EG118" s="473"/>
      <c r="EH118" s="473"/>
      <c r="EI118" s="473"/>
      <c r="EJ118" s="473"/>
      <c r="EK118" s="473"/>
      <c r="EL118" s="473"/>
      <c r="EM118" s="473"/>
      <c r="EN118" s="473"/>
      <c r="EO118" s="473"/>
      <c r="EP118" s="473"/>
      <c r="EQ118" s="473"/>
      <c r="ER118" s="473"/>
      <c r="ES118" s="473"/>
      <c r="ET118" s="473"/>
      <c r="EU118" s="473"/>
      <c r="EV118" s="473"/>
      <c r="EW118" s="473"/>
      <c r="EX118" s="473"/>
      <c r="EY118" s="473"/>
      <c r="EZ118" s="473"/>
      <c r="FA118" s="473"/>
      <c r="FB118" s="473"/>
      <c r="FC118" s="473"/>
      <c r="FD118" s="473"/>
      <c r="FE118" s="473"/>
      <c r="FF118" s="473"/>
      <c r="FG118" s="473"/>
      <c r="FH118" s="473"/>
      <c r="FI118" s="473"/>
      <c r="FJ118" s="473"/>
      <c r="FK118" s="473"/>
      <c r="FL118" s="473"/>
      <c r="FM118" s="473"/>
      <c r="FN118" s="473"/>
      <c r="FO118" s="473"/>
      <c r="FP118" s="473"/>
      <c r="FQ118" s="473"/>
      <c r="FR118" s="473"/>
      <c r="FS118" s="473"/>
      <c r="FT118" s="473"/>
      <c r="FU118" s="473"/>
      <c r="FV118" s="473"/>
      <c r="FW118" s="473"/>
      <c r="FX118" s="473"/>
      <c r="FY118" s="473"/>
      <c r="FZ118" s="473"/>
      <c r="GA118" s="473"/>
      <c r="GB118" s="473"/>
      <c r="GC118" s="473"/>
      <c r="GD118" s="473"/>
      <c r="GE118" s="473"/>
      <c r="GF118" s="473"/>
      <c r="GG118" s="473"/>
      <c r="GH118" s="473"/>
      <c r="GI118" s="473"/>
      <c r="GJ118" s="473"/>
      <c r="GK118" s="473"/>
      <c r="GL118" s="473"/>
      <c r="GM118" s="473"/>
      <c r="GN118" s="473"/>
      <c r="GO118" s="473"/>
      <c r="GP118" s="473"/>
      <c r="GQ118" s="473"/>
      <c r="GR118" s="473"/>
      <c r="GS118" s="473"/>
      <c r="GT118" s="473"/>
      <c r="GU118" s="473"/>
      <c r="GV118" s="473"/>
      <c r="GW118" s="473"/>
      <c r="GX118" s="473"/>
      <c r="GY118" s="473"/>
      <c r="GZ118" s="473"/>
      <c r="HA118" s="473"/>
      <c r="HB118" s="473"/>
      <c r="HC118" s="473"/>
      <c r="HD118" s="473"/>
      <c r="HE118" s="473"/>
      <c r="HF118" s="473"/>
      <c r="HG118" s="473"/>
      <c r="HH118" s="473"/>
      <c r="HI118" s="473"/>
      <c r="HJ118" s="473"/>
      <c r="HK118" s="473"/>
      <c r="HL118" s="473"/>
      <c r="HM118" s="473"/>
      <c r="HN118" s="473"/>
      <c r="HO118" s="473"/>
      <c r="HP118" s="473"/>
      <c r="HQ118" s="473"/>
      <c r="HR118" s="473"/>
      <c r="HS118" s="473"/>
      <c r="HT118" s="473"/>
      <c r="HU118" s="473"/>
      <c r="HV118" s="473"/>
      <c r="HW118" s="473"/>
      <c r="HX118" s="473"/>
      <c r="HY118" s="473"/>
      <c r="HZ118" s="473"/>
      <c r="IA118" s="473"/>
      <c r="IB118" s="473"/>
      <c r="IC118" s="473"/>
      <c r="ID118" s="473"/>
      <c r="IE118" s="473"/>
      <c r="IF118" s="473"/>
      <c r="IG118" s="473"/>
      <c r="IH118" s="473"/>
      <c r="II118" s="473"/>
      <c r="IJ118" s="473"/>
      <c r="IK118" s="473"/>
      <c r="IL118" s="473"/>
      <c r="IM118" s="473"/>
      <c r="IN118" s="473"/>
      <c r="IO118" s="473"/>
      <c r="IP118" s="473"/>
      <c r="IQ118" s="473"/>
      <c r="IR118" s="473"/>
      <c r="IS118" s="473"/>
      <c r="IT118" s="473"/>
      <c r="IU118" s="473"/>
      <c r="IV118" s="473"/>
      <c r="IW118" s="473"/>
    </row>
    <row r="119" customFormat="false" ht="12.6" hidden="false" customHeight="true" outlineLevel="0" collapsed="false">
      <c r="A119" s="600"/>
      <c r="B119" s="473"/>
      <c r="C119" s="473"/>
      <c r="D119" s="404"/>
      <c r="E119" s="602"/>
      <c r="F119" s="602"/>
      <c r="G119" s="602"/>
      <c r="H119" s="602"/>
      <c r="I119" s="602"/>
      <c r="J119" s="602"/>
      <c r="K119" s="602"/>
      <c r="L119" s="602"/>
      <c r="M119" s="602"/>
      <c r="N119" s="602"/>
      <c r="O119" s="602"/>
      <c r="P119" s="602"/>
      <c r="Q119" s="602"/>
      <c r="R119" s="602"/>
      <c r="S119" s="602"/>
      <c r="T119" s="602"/>
      <c r="U119" s="602"/>
      <c r="V119" s="602"/>
      <c r="W119" s="602"/>
      <c r="X119" s="602"/>
      <c r="Y119" s="602"/>
      <c r="Z119" s="602"/>
      <c r="AA119" s="602"/>
      <c r="AB119" s="602"/>
      <c r="AC119" s="602"/>
      <c r="AD119" s="602"/>
      <c r="AE119" s="602"/>
      <c r="AF119" s="602"/>
      <c r="AG119" s="602"/>
      <c r="AH119" s="602"/>
      <c r="AI119" s="602"/>
      <c r="AJ119" s="602"/>
      <c r="AK119" s="602"/>
      <c r="AL119" s="602"/>
      <c r="AM119" s="602"/>
      <c r="AN119" s="602"/>
      <c r="AO119" s="602"/>
      <c r="AP119" s="602"/>
      <c r="AQ119" s="602"/>
      <c r="AR119" s="602"/>
      <c r="AS119" s="602"/>
      <c r="AT119" s="473"/>
      <c r="AU119" s="473"/>
      <c r="AV119" s="473"/>
      <c r="AW119" s="473"/>
      <c r="AX119" s="473"/>
      <c r="AY119" s="473"/>
      <c r="AZ119" s="473"/>
      <c r="BA119" s="473"/>
      <c r="BB119" s="473"/>
      <c r="BC119" s="473"/>
      <c r="BD119" s="473"/>
      <c r="BE119" s="473"/>
      <c r="BF119" s="473"/>
      <c r="BG119" s="473"/>
      <c r="BH119" s="473"/>
      <c r="BI119" s="473"/>
      <c r="BJ119" s="473"/>
      <c r="BK119" s="473"/>
      <c r="BL119" s="473"/>
      <c r="BM119" s="473"/>
      <c r="BN119" s="473"/>
      <c r="BO119" s="473"/>
      <c r="BP119" s="473"/>
      <c r="BQ119" s="473"/>
      <c r="BR119" s="473"/>
      <c r="BS119" s="473"/>
      <c r="BT119" s="473"/>
      <c r="BU119" s="473"/>
      <c r="BV119" s="473"/>
      <c r="BW119" s="473"/>
      <c r="BX119" s="473"/>
      <c r="BY119" s="473"/>
      <c r="BZ119" s="473"/>
      <c r="CA119" s="473"/>
      <c r="CB119" s="473"/>
      <c r="CC119" s="473"/>
      <c r="CD119" s="473"/>
      <c r="CE119" s="473"/>
      <c r="CF119" s="473"/>
      <c r="CG119" s="473"/>
      <c r="CH119" s="473"/>
      <c r="CI119" s="473"/>
      <c r="CJ119" s="473"/>
      <c r="CK119" s="473"/>
      <c r="CL119" s="473"/>
      <c r="CM119" s="473"/>
      <c r="CN119" s="473"/>
      <c r="CO119" s="473"/>
      <c r="CP119" s="473"/>
      <c r="CQ119" s="473"/>
      <c r="CR119" s="473"/>
      <c r="CS119" s="473"/>
      <c r="CT119" s="473"/>
      <c r="CU119" s="473"/>
      <c r="CV119" s="473"/>
      <c r="CW119" s="473"/>
      <c r="CX119" s="473"/>
      <c r="CY119" s="473"/>
      <c r="CZ119" s="473"/>
      <c r="DA119" s="473"/>
      <c r="DB119" s="473"/>
      <c r="DC119" s="473"/>
      <c r="DD119" s="473"/>
      <c r="DE119" s="473"/>
      <c r="DF119" s="473"/>
      <c r="DG119" s="473"/>
      <c r="DH119" s="473"/>
      <c r="DI119" s="473"/>
      <c r="DJ119" s="473"/>
      <c r="DK119" s="473"/>
      <c r="DL119" s="473"/>
      <c r="DM119" s="473"/>
      <c r="DN119" s="473"/>
      <c r="DO119" s="473"/>
      <c r="DP119" s="473"/>
      <c r="DQ119" s="473"/>
      <c r="DR119" s="473"/>
      <c r="DS119" s="473"/>
      <c r="DT119" s="473"/>
      <c r="DU119" s="473"/>
      <c r="DV119" s="473"/>
      <c r="DW119" s="473"/>
      <c r="DX119" s="473"/>
      <c r="DY119" s="473"/>
      <c r="DZ119" s="473"/>
      <c r="EA119" s="473"/>
      <c r="EB119" s="473"/>
      <c r="EC119" s="473"/>
      <c r="ED119" s="473"/>
      <c r="EE119" s="473"/>
      <c r="EF119" s="473"/>
      <c r="EG119" s="473"/>
      <c r="EH119" s="473"/>
      <c r="EI119" s="473"/>
      <c r="EJ119" s="473"/>
      <c r="EK119" s="473"/>
      <c r="EL119" s="473"/>
      <c r="EM119" s="473"/>
      <c r="EN119" s="473"/>
      <c r="EO119" s="473"/>
      <c r="EP119" s="473"/>
      <c r="EQ119" s="473"/>
      <c r="ER119" s="473"/>
      <c r="ES119" s="473"/>
      <c r="ET119" s="473"/>
      <c r="EU119" s="473"/>
      <c r="EV119" s="473"/>
      <c r="EW119" s="473"/>
      <c r="EX119" s="473"/>
      <c r="EY119" s="473"/>
      <c r="EZ119" s="473"/>
      <c r="FA119" s="473"/>
      <c r="FB119" s="473"/>
      <c r="FC119" s="473"/>
      <c r="FD119" s="473"/>
      <c r="FE119" s="473"/>
      <c r="FF119" s="473"/>
      <c r="FG119" s="473"/>
      <c r="FH119" s="473"/>
      <c r="FI119" s="473"/>
      <c r="FJ119" s="473"/>
      <c r="FK119" s="473"/>
      <c r="FL119" s="473"/>
      <c r="FM119" s="473"/>
      <c r="FN119" s="473"/>
      <c r="FO119" s="473"/>
      <c r="FP119" s="473"/>
      <c r="FQ119" s="473"/>
      <c r="FR119" s="473"/>
      <c r="FS119" s="473"/>
      <c r="FT119" s="473"/>
      <c r="FU119" s="473"/>
      <c r="FV119" s="473"/>
      <c r="FW119" s="473"/>
      <c r="FX119" s="473"/>
      <c r="FY119" s="473"/>
      <c r="FZ119" s="473"/>
      <c r="GA119" s="473"/>
      <c r="GB119" s="473"/>
      <c r="GC119" s="473"/>
      <c r="GD119" s="473"/>
      <c r="GE119" s="473"/>
      <c r="GF119" s="473"/>
      <c r="GG119" s="473"/>
      <c r="GH119" s="473"/>
      <c r="GI119" s="473"/>
      <c r="GJ119" s="473"/>
      <c r="GK119" s="473"/>
      <c r="GL119" s="473"/>
      <c r="GM119" s="473"/>
      <c r="GN119" s="473"/>
      <c r="GO119" s="473"/>
      <c r="GP119" s="473"/>
      <c r="GQ119" s="473"/>
      <c r="GR119" s="473"/>
      <c r="GS119" s="473"/>
      <c r="GT119" s="473"/>
      <c r="GU119" s="473"/>
      <c r="GV119" s="473"/>
      <c r="GW119" s="473"/>
      <c r="GX119" s="473"/>
      <c r="GY119" s="473"/>
      <c r="GZ119" s="473"/>
      <c r="HA119" s="473"/>
      <c r="HB119" s="473"/>
      <c r="HC119" s="473"/>
      <c r="HD119" s="473"/>
      <c r="HE119" s="473"/>
      <c r="HF119" s="473"/>
      <c r="HG119" s="473"/>
      <c r="HH119" s="473"/>
      <c r="HI119" s="473"/>
      <c r="HJ119" s="473"/>
      <c r="HK119" s="473"/>
      <c r="HL119" s="473"/>
      <c r="HM119" s="473"/>
      <c r="HN119" s="473"/>
      <c r="HO119" s="473"/>
      <c r="HP119" s="473"/>
      <c r="HQ119" s="473"/>
      <c r="HR119" s="473"/>
      <c r="HS119" s="473"/>
      <c r="HT119" s="473"/>
      <c r="HU119" s="473"/>
      <c r="HV119" s="473"/>
      <c r="HW119" s="473"/>
      <c r="HX119" s="473"/>
      <c r="HY119" s="473"/>
      <c r="HZ119" s="473"/>
      <c r="IA119" s="473"/>
      <c r="IB119" s="473"/>
      <c r="IC119" s="473"/>
      <c r="ID119" s="473"/>
      <c r="IE119" s="473"/>
      <c r="IF119" s="473"/>
      <c r="IG119" s="473"/>
      <c r="IH119" s="473"/>
      <c r="II119" s="473"/>
      <c r="IJ119" s="473"/>
      <c r="IK119" s="473"/>
      <c r="IL119" s="473"/>
      <c r="IM119" s="473"/>
      <c r="IN119" s="473"/>
      <c r="IO119" s="473"/>
      <c r="IP119" s="473"/>
      <c r="IQ119" s="473"/>
      <c r="IR119" s="473"/>
      <c r="IS119" s="473"/>
      <c r="IT119" s="473"/>
      <c r="IU119" s="473"/>
      <c r="IV119" s="473"/>
      <c r="IW119" s="473"/>
    </row>
    <row r="120" customFormat="false" ht="12.6" hidden="false" customHeight="true" outlineLevel="0" collapsed="false">
      <c r="A120" s="600"/>
      <c r="B120" s="473"/>
      <c r="C120" s="473"/>
      <c r="D120" s="404"/>
      <c r="E120" s="603"/>
      <c r="F120" s="603"/>
      <c r="G120" s="603"/>
      <c r="H120" s="603"/>
      <c r="I120" s="603"/>
      <c r="J120" s="603"/>
      <c r="K120" s="603"/>
      <c r="L120" s="603"/>
      <c r="M120" s="603"/>
      <c r="N120" s="603"/>
      <c r="O120" s="603"/>
      <c r="P120" s="603"/>
      <c r="Q120" s="603"/>
      <c r="R120" s="603"/>
      <c r="S120" s="603"/>
      <c r="T120" s="603"/>
      <c r="U120" s="603"/>
      <c r="V120" s="603"/>
      <c r="W120" s="603"/>
      <c r="X120" s="603"/>
      <c r="Y120" s="603"/>
      <c r="Z120" s="603"/>
      <c r="AA120" s="603"/>
      <c r="AB120" s="603"/>
      <c r="AC120" s="603"/>
      <c r="AD120" s="603"/>
      <c r="AE120" s="603"/>
      <c r="AF120" s="603"/>
      <c r="AG120" s="603"/>
      <c r="AH120" s="603"/>
      <c r="AI120" s="603"/>
      <c r="AJ120" s="603"/>
      <c r="AK120" s="603"/>
      <c r="AL120" s="603"/>
      <c r="AM120" s="603"/>
      <c r="AN120" s="603"/>
      <c r="AO120" s="603"/>
      <c r="AP120" s="603"/>
      <c r="AQ120" s="603"/>
      <c r="AR120" s="603"/>
      <c r="AS120" s="603"/>
      <c r="AT120" s="473"/>
      <c r="AU120" s="473"/>
      <c r="AV120" s="473"/>
      <c r="AW120" s="473"/>
      <c r="AX120" s="473"/>
      <c r="AY120" s="473"/>
      <c r="AZ120" s="473"/>
      <c r="BA120" s="473"/>
      <c r="BB120" s="473"/>
      <c r="BC120" s="473"/>
      <c r="BD120" s="473"/>
      <c r="BE120" s="473"/>
      <c r="BF120" s="473"/>
      <c r="BG120" s="473"/>
      <c r="BH120" s="473"/>
      <c r="BI120" s="473"/>
      <c r="BJ120" s="473"/>
      <c r="BK120" s="473"/>
      <c r="BL120" s="473"/>
      <c r="BM120" s="473"/>
      <c r="BN120" s="473"/>
      <c r="BO120" s="473"/>
      <c r="BP120" s="473"/>
      <c r="BQ120" s="473"/>
      <c r="BR120" s="473"/>
      <c r="BS120" s="473"/>
      <c r="BT120" s="473"/>
      <c r="BU120" s="473"/>
      <c r="BV120" s="473"/>
      <c r="BW120" s="473"/>
      <c r="BX120" s="473"/>
      <c r="BY120" s="473"/>
      <c r="BZ120" s="473"/>
      <c r="CA120" s="473"/>
      <c r="CB120" s="473"/>
      <c r="CC120" s="473"/>
      <c r="CD120" s="473"/>
      <c r="CE120" s="473"/>
      <c r="CF120" s="473"/>
      <c r="CG120" s="473"/>
      <c r="CH120" s="473"/>
      <c r="CI120" s="473"/>
      <c r="CJ120" s="473"/>
      <c r="CK120" s="473"/>
      <c r="CL120" s="473"/>
      <c r="CM120" s="473"/>
      <c r="CN120" s="473"/>
      <c r="CO120" s="473"/>
      <c r="CP120" s="473"/>
      <c r="CQ120" s="473"/>
      <c r="CR120" s="473"/>
      <c r="CS120" s="473"/>
      <c r="CT120" s="473"/>
      <c r="CU120" s="473"/>
      <c r="CV120" s="473"/>
      <c r="CW120" s="473"/>
      <c r="CX120" s="473"/>
      <c r="CY120" s="473"/>
      <c r="CZ120" s="473"/>
      <c r="DA120" s="473"/>
      <c r="DB120" s="473"/>
      <c r="DC120" s="473"/>
      <c r="DD120" s="473"/>
      <c r="DE120" s="473"/>
      <c r="DF120" s="473"/>
      <c r="DG120" s="473"/>
      <c r="DH120" s="473"/>
      <c r="DI120" s="473"/>
      <c r="DJ120" s="473"/>
      <c r="DK120" s="473"/>
      <c r="DL120" s="473"/>
      <c r="DM120" s="473"/>
      <c r="DN120" s="473"/>
      <c r="DO120" s="473"/>
      <c r="DP120" s="473"/>
      <c r="DQ120" s="473"/>
      <c r="DR120" s="473"/>
      <c r="DS120" s="473"/>
      <c r="DT120" s="473"/>
      <c r="DU120" s="473"/>
      <c r="DV120" s="473"/>
      <c r="DW120" s="473"/>
      <c r="DX120" s="473"/>
      <c r="DY120" s="473"/>
      <c r="DZ120" s="473"/>
      <c r="EA120" s="473"/>
      <c r="EB120" s="473"/>
      <c r="EC120" s="473"/>
      <c r="ED120" s="473"/>
      <c r="EE120" s="473"/>
      <c r="EF120" s="473"/>
      <c r="EG120" s="473"/>
      <c r="EH120" s="473"/>
      <c r="EI120" s="473"/>
      <c r="EJ120" s="473"/>
      <c r="EK120" s="473"/>
      <c r="EL120" s="473"/>
      <c r="EM120" s="473"/>
      <c r="EN120" s="473"/>
      <c r="EO120" s="473"/>
      <c r="EP120" s="473"/>
      <c r="EQ120" s="473"/>
      <c r="ER120" s="473"/>
      <c r="ES120" s="473"/>
      <c r="ET120" s="473"/>
      <c r="EU120" s="473"/>
      <c r="EV120" s="473"/>
      <c r="EW120" s="473"/>
      <c r="EX120" s="473"/>
      <c r="EY120" s="473"/>
      <c r="EZ120" s="473"/>
      <c r="FA120" s="473"/>
      <c r="FB120" s="473"/>
      <c r="FC120" s="473"/>
      <c r="FD120" s="473"/>
      <c r="FE120" s="473"/>
      <c r="FF120" s="473"/>
      <c r="FG120" s="473"/>
      <c r="FH120" s="473"/>
      <c r="FI120" s="473"/>
      <c r="FJ120" s="473"/>
      <c r="FK120" s="473"/>
      <c r="FL120" s="473"/>
      <c r="FM120" s="473"/>
      <c r="FN120" s="473"/>
      <c r="FO120" s="473"/>
      <c r="FP120" s="473"/>
      <c r="FQ120" s="473"/>
      <c r="FR120" s="473"/>
      <c r="FS120" s="473"/>
      <c r="FT120" s="473"/>
      <c r="FU120" s="473"/>
      <c r="FV120" s="473"/>
      <c r="FW120" s="473"/>
      <c r="FX120" s="473"/>
      <c r="FY120" s="473"/>
      <c r="FZ120" s="473"/>
      <c r="GA120" s="473"/>
      <c r="GB120" s="473"/>
      <c r="GC120" s="473"/>
      <c r="GD120" s="473"/>
      <c r="GE120" s="473"/>
      <c r="GF120" s="473"/>
      <c r="GG120" s="473"/>
      <c r="GH120" s="473"/>
      <c r="GI120" s="473"/>
      <c r="GJ120" s="473"/>
      <c r="GK120" s="473"/>
      <c r="GL120" s="473"/>
      <c r="GM120" s="473"/>
      <c r="GN120" s="473"/>
      <c r="GO120" s="473"/>
      <c r="GP120" s="473"/>
      <c r="GQ120" s="473"/>
      <c r="GR120" s="473"/>
      <c r="GS120" s="473"/>
      <c r="GT120" s="473"/>
      <c r="GU120" s="473"/>
      <c r="GV120" s="473"/>
      <c r="GW120" s="473"/>
      <c r="GX120" s="473"/>
      <c r="GY120" s="473"/>
      <c r="GZ120" s="473"/>
      <c r="HA120" s="473"/>
      <c r="HB120" s="473"/>
      <c r="HC120" s="473"/>
      <c r="HD120" s="473"/>
      <c r="HE120" s="473"/>
      <c r="HF120" s="473"/>
      <c r="HG120" s="473"/>
      <c r="HH120" s="473"/>
      <c r="HI120" s="473"/>
      <c r="HJ120" s="473"/>
      <c r="HK120" s="473"/>
      <c r="HL120" s="473"/>
      <c r="HM120" s="473"/>
      <c r="HN120" s="473"/>
      <c r="HO120" s="473"/>
      <c r="HP120" s="473"/>
      <c r="HQ120" s="473"/>
      <c r="HR120" s="473"/>
      <c r="HS120" s="473"/>
      <c r="HT120" s="473"/>
      <c r="HU120" s="473"/>
      <c r="HV120" s="473"/>
      <c r="HW120" s="473"/>
      <c r="HX120" s="473"/>
      <c r="HY120" s="473"/>
      <c r="HZ120" s="473"/>
      <c r="IA120" s="473"/>
      <c r="IB120" s="473"/>
      <c r="IC120" s="473"/>
      <c r="ID120" s="473"/>
      <c r="IE120" s="473"/>
      <c r="IF120" s="473"/>
      <c r="IG120" s="473"/>
      <c r="IH120" s="473"/>
      <c r="II120" s="473"/>
      <c r="IJ120" s="473"/>
      <c r="IK120" s="473"/>
      <c r="IL120" s="473"/>
      <c r="IM120" s="473"/>
      <c r="IN120" s="473"/>
      <c r="IO120" s="473"/>
      <c r="IP120" s="473"/>
      <c r="IQ120" s="473"/>
      <c r="IR120" s="473"/>
      <c r="IS120" s="473"/>
      <c r="IT120" s="473"/>
      <c r="IU120" s="473"/>
      <c r="IV120" s="473"/>
      <c r="IW120" s="473"/>
    </row>
    <row r="121" customFormat="false" ht="12.6" hidden="false" customHeight="true" outlineLevel="0" collapsed="false">
      <c r="A121" s="600"/>
      <c r="B121" s="473"/>
      <c r="C121" s="473"/>
      <c r="D121" s="404"/>
      <c r="E121" s="404"/>
      <c r="F121" s="404"/>
      <c r="G121" s="404"/>
      <c r="H121" s="404"/>
      <c r="I121" s="404"/>
      <c r="J121" s="404"/>
      <c r="K121" s="404"/>
      <c r="L121" s="404"/>
      <c r="M121" s="404"/>
      <c r="N121" s="404"/>
      <c r="O121" s="404"/>
      <c r="P121" s="404"/>
      <c r="Q121" s="404"/>
      <c r="R121" s="404"/>
      <c r="S121" s="404"/>
      <c r="T121" s="404"/>
      <c r="U121" s="404"/>
      <c r="V121" s="404"/>
      <c r="W121" s="404"/>
      <c r="X121" s="404"/>
      <c r="Y121" s="404"/>
      <c r="Z121" s="404"/>
      <c r="AA121" s="404"/>
      <c r="AB121" s="404"/>
      <c r="AC121" s="404"/>
      <c r="AD121" s="404"/>
      <c r="AE121" s="404"/>
      <c r="AF121" s="404"/>
      <c r="AG121" s="404"/>
      <c r="AH121" s="404"/>
      <c r="AI121" s="404"/>
      <c r="AJ121" s="404"/>
      <c r="AK121" s="404"/>
      <c r="AL121" s="404"/>
      <c r="AM121" s="404"/>
      <c r="AN121" s="404"/>
      <c r="AO121" s="404"/>
      <c r="AP121" s="404"/>
      <c r="AQ121" s="404"/>
      <c r="AR121" s="404"/>
      <c r="AS121" s="404"/>
      <c r="AT121" s="473"/>
      <c r="AU121" s="473"/>
      <c r="AV121" s="473"/>
      <c r="AW121" s="473"/>
      <c r="AX121" s="473"/>
      <c r="AY121" s="473"/>
      <c r="AZ121" s="473"/>
      <c r="BA121" s="473"/>
      <c r="BB121" s="473"/>
      <c r="BC121" s="473"/>
      <c r="BD121" s="473"/>
      <c r="BE121" s="473"/>
      <c r="BF121" s="473"/>
      <c r="BG121" s="473"/>
      <c r="BH121" s="473"/>
      <c r="BI121" s="473"/>
      <c r="BJ121" s="473"/>
      <c r="BK121" s="473"/>
      <c r="BL121" s="473"/>
      <c r="BM121" s="473"/>
      <c r="BN121" s="473"/>
      <c r="BO121" s="473"/>
      <c r="BP121" s="473"/>
      <c r="BQ121" s="473"/>
      <c r="BR121" s="473"/>
      <c r="BS121" s="473"/>
      <c r="BT121" s="473"/>
      <c r="BU121" s="473"/>
      <c r="BV121" s="473"/>
      <c r="BW121" s="473"/>
      <c r="BX121" s="473"/>
      <c r="BY121" s="473"/>
      <c r="BZ121" s="473"/>
      <c r="CA121" s="473"/>
      <c r="CB121" s="473"/>
      <c r="CC121" s="473"/>
      <c r="CD121" s="473"/>
      <c r="CE121" s="473"/>
      <c r="CF121" s="473"/>
      <c r="CG121" s="473"/>
      <c r="CH121" s="473"/>
      <c r="CI121" s="473"/>
      <c r="CJ121" s="473"/>
      <c r="CK121" s="473"/>
      <c r="CL121" s="473"/>
      <c r="CM121" s="473"/>
      <c r="CN121" s="473"/>
      <c r="CO121" s="473"/>
      <c r="CP121" s="473"/>
      <c r="CQ121" s="473"/>
      <c r="CR121" s="473"/>
      <c r="CS121" s="473"/>
      <c r="CT121" s="473"/>
      <c r="CU121" s="473"/>
      <c r="CV121" s="473"/>
      <c r="CW121" s="473"/>
      <c r="CX121" s="473"/>
      <c r="CY121" s="473"/>
      <c r="CZ121" s="473"/>
      <c r="DA121" s="473"/>
      <c r="DB121" s="473"/>
      <c r="DC121" s="473"/>
      <c r="DD121" s="473"/>
      <c r="DE121" s="473"/>
      <c r="DF121" s="473"/>
      <c r="DG121" s="473"/>
      <c r="DH121" s="473"/>
      <c r="DI121" s="473"/>
      <c r="DJ121" s="473"/>
      <c r="DK121" s="473"/>
      <c r="DL121" s="473"/>
      <c r="DM121" s="473"/>
      <c r="DN121" s="473"/>
      <c r="DO121" s="473"/>
      <c r="DP121" s="473"/>
      <c r="DQ121" s="473"/>
      <c r="DR121" s="473"/>
      <c r="DS121" s="473"/>
      <c r="DT121" s="473"/>
      <c r="DU121" s="473"/>
      <c r="DV121" s="473"/>
      <c r="DW121" s="473"/>
      <c r="DX121" s="473"/>
      <c r="DY121" s="473"/>
      <c r="DZ121" s="473"/>
      <c r="EA121" s="473"/>
      <c r="EB121" s="473"/>
      <c r="EC121" s="473"/>
      <c r="ED121" s="473"/>
      <c r="EE121" s="473"/>
      <c r="EF121" s="473"/>
      <c r="EG121" s="473"/>
      <c r="EH121" s="473"/>
      <c r="EI121" s="473"/>
      <c r="EJ121" s="473"/>
      <c r="EK121" s="473"/>
      <c r="EL121" s="473"/>
      <c r="EM121" s="473"/>
      <c r="EN121" s="473"/>
      <c r="EO121" s="473"/>
      <c r="EP121" s="473"/>
      <c r="EQ121" s="473"/>
      <c r="ER121" s="473"/>
      <c r="ES121" s="473"/>
      <c r="ET121" s="473"/>
      <c r="EU121" s="473"/>
      <c r="EV121" s="473"/>
      <c r="EW121" s="473"/>
      <c r="EX121" s="473"/>
      <c r="EY121" s="473"/>
      <c r="EZ121" s="473"/>
      <c r="FA121" s="473"/>
      <c r="FB121" s="473"/>
      <c r="FC121" s="473"/>
      <c r="FD121" s="473"/>
      <c r="FE121" s="473"/>
      <c r="FF121" s="473"/>
      <c r="FG121" s="473"/>
      <c r="FH121" s="473"/>
      <c r="FI121" s="473"/>
      <c r="FJ121" s="473"/>
      <c r="FK121" s="473"/>
      <c r="FL121" s="473"/>
      <c r="FM121" s="473"/>
      <c r="FN121" s="473"/>
      <c r="FO121" s="473"/>
      <c r="FP121" s="473"/>
      <c r="FQ121" s="473"/>
      <c r="FR121" s="473"/>
      <c r="FS121" s="473"/>
      <c r="FT121" s="473"/>
      <c r="FU121" s="473"/>
      <c r="FV121" s="473"/>
      <c r="FW121" s="473"/>
      <c r="FX121" s="473"/>
      <c r="FY121" s="473"/>
      <c r="FZ121" s="473"/>
      <c r="GA121" s="473"/>
      <c r="GB121" s="473"/>
      <c r="GC121" s="473"/>
      <c r="GD121" s="473"/>
      <c r="GE121" s="473"/>
      <c r="GF121" s="473"/>
      <c r="GG121" s="473"/>
      <c r="GH121" s="473"/>
      <c r="GI121" s="473"/>
      <c r="GJ121" s="473"/>
      <c r="GK121" s="473"/>
      <c r="GL121" s="473"/>
      <c r="GM121" s="473"/>
      <c r="GN121" s="473"/>
      <c r="GO121" s="473"/>
      <c r="GP121" s="473"/>
      <c r="GQ121" s="473"/>
      <c r="GR121" s="473"/>
      <c r="GS121" s="473"/>
      <c r="GT121" s="473"/>
      <c r="GU121" s="473"/>
      <c r="GV121" s="473"/>
      <c r="GW121" s="473"/>
      <c r="GX121" s="473"/>
      <c r="GY121" s="473"/>
      <c r="GZ121" s="473"/>
      <c r="HA121" s="473"/>
      <c r="HB121" s="473"/>
      <c r="HC121" s="473"/>
      <c r="HD121" s="473"/>
      <c r="HE121" s="473"/>
      <c r="HF121" s="473"/>
      <c r="HG121" s="473"/>
      <c r="HH121" s="473"/>
      <c r="HI121" s="473"/>
      <c r="HJ121" s="473"/>
      <c r="HK121" s="473"/>
      <c r="HL121" s="473"/>
      <c r="HM121" s="473"/>
      <c r="HN121" s="473"/>
      <c r="HO121" s="473"/>
      <c r="HP121" s="473"/>
      <c r="HQ121" s="473"/>
      <c r="HR121" s="473"/>
      <c r="HS121" s="473"/>
      <c r="HT121" s="473"/>
      <c r="HU121" s="473"/>
      <c r="HV121" s="473"/>
      <c r="HW121" s="473"/>
      <c r="HX121" s="473"/>
      <c r="HY121" s="473"/>
      <c r="HZ121" s="473"/>
      <c r="IA121" s="473"/>
      <c r="IB121" s="473"/>
      <c r="IC121" s="473"/>
      <c r="ID121" s="473"/>
      <c r="IE121" s="473"/>
      <c r="IF121" s="473"/>
      <c r="IG121" s="473"/>
      <c r="IH121" s="473"/>
      <c r="II121" s="473"/>
      <c r="IJ121" s="473"/>
      <c r="IK121" s="473"/>
      <c r="IL121" s="473"/>
      <c r="IM121" s="473"/>
      <c r="IN121" s="473"/>
      <c r="IO121" s="473"/>
      <c r="IP121" s="473"/>
      <c r="IQ121" s="473"/>
      <c r="IR121" s="473"/>
      <c r="IS121" s="473"/>
      <c r="IT121" s="473"/>
      <c r="IU121" s="473"/>
      <c r="IV121" s="473"/>
      <c r="IW121" s="473"/>
    </row>
    <row r="122" customFormat="false" ht="12.6" hidden="false" customHeight="true" outlineLevel="0" collapsed="false">
      <c r="A122" s="600"/>
      <c r="B122" s="604"/>
      <c r="C122" s="604"/>
      <c r="D122" s="404"/>
      <c r="E122" s="404"/>
      <c r="F122" s="404"/>
      <c r="G122" s="404"/>
      <c r="H122" s="404"/>
      <c r="I122" s="404"/>
      <c r="J122" s="404"/>
      <c r="K122" s="404"/>
      <c r="L122" s="404"/>
      <c r="M122" s="404"/>
      <c r="N122" s="404"/>
      <c r="O122" s="404"/>
      <c r="P122" s="404"/>
      <c r="Q122" s="404"/>
      <c r="R122" s="404"/>
      <c r="S122" s="404"/>
      <c r="T122" s="404"/>
      <c r="U122" s="404"/>
      <c r="V122" s="404"/>
      <c r="W122" s="404"/>
      <c r="X122" s="404"/>
      <c r="Y122" s="404"/>
      <c r="Z122" s="404"/>
      <c r="AA122" s="404"/>
      <c r="AB122" s="404"/>
      <c r="AC122" s="404"/>
      <c r="AD122" s="404"/>
      <c r="AE122" s="404"/>
      <c r="AF122" s="404"/>
      <c r="AG122" s="404"/>
      <c r="AH122" s="404"/>
      <c r="AI122" s="404"/>
      <c r="AJ122" s="404"/>
      <c r="AK122" s="404"/>
      <c r="AL122" s="404"/>
      <c r="AM122" s="404"/>
      <c r="AN122" s="404"/>
      <c r="AO122" s="404"/>
      <c r="AP122" s="404"/>
      <c r="AQ122" s="404"/>
      <c r="AR122" s="404"/>
      <c r="AS122" s="404"/>
      <c r="AT122" s="473"/>
      <c r="AU122" s="473"/>
      <c r="AV122" s="473"/>
      <c r="AW122" s="473"/>
      <c r="AX122" s="473"/>
      <c r="AY122" s="473"/>
      <c r="AZ122" s="473"/>
      <c r="BA122" s="473"/>
      <c r="BB122" s="473"/>
      <c r="BC122" s="473"/>
      <c r="BD122" s="473"/>
      <c r="BE122" s="473"/>
      <c r="BF122" s="473"/>
      <c r="BG122" s="473"/>
      <c r="BH122" s="473"/>
      <c r="BI122" s="473"/>
      <c r="BJ122" s="473"/>
      <c r="BK122" s="473"/>
      <c r="BL122" s="473"/>
      <c r="BM122" s="473"/>
      <c r="BN122" s="473"/>
      <c r="BO122" s="473"/>
      <c r="BP122" s="473"/>
      <c r="BQ122" s="473"/>
      <c r="BR122" s="473"/>
      <c r="BS122" s="473"/>
      <c r="BT122" s="473"/>
      <c r="BU122" s="473"/>
      <c r="BV122" s="473"/>
      <c r="BW122" s="473"/>
      <c r="BX122" s="473"/>
      <c r="BY122" s="473"/>
      <c r="BZ122" s="473"/>
      <c r="CA122" s="473"/>
      <c r="CB122" s="473"/>
      <c r="CC122" s="473"/>
      <c r="CD122" s="473"/>
      <c r="CE122" s="473"/>
      <c r="CF122" s="473"/>
      <c r="CG122" s="473"/>
      <c r="CH122" s="473"/>
      <c r="CI122" s="473"/>
      <c r="CJ122" s="473"/>
      <c r="CK122" s="473"/>
      <c r="CL122" s="473"/>
      <c r="CM122" s="473"/>
      <c r="CN122" s="473"/>
      <c r="CO122" s="473"/>
      <c r="CP122" s="473"/>
      <c r="CQ122" s="473"/>
      <c r="CR122" s="473"/>
      <c r="CS122" s="473"/>
      <c r="CT122" s="473"/>
      <c r="CU122" s="473"/>
      <c r="CV122" s="473"/>
      <c r="CW122" s="473"/>
      <c r="CX122" s="473"/>
      <c r="CY122" s="473"/>
      <c r="CZ122" s="473"/>
      <c r="DA122" s="473"/>
      <c r="DB122" s="473"/>
      <c r="DC122" s="473"/>
      <c r="DD122" s="473"/>
      <c r="DE122" s="473"/>
      <c r="DF122" s="473"/>
      <c r="DG122" s="473"/>
      <c r="DH122" s="473"/>
      <c r="DI122" s="473"/>
      <c r="DJ122" s="473"/>
      <c r="DK122" s="473"/>
      <c r="DL122" s="473"/>
      <c r="DM122" s="473"/>
      <c r="DN122" s="473"/>
      <c r="DO122" s="473"/>
      <c r="DP122" s="473"/>
      <c r="DQ122" s="473"/>
      <c r="DR122" s="473"/>
      <c r="DS122" s="473"/>
      <c r="DT122" s="473"/>
      <c r="DU122" s="473"/>
      <c r="DV122" s="473"/>
      <c r="DW122" s="473"/>
      <c r="DX122" s="473"/>
      <c r="DY122" s="473"/>
      <c r="DZ122" s="473"/>
      <c r="EA122" s="473"/>
      <c r="EB122" s="473"/>
      <c r="EC122" s="473"/>
      <c r="ED122" s="473"/>
      <c r="EE122" s="473"/>
      <c r="EF122" s="473"/>
      <c r="EG122" s="473"/>
      <c r="EH122" s="473"/>
      <c r="EI122" s="473"/>
      <c r="EJ122" s="473"/>
      <c r="EK122" s="473"/>
      <c r="EL122" s="473"/>
      <c r="EM122" s="473"/>
      <c r="EN122" s="473"/>
      <c r="EO122" s="473"/>
      <c r="EP122" s="473"/>
      <c r="EQ122" s="473"/>
      <c r="ER122" s="473"/>
      <c r="ES122" s="473"/>
      <c r="ET122" s="473"/>
      <c r="EU122" s="473"/>
      <c r="EV122" s="473"/>
      <c r="EW122" s="473"/>
      <c r="EX122" s="473"/>
      <c r="EY122" s="473"/>
      <c r="EZ122" s="473"/>
      <c r="FA122" s="473"/>
      <c r="FB122" s="473"/>
      <c r="FC122" s="473"/>
      <c r="FD122" s="473"/>
      <c r="FE122" s="473"/>
      <c r="FF122" s="473"/>
      <c r="FG122" s="473"/>
      <c r="FH122" s="473"/>
      <c r="FI122" s="473"/>
      <c r="FJ122" s="473"/>
      <c r="FK122" s="473"/>
      <c r="FL122" s="473"/>
      <c r="FM122" s="473"/>
      <c r="FN122" s="473"/>
      <c r="FO122" s="473"/>
      <c r="FP122" s="473"/>
      <c r="FQ122" s="473"/>
      <c r="FR122" s="473"/>
      <c r="FS122" s="473"/>
      <c r="FT122" s="473"/>
      <c r="FU122" s="473"/>
      <c r="FV122" s="473"/>
      <c r="FW122" s="473"/>
      <c r="FX122" s="473"/>
      <c r="FY122" s="473"/>
      <c r="FZ122" s="473"/>
      <c r="GA122" s="473"/>
      <c r="GB122" s="473"/>
      <c r="GC122" s="473"/>
      <c r="GD122" s="473"/>
      <c r="GE122" s="473"/>
      <c r="GF122" s="473"/>
      <c r="GG122" s="473"/>
      <c r="GH122" s="473"/>
      <c r="GI122" s="473"/>
      <c r="GJ122" s="473"/>
      <c r="GK122" s="473"/>
      <c r="GL122" s="473"/>
      <c r="GM122" s="473"/>
      <c r="GN122" s="473"/>
      <c r="GO122" s="473"/>
      <c r="GP122" s="473"/>
      <c r="GQ122" s="473"/>
      <c r="GR122" s="473"/>
      <c r="GS122" s="473"/>
      <c r="GT122" s="473"/>
      <c r="GU122" s="473"/>
      <c r="GV122" s="473"/>
      <c r="GW122" s="473"/>
      <c r="GX122" s="473"/>
      <c r="GY122" s="473"/>
      <c r="GZ122" s="473"/>
      <c r="HA122" s="473"/>
      <c r="HB122" s="473"/>
      <c r="HC122" s="473"/>
      <c r="HD122" s="473"/>
      <c r="HE122" s="473"/>
      <c r="HF122" s="473"/>
      <c r="HG122" s="473"/>
      <c r="HH122" s="473"/>
      <c r="HI122" s="473"/>
      <c r="HJ122" s="473"/>
      <c r="HK122" s="473"/>
      <c r="HL122" s="473"/>
      <c r="HM122" s="473"/>
      <c r="HN122" s="473"/>
      <c r="HO122" s="473"/>
      <c r="HP122" s="473"/>
      <c r="HQ122" s="473"/>
      <c r="HR122" s="473"/>
      <c r="HS122" s="473"/>
      <c r="HT122" s="473"/>
      <c r="HU122" s="473"/>
      <c r="HV122" s="473"/>
      <c r="HW122" s="473"/>
      <c r="HX122" s="473"/>
      <c r="HY122" s="473"/>
      <c r="HZ122" s="473"/>
      <c r="IA122" s="473"/>
      <c r="IB122" s="473"/>
      <c r="IC122" s="473"/>
      <c r="ID122" s="473"/>
      <c r="IE122" s="473"/>
      <c r="IF122" s="473"/>
      <c r="IG122" s="473"/>
      <c r="IH122" s="473"/>
      <c r="II122" s="473"/>
      <c r="IJ122" s="473"/>
      <c r="IK122" s="473"/>
      <c r="IL122" s="473"/>
      <c r="IM122" s="473"/>
      <c r="IN122" s="473"/>
      <c r="IO122" s="473"/>
      <c r="IP122" s="473"/>
      <c r="IQ122" s="473"/>
      <c r="IR122" s="473"/>
      <c r="IS122" s="473"/>
      <c r="IT122" s="473"/>
      <c r="IU122" s="473"/>
      <c r="IV122" s="473"/>
      <c r="IW122" s="473"/>
    </row>
    <row r="123" customFormat="false" ht="12.6" hidden="false" customHeight="true" outlineLevel="0" collapsed="false">
      <c r="A123" s="600"/>
      <c r="B123" s="473"/>
      <c r="C123" s="473"/>
      <c r="D123" s="601"/>
      <c r="E123" s="603"/>
      <c r="F123" s="603"/>
      <c r="G123" s="603"/>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03"/>
      <c r="AL123" s="603"/>
      <c r="AM123" s="603"/>
      <c r="AN123" s="603"/>
      <c r="AO123" s="603"/>
      <c r="AP123" s="603"/>
      <c r="AQ123" s="603"/>
      <c r="AR123" s="603"/>
      <c r="AS123" s="603"/>
      <c r="AT123" s="473"/>
      <c r="AU123" s="473"/>
      <c r="AV123" s="473"/>
      <c r="AW123" s="473"/>
      <c r="AX123" s="473"/>
      <c r="AY123" s="473"/>
      <c r="AZ123" s="473"/>
      <c r="BA123" s="473"/>
      <c r="BB123" s="473"/>
      <c r="BC123" s="473"/>
      <c r="BD123" s="473"/>
      <c r="BE123" s="473"/>
      <c r="BF123" s="473"/>
      <c r="BG123" s="473"/>
      <c r="BH123" s="473"/>
      <c r="BI123" s="473"/>
      <c r="BJ123" s="473"/>
      <c r="BK123" s="473"/>
      <c r="BL123" s="473"/>
      <c r="BM123" s="473"/>
      <c r="BN123" s="473"/>
      <c r="BO123" s="473"/>
      <c r="BP123" s="473"/>
      <c r="BQ123" s="473"/>
      <c r="BR123" s="473"/>
      <c r="BS123" s="473"/>
      <c r="BT123" s="473"/>
      <c r="BU123" s="473"/>
      <c r="BV123" s="473"/>
      <c r="BW123" s="473"/>
      <c r="BX123" s="473"/>
      <c r="BY123" s="473"/>
      <c r="BZ123" s="473"/>
      <c r="CA123" s="473"/>
      <c r="CB123" s="473"/>
      <c r="CC123" s="473"/>
      <c r="CD123" s="473"/>
      <c r="CE123" s="473"/>
      <c r="CF123" s="473"/>
      <c r="CG123" s="473"/>
      <c r="CH123" s="473"/>
      <c r="CI123" s="473"/>
      <c r="CJ123" s="473"/>
      <c r="CK123" s="473"/>
      <c r="CL123" s="473"/>
      <c r="CM123" s="473"/>
      <c r="CN123" s="473"/>
      <c r="CO123" s="473"/>
      <c r="CP123" s="473"/>
      <c r="CQ123" s="473"/>
      <c r="CR123" s="473"/>
      <c r="CS123" s="473"/>
      <c r="CT123" s="473"/>
      <c r="CU123" s="473"/>
      <c r="CV123" s="473"/>
      <c r="CW123" s="473"/>
      <c r="CX123" s="473"/>
      <c r="CY123" s="473"/>
      <c r="CZ123" s="473"/>
      <c r="DA123" s="473"/>
      <c r="DB123" s="473"/>
      <c r="DC123" s="473"/>
      <c r="DD123" s="473"/>
      <c r="DE123" s="473"/>
      <c r="DF123" s="473"/>
      <c r="DG123" s="473"/>
      <c r="DH123" s="473"/>
      <c r="DI123" s="473"/>
      <c r="DJ123" s="473"/>
      <c r="DK123" s="473"/>
      <c r="DL123" s="473"/>
      <c r="DM123" s="473"/>
      <c r="DN123" s="473"/>
      <c r="DO123" s="473"/>
      <c r="DP123" s="473"/>
      <c r="DQ123" s="473"/>
      <c r="DR123" s="473"/>
      <c r="DS123" s="473"/>
      <c r="DT123" s="473"/>
      <c r="DU123" s="473"/>
      <c r="DV123" s="473"/>
      <c r="DW123" s="473"/>
      <c r="DX123" s="473"/>
      <c r="DY123" s="473"/>
      <c r="DZ123" s="473"/>
      <c r="EA123" s="473"/>
      <c r="EB123" s="473"/>
      <c r="EC123" s="473"/>
      <c r="ED123" s="473"/>
      <c r="EE123" s="473"/>
      <c r="EF123" s="473"/>
      <c r="EG123" s="473"/>
      <c r="EH123" s="473"/>
      <c r="EI123" s="473"/>
      <c r="EJ123" s="473"/>
      <c r="EK123" s="473"/>
      <c r="EL123" s="473"/>
      <c r="EM123" s="473"/>
      <c r="EN123" s="473"/>
      <c r="EO123" s="473"/>
      <c r="EP123" s="473"/>
      <c r="EQ123" s="473"/>
      <c r="ER123" s="473"/>
      <c r="ES123" s="473"/>
      <c r="ET123" s="473"/>
      <c r="EU123" s="473"/>
      <c r="EV123" s="473"/>
      <c r="EW123" s="473"/>
      <c r="EX123" s="473"/>
      <c r="EY123" s="473"/>
      <c r="EZ123" s="473"/>
      <c r="FA123" s="473"/>
      <c r="FB123" s="473"/>
      <c r="FC123" s="473"/>
      <c r="FD123" s="473"/>
      <c r="FE123" s="473"/>
      <c r="FF123" s="473"/>
      <c r="FG123" s="473"/>
      <c r="FH123" s="473"/>
      <c r="FI123" s="473"/>
      <c r="FJ123" s="473"/>
      <c r="FK123" s="473"/>
      <c r="FL123" s="473"/>
      <c r="FM123" s="473"/>
      <c r="FN123" s="473"/>
      <c r="FO123" s="473"/>
      <c r="FP123" s="473"/>
      <c r="FQ123" s="473"/>
      <c r="FR123" s="473"/>
      <c r="FS123" s="473"/>
      <c r="FT123" s="473"/>
      <c r="FU123" s="473"/>
      <c r="FV123" s="473"/>
      <c r="FW123" s="473"/>
      <c r="FX123" s="473"/>
      <c r="FY123" s="473"/>
      <c r="FZ123" s="473"/>
      <c r="GA123" s="473"/>
      <c r="GB123" s="473"/>
      <c r="GC123" s="473"/>
      <c r="GD123" s="473"/>
      <c r="GE123" s="473"/>
      <c r="GF123" s="473"/>
      <c r="GG123" s="473"/>
      <c r="GH123" s="473"/>
      <c r="GI123" s="473"/>
      <c r="GJ123" s="473"/>
      <c r="GK123" s="473"/>
      <c r="GL123" s="473"/>
      <c r="GM123" s="473"/>
      <c r="GN123" s="473"/>
      <c r="GO123" s="473"/>
      <c r="GP123" s="473"/>
      <c r="GQ123" s="473"/>
      <c r="GR123" s="473"/>
      <c r="GS123" s="473"/>
      <c r="GT123" s="473"/>
      <c r="GU123" s="473"/>
      <c r="GV123" s="473"/>
      <c r="GW123" s="473"/>
      <c r="GX123" s="473"/>
      <c r="GY123" s="473"/>
      <c r="GZ123" s="473"/>
      <c r="HA123" s="473"/>
      <c r="HB123" s="473"/>
      <c r="HC123" s="473"/>
      <c r="HD123" s="473"/>
      <c r="HE123" s="473"/>
      <c r="HF123" s="473"/>
      <c r="HG123" s="473"/>
      <c r="HH123" s="473"/>
      <c r="HI123" s="473"/>
      <c r="HJ123" s="473"/>
      <c r="HK123" s="473"/>
      <c r="HL123" s="473"/>
      <c r="HM123" s="473"/>
      <c r="HN123" s="473"/>
      <c r="HO123" s="473"/>
      <c r="HP123" s="473"/>
      <c r="HQ123" s="473"/>
      <c r="HR123" s="473"/>
      <c r="HS123" s="473"/>
      <c r="HT123" s="473"/>
      <c r="HU123" s="473"/>
      <c r="HV123" s="473"/>
      <c r="HW123" s="473"/>
      <c r="HX123" s="473"/>
      <c r="HY123" s="473"/>
      <c r="HZ123" s="473"/>
      <c r="IA123" s="473"/>
      <c r="IB123" s="473"/>
      <c r="IC123" s="473"/>
      <c r="ID123" s="473"/>
      <c r="IE123" s="473"/>
      <c r="IF123" s="473"/>
      <c r="IG123" s="473"/>
      <c r="IH123" s="473"/>
      <c r="II123" s="473"/>
      <c r="IJ123" s="473"/>
      <c r="IK123" s="473"/>
      <c r="IL123" s="473"/>
      <c r="IM123" s="473"/>
      <c r="IN123" s="473"/>
      <c r="IO123" s="473"/>
      <c r="IP123" s="473"/>
      <c r="IQ123" s="473"/>
      <c r="IR123" s="473"/>
      <c r="IS123" s="473"/>
      <c r="IT123" s="473"/>
      <c r="IU123" s="473"/>
      <c r="IV123" s="473"/>
      <c r="IW123" s="473"/>
    </row>
    <row r="124" customFormat="false" ht="12.6" hidden="false" customHeight="true" outlineLevel="0" collapsed="false">
      <c r="A124" s="600"/>
      <c r="B124" s="473"/>
      <c r="C124" s="473"/>
      <c r="D124" s="404"/>
      <c r="E124" s="404"/>
      <c r="F124" s="404"/>
      <c r="G124" s="404"/>
      <c r="H124" s="404"/>
      <c r="I124" s="404"/>
      <c r="J124" s="404"/>
      <c r="K124" s="404"/>
      <c r="L124" s="404"/>
      <c r="M124" s="404"/>
      <c r="N124" s="404"/>
      <c r="O124" s="404"/>
      <c r="P124" s="404"/>
      <c r="Q124" s="404"/>
      <c r="R124" s="404"/>
      <c r="S124" s="404"/>
      <c r="T124" s="404"/>
      <c r="U124" s="404"/>
      <c r="V124" s="404"/>
      <c r="W124" s="404"/>
      <c r="X124" s="404"/>
      <c r="Y124" s="404"/>
      <c r="Z124" s="404"/>
      <c r="AA124" s="404"/>
      <c r="AB124" s="404"/>
      <c r="AC124" s="404"/>
      <c r="AD124" s="473"/>
      <c r="AE124" s="473"/>
      <c r="AF124" s="473"/>
      <c r="AG124" s="473"/>
      <c r="AH124" s="473"/>
      <c r="AI124" s="473"/>
      <c r="AJ124" s="473"/>
      <c r="AK124" s="473"/>
      <c r="AL124" s="473"/>
      <c r="AM124" s="473"/>
      <c r="AN124" s="473"/>
      <c r="AO124" s="473"/>
      <c r="AP124" s="473"/>
      <c r="AQ124" s="473"/>
      <c r="AR124" s="473"/>
      <c r="AS124" s="473"/>
      <c r="AT124" s="473"/>
      <c r="AU124" s="473"/>
      <c r="AV124" s="473"/>
      <c r="AW124" s="473"/>
      <c r="AX124" s="473"/>
      <c r="AY124" s="473"/>
      <c r="AZ124" s="473"/>
      <c r="BA124" s="473"/>
      <c r="BB124" s="473"/>
      <c r="BC124" s="473"/>
      <c r="BD124" s="473"/>
      <c r="BE124" s="473"/>
      <c r="BF124" s="473"/>
      <c r="BG124" s="473"/>
      <c r="BH124" s="473"/>
      <c r="BI124" s="473"/>
      <c r="BJ124" s="473"/>
      <c r="BK124" s="473"/>
      <c r="BL124" s="473"/>
      <c r="BM124" s="473"/>
      <c r="BN124" s="473"/>
      <c r="BO124" s="473"/>
      <c r="BP124" s="473"/>
      <c r="BQ124" s="473"/>
      <c r="BR124" s="473"/>
      <c r="BS124" s="473"/>
      <c r="BT124" s="473"/>
      <c r="BU124" s="473"/>
      <c r="BV124" s="473"/>
      <c r="BW124" s="473"/>
      <c r="BX124" s="473"/>
      <c r="BY124" s="473"/>
      <c r="BZ124" s="473"/>
      <c r="CA124" s="473"/>
      <c r="CB124" s="473"/>
      <c r="CC124" s="473"/>
      <c r="CD124" s="473"/>
      <c r="CE124" s="473"/>
      <c r="CF124" s="473"/>
      <c r="CG124" s="473"/>
      <c r="CH124" s="473"/>
      <c r="CI124" s="473"/>
      <c r="CJ124" s="473"/>
      <c r="CK124" s="473"/>
      <c r="CL124" s="473"/>
      <c r="CM124" s="473"/>
      <c r="CN124" s="473"/>
      <c r="CO124" s="473"/>
      <c r="CP124" s="473"/>
      <c r="CQ124" s="473"/>
      <c r="CR124" s="473"/>
      <c r="CS124" s="473"/>
      <c r="CT124" s="473"/>
      <c r="CU124" s="473"/>
      <c r="CV124" s="473"/>
      <c r="CW124" s="473"/>
      <c r="CX124" s="473"/>
      <c r="CY124" s="473"/>
      <c r="CZ124" s="473"/>
      <c r="DA124" s="473"/>
      <c r="DB124" s="473"/>
      <c r="DC124" s="473"/>
      <c r="DD124" s="473"/>
      <c r="DE124" s="473"/>
      <c r="DF124" s="473"/>
      <c r="DG124" s="473"/>
      <c r="DH124" s="473"/>
      <c r="DI124" s="473"/>
      <c r="DJ124" s="473"/>
      <c r="DK124" s="473"/>
      <c r="DL124" s="473"/>
      <c r="DM124" s="473"/>
      <c r="DN124" s="473"/>
      <c r="DO124" s="473"/>
      <c r="DP124" s="473"/>
      <c r="DQ124" s="473"/>
      <c r="DR124" s="473"/>
      <c r="DS124" s="473"/>
      <c r="DT124" s="473"/>
      <c r="DU124" s="473"/>
      <c r="DV124" s="473"/>
      <c r="DW124" s="473"/>
      <c r="DX124" s="473"/>
      <c r="DY124" s="473"/>
      <c r="DZ124" s="473"/>
      <c r="EA124" s="473"/>
      <c r="EB124" s="473"/>
      <c r="EC124" s="473"/>
      <c r="ED124" s="473"/>
      <c r="EE124" s="473"/>
      <c r="EF124" s="473"/>
      <c r="EG124" s="473"/>
      <c r="EH124" s="473"/>
      <c r="EI124" s="473"/>
      <c r="EJ124" s="473"/>
      <c r="EK124" s="473"/>
      <c r="EL124" s="473"/>
      <c r="EM124" s="473"/>
      <c r="EN124" s="473"/>
      <c r="EO124" s="473"/>
      <c r="EP124" s="473"/>
      <c r="EQ124" s="473"/>
      <c r="ER124" s="473"/>
      <c r="ES124" s="473"/>
      <c r="ET124" s="473"/>
      <c r="EU124" s="473"/>
      <c r="EV124" s="473"/>
      <c r="EW124" s="473"/>
      <c r="EX124" s="473"/>
      <c r="EY124" s="473"/>
      <c r="EZ124" s="473"/>
      <c r="FA124" s="473"/>
      <c r="FB124" s="473"/>
      <c r="FC124" s="473"/>
      <c r="FD124" s="473"/>
      <c r="FE124" s="473"/>
      <c r="FF124" s="473"/>
      <c r="FG124" s="473"/>
      <c r="FH124" s="473"/>
      <c r="FI124" s="473"/>
      <c r="FJ124" s="473"/>
      <c r="FK124" s="473"/>
      <c r="FL124" s="473"/>
      <c r="FM124" s="473"/>
      <c r="FN124" s="473"/>
      <c r="FO124" s="473"/>
      <c r="FP124" s="473"/>
      <c r="FQ124" s="473"/>
      <c r="FR124" s="473"/>
      <c r="FS124" s="473"/>
      <c r="FT124" s="473"/>
      <c r="FU124" s="473"/>
      <c r="FV124" s="473"/>
      <c r="FW124" s="473"/>
      <c r="FX124" s="473"/>
      <c r="FY124" s="473"/>
      <c r="FZ124" s="473"/>
      <c r="GA124" s="473"/>
      <c r="GB124" s="473"/>
      <c r="GC124" s="473"/>
      <c r="GD124" s="473"/>
      <c r="GE124" s="473"/>
      <c r="GF124" s="473"/>
      <c r="GG124" s="473"/>
      <c r="GH124" s="473"/>
      <c r="GI124" s="473"/>
      <c r="GJ124" s="473"/>
      <c r="GK124" s="473"/>
      <c r="GL124" s="473"/>
      <c r="GM124" s="473"/>
      <c r="GN124" s="473"/>
      <c r="GO124" s="473"/>
      <c r="GP124" s="473"/>
      <c r="GQ124" s="473"/>
      <c r="GR124" s="473"/>
      <c r="GS124" s="473"/>
      <c r="GT124" s="473"/>
      <c r="GU124" s="473"/>
      <c r="GV124" s="473"/>
      <c r="GW124" s="473"/>
      <c r="GX124" s="473"/>
      <c r="GY124" s="473"/>
      <c r="GZ124" s="473"/>
      <c r="HA124" s="473"/>
      <c r="HB124" s="473"/>
      <c r="HC124" s="473"/>
      <c r="HD124" s="473"/>
      <c r="HE124" s="473"/>
      <c r="HF124" s="473"/>
      <c r="HG124" s="473"/>
      <c r="HH124" s="473"/>
      <c r="HI124" s="473"/>
      <c r="HJ124" s="473"/>
      <c r="HK124" s="473"/>
      <c r="HL124" s="473"/>
      <c r="HM124" s="473"/>
      <c r="HN124" s="473"/>
      <c r="HO124" s="473"/>
      <c r="HP124" s="473"/>
      <c r="HQ124" s="473"/>
      <c r="HR124" s="473"/>
      <c r="HS124" s="473"/>
      <c r="HT124" s="473"/>
      <c r="HU124" s="473"/>
      <c r="HV124" s="473"/>
      <c r="HW124" s="473"/>
      <c r="HX124" s="473"/>
      <c r="HY124" s="473"/>
      <c r="HZ124" s="473"/>
      <c r="IA124" s="473"/>
      <c r="IB124" s="473"/>
      <c r="IC124" s="473"/>
      <c r="ID124" s="473"/>
      <c r="IE124" s="473"/>
      <c r="IF124" s="473"/>
      <c r="IG124" s="473"/>
      <c r="IH124" s="473"/>
      <c r="II124" s="473"/>
      <c r="IJ124" s="473"/>
      <c r="IK124" s="473"/>
      <c r="IL124" s="473"/>
      <c r="IM124" s="473"/>
      <c r="IN124" s="473"/>
      <c r="IO124" s="473"/>
      <c r="IP124" s="473"/>
      <c r="IQ124" s="473"/>
      <c r="IR124" s="473"/>
      <c r="IS124" s="473"/>
      <c r="IT124" s="473"/>
      <c r="IU124" s="473"/>
      <c r="IV124" s="473"/>
      <c r="IW124" s="473"/>
    </row>
    <row r="125" customFormat="false" ht="12.6" hidden="false" customHeight="true" outlineLevel="0" collapsed="false">
      <c r="A125" s="473"/>
      <c r="B125" s="473"/>
      <c r="C125" s="473"/>
      <c r="D125" s="404"/>
      <c r="E125" s="404"/>
      <c r="F125" s="404"/>
      <c r="G125" s="404"/>
      <c r="H125" s="404"/>
      <c r="I125" s="404"/>
      <c r="J125" s="404"/>
      <c r="K125" s="404"/>
      <c r="L125" s="404"/>
      <c r="M125" s="404"/>
      <c r="N125" s="404"/>
      <c r="O125" s="404"/>
      <c r="P125" s="404"/>
      <c r="Q125" s="404"/>
      <c r="R125" s="404"/>
      <c r="S125" s="404"/>
      <c r="T125" s="404"/>
      <c r="U125" s="404"/>
      <c r="V125" s="404"/>
      <c r="W125" s="404"/>
      <c r="X125" s="404"/>
      <c r="Y125" s="404"/>
      <c r="Z125" s="404"/>
      <c r="AA125" s="404"/>
      <c r="AB125" s="404"/>
      <c r="AC125" s="404"/>
      <c r="AD125" s="473"/>
      <c r="AE125" s="473"/>
      <c r="AF125" s="473"/>
      <c r="AG125" s="473"/>
      <c r="AH125" s="473"/>
      <c r="AI125" s="473"/>
      <c r="AJ125" s="473"/>
      <c r="AK125" s="473"/>
      <c r="AL125" s="473"/>
      <c r="AM125" s="473"/>
      <c r="AN125" s="473"/>
      <c r="AO125" s="473"/>
      <c r="AP125" s="473"/>
      <c r="AQ125" s="473"/>
      <c r="AR125" s="473"/>
      <c r="AS125" s="473"/>
      <c r="AT125" s="473"/>
      <c r="AU125" s="473"/>
      <c r="AV125" s="473"/>
      <c r="AW125" s="473"/>
      <c r="AX125" s="473"/>
      <c r="AY125" s="473"/>
      <c r="AZ125" s="473"/>
      <c r="BA125" s="473"/>
      <c r="BB125" s="473"/>
      <c r="BC125" s="473"/>
      <c r="BD125" s="473"/>
      <c r="BE125" s="473"/>
      <c r="BF125" s="473"/>
      <c r="BG125" s="473"/>
      <c r="BH125" s="473"/>
      <c r="BI125" s="473"/>
      <c r="BJ125" s="473"/>
      <c r="BK125" s="473"/>
      <c r="BL125" s="473"/>
      <c r="BM125" s="473"/>
      <c r="BN125" s="473"/>
      <c r="BO125" s="473"/>
      <c r="BP125" s="473"/>
      <c r="BQ125" s="473"/>
      <c r="BR125" s="473"/>
      <c r="BS125" s="473"/>
      <c r="BT125" s="473"/>
      <c r="BU125" s="473"/>
      <c r="BV125" s="473"/>
      <c r="BW125" s="473"/>
      <c r="BX125" s="473"/>
      <c r="BY125" s="473"/>
      <c r="BZ125" s="473"/>
      <c r="CA125" s="473"/>
      <c r="CB125" s="473"/>
      <c r="CC125" s="473"/>
      <c r="CD125" s="473"/>
      <c r="CE125" s="473"/>
      <c r="CF125" s="473"/>
      <c r="CG125" s="473"/>
      <c r="CH125" s="473"/>
      <c r="CI125" s="473"/>
      <c r="CJ125" s="473"/>
      <c r="CK125" s="473"/>
      <c r="CL125" s="473"/>
      <c r="CM125" s="473"/>
      <c r="CN125" s="473"/>
      <c r="CO125" s="473"/>
      <c r="CP125" s="473"/>
      <c r="CQ125" s="473"/>
      <c r="CR125" s="473"/>
      <c r="CS125" s="473"/>
      <c r="CT125" s="473"/>
      <c r="CU125" s="473"/>
      <c r="CV125" s="473"/>
      <c r="CW125" s="473"/>
      <c r="CX125" s="473"/>
      <c r="CY125" s="473"/>
      <c r="CZ125" s="473"/>
      <c r="DA125" s="473"/>
      <c r="DB125" s="473"/>
      <c r="DC125" s="473"/>
      <c r="DD125" s="473"/>
      <c r="DE125" s="473"/>
      <c r="DF125" s="473"/>
      <c r="DG125" s="473"/>
      <c r="DH125" s="473"/>
      <c r="DI125" s="473"/>
      <c r="DJ125" s="473"/>
      <c r="DK125" s="473"/>
      <c r="DL125" s="473"/>
      <c r="DM125" s="473"/>
      <c r="DN125" s="473"/>
      <c r="DO125" s="473"/>
      <c r="DP125" s="473"/>
      <c r="DQ125" s="473"/>
      <c r="DR125" s="473"/>
      <c r="DS125" s="473"/>
      <c r="DT125" s="473"/>
      <c r="DU125" s="473"/>
      <c r="DV125" s="473"/>
      <c r="DW125" s="473"/>
      <c r="DX125" s="473"/>
      <c r="DY125" s="473"/>
      <c r="DZ125" s="473"/>
      <c r="EA125" s="473"/>
      <c r="EB125" s="473"/>
      <c r="EC125" s="473"/>
      <c r="ED125" s="473"/>
      <c r="EE125" s="473"/>
      <c r="EF125" s="473"/>
      <c r="EG125" s="473"/>
      <c r="EH125" s="473"/>
      <c r="EI125" s="473"/>
      <c r="EJ125" s="473"/>
      <c r="EK125" s="473"/>
      <c r="EL125" s="473"/>
      <c r="EM125" s="473"/>
      <c r="EN125" s="473"/>
      <c r="EO125" s="473"/>
      <c r="EP125" s="473"/>
      <c r="EQ125" s="473"/>
      <c r="ER125" s="473"/>
      <c r="ES125" s="473"/>
      <c r="ET125" s="473"/>
      <c r="EU125" s="473"/>
      <c r="EV125" s="473"/>
      <c r="EW125" s="473"/>
      <c r="EX125" s="473"/>
      <c r="EY125" s="473"/>
      <c r="EZ125" s="473"/>
      <c r="FA125" s="473"/>
      <c r="FB125" s="473"/>
      <c r="FC125" s="473"/>
      <c r="FD125" s="473"/>
      <c r="FE125" s="473"/>
      <c r="FF125" s="473"/>
      <c r="FG125" s="473"/>
      <c r="FH125" s="473"/>
      <c r="FI125" s="473"/>
      <c r="FJ125" s="473"/>
      <c r="FK125" s="473"/>
      <c r="FL125" s="473"/>
      <c r="FM125" s="473"/>
      <c r="FN125" s="473"/>
      <c r="FO125" s="473"/>
      <c r="FP125" s="473"/>
      <c r="FQ125" s="473"/>
      <c r="FR125" s="473"/>
      <c r="FS125" s="473"/>
      <c r="FT125" s="473"/>
      <c r="FU125" s="473"/>
      <c r="FV125" s="473"/>
      <c r="FW125" s="473"/>
      <c r="FX125" s="473"/>
      <c r="FY125" s="473"/>
      <c r="FZ125" s="473"/>
      <c r="GA125" s="473"/>
      <c r="GB125" s="473"/>
      <c r="GC125" s="473"/>
      <c r="GD125" s="473"/>
      <c r="GE125" s="473"/>
      <c r="GF125" s="473"/>
      <c r="GG125" s="473"/>
      <c r="GH125" s="473"/>
      <c r="GI125" s="473"/>
      <c r="GJ125" s="473"/>
      <c r="GK125" s="473"/>
      <c r="GL125" s="473"/>
      <c r="GM125" s="473"/>
      <c r="GN125" s="473"/>
      <c r="GO125" s="473"/>
      <c r="GP125" s="473"/>
      <c r="GQ125" s="473"/>
      <c r="GR125" s="473"/>
      <c r="GS125" s="473"/>
      <c r="GT125" s="473"/>
      <c r="GU125" s="473"/>
      <c r="GV125" s="473"/>
      <c r="GW125" s="473"/>
      <c r="GX125" s="473"/>
      <c r="GY125" s="473"/>
      <c r="GZ125" s="473"/>
      <c r="HA125" s="473"/>
      <c r="HB125" s="473"/>
      <c r="HC125" s="473"/>
      <c r="HD125" s="473"/>
      <c r="HE125" s="473"/>
      <c r="HF125" s="473"/>
      <c r="HG125" s="473"/>
      <c r="HH125" s="473"/>
      <c r="HI125" s="473"/>
      <c r="HJ125" s="473"/>
      <c r="HK125" s="473"/>
      <c r="HL125" s="473"/>
      <c r="HM125" s="473"/>
      <c r="HN125" s="473"/>
      <c r="HO125" s="473"/>
      <c r="HP125" s="473"/>
      <c r="HQ125" s="473"/>
      <c r="HR125" s="473"/>
      <c r="HS125" s="473"/>
      <c r="HT125" s="473"/>
      <c r="HU125" s="473"/>
      <c r="HV125" s="473"/>
      <c r="HW125" s="473"/>
      <c r="HX125" s="473"/>
      <c r="HY125" s="473"/>
      <c r="HZ125" s="473"/>
      <c r="IA125" s="473"/>
      <c r="IB125" s="473"/>
      <c r="IC125" s="473"/>
      <c r="ID125" s="473"/>
      <c r="IE125" s="473"/>
      <c r="IF125" s="473"/>
      <c r="IG125" s="473"/>
      <c r="IH125" s="473"/>
      <c r="II125" s="473"/>
      <c r="IJ125" s="473"/>
      <c r="IK125" s="473"/>
      <c r="IL125" s="473"/>
      <c r="IM125" s="473"/>
      <c r="IN125" s="473"/>
      <c r="IO125" s="473"/>
      <c r="IP125" s="473"/>
      <c r="IQ125" s="473"/>
      <c r="IR125" s="473"/>
      <c r="IS125" s="473"/>
      <c r="IT125" s="473"/>
      <c r="IU125" s="473"/>
      <c r="IV125" s="473"/>
      <c r="IW125" s="473"/>
    </row>
    <row r="126" customFormat="false" ht="12.6" hidden="false" customHeight="true" outlineLevel="0" collapsed="false">
      <c r="A126" s="473"/>
      <c r="B126" s="473"/>
      <c r="C126" s="473"/>
      <c r="D126" s="404"/>
      <c r="E126" s="404"/>
      <c r="F126" s="404"/>
      <c r="G126" s="404"/>
      <c r="H126" s="404"/>
      <c r="I126" s="404"/>
      <c r="J126" s="404"/>
      <c r="K126" s="404"/>
      <c r="L126" s="404"/>
      <c r="M126" s="404"/>
      <c r="N126" s="404"/>
      <c r="O126" s="404"/>
      <c r="P126" s="404"/>
      <c r="Q126" s="404"/>
      <c r="R126" s="404"/>
      <c r="S126" s="404"/>
      <c r="T126" s="404"/>
      <c r="U126" s="404"/>
      <c r="V126" s="404"/>
      <c r="W126" s="404"/>
      <c r="X126" s="404"/>
      <c r="Y126" s="404"/>
      <c r="Z126" s="404"/>
      <c r="AA126" s="404"/>
      <c r="AB126" s="404"/>
      <c r="AC126" s="404"/>
      <c r="AD126" s="473"/>
      <c r="AE126" s="473"/>
      <c r="AF126" s="473"/>
      <c r="AG126" s="473"/>
      <c r="AH126" s="473"/>
      <c r="AI126" s="473"/>
      <c r="AJ126" s="473"/>
      <c r="AK126" s="473"/>
      <c r="AL126" s="473"/>
      <c r="AM126" s="473"/>
      <c r="AN126" s="473"/>
      <c r="AO126" s="473"/>
      <c r="AP126" s="473"/>
      <c r="AQ126" s="473"/>
      <c r="AR126" s="473"/>
      <c r="AS126" s="473"/>
      <c r="AT126" s="473"/>
      <c r="AU126" s="473"/>
      <c r="AV126" s="473"/>
      <c r="AW126" s="473"/>
      <c r="AX126" s="473"/>
      <c r="AY126" s="473"/>
      <c r="AZ126" s="473"/>
      <c r="BA126" s="473"/>
      <c r="BB126" s="473"/>
      <c r="BC126" s="473"/>
      <c r="BD126" s="473"/>
      <c r="BE126" s="473"/>
      <c r="BF126" s="473"/>
      <c r="BG126" s="473"/>
      <c r="BH126" s="473"/>
      <c r="BI126" s="473"/>
      <c r="BJ126" s="473"/>
      <c r="BK126" s="473"/>
      <c r="BL126" s="473"/>
      <c r="BM126" s="473"/>
      <c r="BN126" s="473"/>
      <c r="BO126" s="473"/>
      <c r="BP126" s="473"/>
      <c r="BQ126" s="473"/>
      <c r="BR126" s="473"/>
      <c r="BS126" s="473"/>
      <c r="BT126" s="473"/>
      <c r="BU126" s="473"/>
      <c r="BV126" s="473"/>
      <c r="BW126" s="473"/>
      <c r="BX126" s="473"/>
      <c r="BY126" s="473"/>
      <c r="BZ126" s="473"/>
      <c r="CA126" s="473"/>
      <c r="CB126" s="473"/>
      <c r="CC126" s="473"/>
      <c r="CD126" s="473"/>
      <c r="CE126" s="473"/>
      <c r="CF126" s="473"/>
      <c r="CG126" s="473"/>
      <c r="CH126" s="473"/>
      <c r="CI126" s="473"/>
      <c r="CJ126" s="473"/>
      <c r="CK126" s="473"/>
      <c r="CL126" s="473"/>
      <c r="CM126" s="473"/>
      <c r="CN126" s="473"/>
      <c r="CO126" s="473"/>
      <c r="CP126" s="473"/>
      <c r="CQ126" s="473"/>
      <c r="CR126" s="473"/>
      <c r="CS126" s="473"/>
      <c r="CT126" s="473"/>
      <c r="CU126" s="473"/>
      <c r="CV126" s="473"/>
      <c r="CW126" s="473"/>
      <c r="CX126" s="473"/>
      <c r="CY126" s="473"/>
      <c r="CZ126" s="473"/>
      <c r="DA126" s="473"/>
      <c r="DB126" s="473"/>
      <c r="DC126" s="473"/>
      <c r="DD126" s="473"/>
      <c r="DE126" s="473"/>
      <c r="DF126" s="473"/>
      <c r="DG126" s="473"/>
      <c r="DH126" s="473"/>
      <c r="DI126" s="473"/>
      <c r="DJ126" s="473"/>
      <c r="DK126" s="473"/>
      <c r="DL126" s="473"/>
      <c r="DM126" s="473"/>
      <c r="DN126" s="473"/>
      <c r="DO126" s="473"/>
      <c r="DP126" s="473"/>
      <c r="DQ126" s="473"/>
      <c r="DR126" s="473"/>
      <c r="DS126" s="473"/>
      <c r="DT126" s="473"/>
      <c r="DU126" s="473"/>
      <c r="DV126" s="473"/>
      <c r="DW126" s="473"/>
      <c r="DX126" s="473"/>
      <c r="DY126" s="473"/>
      <c r="DZ126" s="473"/>
      <c r="EA126" s="473"/>
      <c r="EB126" s="473"/>
      <c r="EC126" s="473"/>
      <c r="ED126" s="473"/>
      <c r="EE126" s="473"/>
      <c r="EF126" s="473"/>
      <c r="EG126" s="473"/>
      <c r="EH126" s="473"/>
      <c r="EI126" s="473"/>
      <c r="EJ126" s="473"/>
      <c r="EK126" s="473"/>
      <c r="EL126" s="473"/>
      <c r="EM126" s="473"/>
      <c r="EN126" s="473"/>
      <c r="EO126" s="473"/>
      <c r="EP126" s="473"/>
      <c r="EQ126" s="473"/>
      <c r="ER126" s="473"/>
      <c r="ES126" s="473"/>
      <c r="ET126" s="473"/>
      <c r="EU126" s="473"/>
      <c r="EV126" s="473"/>
      <c r="EW126" s="473"/>
      <c r="EX126" s="473"/>
      <c r="EY126" s="473"/>
      <c r="EZ126" s="473"/>
      <c r="FA126" s="473"/>
      <c r="FB126" s="473"/>
      <c r="FC126" s="473"/>
      <c r="FD126" s="473"/>
      <c r="FE126" s="473"/>
      <c r="FF126" s="473"/>
      <c r="FG126" s="473"/>
      <c r="FH126" s="473"/>
      <c r="FI126" s="473"/>
      <c r="FJ126" s="473"/>
      <c r="FK126" s="473"/>
      <c r="FL126" s="473"/>
      <c r="FM126" s="473"/>
      <c r="FN126" s="473"/>
      <c r="FO126" s="473"/>
      <c r="FP126" s="473"/>
      <c r="FQ126" s="473"/>
      <c r="FR126" s="473"/>
      <c r="FS126" s="473"/>
      <c r="FT126" s="473"/>
      <c r="FU126" s="473"/>
      <c r="FV126" s="473"/>
      <c r="FW126" s="473"/>
      <c r="FX126" s="473"/>
      <c r="FY126" s="473"/>
      <c r="FZ126" s="473"/>
      <c r="GA126" s="473"/>
      <c r="GB126" s="473"/>
      <c r="GC126" s="473"/>
      <c r="GD126" s="473"/>
      <c r="GE126" s="473"/>
      <c r="GF126" s="473"/>
      <c r="GG126" s="473"/>
      <c r="GH126" s="473"/>
      <c r="GI126" s="473"/>
      <c r="GJ126" s="473"/>
      <c r="GK126" s="473"/>
      <c r="GL126" s="473"/>
      <c r="GM126" s="473"/>
      <c r="GN126" s="473"/>
      <c r="GO126" s="473"/>
      <c r="GP126" s="473"/>
      <c r="GQ126" s="473"/>
      <c r="GR126" s="473"/>
      <c r="GS126" s="473"/>
      <c r="GT126" s="473"/>
      <c r="GU126" s="473"/>
      <c r="GV126" s="473"/>
      <c r="GW126" s="473"/>
      <c r="GX126" s="473"/>
      <c r="GY126" s="473"/>
      <c r="GZ126" s="473"/>
      <c r="HA126" s="473"/>
      <c r="HB126" s="473"/>
      <c r="HC126" s="473"/>
      <c r="HD126" s="473"/>
      <c r="HE126" s="473"/>
      <c r="HF126" s="473"/>
      <c r="HG126" s="473"/>
      <c r="HH126" s="473"/>
      <c r="HI126" s="473"/>
      <c r="HJ126" s="473"/>
      <c r="HK126" s="473"/>
      <c r="HL126" s="473"/>
      <c r="HM126" s="473"/>
      <c r="HN126" s="473"/>
      <c r="HO126" s="473"/>
      <c r="HP126" s="473"/>
      <c r="HQ126" s="473"/>
      <c r="HR126" s="473"/>
      <c r="HS126" s="473"/>
      <c r="HT126" s="473"/>
      <c r="HU126" s="473"/>
      <c r="HV126" s="473"/>
      <c r="HW126" s="473"/>
      <c r="HX126" s="473"/>
      <c r="HY126" s="473"/>
      <c r="HZ126" s="473"/>
      <c r="IA126" s="473"/>
      <c r="IB126" s="473"/>
      <c r="IC126" s="473"/>
      <c r="ID126" s="473"/>
      <c r="IE126" s="473"/>
      <c r="IF126" s="473"/>
      <c r="IG126" s="473"/>
      <c r="IH126" s="473"/>
      <c r="II126" s="473"/>
      <c r="IJ126" s="473"/>
      <c r="IK126" s="473"/>
      <c r="IL126" s="473"/>
      <c r="IM126" s="473"/>
      <c r="IN126" s="473"/>
      <c r="IO126" s="473"/>
      <c r="IP126" s="473"/>
      <c r="IQ126" s="473"/>
      <c r="IR126" s="473"/>
      <c r="IS126" s="473"/>
      <c r="IT126" s="473"/>
      <c r="IU126" s="473"/>
      <c r="IV126" s="473"/>
      <c r="IW126" s="473"/>
    </row>
    <row r="127" customFormat="false" ht="12.6" hidden="false" customHeight="true" outlineLevel="0" collapsed="false">
      <c r="A127" s="473"/>
      <c r="B127" s="473"/>
      <c r="C127" s="473"/>
      <c r="AD127" s="473"/>
      <c r="AE127" s="473"/>
      <c r="AF127" s="473"/>
      <c r="AG127" s="473"/>
      <c r="AH127" s="473"/>
      <c r="AI127" s="473"/>
      <c r="AJ127" s="473"/>
      <c r="AK127" s="473"/>
      <c r="AL127" s="473"/>
      <c r="AM127" s="473"/>
      <c r="AN127" s="473"/>
      <c r="AO127" s="473"/>
      <c r="AP127" s="473"/>
      <c r="AQ127" s="473"/>
      <c r="AR127" s="473"/>
      <c r="AS127" s="473"/>
      <c r="AT127" s="473"/>
      <c r="AU127" s="473"/>
      <c r="AV127" s="473"/>
      <c r="AW127" s="473"/>
      <c r="AX127" s="473"/>
      <c r="AY127" s="473"/>
      <c r="AZ127" s="473"/>
      <c r="BA127" s="473"/>
      <c r="BB127" s="473"/>
      <c r="BC127" s="473"/>
      <c r="BD127" s="473"/>
      <c r="BE127" s="473"/>
      <c r="BF127" s="473"/>
      <c r="BG127" s="473"/>
      <c r="BH127" s="473"/>
      <c r="BI127" s="473"/>
      <c r="BJ127" s="473"/>
      <c r="BK127" s="473"/>
      <c r="BL127" s="473"/>
      <c r="BM127" s="473"/>
      <c r="BN127" s="473"/>
      <c r="BO127" s="473"/>
      <c r="BP127" s="473"/>
      <c r="BQ127" s="473"/>
      <c r="BR127" s="473"/>
      <c r="BS127" s="473"/>
      <c r="BT127" s="473"/>
      <c r="BU127" s="473"/>
      <c r="BV127" s="473"/>
      <c r="BW127" s="473"/>
      <c r="BX127" s="473"/>
      <c r="BY127" s="473"/>
      <c r="BZ127" s="473"/>
      <c r="CA127" s="473"/>
      <c r="CB127" s="473"/>
      <c r="CC127" s="473"/>
      <c r="CD127" s="473"/>
      <c r="CE127" s="473"/>
      <c r="CF127" s="473"/>
      <c r="CG127" s="473"/>
      <c r="CH127" s="473"/>
      <c r="CI127" s="473"/>
      <c r="CJ127" s="473"/>
      <c r="CK127" s="473"/>
      <c r="CL127" s="473"/>
      <c r="CM127" s="473"/>
      <c r="CN127" s="473"/>
      <c r="CO127" s="473"/>
      <c r="CP127" s="473"/>
      <c r="CQ127" s="473"/>
      <c r="CR127" s="473"/>
      <c r="CS127" s="473"/>
      <c r="CT127" s="473"/>
      <c r="CU127" s="473"/>
      <c r="CV127" s="473"/>
      <c r="CW127" s="473"/>
      <c r="CX127" s="473"/>
      <c r="CY127" s="473"/>
      <c r="CZ127" s="473"/>
      <c r="DA127" s="473"/>
      <c r="DB127" s="473"/>
      <c r="DC127" s="473"/>
      <c r="DD127" s="473"/>
      <c r="DE127" s="473"/>
      <c r="DF127" s="473"/>
      <c r="DG127" s="473"/>
      <c r="DH127" s="473"/>
      <c r="DI127" s="473"/>
      <c r="DJ127" s="473"/>
      <c r="DK127" s="473"/>
      <c r="DL127" s="473"/>
      <c r="DM127" s="473"/>
      <c r="DN127" s="473"/>
      <c r="DO127" s="473"/>
      <c r="DP127" s="473"/>
      <c r="DQ127" s="473"/>
      <c r="DR127" s="473"/>
      <c r="DS127" s="473"/>
      <c r="DT127" s="473"/>
      <c r="DU127" s="473"/>
      <c r="DV127" s="473"/>
      <c r="DW127" s="473"/>
      <c r="DX127" s="473"/>
      <c r="DY127" s="473"/>
      <c r="DZ127" s="473"/>
      <c r="EA127" s="473"/>
      <c r="EB127" s="473"/>
      <c r="EC127" s="473"/>
      <c r="ED127" s="473"/>
      <c r="EE127" s="473"/>
      <c r="EF127" s="473"/>
      <c r="EG127" s="473"/>
      <c r="EH127" s="473"/>
      <c r="EI127" s="473"/>
      <c r="EJ127" s="473"/>
      <c r="EK127" s="473"/>
      <c r="EL127" s="473"/>
      <c r="EM127" s="473"/>
      <c r="EN127" s="473"/>
      <c r="EO127" s="473"/>
      <c r="EP127" s="473"/>
      <c r="EQ127" s="473"/>
      <c r="ER127" s="473"/>
      <c r="ES127" s="473"/>
      <c r="ET127" s="473"/>
      <c r="EU127" s="473"/>
      <c r="EV127" s="473"/>
      <c r="EW127" s="473"/>
      <c r="EX127" s="473"/>
      <c r="EY127" s="473"/>
      <c r="EZ127" s="473"/>
      <c r="FA127" s="473"/>
      <c r="FB127" s="473"/>
      <c r="FC127" s="473"/>
      <c r="FD127" s="473"/>
      <c r="FE127" s="473"/>
      <c r="FF127" s="473"/>
      <c r="FG127" s="473"/>
      <c r="FH127" s="473"/>
      <c r="FI127" s="473"/>
      <c r="FJ127" s="473"/>
      <c r="FK127" s="473"/>
      <c r="FL127" s="473"/>
      <c r="FM127" s="473"/>
      <c r="FN127" s="473"/>
      <c r="FO127" s="473"/>
      <c r="FP127" s="473"/>
      <c r="FQ127" s="473"/>
      <c r="FR127" s="473"/>
      <c r="FS127" s="473"/>
      <c r="FT127" s="473"/>
      <c r="FU127" s="473"/>
      <c r="FV127" s="473"/>
      <c r="FW127" s="473"/>
      <c r="FX127" s="473"/>
      <c r="FY127" s="473"/>
      <c r="FZ127" s="473"/>
      <c r="GA127" s="473"/>
      <c r="GB127" s="473"/>
      <c r="GC127" s="473"/>
      <c r="GD127" s="473"/>
      <c r="GE127" s="473"/>
      <c r="GF127" s="473"/>
      <c r="GG127" s="473"/>
      <c r="GH127" s="473"/>
      <c r="GI127" s="473"/>
      <c r="GJ127" s="473"/>
      <c r="GK127" s="473"/>
      <c r="GL127" s="473"/>
      <c r="GM127" s="473"/>
      <c r="GN127" s="473"/>
      <c r="GO127" s="473"/>
      <c r="GP127" s="473"/>
      <c r="GQ127" s="473"/>
      <c r="GR127" s="473"/>
      <c r="GS127" s="473"/>
      <c r="GT127" s="473"/>
      <c r="GU127" s="473"/>
      <c r="GV127" s="473"/>
      <c r="GW127" s="473"/>
      <c r="GX127" s="473"/>
      <c r="GY127" s="473"/>
      <c r="GZ127" s="473"/>
      <c r="HA127" s="473"/>
      <c r="HB127" s="473"/>
      <c r="HC127" s="473"/>
      <c r="HD127" s="473"/>
      <c r="HE127" s="473"/>
      <c r="HF127" s="473"/>
      <c r="HG127" s="473"/>
      <c r="HH127" s="473"/>
      <c r="HI127" s="473"/>
      <c r="HJ127" s="473"/>
      <c r="HK127" s="473"/>
      <c r="HL127" s="473"/>
      <c r="HM127" s="473"/>
      <c r="HN127" s="473"/>
      <c r="HO127" s="473"/>
      <c r="HP127" s="473"/>
      <c r="HQ127" s="473"/>
      <c r="HR127" s="473"/>
      <c r="HS127" s="473"/>
      <c r="HT127" s="473"/>
      <c r="HU127" s="473"/>
      <c r="HV127" s="473"/>
      <c r="HW127" s="473"/>
      <c r="HX127" s="473"/>
      <c r="HY127" s="473"/>
      <c r="HZ127" s="473"/>
      <c r="IA127" s="473"/>
      <c r="IB127" s="473"/>
      <c r="IC127" s="473"/>
      <c r="ID127" s="473"/>
      <c r="IE127" s="473"/>
      <c r="IF127" s="473"/>
      <c r="IG127" s="473"/>
      <c r="IH127" s="473"/>
      <c r="II127" s="473"/>
      <c r="IJ127" s="473"/>
      <c r="IK127" s="473"/>
      <c r="IL127" s="473"/>
      <c r="IM127" s="473"/>
      <c r="IN127" s="473"/>
      <c r="IO127" s="473"/>
      <c r="IP127" s="473"/>
      <c r="IQ127" s="473"/>
      <c r="IR127" s="473"/>
      <c r="IS127" s="473"/>
      <c r="IT127" s="473"/>
      <c r="IU127" s="473"/>
      <c r="IV127" s="473"/>
      <c r="IW127" s="473"/>
    </row>
    <row r="128" customFormat="false" ht="12.6" hidden="false" customHeight="true" outlineLevel="0" collapsed="false"/>
    <row r="129" customFormat="false" ht="12.6" hidden="false" customHeight="true" outlineLevel="0" collapsed="false"/>
    <row r="130" customFormat="false" ht="12.6" hidden="false" customHeight="true" outlineLevel="0" collapsed="false"/>
    <row r="131" customFormat="false" ht="12.6" hidden="false" customHeight="true" outlineLevel="0" collapsed="false"/>
    <row r="132" customFormat="false" ht="12.6" hidden="false" customHeight="true" outlineLevel="0" collapsed="false"/>
    <row r="133" customFormat="false" ht="12.6" hidden="false" customHeight="true" outlineLevel="0" collapsed="false"/>
    <row r="134" customFormat="false" ht="12.6" hidden="false" customHeight="true" outlineLevel="0" collapsed="false"/>
    <row r="135" customFormat="false" ht="12.6" hidden="false" customHeight="true" outlineLevel="0" collapsed="false"/>
    <row r="136" customFormat="false" ht="12.6" hidden="false" customHeight="true" outlineLevel="0" collapsed="false"/>
    <row r="137" customFormat="false" ht="12.6" hidden="false" customHeight="true" outlineLevel="0" collapsed="false"/>
    <row r="138" customFormat="false" ht="12.6" hidden="false" customHeight="true" outlineLevel="0" collapsed="false"/>
    <row r="139" customFormat="false" ht="12.6" hidden="false" customHeight="true" outlineLevel="0" collapsed="false"/>
    <row r="140" customFormat="false" ht="12.6" hidden="false" customHeight="true" outlineLevel="0" collapsed="false"/>
    <row r="141" customFormat="false" ht="12.6" hidden="false" customHeight="true" outlineLevel="0" collapsed="false"/>
    <row r="142" customFormat="false" ht="12.6" hidden="false" customHeight="true" outlineLevel="0" collapsed="false"/>
    <row r="143" customFormat="false" ht="12.6" hidden="false" customHeight="true" outlineLevel="0" collapsed="false"/>
    <row r="144" customFormat="false" ht="12.6" hidden="false" customHeight="true" outlineLevel="0" collapsed="false"/>
    <row r="145" customFormat="false" ht="12.6" hidden="false" customHeight="true" outlineLevel="0" collapsed="false"/>
    <row r="146" customFormat="false" ht="12.6" hidden="false" customHeight="true" outlineLevel="0" collapsed="false"/>
    <row r="147" customFormat="false" ht="12.6" hidden="false" customHeight="true" outlineLevel="0" collapsed="false"/>
    <row r="148" customFormat="false" ht="12.6" hidden="false" customHeight="true" outlineLevel="0" collapsed="false"/>
    <row r="149" customFormat="false" ht="12.6" hidden="false" customHeight="true" outlineLevel="0" collapsed="false"/>
    <row r="150" customFormat="false" ht="12.6" hidden="false" customHeight="true" outlineLevel="0" collapsed="false"/>
    <row r="151" customFormat="false" ht="12.6" hidden="false" customHeight="true" outlineLevel="0" collapsed="false"/>
    <row r="152" customFormat="false" ht="12.6" hidden="false" customHeight="true" outlineLevel="0" collapsed="false"/>
    <row r="153" customFormat="false" ht="12.6" hidden="false" customHeight="true" outlineLevel="0" collapsed="false"/>
    <row r="154" customFormat="false" ht="12.6" hidden="false" customHeight="true" outlineLevel="0" collapsed="false"/>
    <row r="155" customFormat="false" ht="12.6" hidden="false" customHeight="true" outlineLevel="0" collapsed="false"/>
    <row r="156" customFormat="false" ht="12.6" hidden="false" customHeight="true" outlineLevel="0" collapsed="false"/>
    <row r="157" customFormat="false" ht="12.6" hidden="false" customHeight="true" outlineLevel="0" collapsed="false"/>
    <row r="158" customFormat="false" ht="12.6" hidden="false" customHeight="true" outlineLevel="0" collapsed="false"/>
    <row r="159" customFormat="false" ht="12.6" hidden="false" customHeight="true" outlineLevel="0" collapsed="false"/>
    <row r="160" customFormat="false" ht="12.6" hidden="false" customHeight="true" outlineLevel="0" collapsed="false"/>
    <row r="161" customFormat="false" ht="12.6" hidden="false" customHeight="true" outlineLevel="0" collapsed="false"/>
    <row r="162" customFormat="false" ht="12.6" hidden="false" customHeight="true" outlineLevel="0" collapsed="false"/>
    <row r="163" customFormat="false" ht="12.6" hidden="false" customHeight="true" outlineLevel="0" collapsed="false"/>
    <row r="164" customFormat="false" ht="12.6" hidden="false" customHeight="true" outlineLevel="0" collapsed="false"/>
    <row r="165" customFormat="false" ht="12.6" hidden="false" customHeight="true" outlineLevel="0" collapsed="false"/>
    <row r="166" customFormat="false" ht="12.6" hidden="false" customHeight="true" outlineLevel="0" collapsed="false"/>
    <row r="167" customFormat="false" ht="12.6" hidden="false" customHeight="true" outlineLevel="0" collapsed="false"/>
    <row r="168" customFormat="false" ht="12.6" hidden="false" customHeight="true" outlineLevel="0" collapsed="false"/>
    <row r="169" customFormat="false" ht="12.6" hidden="false" customHeight="true" outlineLevel="0" collapsed="false"/>
    <row r="170" customFormat="false" ht="12.6" hidden="false" customHeight="true" outlineLevel="0" collapsed="false"/>
    <row r="171" customFormat="false" ht="12.6" hidden="false" customHeight="true" outlineLevel="0" collapsed="false"/>
    <row r="172" customFormat="false" ht="12.6" hidden="false" customHeight="true" outlineLevel="0" collapsed="false"/>
    <row r="173" customFormat="false" ht="12.6" hidden="false" customHeight="true" outlineLevel="0" collapsed="false"/>
    <row r="174" customFormat="false" ht="12.6" hidden="false" customHeight="true" outlineLevel="0" collapsed="false"/>
    <row r="175" customFormat="false" ht="12.6" hidden="false" customHeight="true" outlineLevel="0" collapsed="false"/>
    <row r="176" customFormat="false" ht="12.6" hidden="false" customHeight="true" outlineLevel="0" collapsed="false"/>
    <row r="177" customFormat="false" ht="12.6" hidden="false" customHeight="true" outlineLevel="0" collapsed="false"/>
    <row r="178" customFormat="false" ht="12.6" hidden="false" customHeight="true" outlineLevel="0" collapsed="false"/>
    <row r="179" customFormat="false" ht="12.6" hidden="false" customHeight="true" outlineLevel="0" collapsed="false"/>
    <row r="180" customFormat="false" ht="12.6" hidden="false" customHeight="true" outlineLevel="0" collapsed="false"/>
    <row r="181" customFormat="false" ht="12.6" hidden="false" customHeight="true" outlineLevel="0" collapsed="false"/>
    <row r="182" customFormat="false" ht="12.6" hidden="false" customHeight="true" outlineLevel="0" collapsed="false"/>
    <row r="183" customFormat="false" ht="12.6" hidden="false" customHeight="true" outlineLevel="0" collapsed="false"/>
    <row r="184" customFormat="false" ht="12.6" hidden="false" customHeight="true" outlineLevel="0" collapsed="false"/>
    <row r="185" customFormat="false" ht="12.6" hidden="false" customHeight="true" outlineLevel="0" collapsed="false"/>
    <row r="186" customFormat="false" ht="12.6" hidden="false" customHeight="true" outlineLevel="0" collapsed="false"/>
    <row r="187" customFormat="false" ht="12.6" hidden="false" customHeight="true" outlineLevel="0" collapsed="false"/>
    <row r="188" customFormat="false" ht="12.6" hidden="false" customHeight="true" outlineLevel="0" collapsed="false"/>
    <row r="189" customFormat="false" ht="12.6" hidden="false" customHeight="true" outlineLevel="0" collapsed="false"/>
    <row r="190" customFormat="false" ht="12.6" hidden="false" customHeight="true" outlineLevel="0" collapsed="false"/>
    <row r="191" customFormat="false" ht="12.6" hidden="false" customHeight="true" outlineLevel="0" collapsed="false"/>
    <row r="192" customFormat="false" ht="12.6" hidden="false" customHeight="true" outlineLevel="0" collapsed="false"/>
    <row r="193" customFormat="false" ht="12.6" hidden="false" customHeight="true" outlineLevel="0" collapsed="false"/>
    <row r="194" customFormat="false" ht="12.6" hidden="false" customHeight="true" outlineLevel="0" collapsed="false"/>
    <row r="195" customFormat="false" ht="12.6" hidden="false" customHeight="true" outlineLevel="0" collapsed="false"/>
    <row r="196" customFormat="false" ht="12.6" hidden="false" customHeight="true" outlineLevel="0" collapsed="false"/>
    <row r="197" customFormat="false" ht="12.6" hidden="false" customHeight="true" outlineLevel="0" collapsed="false"/>
    <row r="198" customFormat="false" ht="12.6" hidden="false" customHeight="true" outlineLevel="0" collapsed="false"/>
    <row r="199" customFormat="false" ht="12.6" hidden="false" customHeight="true" outlineLevel="0" collapsed="false"/>
    <row r="200" customFormat="false" ht="12.6" hidden="false" customHeight="true" outlineLevel="0" collapsed="false"/>
    <row r="201" customFormat="false" ht="12.6" hidden="false" customHeight="true" outlineLevel="0" collapsed="false"/>
    <row r="202" customFormat="false" ht="12.6" hidden="false" customHeight="true" outlineLevel="0" collapsed="false"/>
    <row r="203" customFormat="false" ht="12.6" hidden="false" customHeight="true" outlineLevel="0" collapsed="false"/>
    <row r="204" customFormat="false" ht="12.6" hidden="false" customHeight="true" outlineLevel="0" collapsed="false"/>
    <row r="205" customFormat="false" ht="12.6" hidden="false" customHeight="true" outlineLevel="0" collapsed="false"/>
    <row r="206" customFormat="false" ht="12.6" hidden="false" customHeight="true" outlineLevel="0" collapsed="false"/>
    <row r="207" customFormat="false" ht="12.6" hidden="false" customHeight="true" outlineLevel="0" collapsed="false"/>
    <row r="208" customFormat="false" ht="12.6" hidden="false" customHeight="true" outlineLevel="0" collapsed="false"/>
    <row r="209" customFormat="false" ht="12.6" hidden="false" customHeight="true" outlineLevel="0" collapsed="false"/>
    <row r="210" customFormat="false" ht="12.6" hidden="false" customHeight="true" outlineLevel="0" collapsed="false"/>
    <row r="211" customFormat="false" ht="12.6" hidden="false" customHeight="true" outlineLevel="0" collapsed="false"/>
    <row r="212" customFormat="false" ht="12.6" hidden="false" customHeight="true" outlineLevel="0" collapsed="false"/>
    <row r="213" customFormat="false" ht="12.6" hidden="false" customHeight="true" outlineLevel="0" collapsed="false"/>
    <row r="214" customFormat="false" ht="12.6" hidden="false" customHeight="true" outlineLevel="0" collapsed="false"/>
    <row r="215" customFormat="false" ht="12.6" hidden="false" customHeight="true" outlineLevel="0" collapsed="false"/>
    <row r="216" customFormat="false" ht="12.6" hidden="false" customHeight="true" outlineLevel="0" collapsed="false"/>
    <row r="217" customFormat="false" ht="12.6" hidden="false" customHeight="true" outlineLevel="0" collapsed="false"/>
    <row r="218" customFormat="false" ht="12.6" hidden="false" customHeight="true" outlineLevel="0" collapsed="false"/>
    <row r="219" customFormat="false" ht="12.6" hidden="false" customHeight="true" outlineLevel="0" collapsed="false"/>
    <row r="220" customFormat="false" ht="12.6" hidden="false" customHeight="true" outlineLevel="0" collapsed="false"/>
    <row r="221" customFormat="false" ht="12.6" hidden="false" customHeight="true" outlineLevel="0" collapsed="false"/>
    <row r="222" customFormat="false" ht="12.6" hidden="false" customHeight="true" outlineLevel="0" collapsed="false"/>
    <row r="223" customFormat="false" ht="12.6" hidden="false" customHeight="true" outlineLevel="0" collapsed="false"/>
    <row r="224" customFormat="false" ht="12.6" hidden="false" customHeight="true" outlineLevel="0" collapsed="false"/>
    <row r="225" customFormat="false" ht="12.6" hidden="false" customHeight="true" outlineLevel="0" collapsed="false"/>
    <row r="226" customFormat="false" ht="12.6" hidden="false" customHeight="true" outlineLevel="0" collapsed="false"/>
    <row r="227" customFormat="false" ht="12.6" hidden="false" customHeight="true" outlineLevel="0" collapsed="false"/>
    <row r="228" customFormat="false" ht="12.6" hidden="false" customHeight="true" outlineLevel="0" collapsed="false"/>
    <row r="229" customFormat="false" ht="12.6" hidden="false" customHeight="true" outlineLevel="0" collapsed="false"/>
    <row r="230" customFormat="false" ht="12.6" hidden="false" customHeight="true" outlineLevel="0" collapsed="false"/>
    <row r="231" customFormat="false" ht="12.6" hidden="false" customHeight="true" outlineLevel="0" collapsed="false"/>
    <row r="232" customFormat="false" ht="12.6" hidden="false" customHeight="true" outlineLevel="0" collapsed="false"/>
    <row r="233" customFormat="false" ht="12.6" hidden="false" customHeight="true" outlineLevel="0" collapsed="false"/>
    <row r="234" customFormat="false" ht="12.6" hidden="false" customHeight="true" outlineLevel="0" collapsed="false"/>
    <row r="235" customFormat="false" ht="12.6" hidden="false" customHeight="true" outlineLevel="0" collapsed="false"/>
    <row r="236" customFormat="false" ht="12.6" hidden="false" customHeight="true" outlineLevel="0" collapsed="false"/>
    <row r="237" customFormat="false" ht="12.6" hidden="false" customHeight="true" outlineLevel="0" collapsed="false"/>
    <row r="238" customFormat="false" ht="12.6" hidden="false" customHeight="true" outlineLevel="0" collapsed="false"/>
    <row r="239" customFormat="false" ht="12.6" hidden="false" customHeight="true" outlineLevel="0" collapsed="false"/>
    <row r="240" customFormat="false" ht="12.6" hidden="false" customHeight="true" outlineLevel="0" collapsed="false"/>
    <row r="241" customFormat="false" ht="12.6" hidden="false" customHeight="true" outlineLevel="0" collapsed="false"/>
    <row r="242" customFormat="false" ht="12.6" hidden="false" customHeight="true" outlineLevel="0" collapsed="false"/>
    <row r="243" customFormat="false" ht="12.6" hidden="false" customHeight="true" outlineLevel="0" collapsed="false"/>
    <row r="244" customFormat="false" ht="12.6" hidden="false" customHeight="true" outlineLevel="0" collapsed="false"/>
    <row r="245" customFormat="false" ht="12.6" hidden="false" customHeight="true" outlineLevel="0" collapsed="false"/>
    <row r="246" customFormat="false" ht="12.6" hidden="false" customHeight="true" outlineLevel="0" collapsed="false"/>
    <row r="247" customFormat="false" ht="12.6" hidden="false" customHeight="true" outlineLevel="0" collapsed="false"/>
    <row r="248" customFormat="false" ht="12.6" hidden="false" customHeight="true" outlineLevel="0" collapsed="false"/>
    <row r="249" customFormat="false" ht="12.6" hidden="false" customHeight="true" outlineLevel="0" collapsed="false"/>
    <row r="250" customFormat="false" ht="12.6" hidden="false" customHeight="true" outlineLevel="0" collapsed="false"/>
    <row r="251" customFormat="false" ht="12.6" hidden="false" customHeight="true" outlineLevel="0" collapsed="false"/>
    <row r="252" customFormat="false" ht="12.6" hidden="false" customHeight="true" outlineLevel="0" collapsed="false"/>
    <row r="253" customFormat="false" ht="12.6" hidden="false" customHeight="true" outlineLevel="0" collapsed="false"/>
    <row r="254" customFormat="false" ht="12.6" hidden="false" customHeight="true" outlineLevel="0" collapsed="false"/>
    <row r="255" customFormat="false" ht="12.6" hidden="false" customHeight="true" outlineLevel="0" collapsed="false"/>
    <row r="256" customFormat="false" ht="12.6" hidden="false" customHeight="true" outlineLevel="0" collapsed="false"/>
    <row r="257" customFormat="false" ht="12.6" hidden="false" customHeight="true" outlineLevel="0" collapsed="false"/>
    <row r="258" customFormat="false" ht="12.6" hidden="false" customHeight="true" outlineLevel="0" collapsed="false"/>
    <row r="259" customFormat="false" ht="12.6" hidden="false" customHeight="true" outlineLevel="0" collapsed="false"/>
    <row r="260" customFormat="false" ht="12.6" hidden="false" customHeight="true" outlineLevel="0" collapsed="false"/>
    <row r="261" customFormat="false" ht="12.6" hidden="false" customHeight="true" outlineLevel="0" collapsed="false"/>
    <row r="262" customFormat="false" ht="12.6" hidden="false" customHeight="true" outlineLevel="0" collapsed="false"/>
    <row r="263" customFormat="false" ht="12.6" hidden="false" customHeight="true" outlineLevel="0" collapsed="false"/>
    <row r="264" customFormat="false" ht="12.6" hidden="false" customHeight="true" outlineLevel="0" collapsed="false"/>
    <row r="265" customFormat="false" ht="12.6" hidden="false" customHeight="true" outlineLevel="0" collapsed="false"/>
    <row r="266" customFormat="false" ht="12.6" hidden="false" customHeight="true" outlineLevel="0" collapsed="false"/>
    <row r="267" customFormat="false" ht="12.6" hidden="false" customHeight="true" outlineLevel="0" collapsed="false"/>
    <row r="268" customFormat="false" ht="12.6" hidden="false" customHeight="true" outlineLevel="0" collapsed="false"/>
    <row r="269" customFormat="false" ht="12.6" hidden="false" customHeight="true" outlineLevel="0" collapsed="false"/>
    <row r="270" customFormat="false" ht="12.6" hidden="false" customHeight="true" outlineLevel="0" collapsed="false"/>
    <row r="271" customFormat="false" ht="12.6" hidden="false" customHeight="true" outlineLevel="0" collapsed="false"/>
    <row r="272" customFormat="false" ht="12.6" hidden="false" customHeight="true" outlineLevel="0" collapsed="false"/>
    <row r="273" customFormat="false" ht="12.6" hidden="false" customHeight="true" outlineLevel="0" collapsed="false"/>
    <row r="274" customFormat="false" ht="12.6" hidden="false" customHeight="true" outlineLevel="0" collapsed="false"/>
    <row r="275" customFormat="false" ht="12.6" hidden="false" customHeight="true" outlineLevel="0" collapsed="false"/>
    <row r="276" customFormat="false" ht="12.6" hidden="false" customHeight="true" outlineLevel="0" collapsed="false"/>
    <row r="277" customFormat="false" ht="12.6" hidden="false" customHeight="true" outlineLevel="0" collapsed="false"/>
    <row r="278" customFormat="false" ht="12.6" hidden="false" customHeight="true" outlineLevel="0" collapsed="false"/>
    <row r="279" customFormat="false" ht="12.6" hidden="false" customHeight="true" outlineLevel="0" collapsed="false"/>
    <row r="280" customFormat="false" ht="12.6" hidden="false" customHeight="true" outlineLevel="0" collapsed="false"/>
    <row r="281"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rowBreaks count="1" manualBreakCount="1">
    <brk id="62" man="true" max="16383" min="0"/>
  </rowBreaks>
  <colBreaks count="4" manualBreakCount="4">
    <brk id="16" man="true" max="65535" min="0"/>
    <brk id="29" man="true" max="65535" min="0"/>
    <brk id="46" man="true" max="65535" min="0"/>
    <brk id="63" man="true" max="65535" min="0"/>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79"/>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357" width="40.99"/>
    <col collapsed="false" customWidth="true" hidden="false" outlineLevel="0" max="2" min="2" style="357" width="11.42"/>
    <col collapsed="false" customWidth="true" hidden="false" outlineLevel="0" max="27" min="3" style="357" width="10.28"/>
    <col collapsed="false" customWidth="false" hidden="false" outlineLevel="0" max="257" min="28" style="357" width="9.14"/>
  </cols>
  <sheetData>
    <row r="1" customFormat="false" ht="20.25" hidden="false" customHeight="false" outlineLevel="0" collapsed="false">
      <c r="A1" s="358" t="str">
        <f aca="false">'Project Assumptions'!$A$2</f>
        <v>WILTON CENTER, Will County, IL</v>
      </c>
      <c r="B1" s="360"/>
    </row>
    <row r="2" customFormat="false" ht="12.75" hidden="false" customHeight="false" outlineLevel="0" collapsed="false">
      <c r="A2" s="362" t="s">
        <v>467</v>
      </c>
      <c r="B2" s="364"/>
    </row>
    <row r="3" customFormat="false" ht="12.6" hidden="false" customHeight="true" outlineLevel="0" collapsed="false">
      <c r="A3" s="472"/>
      <c r="C3" s="473" t="n">
        <f aca="false">'Book Income Statement'!D4</f>
        <v>1</v>
      </c>
      <c r="D3" s="473" t="n">
        <f aca="false">'Book Income Statement'!E4</f>
        <v>2</v>
      </c>
      <c r="E3" s="473" t="n">
        <f aca="false">'Book Income Statement'!F4</f>
        <v>3</v>
      </c>
      <c r="F3" s="473" t="n">
        <f aca="false">'Book Income Statement'!G4</f>
        <v>4</v>
      </c>
      <c r="G3" s="473" t="n">
        <f aca="false">'Book Income Statement'!H4</f>
        <v>5</v>
      </c>
      <c r="H3" s="473" t="n">
        <f aca="false">'Book Income Statement'!I4</f>
        <v>6</v>
      </c>
      <c r="I3" s="474" t="n">
        <f aca="false">'Book Income Statement'!J4</f>
        <v>7</v>
      </c>
      <c r="J3" s="473" t="n">
        <f aca="false">'Book Income Statement'!K4</f>
        <v>8</v>
      </c>
      <c r="K3" s="473" t="n">
        <f aca="false">'Book Income Statement'!L4</f>
        <v>9</v>
      </c>
      <c r="L3" s="473" t="n">
        <f aca="false">'Book Income Statement'!M4</f>
        <v>10</v>
      </c>
      <c r="M3" s="473" t="n">
        <f aca="false">'Book Income Statement'!N4</f>
        <v>11</v>
      </c>
      <c r="N3" s="473" t="n">
        <f aca="false">'Book Income Statement'!O4</f>
        <v>12</v>
      </c>
      <c r="O3" s="474" t="n">
        <f aca="false">'Book Income Statement'!P4</f>
        <v>13</v>
      </c>
      <c r="P3" s="473" t="n">
        <f aca="false">'Book Income Statement'!Q4</f>
        <v>14</v>
      </c>
      <c r="Q3" s="473" t="n">
        <f aca="false">'Book Income Statement'!R4</f>
        <v>15</v>
      </c>
      <c r="R3" s="473" t="n">
        <f aca="false">'Book Income Statement'!S4</f>
        <v>16</v>
      </c>
      <c r="S3" s="473" t="n">
        <f aca="false">'Book Income Statement'!T4</f>
        <v>17</v>
      </c>
      <c r="T3" s="473" t="n">
        <f aca="false">'Book Income Statement'!U4</f>
        <v>18</v>
      </c>
      <c r="U3" s="474" t="n">
        <f aca="false">'Book Income Statement'!V4</f>
        <v>19</v>
      </c>
      <c r="V3" s="473" t="n">
        <f aca="false">'Book Income Statement'!W4</f>
        <v>20</v>
      </c>
      <c r="W3" s="473" t="n">
        <f aca="false">'Book Income Statement'!X4</f>
        <v>21</v>
      </c>
      <c r="X3" s="473" t="n">
        <f aca="false">'Book Income Statement'!Y4</f>
        <v>22</v>
      </c>
      <c r="Y3" s="473" t="n">
        <f aca="false">'Book Income Statement'!Z4</f>
        <v>23</v>
      </c>
      <c r="Z3" s="473" t="n">
        <f aca="false">'Book Income Statement'!AA4</f>
        <v>24</v>
      </c>
      <c r="AA3" s="474" t="n">
        <f aca="false">'Book Income Statement'!AB4</f>
        <v>25</v>
      </c>
      <c r="AB3" s="473"/>
      <c r="AC3" s="475"/>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473"/>
      <c r="BX3" s="473"/>
      <c r="BY3" s="473"/>
      <c r="BZ3" s="473"/>
      <c r="CA3" s="473"/>
      <c r="CB3" s="473"/>
      <c r="CC3" s="473"/>
      <c r="CD3" s="473"/>
      <c r="CE3" s="473"/>
      <c r="CF3" s="473"/>
      <c r="CG3" s="473"/>
      <c r="CH3" s="473"/>
      <c r="CI3" s="473"/>
      <c r="CJ3" s="473"/>
      <c r="CK3" s="473"/>
      <c r="CL3" s="473"/>
      <c r="CM3" s="473"/>
      <c r="CN3" s="473"/>
      <c r="CO3" s="473"/>
      <c r="CP3" s="473"/>
      <c r="CQ3" s="473"/>
      <c r="CR3" s="473"/>
      <c r="CS3" s="473"/>
      <c r="CT3" s="473"/>
      <c r="CU3" s="473"/>
      <c r="CV3" s="473"/>
      <c r="CW3" s="473"/>
      <c r="CX3" s="473"/>
      <c r="CY3" s="473"/>
      <c r="CZ3" s="473"/>
      <c r="DA3" s="473"/>
      <c r="DB3" s="473"/>
      <c r="DC3" s="473"/>
      <c r="DD3" s="473"/>
      <c r="DE3" s="473"/>
      <c r="DF3" s="473"/>
      <c r="DG3" s="473"/>
      <c r="DH3" s="473"/>
      <c r="DI3" s="473"/>
      <c r="DJ3" s="473"/>
      <c r="DK3" s="473"/>
      <c r="DL3" s="473"/>
      <c r="DM3" s="473"/>
      <c r="DN3" s="473"/>
      <c r="DO3" s="473"/>
      <c r="DP3" s="473"/>
      <c r="DQ3" s="473"/>
      <c r="DR3" s="473"/>
      <c r="DS3" s="473"/>
      <c r="DT3" s="473"/>
      <c r="DU3" s="473"/>
      <c r="DV3" s="473"/>
      <c r="DW3" s="473"/>
      <c r="DX3" s="473"/>
      <c r="DY3" s="473"/>
      <c r="DZ3" s="473"/>
      <c r="EA3" s="473"/>
      <c r="EB3" s="473"/>
      <c r="EC3" s="473"/>
      <c r="ED3" s="473"/>
      <c r="EE3" s="473"/>
      <c r="EF3" s="473"/>
      <c r="EG3" s="473"/>
      <c r="EH3" s="473"/>
      <c r="EI3" s="473"/>
      <c r="EJ3" s="473"/>
      <c r="EK3" s="473"/>
      <c r="EL3" s="473"/>
      <c r="EM3" s="473"/>
      <c r="EN3" s="473"/>
      <c r="EO3" s="473"/>
      <c r="EP3" s="473"/>
      <c r="EQ3" s="473"/>
      <c r="ER3" s="473"/>
      <c r="ES3" s="473"/>
      <c r="ET3" s="473"/>
      <c r="EU3" s="473"/>
      <c r="EV3" s="473"/>
      <c r="EW3" s="473"/>
      <c r="EX3" s="473"/>
      <c r="EY3" s="473"/>
      <c r="EZ3" s="473"/>
      <c r="FA3" s="473"/>
      <c r="FB3" s="473"/>
      <c r="FC3" s="473"/>
      <c r="FD3" s="473"/>
      <c r="FE3" s="473"/>
      <c r="FF3" s="473"/>
      <c r="FG3" s="473"/>
      <c r="FH3" s="473"/>
      <c r="FI3" s="473"/>
      <c r="FJ3" s="473"/>
      <c r="FK3" s="473"/>
      <c r="FL3" s="473"/>
      <c r="FM3" s="473"/>
      <c r="FN3" s="473"/>
      <c r="FO3" s="473"/>
      <c r="FP3" s="473"/>
      <c r="FQ3" s="473"/>
      <c r="FR3" s="473"/>
      <c r="FS3" s="473"/>
      <c r="FT3" s="473"/>
      <c r="FU3" s="473"/>
      <c r="FV3" s="473"/>
      <c r="FW3" s="473"/>
      <c r="FX3" s="473"/>
      <c r="FY3" s="473"/>
      <c r="FZ3" s="473"/>
      <c r="GA3" s="473"/>
      <c r="GB3" s="473"/>
      <c r="GC3" s="473"/>
      <c r="GD3" s="473"/>
      <c r="GE3" s="473"/>
      <c r="GF3" s="473"/>
      <c r="GG3" s="473"/>
      <c r="GH3" s="473"/>
      <c r="GI3" s="473"/>
      <c r="GJ3" s="473"/>
      <c r="GK3" s="473"/>
      <c r="GL3" s="473"/>
      <c r="GM3" s="473"/>
      <c r="GN3" s="473"/>
      <c r="GO3" s="473"/>
      <c r="GP3" s="473"/>
      <c r="GQ3" s="473"/>
      <c r="GR3" s="473"/>
      <c r="GS3" s="473"/>
      <c r="GT3" s="473"/>
      <c r="GU3" s="473"/>
      <c r="GV3" s="473"/>
      <c r="GW3" s="473"/>
      <c r="GX3" s="473"/>
      <c r="GY3" s="473"/>
      <c r="GZ3" s="473"/>
      <c r="HA3" s="473"/>
      <c r="HB3" s="473"/>
      <c r="HC3" s="473"/>
      <c r="HD3" s="473"/>
      <c r="HE3" s="473"/>
      <c r="HF3" s="473"/>
      <c r="HG3" s="473"/>
      <c r="HH3" s="473"/>
      <c r="HI3" s="473"/>
      <c r="HJ3" s="473"/>
      <c r="HK3" s="473"/>
      <c r="HL3" s="473"/>
      <c r="HM3" s="473"/>
      <c r="HN3" s="473"/>
      <c r="HO3" s="473"/>
      <c r="HP3" s="473"/>
      <c r="HQ3" s="473"/>
      <c r="HR3" s="473"/>
      <c r="HS3" s="473"/>
      <c r="HT3" s="473"/>
      <c r="HU3" s="473"/>
      <c r="HV3" s="473"/>
      <c r="HW3" s="473"/>
      <c r="HX3" s="473"/>
      <c r="HY3" s="473"/>
      <c r="HZ3" s="473"/>
      <c r="IA3" s="473"/>
      <c r="IB3" s="473"/>
      <c r="IC3" s="473"/>
      <c r="ID3" s="473"/>
      <c r="IE3" s="473"/>
      <c r="IF3" s="473"/>
      <c r="IG3" s="473"/>
      <c r="IH3" s="473"/>
      <c r="II3" s="473"/>
      <c r="IJ3" s="473"/>
      <c r="IK3" s="473"/>
      <c r="IL3" s="473"/>
      <c r="IM3" s="473"/>
      <c r="IN3" s="473"/>
      <c r="IO3" s="473"/>
      <c r="IP3" s="473"/>
      <c r="IQ3" s="473"/>
      <c r="IR3" s="473"/>
      <c r="IS3" s="473"/>
      <c r="IT3" s="473"/>
      <c r="IU3" s="473"/>
      <c r="IV3" s="473"/>
      <c r="IW3" s="473"/>
    </row>
    <row r="4" customFormat="false" ht="12.6" hidden="false" customHeight="true" outlineLevel="0" collapsed="false">
      <c r="A4" s="476"/>
      <c r="B4" s="477"/>
      <c r="C4" s="368" t="n">
        <f aca="false">'Book Income Statement'!D5</f>
        <v>2000</v>
      </c>
      <c r="D4" s="368" t="n">
        <f aca="false">'Book Income Statement'!E5</f>
        <v>2001</v>
      </c>
      <c r="E4" s="368" t="n">
        <f aca="false">'Book Income Statement'!F5</f>
        <v>2002</v>
      </c>
      <c r="F4" s="368" t="n">
        <f aca="false">'Book Income Statement'!G5</f>
        <v>2003</v>
      </c>
      <c r="G4" s="368" t="n">
        <f aca="false">'Book Income Statement'!H5</f>
        <v>2004</v>
      </c>
      <c r="H4" s="368" t="n">
        <f aca="false">'Book Income Statement'!I5</f>
        <v>2005</v>
      </c>
      <c r="I4" s="368" t="n">
        <f aca="false">'Book Income Statement'!J5</f>
        <v>2006</v>
      </c>
      <c r="J4" s="368" t="n">
        <f aca="false">'Book Income Statement'!K5</f>
        <v>2007</v>
      </c>
      <c r="K4" s="368" t="n">
        <f aca="false">'Book Income Statement'!L5</f>
        <v>2008</v>
      </c>
      <c r="L4" s="368" t="n">
        <f aca="false">'Book Income Statement'!M5</f>
        <v>2009</v>
      </c>
      <c r="M4" s="368" t="n">
        <f aca="false">'Book Income Statement'!N5</f>
        <v>2010</v>
      </c>
      <c r="N4" s="368" t="n">
        <f aca="false">'Book Income Statement'!O5</f>
        <v>2011</v>
      </c>
      <c r="O4" s="368" t="n">
        <f aca="false">'Book Income Statement'!P5</f>
        <v>2012</v>
      </c>
      <c r="P4" s="368" t="n">
        <f aca="false">'Book Income Statement'!Q5</f>
        <v>2013</v>
      </c>
      <c r="Q4" s="368" t="n">
        <f aca="false">'Book Income Statement'!R5</f>
        <v>2014</v>
      </c>
      <c r="R4" s="368" t="n">
        <f aca="false">'Book Income Statement'!S5</f>
        <v>2015</v>
      </c>
      <c r="S4" s="368" t="n">
        <f aca="false">'Book Income Statement'!T5</f>
        <v>2016</v>
      </c>
      <c r="T4" s="368" t="n">
        <f aca="false">'Book Income Statement'!U5</f>
        <v>2017</v>
      </c>
      <c r="U4" s="368" t="n">
        <f aca="false">'Book Income Statement'!V5</f>
        <v>2018</v>
      </c>
      <c r="V4" s="368" t="n">
        <f aca="false">'Book Income Statement'!W5</f>
        <v>2019</v>
      </c>
      <c r="W4" s="368" t="n">
        <f aca="false">'Book Income Statement'!X5</f>
        <v>2020</v>
      </c>
      <c r="X4" s="368" t="n">
        <f aca="false">'Book Income Statement'!Y5</f>
        <v>2021</v>
      </c>
      <c r="Y4" s="368" t="n">
        <f aca="false">'Book Income Statement'!Z5</f>
        <v>2022</v>
      </c>
      <c r="Z4" s="368" t="n">
        <f aca="false">'Book Income Statement'!AA5</f>
        <v>2023</v>
      </c>
      <c r="AA4" s="369" t="n">
        <f aca="false">'Book Income Statement'!AB5</f>
        <v>2024</v>
      </c>
      <c r="AB4" s="384"/>
      <c r="AC4" s="384"/>
      <c r="AE4" s="384"/>
      <c r="AF4" s="384"/>
      <c r="AG4" s="384"/>
      <c r="AH4" s="384"/>
      <c r="AI4" s="384"/>
      <c r="AJ4" s="384"/>
      <c r="AK4" s="384"/>
      <c r="AL4" s="384"/>
      <c r="AM4" s="384"/>
      <c r="AN4" s="384"/>
      <c r="AO4" s="384"/>
      <c r="AP4" s="384"/>
      <c r="AQ4" s="384"/>
      <c r="AR4" s="384"/>
      <c r="AS4" s="384"/>
      <c r="AT4" s="384"/>
      <c r="AU4" s="384"/>
      <c r="AV4" s="384"/>
      <c r="AW4" s="384"/>
      <c r="AX4" s="384"/>
      <c r="AY4" s="384"/>
      <c r="AZ4" s="384"/>
      <c r="BA4" s="473"/>
      <c r="BB4" s="473"/>
      <c r="BC4" s="473"/>
      <c r="BD4" s="473"/>
      <c r="BE4" s="473"/>
      <c r="BF4" s="473"/>
      <c r="BG4" s="473"/>
      <c r="BH4" s="473"/>
      <c r="BI4" s="473"/>
      <c r="BJ4" s="473"/>
      <c r="BK4" s="473"/>
      <c r="BL4" s="473"/>
      <c r="BM4" s="473"/>
      <c r="BN4" s="473"/>
      <c r="BO4" s="473"/>
      <c r="BP4" s="473"/>
      <c r="BQ4" s="473"/>
      <c r="BR4" s="473"/>
      <c r="BS4" s="473"/>
      <c r="BT4" s="473"/>
      <c r="BU4" s="473"/>
      <c r="BV4" s="473"/>
      <c r="BW4" s="473"/>
      <c r="BX4" s="473"/>
      <c r="BY4" s="473"/>
      <c r="BZ4" s="473"/>
      <c r="CA4" s="473"/>
      <c r="CB4" s="473"/>
      <c r="CC4" s="473"/>
      <c r="CD4" s="473"/>
      <c r="CE4" s="473"/>
      <c r="CF4" s="473"/>
      <c r="CG4" s="473"/>
      <c r="CH4" s="473"/>
      <c r="CI4" s="473"/>
      <c r="CJ4" s="473"/>
      <c r="CK4" s="473"/>
      <c r="CL4" s="473"/>
      <c r="CM4" s="473"/>
      <c r="CN4" s="473"/>
      <c r="CO4" s="473"/>
      <c r="CP4" s="473"/>
      <c r="CQ4" s="473"/>
      <c r="CR4" s="473"/>
      <c r="CS4" s="473"/>
      <c r="CT4" s="473"/>
      <c r="CU4" s="473"/>
      <c r="CV4" s="473"/>
      <c r="CW4" s="473"/>
      <c r="CX4" s="473"/>
      <c r="CY4" s="473"/>
      <c r="CZ4" s="473"/>
      <c r="DA4" s="473"/>
      <c r="DB4" s="473"/>
      <c r="DC4" s="473"/>
      <c r="DD4" s="473"/>
      <c r="DE4" s="473"/>
      <c r="DF4" s="473"/>
      <c r="DG4" s="473"/>
      <c r="DH4" s="473"/>
      <c r="DI4" s="473"/>
      <c r="DJ4" s="473"/>
      <c r="DK4" s="473"/>
      <c r="DL4" s="473"/>
      <c r="DM4" s="473"/>
      <c r="DN4" s="473"/>
      <c r="DO4" s="473"/>
      <c r="DP4" s="473"/>
      <c r="DQ4" s="473"/>
      <c r="DR4" s="473"/>
      <c r="DS4" s="473"/>
      <c r="DT4" s="473"/>
      <c r="DU4" s="473"/>
      <c r="DV4" s="473"/>
      <c r="DW4" s="473"/>
      <c r="DX4" s="473"/>
      <c r="DY4" s="473"/>
      <c r="DZ4" s="473"/>
      <c r="EA4" s="473"/>
      <c r="EB4" s="473"/>
      <c r="EC4" s="473"/>
      <c r="ED4" s="473"/>
      <c r="EE4" s="473"/>
      <c r="EF4" s="473"/>
      <c r="EG4" s="473"/>
      <c r="EH4" s="473"/>
      <c r="EI4" s="473"/>
      <c r="EJ4" s="473"/>
      <c r="EK4" s="473"/>
      <c r="EL4" s="473"/>
      <c r="EM4" s="473"/>
      <c r="EN4" s="473"/>
      <c r="EO4" s="473"/>
      <c r="EP4" s="473"/>
      <c r="EQ4" s="473"/>
      <c r="ER4" s="473"/>
      <c r="ES4" s="473"/>
      <c r="ET4" s="473"/>
      <c r="EU4" s="473"/>
      <c r="EV4" s="473"/>
      <c r="EW4" s="473"/>
      <c r="EX4" s="473"/>
      <c r="EY4" s="473"/>
      <c r="EZ4" s="473"/>
      <c r="FA4" s="473"/>
      <c r="FB4" s="473"/>
      <c r="FC4" s="473"/>
      <c r="FD4" s="473"/>
      <c r="FE4" s="473"/>
      <c r="FF4" s="473"/>
      <c r="FG4" s="473"/>
      <c r="FH4" s="473"/>
      <c r="FI4" s="473"/>
      <c r="FJ4" s="473"/>
      <c r="FK4" s="473"/>
      <c r="FL4" s="473"/>
      <c r="FM4" s="473"/>
      <c r="FN4" s="473"/>
      <c r="FO4" s="473"/>
      <c r="FP4" s="473"/>
      <c r="FQ4" s="473"/>
      <c r="FR4" s="473"/>
      <c r="FS4" s="473"/>
      <c r="FT4" s="473"/>
      <c r="FU4" s="473"/>
      <c r="FV4" s="473"/>
      <c r="FW4" s="473"/>
      <c r="FX4" s="473"/>
      <c r="FY4" s="473"/>
      <c r="FZ4" s="473"/>
      <c r="GA4" s="473"/>
      <c r="GB4" s="473"/>
      <c r="GC4" s="473"/>
      <c r="GD4" s="473"/>
      <c r="GE4" s="473"/>
      <c r="GF4" s="473"/>
      <c r="GG4" s="473"/>
      <c r="GH4" s="473"/>
      <c r="GI4" s="473"/>
      <c r="GJ4" s="473"/>
      <c r="GK4" s="473"/>
      <c r="GL4" s="473"/>
      <c r="GM4" s="473"/>
      <c r="GN4" s="473"/>
      <c r="GO4" s="473"/>
      <c r="GP4" s="473"/>
      <c r="GQ4" s="473"/>
      <c r="GR4" s="473"/>
      <c r="GS4" s="473"/>
      <c r="GT4" s="473"/>
      <c r="GU4" s="473"/>
      <c r="GV4" s="473"/>
      <c r="GW4" s="473"/>
      <c r="GX4" s="473"/>
      <c r="GY4" s="473"/>
      <c r="GZ4" s="473"/>
      <c r="HA4" s="473"/>
      <c r="HB4" s="473"/>
      <c r="HC4" s="473"/>
      <c r="HD4" s="473"/>
      <c r="HE4" s="473"/>
      <c r="HF4" s="473"/>
      <c r="HG4" s="473"/>
      <c r="HH4" s="473"/>
      <c r="HI4" s="473"/>
      <c r="HJ4" s="473"/>
      <c r="HK4" s="473"/>
      <c r="HL4" s="473"/>
      <c r="HM4" s="473"/>
      <c r="HN4" s="473"/>
      <c r="HO4" s="473"/>
      <c r="HP4" s="473"/>
      <c r="HQ4" s="473"/>
      <c r="HR4" s="473"/>
      <c r="HS4" s="473"/>
      <c r="HT4" s="473"/>
      <c r="HU4" s="473"/>
      <c r="HV4" s="473"/>
      <c r="HW4" s="473"/>
      <c r="HX4" s="473"/>
      <c r="HY4" s="473"/>
      <c r="HZ4" s="473"/>
      <c r="IA4" s="473"/>
      <c r="IB4" s="473"/>
      <c r="IC4" s="473"/>
      <c r="ID4" s="473"/>
      <c r="IE4" s="473"/>
      <c r="IF4" s="473"/>
      <c r="IG4" s="473"/>
      <c r="IH4" s="473"/>
      <c r="II4" s="473"/>
      <c r="IJ4" s="473"/>
      <c r="IK4" s="473"/>
      <c r="IL4" s="473"/>
      <c r="IM4" s="473"/>
      <c r="IN4" s="473"/>
      <c r="IO4" s="473"/>
      <c r="IP4" s="473"/>
      <c r="IQ4" s="473"/>
      <c r="IR4" s="473"/>
      <c r="IS4" s="473"/>
      <c r="IT4" s="473"/>
      <c r="IU4" s="473"/>
      <c r="IV4" s="473"/>
      <c r="IW4" s="473"/>
    </row>
    <row r="5" customFormat="false" ht="15.75" hidden="false" customHeight="false" outlineLevel="0" collapsed="false">
      <c r="A5" s="401" t="s">
        <v>468</v>
      </c>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402"/>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c r="DF5" s="371"/>
      <c r="DG5" s="371"/>
      <c r="DH5" s="371"/>
      <c r="DI5" s="371"/>
      <c r="DJ5" s="371"/>
      <c r="DK5" s="371"/>
      <c r="DL5" s="371"/>
      <c r="DM5" s="371"/>
      <c r="DN5" s="371"/>
      <c r="DO5" s="371"/>
      <c r="DP5" s="371"/>
      <c r="DQ5" s="371"/>
      <c r="DR5" s="371"/>
      <c r="DS5" s="371"/>
      <c r="DT5" s="371"/>
      <c r="DU5" s="371"/>
      <c r="DV5" s="371"/>
      <c r="DW5" s="371"/>
      <c r="DX5" s="371"/>
      <c r="DY5" s="371"/>
      <c r="DZ5" s="371"/>
      <c r="EA5" s="371"/>
      <c r="EB5" s="371"/>
      <c r="EC5" s="371"/>
      <c r="ED5" s="371"/>
      <c r="EE5" s="371"/>
      <c r="EF5" s="371"/>
      <c r="EG5" s="371"/>
      <c r="EH5" s="371"/>
      <c r="EI5" s="371"/>
      <c r="EJ5" s="371"/>
      <c r="EK5" s="371"/>
      <c r="EL5" s="371"/>
      <c r="EM5" s="371"/>
      <c r="EN5" s="371"/>
      <c r="EO5" s="371"/>
      <c r="EP5" s="371"/>
      <c r="EQ5" s="371"/>
      <c r="ER5" s="371"/>
      <c r="ES5" s="371"/>
      <c r="ET5" s="371"/>
      <c r="EU5" s="371"/>
      <c r="EV5" s="371"/>
      <c r="EW5" s="371"/>
      <c r="EX5" s="371"/>
      <c r="EY5" s="371"/>
      <c r="EZ5" s="371"/>
      <c r="FA5" s="371"/>
      <c r="FB5" s="371"/>
      <c r="FC5" s="371"/>
      <c r="FD5" s="371"/>
      <c r="FE5" s="371"/>
      <c r="FF5" s="371"/>
      <c r="FG5" s="371"/>
      <c r="FH5" s="371"/>
      <c r="FI5" s="371"/>
      <c r="FJ5" s="371"/>
      <c r="FK5" s="371"/>
      <c r="FL5" s="371"/>
      <c r="FM5" s="371"/>
      <c r="FN5" s="371"/>
      <c r="FO5" s="371"/>
      <c r="FP5" s="371"/>
      <c r="FQ5" s="371"/>
      <c r="FR5" s="371"/>
      <c r="FS5" s="371"/>
      <c r="FT5" s="371"/>
      <c r="FU5" s="371"/>
      <c r="FV5" s="371"/>
      <c r="FW5" s="371"/>
      <c r="FX5" s="371"/>
      <c r="FY5" s="371"/>
      <c r="FZ5" s="371"/>
      <c r="GA5" s="371"/>
      <c r="GB5" s="371"/>
      <c r="GC5" s="371"/>
      <c r="GD5" s="371"/>
      <c r="GE5" s="371"/>
      <c r="GF5" s="371"/>
      <c r="GG5" s="371"/>
      <c r="GH5" s="371"/>
      <c r="GI5" s="371"/>
      <c r="GJ5" s="371"/>
      <c r="GK5" s="371"/>
      <c r="GL5" s="371"/>
      <c r="GM5" s="371"/>
      <c r="GN5" s="371"/>
      <c r="GO5" s="371"/>
      <c r="GP5" s="371"/>
      <c r="GQ5" s="371"/>
      <c r="GR5" s="371"/>
      <c r="GS5" s="371"/>
      <c r="GT5" s="371"/>
      <c r="GU5" s="371"/>
      <c r="GV5" s="371"/>
      <c r="GW5" s="371"/>
      <c r="GX5" s="371"/>
      <c r="GY5" s="371"/>
      <c r="GZ5" s="371"/>
      <c r="HA5" s="371"/>
      <c r="HB5" s="371"/>
      <c r="HC5" s="371"/>
      <c r="HD5" s="371"/>
      <c r="HE5" s="371"/>
      <c r="HF5" s="371"/>
      <c r="HG5" s="371"/>
      <c r="HH5" s="371"/>
      <c r="HI5" s="371"/>
      <c r="HJ5" s="371"/>
      <c r="HK5" s="371"/>
      <c r="HL5" s="371"/>
      <c r="HM5" s="371"/>
      <c r="HN5" s="371"/>
      <c r="HO5" s="371"/>
      <c r="HP5" s="371"/>
      <c r="HQ5" s="371"/>
      <c r="HR5" s="371"/>
      <c r="HS5" s="371"/>
      <c r="HT5" s="371"/>
      <c r="HU5" s="371"/>
      <c r="HV5" s="371"/>
      <c r="HW5" s="371"/>
      <c r="HX5" s="371"/>
      <c r="HY5" s="371"/>
      <c r="HZ5" s="371"/>
      <c r="IA5" s="371"/>
      <c r="IB5" s="371"/>
      <c r="IC5" s="371"/>
      <c r="ID5" s="371"/>
      <c r="IE5" s="371"/>
      <c r="IF5" s="371"/>
      <c r="IG5" s="371"/>
      <c r="IH5" s="371"/>
      <c r="II5" s="371"/>
      <c r="IJ5" s="371"/>
      <c r="IK5" s="371"/>
      <c r="IL5" s="371"/>
      <c r="IM5" s="371"/>
      <c r="IN5" s="371"/>
      <c r="IO5" s="371"/>
      <c r="IP5" s="371"/>
      <c r="IQ5" s="371"/>
      <c r="IR5" s="371"/>
      <c r="IS5" s="371"/>
      <c r="IT5" s="371"/>
      <c r="IU5" s="371"/>
      <c r="IV5" s="371"/>
      <c r="IW5" s="371"/>
    </row>
    <row r="6" customFormat="false" ht="12.6" hidden="false" customHeight="true" outlineLevel="0" collapsed="false">
      <c r="A6" s="433" t="s">
        <v>469</v>
      </c>
      <c r="B6" s="605" t="n">
        <f aca="false">'Project Assumptions'!G16</f>
        <v>36678</v>
      </c>
      <c r="C6" s="605" t="n">
        <f aca="false">DATE(YEAR(B6),12,31)</f>
        <v>36891</v>
      </c>
      <c r="D6" s="605" t="n">
        <f aca="false">EDATE(C6,12)</f>
        <v>37256</v>
      </c>
      <c r="E6" s="605" t="n">
        <f aca="false">EDATE(D6,12)</f>
        <v>37621</v>
      </c>
      <c r="F6" s="605" t="n">
        <f aca="false">EDATE(E6,12)</f>
        <v>37986</v>
      </c>
      <c r="G6" s="605" t="n">
        <f aca="false">EDATE(F6,12)</f>
        <v>38352</v>
      </c>
      <c r="H6" s="605" t="n">
        <f aca="false">EDATE(G6,12)</f>
        <v>38717</v>
      </c>
      <c r="I6" s="605" t="n">
        <f aca="false">EDATE(H6,12)</f>
        <v>39082</v>
      </c>
      <c r="J6" s="605" t="n">
        <f aca="false">EDATE(I6,12)</f>
        <v>39447</v>
      </c>
      <c r="K6" s="605" t="n">
        <f aca="false">EDATE(J6,12)</f>
        <v>39813</v>
      </c>
      <c r="L6" s="605" t="n">
        <f aca="false">EDATE(K6,12)</f>
        <v>40178</v>
      </c>
      <c r="M6" s="605" t="n">
        <f aca="false">EDATE(L6,12)</f>
        <v>40543</v>
      </c>
      <c r="N6" s="605" t="n">
        <f aca="false">EDATE(M6,12)</f>
        <v>40908</v>
      </c>
      <c r="O6" s="605" t="n">
        <f aca="false">EDATE(N6,12)</f>
        <v>41274</v>
      </c>
      <c r="P6" s="605" t="n">
        <f aca="false">EDATE(O6,12)</f>
        <v>41639</v>
      </c>
      <c r="Q6" s="605" t="n">
        <f aca="false">EDATE(P6,12)</f>
        <v>42004</v>
      </c>
      <c r="R6" s="605" t="n">
        <f aca="false">EDATE(Q6,12)</f>
        <v>42369</v>
      </c>
      <c r="S6" s="605" t="n">
        <f aca="false">EDATE(R6,12)</f>
        <v>42735</v>
      </c>
      <c r="T6" s="605" t="n">
        <f aca="false">EDATE(S6,12)</f>
        <v>43100</v>
      </c>
      <c r="U6" s="605" t="n">
        <f aca="false">EDATE(T6,12)</f>
        <v>43465</v>
      </c>
      <c r="V6" s="605" t="n">
        <f aca="false">EDATE(U6,12)</f>
        <v>43830</v>
      </c>
      <c r="W6" s="605" t="n">
        <f aca="false">EDATE(V6,12)</f>
        <v>44196</v>
      </c>
      <c r="X6" s="605" t="n">
        <f aca="false">EDATE(W6,12)</f>
        <v>44561</v>
      </c>
      <c r="Y6" s="605" t="n">
        <f aca="false">EDATE(X6,12)</f>
        <v>44926</v>
      </c>
      <c r="Z6" s="605" t="n">
        <f aca="false">EDATE(Y6,12)</f>
        <v>45291</v>
      </c>
      <c r="AA6" s="606" t="n">
        <f aca="false">EDATE(Z6,12)</f>
        <v>45657</v>
      </c>
      <c r="AB6" s="371"/>
      <c r="AC6" s="37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row>
    <row r="7" customFormat="false" ht="12.6" hidden="false" customHeight="true" outlineLevel="0" collapsed="false">
      <c r="A7" s="421" t="s">
        <v>470</v>
      </c>
      <c r="B7" s="425" t="n">
        <f aca="false">'Project Assumptions'!C8*-1</f>
        <v>-72751.789</v>
      </c>
      <c r="C7" s="425" t="n">
        <f aca="false">'Cash Flow Statement'!D21</f>
        <v>-6468.42515109317</v>
      </c>
      <c r="D7" s="425" t="n">
        <f aca="false">'Cash Flow Statement'!E21+'Cash Flow Statement'!E44</f>
        <v>5559.07881263144</v>
      </c>
      <c r="E7" s="425" t="n">
        <f aca="false">'Cash Flow Statement'!F21+'Cash Flow Statement'!F44</f>
        <v>3261.90558142484</v>
      </c>
      <c r="F7" s="425" t="n">
        <f aca="false">'Cash Flow Statement'!G21+'Cash Flow Statement'!G44</f>
        <v>11278.4644544389</v>
      </c>
      <c r="G7" s="425" t="n">
        <f aca="false">'Cash Flow Statement'!H21+'Cash Flow Statement'!H44</f>
        <v>25387.1243188477</v>
      </c>
      <c r="H7" s="425" t="n">
        <f aca="false">'Cash Flow Statement'!I21+'Cash Flow Statement'!I44</f>
        <v>27305.1884213312</v>
      </c>
      <c r="I7" s="425" t="n">
        <f aca="false">'Cash Flow Statement'!J21+'Cash Flow Statement'!J44</f>
        <v>26676.3625791247</v>
      </c>
      <c r="J7" s="425" t="n">
        <f aca="false">'Cash Flow Statement'!K21+'Cash Flow Statement'!K44</f>
        <v>27862.492611291</v>
      </c>
      <c r="K7" s="425" t="n">
        <f aca="false">'Cash Flow Statement'!L21+'Cash Flow Statement'!L44</f>
        <v>23598.2291690491</v>
      </c>
      <c r="L7" s="425" t="n">
        <f aca="false">'Cash Flow Statement'!M21+'Cash Flow Statement'!M44</f>
        <v>21468.2985663675</v>
      </c>
      <c r="M7" s="425" t="n">
        <f aca="false">'Cash Flow Statement'!N21+'Cash Flow Statement'!N44</f>
        <v>36966.2072138952</v>
      </c>
      <c r="N7" s="425" t="n">
        <f aca="false">'Cash Flow Statement'!O21+'Cash Flow Statement'!O44</f>
        <v>36789.0977473991</v>
      </c>
      <c r="O7" s="425" t="n">
        <f aca="false">'Cash Flow Statement'!P21+'Cash Flow Statement'!P44</f>
        <v>37667.0621203746</v>
      </c>
      <c r="P7" s="425" t="n">
        <f aca="false">'Cash Flow Statement'!Q21+'Cash Flow Statement'!Q44</f>
        <v>38530.3825835886</v>
      </c>
      <c r="Q7" s="425" t="n">
        <f aca="false">'Cash Flow Statement'!R21+'Cash Flow Statement'!R44</f>
        <v>39418.6572561006</v>
      </c>
      <c r="R7" s="425" t="n">
        <f aca="false">'Cash Flow Statement'!S21+'Cash Flow Statement'!S44</f>
        <v>40247.0392784573</v>
      </c>
      <c r="S7" s="425" t="n">
        <f aca="false">'Cash Flow Statement'!T21+'Cash Flow Statement'!T44</f>
        <v>36115.3405041054</v>
      </c>
      <c r="T7" s="425" t="n">
        <f aca="false">'Cash Flow Statement'!U21+'Cash Flow Statement'!U44</f>
        <v>35331.8103392878</v>
      </c>
      <c r="U7" s="425" t="n">
        <f aca="false">'Cash Flow Statement'!V21+'Cash Flow Statement'!V44</f>
        <v>33740.7140094545</v>
      </c>
      <c r="V7" s="425" t="n">
        <f aca="false">'Cash Flow Statement'!W21+'Cash Flow Statement'!W44</f>
        <v>32109.4330574866</v>
      </c>
      <c r="W7" s="425" t="n">
        <f aca="false">'Cash Flow Statement'!X21+'Cash Flow Statement'!X44</f>
        <v>19522.8981464735</v>
      </c>
      <c r="X7" s="425" t="n">
        <f aca="false">'Cash Flow Statement'!Y21+'Cash Flow Statement'!Y44</f>
        <v>0</v>
      </c>
      <c r="Y7" s="425" t="n">
        <f aca="false">'Cash Flow Statement'!Z21+'Cash Flow Statement'!Z44</f>
        <v>0</v>
      </c>
      <c r="Z7" s="425" t="n">
        <f aca="false">'Cash Flow Statement'!AA21+'Cash Flow Statement'!AA44</f>
        <v>0</v>
      </c>
      <c r="AA7" s="426" t="n">
        <f aca="false">'Cash Flow Statement'!AB21+'Cash Flow Statement'!AB44</f>
        <v>0</v>
      </c>
      <c r="AB7" s="371"/>
      <c r="AC7" s="37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customFormat="false" ht="12.6" hidden="false" customHeight="true" outlineLevel="0" collapsed="false">
      <c r="A8" s="397" t="s">
        <v>471</v>
      </c>
      <c r="B8" s="371"/>
      <c r="C8" s="607" t="e">
        <f aca="false">XIRR($B$7:C7,$B$6:C6)</f>
        <v>#VALUE!</v>
      </c>
      <c r="D8" s="607" t="n">
        <f aca="false">XIRR($B$7:D7,$B$6:D6)</f>
        <v>-0.828697840233836</v>
      </c>
      <c r="E8" s="607" t="n">
        <f aca="false">XIRR($B$7:E7,$B$6:E6)</f>
        <v>-0.662353055343609</v>
      </c>
      <c r="F8" s="607" t="n">
        <f aca="false">XIRR($B$7:F7,$B$6:F6)</f>
        <v>-0.369603461276658</v>
      </c>
      <c r="G8" s="607" t="n">
        <f aca="false">XIRR($B$7:G7,$B$6:G6)</f>
        <v>-0.1342147802594</v>
      </c>
      <c r="H8" s="607" t="n">
        <f aca="false">XIRR($B$7:H7,$B$6:H6)</f>
        <v>-0.018828812863418</v>
      </c>
      <c r="I8" s="607" t="n">
        <f aca="false">XIRR($B$7:I7,$B$6:I6)</f>
        <v>0.0469672885026407</v>
      </c>
      <c r="J8" s="607" t="n">
        <f aca="false">XIRR($B$7:J7,$B$6:J6)</f>
        <v>0.0910967206214632</v>
      </c>
      <c r="K8" s="607" t="n">
        <f aca="false">XIRR($B$7:K7,$B$6:K6)</f>
        <v>0.116794403336554</v>
      </c>
      <c r="L8" s="607" t="n">
        <f aca="false">XIRR($B$7:L7,$B$6:L6)</f>
        <v>0.133879037983576</v>
      </c>
      <c r="M8" s="607" t="n">
        <f aca="false">XIRR($B$7:M7,$B$6:M6)</f>
        <v>0.154905558632084</v>
      </c>
      <c r="N8" s="607" t="n">
        <f aca="false">XIRR($B$7:N7,$B$6:N6)</f>
        <v>0.169582440861649</v>
      </c>
      <c r="O8" s="607" t="n">
        <f aca="false">XIRR($B$7:O7,$B$6:O6)</f>
        <v>0.180465184021849</v>
      </c>
      <c r="P8" s="607" t="n">
        <f aca="false">XIRR($B$7:P7,$B$6:P6)</f>
        <v>0.188701711817309</v>
      </c>
      <c r="Q8" s="607" t="n">
        <f aca="false">XIRR($B$7:Q7,$B$6:Q6)</f>
        <v>0.19503801615461</v>
      </c>
      <c r="R8" s="607" t="n">
        <f aca="false">XIRR($B$7:R7,$B$6:R6)</f>
        <v>0.199966277195891</v>
      </c>
      <c r="S8" s="607" t="n">
        <f aca="false">XIRR($B$7:S7,$B$6:S6)</f>
        <v>0.203384175878277</v>
      </c>
      <c r="T8" s="607" t="n">
        <f aca="false">XIRR($B$7:T7,$B$6:T6)</f>
        <v>0.206005098219274</v>
      </c>
      <c r="U8" s="607" t="n">
        <f aca="false">XIRR($B$7:U7,$B$6:U6)</f>
        <v>0.207983769747642</v>
      </c>
      <c r="V8" s="607" t="n">
        <f aca="false">XIRR($B$7:V7,$B$6:V6)</f>
        <v>0.209483587837562</v>
      </c>
      <c r="W8" s="607" t="n">
        <f aca="false">XIRR($B$7:W7,$B$6:W6)</f>
        <v>0.210217660478341</v>
      </c>
      <c r="X8" s="607" t="n">
        <f aca="false">XIRR($B$7:X7,$B$6:X6)</f>
        <v>0.210217660478341</v>
      </c>
      <c r="Y8" s="607" t="n">
        <f aca="false">XIRR($B$7:Y7,$B$6:Y6)</f>
        <v>0.210217660478341</v>
      </c>
      <c r="Z8" s="607" t="n">
        <f aca="false">XIRR($B$7:Z7,$B$6:Z6)</f>
        <v>0.210217660478341</v>
      </c>
      <c r="AA8" s="608" t="n">
        <f aca="false">XIRR($B$7:AA7,$B$6:AA6)</f>
        <v>0.210217660478341</v>
      </c>
      <c r="AB8" s="371"/>
      <c r="AC8" s="37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row>
    <row r="9" customFormat="false" ht="12.6" hidden="false" customHeight="true" outlineLevel="0" collapsed="false">
      <c r="A9" s="397" t="s">
        <v>472</v>
      </c>
      <c r="B9" s="432"/>
      <c r="C9" s="609" t="n">
        <f aca="false">XNPV('Project Assumptions'!$I$56,$B$7:C7,$B$6:C6)</f>
        <v>-78806.2684142047</v>
      </c>
      <c r="D9" s="609" t="n">
        <f aca="false">XNPV('Project Assumptions'!$I$56,$B$7:D7,$B$6:D6)</f>
        <v>-74160.4411501667</v>
      </c>
      <c r="E9" s="609" t="n">
        <f aca="false">XNPV('Project Assumptions'!$I$56,$B$7:E7,$B$6:E6)</f>
        <v>-71726.480289269</v>
      </c>
      <c r="F9" s="609" t="n">
        <f aca="false">XNPV('Project Assumptions'!$I$56,$B$7:F7,$B$6:F6)</f>
        <v>-64212.4289691237</v>
      </c>
      <c r="G9" s="609" t="n">
        <f aca="false">XNPV('Project Assumptions'!$I$56,$B$7:G7,$B$6:G6)</f>
        <v>-49115.6316349615</v>
      </c>
      <c r="H9" s="609" t="n">
        <f aca="false">XNPV('Project Assumptions'!$I$56,$B$7:H7,$B$6:H6)</f>
        <v>-34617.9529456058</v>
      </c>
      <c r="I9" s="609" t="n">
        <f aca="false">XNPV('Project Assumptions'!$I$56,$B$7:I7,$B$6:I6)</f>
        <v>-21971.6994954879</v>
      </c>
      <c r="J9" s="609" t="n">
        <f aca="false">XNPV('Project Assumptions'!$I$56,$B$7:J7,$B$6:J6)</f>
        <v>-10178.3487920428</v>
      </c>
      <c r="K9" s="609" t="n">
        <f aca="false">XNPV('Project Assumptions'!$I$56,$B$7:K7,$B$6:K6)</f>
        <v>-1262.8879883332</v>
      </c>
      <c r="L9" s="609" t="n">
        <f aca="false">XNPV('Project Assumptions'!$I$56,$B$7:L7,$B$6:L6)</f>
        <v>5978.86962330136</v>
      </c>
      <c r="M9" s="609" t="n">
        <f aca="false">XNPV('Project Assumptions'!$I$56,$B$7:M7,$B$6:M6)</f>
        <v>17112.4084731594</v>
      </c>
      <c r="N9" s="609" t="n">
        <f aca="false">XNPV('Project Assumptions'!$I$56,$B$7:N7,$B$6:N6)</f>
        <v>27005.441285434</v>
      </c>
      <c r="O9" s="609" t="n">
        <f aca="false">XNPV('Project Assumptions'!$I$56,$B$7:O7,$B$6:O6)</f>
        <v>36046.4980159252</v>
      </c>
      <c r="P9" s="609" t="n">
        <f aca="false">XNPV('Project Assumptions'!$I$56,$B$7:P7,$B$6:P6)</f>
        <v>44303.8870216342</v>
      </c>
      <c r="Q9" s="609" t="n">
        <f aca="false">XNPV('Project Assumptions'!$I$56,$B$7:Q7,$B$6:Q6)</f>
        <v>51846.5243699518</v>
      </c>
      <c r="R9" s="609" t="n">
        <f aca="false">XNPV('Project Assumptions'!$I$56,$B$7:R7,$B$6:R6)</f>
        <v>58722.547289048</v>
      </c>
      <c r="S9" s="609" t="n">
        <f aca="false">XNPV('Project Assumptions'!$I$56,$B$7:S7,$B$6:S6)</f>
        <v>64229.8915561924</v>
      </c>
      <c r="T9" s="609" t="n">
        <f aca="false">XNPV('Project Assumptions'!$I$56,$B$7:T7,$B$6:T6)</f>
        <v>69040.4819453025</v>
      </c>
      <c r="U9" s="609" t="n">
        <f aca="false">XNPV('Project Assumptions'!$I$56,$B$7:U7,$B$6:U6)</f>
        <v>73142.2276773284</v>
      </c>
      <c r="V9" s="609" t="n">
        <f aca="false">XNPV('Project Assumptions'!$I$56,$B$7:V7,$B$6:V6)</f>
        <v>76627.438716336</v>
      </c>
      <c r="W9" s="609" t="n">
        <f aca="false">XNPV('Project Assumptions'!$I$56,$B$7:W7,$B$6:W6)</f>
        <v>78518.858230404</v>
      </c>
      <c r="X9" s="609" t="n">
        <f aca="false">XNPV('Project Assumptions'!$I$56,$B$7:X7,$B$6:X6)</f>
        <v>78518.858230404</v>
      </c>
      <c r="Y9" s="609" t="n">
        <f aca="false">XNPV('Project Assumptions'!$I$56,$B$7:Y7,$B$6:Y6)</f>
        <v>78518.858230404</v>
      </c>
      <c r="Z9" s="609" t="n">
        <f aca="false">XNPV('Project Assumptions'!$I$56,$B$7:Z7,$B$6:Z6)</f>
        <v>78518.858230404</v>
      </c>
      <c r="AA9" s="610" t="n">
        <f aca="false">XNPV('Project Assumptions'!$I$56,$B$7:AA7,$B$6:AA6)</f>
        <v>78518.858230404</v>
      </c>
    </row>
    <row r="10" customFormat="false" ht="12.6" hidden="false" customHeight="true" outlineLevel="0" collapsed="false">
      <c r="A10" s="397"/>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402"/>
      <c r="AB10" s="371"/>
      <c r="AC10" s="37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row>
    <row r="11" customFormat="false" ht="12.6" hidden="false" customHeight="true" outlineLevel="0" collapsed="false">
      <c r="A11" s="421" t="s">
        <v>473</v>
      </c>
      <c r="B11" s="425" t="n">
        <f aca="false">'Project Assumptions'!C8*-1</f>
        <v>-72751.789</v>
      </c>
      <c r="C11" s="425" t="n">
        <f aca="false">'Cash Flow Statement'!D23</f>
        <v>-6468.42515109317</v>
      </c>
      <c r="D11" s="425" t="n">
        <f aca="false">'Cash Flow Statement'!E23+'Cash Flow Statement'!E44</f>
        <v>5559.07881263144</v>
      </c>
      <c r="E11" s="425" t="n">
        <f aca="false">'Cash Flow Statement'!F23+'Cash Flow Statement'!F44</f>
        <v>3261.90558142484</v>
      </c>
      <c r="F11" s="425" t="n">
        <f aca="false">'Cash Flow Statement'!G23+'Cash Flow Statement'!G44</f>
        <v>11278.4644544389</v>
      </c>
      <c r="G11" s="425" t="n">
        <f aca="false">'Cash Flow Statement'!H23+'Cash Flow Statement'!H44</f>
        <v>25387.1243188477</v>
      </c>
      <c r="H11" s="425" t="n">
        <f aca="false">'Cash Flow Statement'!I23+'Cash Flow Statement'!I44</f>
        <v>24618.6983083578</v>
      </c>
      <c r="I11" s="425" t="n">
        <f aca="false">'Cash Flow Statement'!J23+'Cash Flow Statement'!J44</f>
        <v>18637.6261096789</v>
      </c>
      <c r="J11" s="425" t="n">
        <f aca="false">'Cash Flow Statement'!K23+'Cash Flow Statement'!K44</f>
        <v>19363.2152203354</v>
      </c>
      <c r="K11" s="425" t="n">
        <f aca="false">'Cash Flow Statement'!L23+'Cash Flow Statement'!L44</f>
        <v>14622.214409378</v>
      </c>
      <c r="L11" s="425" t="n">
        <f aca="false">'Cash Flow Statement'!M23+'Cash Flow Statement'!M44</f>
        <v>11859.3645230637</v>
      </c>
      <c r="M11" s="425" t="n">
        <f aca="false">'Cash Flow Statement'!N23+'Cash Flow Statement'!N44</f>
        <v>26612.114049375</v>
      </c>
      <c r="N11" s="425" t="n">
        <f aca="false">'Cash Flow Statement'!O23+'Cash Flow Statement'!O44</f>
        <v>26123.2543795034</v>
      </c>
      <c r="O11" s="425" t="n">
        <f aca="false">'Cash Flow Statement'!P23+'Cash Flow Statement'!P44</f>
        <v>26642.9953463012</v>
      </c>
      <c r="P11" s="425" t="n">
        <f aca="false">'Cash Flow Statement'!Q23+'Cash Flow Statement'!Q44</f>
        <v>27157.1698543737</v>
      </c>
      <c r="Q11" s="425" t="n">
        <f aca="false">'Cash Flow Statement'!R23+'Cash Flow Statement'!R44</f>
        <v>27699.7852395388</v>
      </c>
      <c r="R11" s="425" t="n">
        <f aca="false">'Cash Flow Statement'!S23+'Cash Flow Statement'!S44</f>
        <v>25260.9958519794</v>
      </c>
      <c r="S11" s="425" t="n">
        <f aca="false">'Cash Flow Statement'!T23+'Cash Flow Statement'!T44</f>
        <v>17869.8134483419</v>
      </c>
      <c r="T11" s="425" t="n">
        <f aca="false">'Cash Flow Statement'!U23+'Cash Flow Statement'!U44</f>
        <v>16596.5013010546</v>
      </c>
      <c r="U11" s="425" t="n">
        <f aca="false">'Cash Flow Statement'!V23+'Cash Flow Statement'!V44</f>
        <v>14477.3025763242</v>
      </c>
      <c r="V11" s="425" t="n">
        <f aca="false">'Cash Flow Statement'!W23+'Cash Flow Statement'!W44</f>
        <v>12709.1708519734</v>
      </c>
      <c r="W11" s="425" t="n">
        <f aca="false">'Cash Flow Statement'!X23+'Cash Flow Statement'!X44</f>
        <v>11778.7501387118</v>
      </c>
      <c r="X11" s="425" t="n">
        <f aca="false">'Cash Flow Statement'!Y23+'Cash Flow Statement'!Y44</f>
        <v>0</v>
      </c>
      <c r="Y11" s="425" t="n">
        <f aca="false">'Cash Flow Statement'!Z23+'Cash Flow Statement'!Z44</f>
        <v>0</v>
      </c>
      <c r="Z11" s="425" t="n">
        <f aca="false">'Cash Flow Statement'!AA23+'Cash Flow Statement'!AA44</f>
        <v>0</v>
      </c>
      <c r="AA11" s="426" t="n">
        <f aca="false">'Cash Flow Statement'!AB23+'Cash Flow Statement'!AB44</f>
        <v>0</v>
      </c>
      <c r="AB11" s="371"/>
      <c r="AC11" s="37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row>
    <row r="12" customFormat="false" ht="12.6" hidden="false" customHeight="true" outlineLevel="0" collapsed="false">
      <c r="A12" s="397" t="s">
        <v>474</v>
      </c>
      <c r="B12" s="371"/>
      <c r="C12" s="607" t="e">
        <f aca="false">XIRR($B$11:C11,$B$6:C6)</f>
        <v>#VALUE!</v>
      </c>
      <c r="D12" s="607" t="n">
        <f aca="false">XIRR($B$11:D11,$B$6:D6)</f>
        <v>-0.828697840233836</v>
      </c>
      <c r="E12" s="607" t="n">
        <f aca="false">XIRR($B$11:E11,$B$6:E6)</f>
        <v>-0.662353055343609</v>
      </c>
      <c r="F12" s="607" t="n">
        <f aca="false">XIRR($B$11:F11,$B$6:F6)</f>
        <v>-0.369603461276658</v>
      </c>
      <c r="G12" s="607" t="n">
        <f aca="false">XIRR($B$11:G11,$B$6:G6)</f>
        <v>-0.1342147802594</v>
      </c>
      <c r="H12" s="607" t="n">
        <f aca="false">XIRR($B$11:H11,$B$6:H6)</f>
        <v>-0.0273005175234359</v>
      </c>
      <c r="I12" s="607" t="n">
        <f aca="false">XIRR($B$11:I11,$B$6:I6)</f>
        <v>0.0238038615194293</v>
      </c>
      <c r="J12" s="607" t="n">
        <f aca="false">XIRR($B$11:J11,$B$6:J6)</f>
        <v>0.0609809293776884</v>
      </c>
      <c r="K12" s="607" t="n">
        <f aca="false">XIRR($B$11:K11,$B$6:K6)</f>
        <v>0.0816220340798211</v>
      </c>
      <c r="L12" s="607" t="n">
        <f aca="false">XIRR($B$11:L11,$B$6:L6)</f>
        <v>0.094704463958755</v>
      </c>
      <c r="M12" s="607" t="n">
        <f aca="false">XIRR($B$11:M11,$B$6:M6)</f>
        <v>0.11653609270505</v>
      </c>
      <c r="N12" s="607" t="n">
        <f aca="false">XIRR($B$11:N11,$B$6:N6)</f>
        <v>0.131797873516677</v>
      </c>
      <c r="O12" s="607" t="n">
        <f aca="false">XIRR($B$11:O11,$B$6:O6)</f>
        <v>0.143275923281416</v>
      </c>
      <c r="P12" s="607" t="n">
        <f aca="false">XIRR($B$11:P11,$B$6:P6)</f>
        <v>0.152092520322477</v>
      </c>
      <c r="Q12" s="607" t="n">
        <f aca="false">XIRR($B$11:Q11,$B$6:Q6)</f>
        <v>0.1589809147523</v>
      </c>
      <c r="R12" s="607" t="n">
        <f aca="false">XIRR($B$11:R11,$B$6:R6)</f>
        <v>0.163880200764863</v>
      </c>
      <c r="S12" s="607" t="n">
        <f aca="false">XIRR($B$11:S11,$B$6:S6)</f>
        <v>0.166653956801803</v>
      </c>
      <c r="T12" s="607" t="n">
        <f aca="false">XIRR($B$11:T11,$B$6:T6)</f>
        <v>0.16875706886261</v>
      </c>
      <c r="U12" s="607" t="n">
        <f aca="false">XIRR($B$11:U11,$B$6:U6)</f>
        <v>0.170267082585695</v>
      </c>
      <c r="V12" s="607" t="n">
        <f aca="false">XIRR($B$11:V11,$B$6:V6)</f>
        <v>0.171366353964504</v>
      </c>
      <c r="W12" s="607" t="n">
        <f aca="false">XIRR($B$11:W11,$B$6:W6)</f>
        <v>0.172215175234025</v>
      </c>
      <c r="X12" s="607" t="n">
        <f aca="false">XIRR($B$11:X11,$B$6:X6)</f>
        <v>0.172215175234025</v>
      </c>
      <c r="Y12" s="607" t="n">
        <f aca="false">XIRR($B$11:Y11,$B$6:Y6)</f>
        <v>0.172215175234025</v>
      </c>
      <c r="Z12" s="607" t="n">
        <f aca="false">XIRR($B$11:Z11,$B$6:Z6)</f>
        <v>0.172215175234025</v>
      </c>
      <c r="AA12" s="608" t="n">
        <f aca="false">XIRR($B$11:AA11,$B$6:AA6)</f>
        <v>0.172215175234025</v>
      </c>
      <c r="AB12" s="371"/>
      <c r="AC12" s="37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row>
    <row r="13" customFormat="false" ht="12.6" hidden="false" customHeight="true" outlineLevel="0" collapsed="false">
      <c r="A13" s="397" t="s">
        <v>475</v>
      </c>
      <c r="B13" s="432"/>
      <c r="C13" s="609" t="n">
        <f aca="false">XNPV('Project Assumptions'!$I$56,$B$11:C11,$B$6:C6)</f>
        <v>-78806.2684142047</v>
      </c>
      <c r="D13" s="609" t="n">
        <f aca="false">XNPV('Project Assumptions'!$I$56,$B$11:D11,$B$6:D6)</f>
        <v>-74160.4411501667</v>
      </c>
      <c r="E13" s="609" t="n">
        <f aca="false">XNPV('Project Assumptions'!$I$56,$B$11:E11,$B$6:E6)</f>
        <v>-71726.480289269</v>
      </c>
      <c r="F13" s="609" t="n">
        <f aca="false">XNPV('Project Assumptions'!$I$56,$B$11:F11,$B$6:F6)</f>
        <v>-64212.4289691237</v>
      </c>
      <c r="G13" s="609" t="n">
        <f aca="false">XNPV('Project Assumptions'!$I$56,$B$11:G11,$B$6:G6)</f>
        <v>-49115.6316349615</v>
      </c>
      <c r="H13" s="609" t="n">
        <f aca="false">XNPV('Project Assumptions'!$I$56,$B$11:H11,$B$6:H6)</f>
        <v>-36044.3437786972</v>
      </c>
      <c r="I13" s="609" t="n">
        <f aca="false">XNPV('Project Assumptions'!$I$56,$B$11:I11,$B$6:I6)</f>
        <v>-27208.9509176039</v>
      </c>
      <c r="J13" s="609" t="n">
        <f aca="false">XNPV('Project Assumptions'!$I$56,$B$11:J11,$B$6:J6)</f>
        <v>-19013.0873591812</v>
      </c>
      <c r="K13" s="609" t="n">
        <f aca="false">XNPV('Project Assumptions'!$I$56,$B$11:K11,$B$6:K6)</f>
        <v>-13488.7838830022</v>
      </c>
      <c r="L13" s="609" t="n">
        <f aca="false">XNPV('Project Assumptions'!$I$56,$B$11:L11,$B$6:L6)</f>
        <v>-9488.34374385719</v>
      </c>
      <c r="M13" s="609" t="n">
        <f aca="false">XNPV('Project Assumptions'!$I$56,$B$11:M11,$B$6:M6)</f>
        <v>-1473.26651585855</v>
      </c>
      <c r="N13" s="609" t="n">
        <f aca="false">XNPV('Project Assumptions'!$I$56,$B$11:N11,$B$6:N6)</f>
        <v>5551.59216684978</v>
      </c>
      <c r="O13" s="609" t="n">
        <f aca="false">XNPV('Project Assumptions'!$I$56,$B$11:O11,$B$6:O6)</f>
        <v>11946.5913740172</v>
      </c>
      <c r="P13" s="609" t="n">
        <f aca="false">XNPV('Project Assumptions'!$I$56,$B$11:P11,$B$6:P6)</f>
        <v>17766.6040690687</v>
      </c>
      <c r="Q13" s="609" t="n">
        <f aca="false">XNPV('Project Assumptions'!$I$56,$B$11:Q11,$B$6:Q6)</f>
        <v>23066.8717400531</v>
      </c>
      <c r="R13" s="609" t="n">
        <f aca="false">XNPV('Project Assumptions'!$I$56,$B$11:R11,$B$6:R6)</f>
        <v>27382.5975561972</v>
      </c>
      <c r="S13" s="609" t="n">
        <f aca="false">XNPV('Project Assumptions'!$I$56,$B$11:S11,$B$6:S6)</f>
        <v>30107.6228024213</v>
      </c>
      <c r="T13" s="609" t="n">
        <f aca="false">XNPV('Project Assumptions'!$I$56,$B$11:T11,$B$6:T6)</f>
        <v>32367.3136839533</v>
      </c>
      <c r="U13" s="609" t="n">
        <f aca="false">XNPV('Project Assumptions'!$I$56,$B$11:U11,$B$6:U6)</f>
        <v>34127.2709283983</v>
      </c>
      <c r="V13" s="609" t="n">
        <f aca="false">XNPV('Project Assumptions'!$I$56,$B$11:V11,$B$6:V6)</f>
        <v>35506.7453797419</v>
      </c>
      <c r="W13" s="609" t="n">
        <f aca="false">XNPV('Project Assumptions'!$I$56,$B$11:W11,$B$6:W6)</f>
        <v>36647.8955151645</v>
      </c>
      <c r="X13" s="609" t="n">
        <f aca="false">XNPV('Project Assumptions'!$I$56,$B$11:X11,$B$6:X6)</f>
        <v>36647.8955151645</v>
      </c>
      <c r="Y13" s="609" t="n">
        <f aca="false">XNPV('Project Assumptions'!$I$56,$B$11:Y11,$B$6:Y6)</f>
        <v>36647.8955151645</v>
      </c>
      <c r="Z13" s="609" t="n">
        <f aca="false">XNPV('Project Assumptions'!$I$56,$B$11:Z11,$B$6:Z6)</f>
        <v>36647.8955151645</v>
      </c>
      <c r="AA13" s="610" t="n">
        <f aca="false">XNPV('Project Assumptions'!$I$56,$B$11:AA11,$B$6:AA6)</f>
        <v>36647.8955151645</v>
      </c>
    </row>
    <row r="14" customFormat="false" ht="12.6" hidden="false" customHeight="true" outlineLevel="0" collapsed="false">
      <c r="A14" s="397"/>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402"/>
      <c r="AB14" s="371"/>
      <c r="AC14" s="37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customFormat="false" ht="12.6" hidden="false" customHeight="true" outlineLevel="0" collapsed="false">
      <c r="A15" s="421" t="s">
        <v>476</v>
      </c>
      <c r="B15" s="425" t="n">
        <f aca="false">-('Project Assumptions'!C8+'Project Assumptions'!C9)</f>
        <v>-255548.789</v>
      </c>
      <c r="C15" s="609" t="n">
        <f aca="false">+'Cash Flow Statement'!D21+'Cash Flow Statement'!D18+'Cash Flow Statement'!D14+'Cash Flow Statement'!D13+'Cash Flow Statement'!D11</f>
        <v>29308.9950489068</v>
      </c>
      <c r="D15" s="609" t="n">
        <f aca="false">+'Cash Flow Statement'!E21+'Cash Flow Statement'!E18+'Cash Flow Statement'!E14+'Cash Flow Statement'!E13+'Cash Flow Statement'!E11</f>
        <v>40341.3675626314</v>
      </c>
      <c r="E15" s="609" t="n">
        <f aca="false">+'Cash Flow Statement'!F21+'Cash Flow Statement'!F18+'Cash Flow Statement'!F14+'Cash Flow Statement'!F13+'Cash Flow Statement'!F11</f>
        <v>39769.5628814248</v>
      </c>
      <c r="F15" s="609" t="n">
        <f aca="false">+'Cash Flow Statement'!G21+'Cash Flow Statement'!G18+'Cash Flow Statement'!G14+'Cash Flow Statement'!G13+'Cash Flow Statement'!G11</f>
        <v>49099.6066044389</v>
      </c>
      <c r="G15" s="609" t="n">
        <f aca="false">+'Cash Flow Statement'!H21+'Cash Flow Statement'!H18+'Cash Flow Statement'!H14+'Cash Flow Statement'!H13+'Cash Flow Statement'!H11</f>
        <v>55972.3976188477</v>
      </c>
      <c r="H15" s="609" t="n">
        <f aca="false">+'Cash Flow Statement'!I21+'Cash Flow Statement'!I18+'Cash Flow Statement'!I14+'Cash Flow Statement'!I13+'Cash Flow Statement'!I11</f>
        <v>56743.3749133312</v>
      </c>
      <c r="I15" s="609" t="n">
        <f aca="false">+'Cash Flow Statement'!J21+'Cash Flow Statement'!J18+'Cash Flow Statement'!J14+'Cash Flow Statement'!J13+'Cash Flow Statement'!J11</f>
        <v>55955.6022631247</v>
      </c>
      <c r="J15" s="609" t="n">
        <f aca="false">+'Cash Flow Statement'!K21+'Cash Flow Statement'!K18+'Cash Flow Statement'!K14+'Cash Flow Statement'!K13+'Cash Flow Statement'!K11</f>
        <v>55832.985783291</v>
      </c>
      <c r="K15" s="609" t="n">
        <f aca="false">+'Cash Flow Statement'!L21+'Cash Flow Statement'!L18+'Cash Flow Statement'!L14+'Cash Flow Statement'!L13+'Cash Flow Statement'!L11</f>
        <v>55700.9758290491</v>
      </c>
      <c r="L15" s="609" t="n">
        <f aca="false">+'Cash Flow Statement'!M21+'Cash Flow Statement'!M18+'Cash Flow Statement'!M14+'Cash Flow Statement'!M13+'Cash Flow Statement'!M11</f>
        <v>55147.1713143675</v>
      </c>
      <c r="M15" s="609" t="n">
        <f aca="false">+'Cash Flow Statement'!N21+'Cash Flow Statement'!N18+'Cash Flow Statement'!N14+'Cash Flow Statement'!N13+'Cash Flow Statement'!N11</f>
        <v>54336.5226458952</v>
      </c>
      <c r="N15" s="609" t="n">
        <f aca="false">+'Cash Flow Statement'!O21+'Cash Flow Statement'!O18+'Cash Flow Statement'!O14+'Cash Flow Statement'!O13+'Cash Flow Statement'!O11</f>
        <v>54500.9143633991</v>
      </c>
      <c r="O15" s="609" t="n">
        <f aca="false">+'Cash Flow Statement'!P21+'Cash Flow Statement'!P18+'Cash Flow Statement'!P14+'Cash Flow Statement'!P13+'Cash Flow Statement'!P11</f>
        <v>54570.5802163746</v>
      </c>
      <c r="P15" s="609" t="n">
        <f aca="false">+'Cash Flow Statement'!Q21+'Cash Flow Statement'!Q18+'Cash Flow Statement'!Q14+'Cash Flow Statement'!Q13+'Cash Flow Statement'!Q11</f>
        <v>54625.6021595886</v>
      </c>
      <c r="Q15" s="609" t="n">
        <f aca="false">+'Cash Flow Statement'!R21+'Cash Flow Statement'!R18+'Cash Flow Statement'!R14+'Cash Flow Statement'!R13+'Cash Flow Statement'!R11</f>
        <v>54705.5783121006</v>
      </c>
      <c r="R15" s="609" t="n">
        <f aca="false">+'Cash Flow Statement'!S21+'Cash Flow Statement'!S18+'Cash Flow Statement'!S14+'Cash Flow Statement'!S13+'Cash Flow Statement'!S11</f>
        <v>54725.6618144573</v>
      </c>
      <c r="S15" s="609" t="n">
        <f aca="false">+'Cash Flow Statement'!T21+'Cash Flow Statement'!T18+'Cash Flow Statement'!T14+'Cash Flow Statement'!T13+'Cash Flow Statement'!T11</f>
        <v>54726.3645201054</v>
      </c>
      <c r="T15" s="609" t="n">
        <f aca="false">+'Cash Flow Statement'!U21+'Cash Flow Statement'!U18+'Cash Flow Statement'!U14+'Cash Flow Statement'!U13+'Cash Flow Statement'!U11</f>
        <v>54302.5173152878</v>
      </c>
      <c r="U15" s="609" t="n">
        <f aca="false">+'Cash Flow Statement'!V21+'Cash Flow Statement'!V18+'Cash Flow Statement'!V14+'Cash Flow Statement'!V13+'Cash Flow Statement'!V11</f>
        <v>53735.9245374545</v>
      </c>
      <c r="V15" s="609" t="n">
        <f aca="false">+'Cash Flow Statement'!W21+'Cash Flow Statement'!W18+'Cash Flow Statement'!W14+'Cash Flow Statement'!W13+'Cash Flow Statement'!W11</f>
        <v>51656.0280254866</v>
      </c>
      <c r="W15" s="609" t="n">
        <f aca="false">+'Cash Flow Statement'!X21+'Cash Flow Statement'!X18+'Cash Flow Statement'!X14+'Cash Flow Statement'!X13+'Cash Flow Statement'!X11</f>
        <v>19522.8981464735</v>
      </c>
      <c r="X15" s="609" t="n">
        <f aca="false">+'Cash Flow Statement'!Y21+'Cash Flow Statement'!Y18+'Cash Flow Statement'!Y14+'Cash Flow Statement'!Y13+'Cash Flow Statement'!Y11</f>
        <v>0</v>
      </c>
      <c r="Y15" s="609" t="n">
        <f aca="false">+'Cash Flow Statement'!Z21+'Cash Flow Statement'!Z18+'Cash Flow Statement'!Z14+'Cash Flow Statement'!Z13+'Cash Flow Statement'!Z11</f>
        <v>0</v>
      </c>
      <c r="Z15" s="609" t="n">
        <f aca="false">+'Cash Flow Statement'!AA21+'Cash Flow Statement'!AA18+'Cash Flow Statement'!AA14+'Cash Flow Statement'!AA13+'Cash Flow Statement'!AA11</f>
        <v>0</v>
      </c>
      <c r="AA15" s="610" t="n">
        <f aca="false">+'Cash Flow Statement'!AB21+'Cash Flow Statement'!AB18+'Cash Flow Statement'!AB14+'Cash Flow Statement'!AB13+'Cash Flow Statement'!AB11</f>
        <v>0</v>
      </c>
    </row>
    <row r="16" customFormat="false" ht="12.6" hidden="false" customHeight="true" outlineLevel="0" collapsed="false">
      <c r="A16" s="397" t="s">
        <v>477</v>
      </c>
      <c r="B16" s="371"/>
      <c r="C16" s="607" t="n">
        <f aca="false">XIRR($B$15:C15,$B$6:C6)</f>
        <v>-0.975543657385869</v>
      </c>
      <c r="D16" s="607" t="n">
        <f aca="false">XIRR($B$15:D15,$B$6:D6)</f>
        <v>-0.638912065602077</v>
      </c>
      <c r="E16" s="607" t="n">
        <f aca="false">XIRR($B$15:E15,$B$6:E6)</f>
        <v>-0.372669850074447</v>
      </c>
      <c r="F16" s="607" t="n">
        <f aca="false">XIRR($B$15:F15,$B$6:F6)</f>
        <v>-0.181299806175279</v>
      </c>
      <c r="G16" s="607" t="n">
        <f aca="false">XIRR($B$15:G15,$B$6:G6)</f>
        <v>-0.0580074527821235</v>
      </c>
      <c r="H16" s="607" t="n">
        <f aca="false">XIRR($B$15:H15,$B$6:H6)</f>
        <v>0.0175859128799102</v>
      </c>
      <c r="I16" s="607" t="n">
        <f aca="false">XIRR($B$15:I15,$B$6:I6)</f>
        <v>0.06610947054193</v>
      </c>
      <c r="J16" s="607" t="n">
        <f aca="false">XIRR($B$15:J15,$B$6:J6)</f>
        <v>0.0992339019198115</v>
      </c>
      <c r="K16" s="607" t="n">
        <f aca="false">XIRR($B$15:K15,$B$6:K6)</f>
        <v>0.122623734444344</v>
      </c>
      <c r="L16" s="607" t="n">
        <f aca="false">XIRR($B$15:L15,$B$6:L6)</f>
        <v>0.139472408801919</v>
      </c>
      <c r="M16" s="607" t="n">
        <f aca="false">XIRR($B$15:M15,$B$6:M6)</f>
        <v>0.151828204162798</v>
      </c>
      <c r="N16" s="607" t="n">
        <f aca="false">XIRR($B$15:N15,$B$6:N6)</f>
        <v>0.161214848086587</v>
      </c>
      <c r="O16" s="607" t="n">
        <f aca="false">XIRR($B$15:O15,$B$6:O6)</f>
        <v>0.168426858401144</v>
      </c>
      <c r="P16" s="607" t="n">
        <f aca="false">XIRR($B$15:P15,$B$6:P6)</f>
        <v>0.174033045294922</v>
      </c>
      <c r="Q16" s="607" t="n">
        <f aca="false">XIRR($B$15:Q15,$B$6:Q6)</f>
        <v>0.178435878647605</v>
      </c>
      <c r="R16" s="607" t="n">
        <f aca="false">XIRR($B$15:R15,$B$6:R6)</f>
        <v>0.181919002043499</v>
      </c>
      <c r="S16" s="607" t="n">
        <f aca="false">XIRR($B$15:S15,$B$6:S6)</f>
        <v>0.184692371117652</v>
      </c>
      <c r="T16" s="607" t="n">
        <f aca="false">XIRR($B$15:T15,$B$6:T6)</f>
        <v>0.186898664613183</v>
      </c>
      <c r="U16" s="607" t="n">
        <f aca="false">XIRR($B$15:U15,$B$6:U6)</f>
        <v>0.188659210449081</v>
      </c>
      <c r="V16" s="607" t="n">
        <f aca="false">XIRR($B$15:V15,$B$6:V6)</f>
        <v>0.190031428575879</v>
      </c>
      <c r="W16" s="607" t="n">
        <f aca="false">XIRR($B$15:W15,$B$6:W6)</f>
        <v>0.190457456649162</v>
      </c>
      <c r="X16" s="607" t="n">
        <f aca="false">XIRR($B$15:X15,$B$6:X6)</f>
        <v>0.190457456649162</v>
      </c>
      <c r="Y16" s="607" t="n">
        <f aca="false">XIRR($B$15:Y15,$B$6:Y6)</f>
        <v>0.190457456649162</v>
      </c>
      <c r="Z16" s="607" t="n">
        <f aca="false">XIRR($B$15:Z15,$B$6:Z6)</f>
        <v>0.190457456649162</v>
      </c>
      <c r="AA16" s="608" t="n">
        <f aca="false">XIRR($B$15:AA15,$B$6:AA6)</f>
        <v>0.190457456649162</v>
      </c>
      <c r="AB16" s="371"/>
      <c r="AC16" s="37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customFormat="false" ht="12.6" hidden="false" customHeight="true" outlineLevel="0" collapsed="false">
      <c r="A17" s="397" t="s">
        <v>478</v>
      </c>
      <c r="B17" s="432"/>
      <c r="C17" s="609" t="n">
        <f aca="false">XNPV('Project Assumptions'!$I$56,$B$15:C15,$B$6:C6)</f>
        <v>-228115.417966149</v>
      </c>
      <c r="D17" s="609" t="n">
        <f aca="false">XNPV('Project Assumptions'!$I$56,$B$15:D15,$B$6:D6)</f>
        <v>-194401.374397421</v>
      </c>
      <c r="E17" s="609" t="n">
        <f aca="false">XNPV('Project Assumptions'!$I$56,$B$15:E15,$B$6:E6)</f>
        <v>-164726.217624148</v>
      </c>
      <c r="F17" s="609" t="n">
        <f aca="false">XNPV('Project Assumptions'!$I$56,$B$15:F15,$B$6:F6)</f>
        <v>-132014.586948263</v>
      </c>
      <c r="G17" s="609" t="n">
        <f aca="false">XNPV('Project Assumptions'!$I$56,$B$15:G15,$B$6:G6)</f>
        <v>-98729.8425815471</v>
      </c>
      <c r="H17" s="609" t="n">
        <f aca="false">XNPV('Project Assumptions'!$I$56,$B$15:H15,$B$6:H6)</f>
        <v>-68601.9707445426</v>
      </c>
      <c r="I17" s="609" t="n">
        <f aca="false">XNPV('Project Assumptions'!$I$56,$B$15:I15,$B$6:I6)</f>
        <v>-42075.5383617705</v>
      </c>
      <c r="J17" s="609" t="n">
        <f aca="false">XNPV('Project Assumptions'!$I$56,$B$15:J15,$B$6:J6)</f>
        <v>-18443.1235829154</v>
      </c>
      <c r="K17" s="609" t="n">
        <f aca="false">XNPV('Project Assumptions'!$I$56,$B$15:K15,$B$6:K6)</f>
        <v>2600.82268842572</v>
      </c>
      <c r="L17" s="609" t="n">
        <f aca="false">XNPV('Project Assumptions'!$I$56,$B$15:L15,$B$6:L6)</f>
        <v>21203.2492566672</v>
      </c>
      <c r="M17" s="609" t="n">
        <f aca="false">XNPV('Project Assumptions'!$I$56,$B$15:M15,$B$6:M6)</f>
        <v>37568.406286271</v>
      </c>
      <c r="N17" s="609" t="n">
        <f aca="false">XNPV('Project Assumptions'!$I$56,$B$15:N15,$B$6:N6)</f>
        <v>52224.3605528904</v>
      </c>
      <c r="O17" s="609" t="n">
        <f aca="false">XNPV('Project Assumptions'!$I$56,$B$15:O15,$B$6:O6)</f>
        <v>65322.6932546912</v>
      </c>
      <c r="P17" s="609" t="n">
        <f aca="false">XNPV('Project Assumptions'!$I$56,$B$15:P15,$B$6:P6)</f>
        <v>77029.4248378586</v>
      </c>
      <c r="Q17" s="609" t="n">
        <f aca="false">XNPV('Project Assumptions'!$I$56,$B$15:Q15,$B$6:Q6)</f>
        <v>87497.1669392034</v>
      </c>
      <c r="R17" s="609" t="n">
        <f aca="false">XNPV('Project Assumptions'!$I$56,$B$15:R15,$B$6:R6)</f>
        <v>96846.7964186651</v>
      </c>
      <c r="S17" s="609" t="n">
        <f aca="false">XNPV('Project Assumptions'!$I$56,$B$15:S15,$B$6:S6)</f>
        <v>105192.195512083</v>
      </c>
      <c r="T17" s="609" t="n">
        <f aca="false">XNPV('Project Assumptions'!$I$56,$B$15:T15,$B$6:T6)</f>
        <v>112585.735933388</v>
      </c>
      <c r="U17" s="609" t="n">
        <f aca="false">XNPV('Project Assumptions'!$I$56,$B$15:U15,$B$6:U6)</f>
        <v>119118.23252093</v>
      </c>
      <c r="V17" s="609" t="n">
        <f aca="false">XNPV('Project Assumptions'!$I$56,$B$15:V15,$B$6:V6)</f>
        <v>124725.063347977</v>
      </c>
      <c r="W17" s="609" t="n">
        <f aca="false">XNPV('Project Assumptions'!$I$56,$B$15:W15,$B$6:W6)</f>
        <v>126616.482862045</v>
      </c>
      <c r="X17" s="609" t="n">
        <f aca="false">XNPV('Project Assumptions'!$I$56,$B$15:X15,$B$6:X6)</f>
        <v>126616.482862045</v>
      </c>
      <c r="Y17" s="609" t="n">
        <f aca="false">XNPV('Project Assumptions'!$I$56,$B$15:Y15,$B$6:Y6)</f>
        <v>126616.482862045</v>
      </c>
      <c r="Z17" s="609" t="n">
        <f aca="false">XNPV('Project Assumptions'!$I$56,$B$15:Z15,$B$6:Z6)</f>
        <v>126616.482862045</v>
      </c>
      <c r="AA17" s="610" t="n">
        <f aca="false">XNPV('Project Assumptions'!$I$56,$B$15:AA15,$B$6:AA6)</f>
        <v>126616.482862045</v>
      </c>
    </row>
    <row r="18" customFormat="false" ht="12.6" hidden="false" customHeight="true" outlineLevel="0" collapsed="false">
      <c r="A18" s="397" t="s">
        <v>479</v>
      </c>
      <c r="B18" s="611" t="n">
        <v>0.12</v>
      </c>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402"/>
      <c r="AB18" s="371"/>
      <c r="AC18" s="37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customFormat="false" ht="12.6" hidden="false" customHeight="true" outlineLevel="0" collapsed="false">
      <c r="A19" s="387" t="s">
        <v>480</v>
      </c>
      <c r="B19" s="612" t="n">
        <f aca="false">NPV(B18,C11:E11)</f>
        <v>978.04395815357</v>
      </c>
      <c r="C19" s="432"/>
      <c r="D19" s="613" t="s">
        <v>352</v>
      </c>
      <c r="E19" s="613" t="n">
        <f aca="false">E15</f>
        <v>39769.5628814248</v>
      </c>
      <c r="F19" s="432"/>
      <c r="G19" s="432"/>
      <c r="H19" s="432"/>
      <c r="I19" s="432"/>
      <c r="J19" s="432"/>
      <c r="K19" s="432"/>
      <c r="L19" s="432"/>
      <c r="M19" s="432"/>
      <c r="N19" s="432"/>
      <c r="O19" s="432"/>
      <c r="P19" s="432"/>
      <c r="Q19" s="432"/>
      <c r="R19" s="432"/>
      <c r="S19" s="432"/>
      <c r="T19" s="432"/>
      <c r="U19" s="432"/>
      <c r="V19" s="432"/>
      <c r="W19" s="432"/>
      <c r="X19" s="432"/>
      <c r="Y19" s="432"/>
      <c r="Z19" s="432"/>
      <c r="AA19" s="435"/>
    </row>
    <row r="20" customFormat="false" ht="12.75" hidden="false" customHeight="false" outlineLevel="0" collapsed="false">
      <c r="A20" s="499" t="s">
        <v>481</v>
      </c>
      <c r="B20" s="469"/>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470"/>
    </row>
    <row r="21" customFormat="false" ht="12.6" hidden="false" customHeight="true" outlineLevel="0" collapsed="false">
      <c r="A21" s="422"/>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row>
    <row r="22" customFormat="false" ht="15.75" hidden="false" customHeight="false" outlineLevel="0" collapsed="false">
      <c r="A22" s="418" t="s">
        <v>482</v>
      </c>
      <c r="B22" s="367"/>
      <c r="C22" s="367"/>
      <c r="D22" s="367"/>
      <c r="E22" s="367"/>
      <c r="F22" s="367"/>
      <c r="G22" s="367"/>
      <c r="H22" s="367"/>
      <c r="I22" s="367"/>
      <c r="J22" s="367"/>
      <c r="K22" s="367"/>
      <c r="L22" s="367"/>
      <c r="M22" s="367"/>
      <c r="N22" s="367"/>
      <c r="O22" s="367"/>
      <c r="P22" s="367"/>
      <c r="Q22" s="367"/>
      <c r="R22" s="367"/>
      <c r="S22" s="367"/>
      <c r="T22" s="367"/>
      <c r="U22" s="367"/>
      <c r="V22" s="367"/>
      <c r="W22" s="367"/>
      <c r="X22" s="367"/>
      <c r="Y22" s="367"/>
      <c r="Z22" s="367"/>
      <c r="AA22" s="502"/>
      <c r="AB22" s="371"/>
      <c r="AC22" s="371"/>
      <c r="AD22" s="371"/>
      <c r="AE22" s="371"/>
      <c r="AF22" s="371"/>
      <c r="AG22" s="371"/>
      <c r="AH22" s="371"/>
      <c r="AI22" s="371"/>
      <c r="AJ22" s="371"/>
      <c r="AK22" s="371"/>
      <c r="AL22" s="371"/>
      <c r="AM22" s="371"/>
      <c r="AN22" s="371"/>
      <c r="AO22" s="371"/>
      <c r="AP22" s="371"/>
      <c r="AQ22" s="371"/>
      <c r="AR22" s="371"/>
      <c r="AS22" s="371"/>
      <c r="AT22" s="371"/>
      <c r="AU22" s="371"/>
      <c r="AV22" s="371"/>
      <c r="AW22" s="371"/>
      <c r="AX22" s="371"/>
      <c r="AY22" s="371"/>
      <c r="AZ22" s="371"/>
      <c r="BA22" s="371"/>
      <c r="BB22" s="371"/>
      <c r="BC22" s="371"/>
      <c r="BD22" s="371"/>
      <c r="BE22" s="371"/>
      <c r="BF22" s="371"/>
      <c r="BG22" s="371"/>
      <c r="BH22" s="371"/>
      <c r="BI22" s="371"/>
      <c r="BJ22" s="371"/>
      <c r="BK22" s="371"/>
      <c r="BL22" s="371"/>
      <c r="BM22" s="371"/>
      <c r="BN22" s="371"/>
      <c r="BO22" s="371"/>
      <c r="BP22" s="371"/>
      <c r="BQ22" s="371"/>
      <c r="BR22" s="371"/>
      <c r="BS22" s="371"/>
      <c r="BT22" s="371"/>
      <c r="BU22" s="371"/>
      <c r="BV22" s="371"/>
      <c r="BW22" s="371"/>
      <c r="BX22" s="371"/>
      <c r="BY22" s="371"/>
      <c r="BZ22" s="371"/>
      <c r="CA22" s="371"/>
      <c r="CB22" s="371"/>
      <c r="CC22" s="371"/>
      <c r="CD22" s="371"/>
      <c r="CE22" s="371"/>
      <c r="CF22" s="371"/>
      <c r="CG22" s="371"/>
      <c r="CH22" s="371"/>
      <c r="CI22" s="371"/>
      <c r="CJ22" s="371"/>
      <c r="CK22" s="371"/>
      <c r="CL22" s="371"/>
      <c r="CM22" s="371"/>
      <c r="CN22" s="371"/>
      <c r="CO22" s="371"/>
      <c r="CP22" s="371"/>
      <c r="CQ22" s="371"/>
      <c r="CR22" s="371"/>
      <c r="CS22" s="371"/>
      <c r="CT22" s="371"/>
      <c r="CU22" s="371"/>
      <c r="CV22" s="371"/>
      <c r="CW22" s="371"/>
      <c r="CX22" s="371"/>
      <c r="CY22" s="371"/>
      <c r="CZ22" s="371"/>
      <c r="DA22" s="371"/>
      <c r="DB22" s="371"/>
      <c r="DC22" s="371"/>
      <c r="DD22" s="371"/>
      <c r="DE22" s="371"/>
      <c r="DF22" s="371"/>
      <c r="DG22" s="371"/>
      <c r="DH22" s="371"/>
      <c r="DI22" s="371"/>
      <c r="DJ22" s="371"/>
      <c r="DK22" s="371"/>
      <c r="DL22" s="371"/>
      <c r="DM22" s="371"/>
      <c r="DN22" s="371"/>
      <c r="DO22" s="371"/>
      <c r="DP22" s="371"/>
      <c r="DQ22" s="371"/>
      <c r="DR22" s="371"/>
      <c r="DS22" s="371"/>
      <c r="DT22" s="371"/>
      <c r="DU22" s="371"/>
      <c r="DV22" s="371"/>
      <c r="DW22" s="371"/>
      <c r="DX22" s="371"/>
      <c r="DY22" s="371"/>
      <c r="DZ22" s="371"/>
      <c r="EA22" s="371"/>
      <c r="EB22" s="371"/>
      <c r="EC22" s="371"/>
      <c r="ED22" s="371"/>
      <c r="EE22" s="371"/>
      <c r="EF22" s="371"/>
      <c r="EG22" s="371"/>
      <c r="EH22" s="371"/>
      <c r="EI22" s="371"/>
      <c r="EJ22" s="371"/>
      <c r="EK22" s="371"/>
      <c r="EL22" s="371"/>
      <c r="EM22" s="371"/>
      <c r="EN22" s="371"/>
      <c r="EO22" s="371"/>
      <c r="EP22" s="371"/>
      <c r="EQ22" s="371"/>
      <c r="ER22" s="371"/>
      <c r="ES22" s="371"/>
      <c r="ET22" s="371"/>
      <c r="EU22" s="371"/>
      <c r="EV22" s="371"/>
      <c r="EW22" s="371"/>
      <c r="EX22" s="371"/>
      <c r="EY22" s="371"/>
      <c r="EZ22" s="371"/>
      <c r="FA22" s="371"/>
      <c r="FB22" s="371"/>
      <c r="FC22" s="371"/>
      <c r="FD22" s="371"/>
      <c r="FE22" s="371"/>
      <c r="FF22" s="371"/>
      <c r="FG22" s="371"/>
      <c r="FH22" s="371"/>
      <c r="FI22" s="371"/>
      <c r="FJ22" s="371"/>
      <c r="FK22" s="371"/>
      <c r="FL22" s="371"/>
      <c r="FM22" s="371"/>
      <c r="FN22" s="371"/>
      <c r="FO22" s="371"/>
      <c r="FP22" s="371"/>
      <c r="FQ22" s="371"/>
      <c r="FR22" s="371"/>
      <c r="FS22" s="371"/>
      <c r="FT22" s="371"/>
      <c r="FU22" s="371"/>
      <c r="FV22" s="371"/>
      <c r="FW22" s="371"/>
      <c r="FX22" s="371"/>
      <c r="FY22" s="371"/>
      <c r="FZ22" s="371"/>
      <c r="GA22" s="371"/>
      <c r="GB22" s="371"/>
      <c r="GC22" s="371"/>
      <c r="GD22" s="371"/>
      <c r="GE22" s="371"/>
      <c r="GF22" s="371"/>
      <c r="GG22" s="371"/>
      <c r="GH22" s="371"/>
      <c r="GI22" s="371"/>
      <c r="GJ22" s="371"/>
      <c r="GK22" s="371"/>
      <c r="GL22" s="371"/>
      <c r="GM22" s="371"/>
      <c r="GN22" s="371"/>
      <c r="GO22" s="371"/>
      <c r="GP22" s="371"/>
      <c r="GQ22" s="371"/>
      <c r="GR22" s="371"/>
      <c r="GS22" s="371"/>
      <c r="GT22" s="371"/>
      <c r="GU22" s="371"/>
      <c r="GV22" s="371"/>
      <c r="GW22" s="371"/>
      <c r="GX22" s="371"/>
      <c r="GY22" s="371"/>
      <c r="GZ22" s="371"/>
      <c r="HA22" s="371"/>
      <c r="HB22" s="371"/>
      <c r="HC22" s="371"/>
      <c r="HD22" s="371"/>
      <c r="HE22" s="371"/>
      <c r="HF22" s="371"/>
      <c r="HG22" s="371"/>
      <c r="HH22" s="371"/>
      <c r="HI22" s="371"/>
      <c r="HJ22" s="371"/>
      <c r="HK22" s="371"/>
      <c r="HL22" s="371"/>
      <c r="HM22" s="371"/>
      <c r="HN22" s="371"/>
      <c r="HO22" s="371"/>
      <c r="HP22" s="371"/>
      <c r="HQ22" s="371"/>
      <c r="HR22" s="371"/>
      <c r="HS22" s="371"/>
      <c r="HT22" s="371"/>
      <c r="HU22" s="371"/>
      <c r="HV22" s="371"/>
      <c r="HW22" s="371"/>
      <c r="HX22" s="371"/>
      <c r="HY22" s="371"/>
      <c r="HZ22" s="371"/>
      <c r="IA22" s="371"/>
      <c r="IB22" s="371"/>
      <c r="IC22" s="371"/>
      <c r="ID22" s="371"/>
      <c r="IE22" s="371"/>
      <c r="IF22" s="371"/>
      <c r="IG22" s="371"/>
      <c r="IH22" s="371"/>
      <c r="II22" s="371"/>
      <c r="IJ22" s="371"/>
      <c r="IK22" s="371"/>
      <c r="IL22" s="371"/>
      <c r="IM22" s="371"/>
      <c r="IN22" s="371"/>
      <c r="IO22" s="371"/>
      <c r="IP22" s="371"/>
      <c r="IQ22" s="371"/>
      <c r="IR22" s="371"/>
      <c r="IS22" s="371"/>
      <c r="IT22" s="371"/>
      <c r="IU22" s="371"/>
      <c r="IV22" s="371"/>
      <c r="IW22" s="371"/>
    </row>
    <row r="23" customFormat="false" ht="12.6" hidden="false" customHeight="true" outlineLevel="0" collapsed="false">
      <c r="A23" s="397" t="s">
        <v>483</v>
      </c>
      <c r="B23" s="425"/>
      <c r="C23" s="425" t="n">
        <f aca="false">'Debt Amortization'!E54</f>
        <v>21585.3351</v>
      </c>
      <c r="D23" s="425" t="n">
        <f aca="false">'Debt Amortization'!F54</f>
        <v>21087.769375</v>
      </c>
      <c r="E23" s="425" t="n">
        <f aca="false">'Debt Amortization'!G54</f>
        <v>23310.70365</v>
      </c>
      <c r="F23" s="425" t="n">
        <f aca="false">'Debt Amortization'!H54</f>
        <v>25327.696075</v>
      </c>
      <c r="G23" s="425" t="n">
        <f aca="false">'Debt Amortization'!I54</f>
        <v>19001.27665</v>
      </c>
      <c r="H23" s="425" t="n">
        <f aca="false">'Debt Amortization'!J54</f>
        <v>18427.733246</v>
      </c>
      <c r="I23" s="425" t="n">
        <f aca="false">'Debt Amortization'!K54</f>
        <v>18842.329842</v>
      </c>
      <c r="J23" s="425" t="n">
        <f aca="false">'Debt Amortization'!L54</f>
        <v>18187.956586</v>
      </c>
      <c r="K23" s="425" t="n">
        <f aca="false">'Debt Amortization'!M54</f>
        <v>22974.58333</v>
      </c>
      <c r="L23" s="425" t="n">
        <f aca="false">'Debt Amortization'!N54</f>
        <v>25616.966374</v>
      </c>
      <c r="M23" s="425" t="n">
        <f aca="false">'Debt Amortization'!O54</f>
        <v>10661.437716</v>
      </c>
      <c r="N23" s="425" t="n">
        <f aca="false">'Debt Amortization'!P54</f>
        <v>11326.258308</v>
      </c>
      <c r="O23" s="425" t="n">
        <f aca="false">'Debt Amortization'!Q54</f>
        <v>10922.109048</v>
      </c>
      <c r="P23" s="425" t="n">
        <f aca="false">'Debt Amortization'!R54</f>
        <v>10517.959788</v>
      </c>
      <c r="Q23" s="425" t="n">
        <f aca="false">'Debt Amortization'!S54</f>
        <v>10113.810528</v>
      </c>
      <c r="R23" s="425" t="n">
        <f aca="false">'Debt Amortization'!T54</f>
        <v>9709.661268</v>
      </c>
      <c r="S23" s="425" t="n">
        <f aca="false">'Debt Amortization'!U54</f>
        <v>14246.212008</v>
      </c>
      <c r="T23" s="425" t="n">
        <f aca="false">'Debt Amortization'!V54</f>
        <v>15414.193488</v>
      </c>
      <c r="U23" s="425" t="n">
        <f aca="false">'Debt Amortization'!W54</f>
        <v>17408.655264</v>
      </c>
      <c r="V23" s="425" t="n">
        <f aca="false">'Debt Amortization'!X54</f>
        <v>18172.487484</v>
      </c>
      <c r="W23" s="425" t="n">
        <f aca="false">'Debt Amortization'!Y54</f>
        <v>0</v>
      </c>
      <c r="X23" s="425" t="n">
        <f aca="false">'Debt Amortization'!Z54</f>
        <v>0</v>
      </c>
      <c r="Y23" s="425" t="n">
        <f aca="false">'Debt Amortization'!AA54</f>
        <v>0</v>
      </c>
      <c r="Z23" s="425" t="n">
        <f aca="false">'Debt Amortization'!AB54</f>
        <v>0</v>
      </c>
      <c r="AA23" s="426" t="n">
        <f aca="false">'Debt Amortization'!AC54</f>
        <v>0</v>
      </c>
      <c r="AB23" s="425"/>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c r="BC23" s="425"/>
      <c r="BD23" s="425"/>
      <c r="BE23" s="425"/>
      <c r="BF23" s="425"/>
      <c r="BG23" s="425"/>
      <c r="BH23" s="425"/>
      <c r="BI23" s="425"/>
      <c r="BJ23" s="425"/>
      <c r="BK23" s="425"/>
      <c r="BL23" s="425"/>
      <c r="BM23" s="425"/>
      <c r="BN23" s="425"/>
      <c r="BO23" s="425"/>
      <c r="BP23" s="425"/>
      <c r="BQ23" s="425"/>
      <c r="BR23" s="425"/>
      <c r="BS23" s="425"/>
      <c r="BT23" s="425"/>
      <c r="BU23" s="425"/>
      <c r="BV23" s="425"/>
      <c r="BW23" s="425"/>
      <c r="BX23" s="425"/>
      <c r="BY23" s="425"/>
      <c r="BZ23" s="425"/>
      <c r="CA23" s="425"/>
      <c r="CB23" s="425"/>
      <c r="CC23" s="425"/>
      <c r="CD23" s="425"/>
      <c r="CE23" s="425"/>
      <c r="CF23" s="425"/>
      <c r="CG23" s="425"/>
      <c r="CH23" s="425"/>
      <c r="CI23" s="425"/>
      <c r="CJ23" s="425"/>
      <c r="CK23" s="425"/>
      <c r="CL23" s="425"/>
      <c r="CM23" s="425"/>
      <c r="CN23" s="425"/>
      <c r="CO23" s="425"/>
      <c r="CP23" s="425"/>
      <c r="CQ23" s="425"/>
      <c r="CR23" s="425"/>
      <c r="CS23" s="425"/>
      <c r="CT23" s="425"/>
      <c r="CU23" s="425"/>
      <c r="CV23" s="425"/>
      <c r="CW23" s="425"/>
      <c r="CX23" s="425"/>
      <c r="CY23" s="425"/>
      <c r="CZ23" s="425"/>
      <c r="DA23" s="425"/>
      <c r="DB23" s="425"/>
      <c r="DC23" s="425"/>
      <c r="DD23" s="425"/>
      <c r="DE23" s="425"/>
      <c r="DF23" s="425"/>
      <c r="DG23" s="425"/>
      <c r="DH23" s="425"/>
      <c r="DI23" s="425"/>
      <c r="DJ23" s="425"/>
      <c r="DK23" s="425"/>
      <c r="DL23" s="425"/>
      <c r="DM23" s="425"/>
      <c r="DN23" s="425"/>
      <c r="DO23" s="425"/>
      <c r="DP23" s="425"/>
      <c r="DQ23" s="425"/>
      <c r="DR23" s="425"/>
      <c r="DS23" s="425"/>
      <c r="DT23" s="425"/>
      <c r="DU23" s="425"/>
      <c r="DV23" s="425"/>
      <c r="DW23" s="425"/>
      <c r="DX23" s="425"/>
      <c r="DY23" s="425"/>
      <c r="DZ23" s="425"/>
      <c r="EA23" s="425"/>
      <c r="EB23" s="425"/>
      <c r="EC23" s="425"/>
      <c r="ED23" s="425"/>
      <c r="EE23" s="425"/>
      <c r="EF23" s="425"/>
      <c r="EG23" s="425"/>
      <c r="EH23" s="425"/>
      <c r="EI23" s="425"/>
      <c r="EJ23" s="425"/>
      <c r="EK23" s="425"/>
      <c r="EL23" s="425"/>
      <c r="EM23" s="425"/>
      <c r="EN23" s="425"/>
      <c r="EO23" s="425"/>
      <c r="EP23" s="425"/>
      <c r="EQ23" s="425"/>
      <c r="ER23" s="425"/>
      <c r="ES23" s="425"/>
      <c r="ET23" s="425"/>
      <c r="EU23" s="425"/>
      <c r="EV23" s="425"/>
      <c r="EW23" s="425"/>
      <c r="EX23" s="425"/>
      <c r="EY23" s="425"/>
      <c r="EZ23" s="425"/>
      <c r="FA23" s="425"/>
      <c r="FB23" s="425"/>
      <c r="FC23" s="425"/>
      <c r="FD23" s="425"/>
      <c r="FE23" s="425"/>
      <c r="FF23" s="425"/>
      <c r="FG23" s="425"/>
      <c r="FH23" s="425"/>
      <c r="FI23" s="425"/>
      <c r="FJ23" s="425"/>
      <c r="FK23" s="425"/>
      <c r="FL23" s="425"/>
      <c r="FM23" s="425"/>
      <c r="FN23" s="425"/>
      <c r="FO23" s="425"/>
      <c r="FP23" s="425"/>
      <c r="FQ23" s="425"/>
      <c r="FR23" s="425"/>
      <c r="FS23" s="425"/>
      <c r="FT23" s="425"/>
      <c r="FU23" s="425"/>
      <c r="FV23" s="425"/>
      <c r="FW23" s="425"/>
      <c r="FX23" s="425"/>
      <c r="FY23" s="425"/>
      <c r="FZ23" s="425"/>
      <c r="GA23" s="425"/>
      <c r="GB23" s="425"/>
      <c r="GC23" s="425"/>
      <c r="GD23" s="425"/>
      <c r="GE23" s="425"/>
      <c r="GF23" s="425"/>
      <c r="GG23" s="425"/>
      <c r="GH23" s="425"/>
      <c r="GI23" s="425"/>
      <c r="GJ23" s="425"/>
      <c r="GK23" s="425"/>
      <c r="GL23" s="425"/>
      <c r="GM23" s="425"/>
      <c r="GN23" s="425"/>
      <c r="GO23" s="425"/>
      <c r="GP23" s="425"/>
      <c r="GQ23" s="425"/>
      <c r="GR23" s="425"/>
      <c r="GS23" s="425"/>
      <c r="GT23" s="425"/>
      <c r="GU23" s="425"/>
      <c r="GV23" s="425"/>
      <c r="GW23" s="425"/>
      <c r="GX23" s="425"/>
      <c r="GY23" s="425"/>
      <c r="GZ23" s="425"/>
      <c r="HA23" s="425"/>
      <c r="HB23" s="425"/>
      <c r="HC23" s="425"/>
      <c r="HD23" s="425"/>
      <c r="HE23" s="425"/>
      <c r="HF23" s="425"/>
      <c r="HG23" s="425"/>
      <c r="HH23" s="425"/>
      <c r="HI23" s="425"/>
      <c r="HJ23" s="425"/>
      <c r="HK23" s="425"/>
      <c r="HL23" s="425"/>
      <c r="HM23" s="425"/>
      <c r="HN23" s="425"/>
      <c r="HO23" s="425"/>
      <c r="HP23" s="425"/>
      <c r="HQ23" s="425"/>
      <c r="HR23" s="425"/>
      <c r="HS23" s="425"/>
      <c r="HT23" s="425"/>
      <c r="HU23" s="425"/>
      <c r="HV23" s="425"/>
      <c r="HW23" s="425"/>
      <c r="HX23" s="425"/>
      <c r="HY23" s="425"/>
      <c r="HZ23" s="425"/>
      <c r="IA23" s="425"/>
      <c r="IB23" s="425"/>
      <c r="IC23" s="425"/>
      <c r="ID23" s="425"/>
      <c r="IE23" s="425"/>
      <c r="IF23" s="425"/>
      <c r="IG23" s="425"/>
      <c r="IH23" s="425"/>
      <c r="II23" s="425"/>
      <c r="IJ23" s="425"/>
      <c r="IK23" s="425"/>
      <c r="IL23" s="425"/>
      <c r="IM23" s="425"/>
      <c r="IN23" s="425"/>
      <c r="IO23" s="425"/>
      <c r="IP23" s="425"/>
      <c r="IQ23" s="425"/>
      <c r="IR23" s="425"/>
      <c r="IS23" s="425"/>
      <c r="IT23" s="425"/>
      <c r="IU23" s="425"/>
      <c r="IV23" s="425"/>
      <c r="IW23" s="425"/>
    </row>
    <row r="24" customFormat="false" ht="12.6" hidden="false" customHeight="true" outlineLevel="0" collapsed="false">
      <c r="A24" s="397" t="s">
        <v>484</v>
      </c>
      <c r="B24" s="371"/>
      <c r="C24" s="614" t="n">
        <f aca="false">IF(C23&lt;=0,"N/A",+'Book Income Statement'!D65/C23)</f>
        <v>0.702052636202203</v>
      </c>
      <c r="D24" s="614" t="n">
        <f aca="false">IF(D23&lt;=0,"N/A",+'Book Income Statement'!E65/D23)</f>
        <v>1.24801605543053</v>
      </c>
      <c r="E24" s="614" t="n">
        <f aca="false">IF(E23&lt;=0,"N/A",+'Book Income Statement'!F65/E23)</f>
        <v>1.12585843487969</v>
      </c>
      <c r="F24" s="614" t="n">
        <f aca="false">IF(F23&lt;=0,"N/A",+'Book Income Statement'!G65/F23)</f>
        <v>1.42745840421524</v>
      </c>
      <c r="G24" s="614" t="n">
        <f aca="false">IF(G23&lt;=0,"N/A",+'Book Income Statement'!H65/G23)</f>
        <v>2.30723423621197</v>
      </c>
      <c r="H24" s="614" t="n">
        <f aca="false">IF(H23&lt;=0,"N/A",+'Book Income Statement'!I65/H23)</f>
        <v>2.45335565968154</v>
      </c>
      <c r="I24" s="614" t="n">
        <f aca="false">IF(I23&lt;=0,"N/A",+'Book Income Statement'!J65/I23)</f>
        <v>2.38594343865174</v>
      </c>
      <c r="J24" s="614" t="n">
        <f aca="false">IF(J23&lt;=0,"N/A",+'Book Income Statement'!K65/J23)</f>
        <v>2.50066162837315</v>
      </c>
      <c r="K24" s="614" t="n">
        <f aca="false">IF(K23&lt;=0,"N/A",+'Book Income Statement'!L65/K23)</f>
        <v>2.00211855181592</v>
      </c>
      <c r="L24" s="614" t="n">
        <f aca="false">IF(L23&lt;=0,"N/A",+'Book Income Statement'!M65/L23)</f>
        <v>1.81697671190646</v>
      </c>
      <c r="M24" s="614" t="n">
        <f aca="false">IF(M23&lt;=0,"N/A",+'Book Income Statement'!N65/M23)</f>
        <v>4.41213001159146</v>
      </c>
      <c r="N24" s="614" t="n">
        <f aca="false">IF(N23&lt;=0,"N/A",+'Book Income Statement'!O65/N23)</f>
        <v>4.195678574663</v>
      </c>
      <c r="O24" s="614" t="n">
        <f aca="false">IF(O23&lt;=0,"N/A",+'Book Income Statement'!P65/O23)</f>
        <v>4.3937763894091</v>
      </c>
      <c r="P24" s="614" t="n">
        <f aca="false">IF(P23&lt;=0,"N/A",+'Book Income Statement'!Q65/P23)</f>
        <v>4.60966520274622</v>
      </c>
      <c r="Q24" s="614" t="n">
        <f aca="false">IF(Q23&lt;=0,"N/A",+'Book Income Statement'!R65/Q23)</f>
        <v>4.83704491998456</v>
      </c>
      <c r="R24" s="614" t="n">
        <f aca="false">IF(R23&lt;=0,"N/A",+'Book Income Statement'!S65/R23)</f>
        <v>5.08153166162488</v>
      </c>
      <c r="S24" s="614" t="n">
        <f aca="false">IF(S23&lt;=0,"N/A",+'Book Income Statement'!T65/S23)</f>
        <v>3.49144073682857</v>
      </c>
      <c r="T24" s="614" t="n">
        <f aca="false">IF(T23&lt;=0,"N/A",+'Book Income Statement'!U65/T23)</f>
        <v>3.25420697164426</v>
      </c>
      <c r="U24" s="614" t="n">
        <f aca="false">IF(U23&lt;=0,"N/A",+'Book Income Statement'!V65/U23)</f>
        <v>2.90188385102831</v>
      </c>
      <c r="V24" s="614" t="n">
        <f aca="false">IF(V23&lt;=0,"N/A",+'Book Income Statement'!W65/V23)</f>
        <v>2.73276600873058</v>
      </c>
      <c r="W24" s="614" t="str">
        <f aca="false">IF(W23&lt;=0,"N/A",+'Book Income Statement'!X65/W23)</f>
        <v>N/A</v>
      </c>
      <c r="X24" s="614" t="str">
        <f aca="false">IF(X23&lt;=0,"N/A",+'Book Income Statement'!Y65/X23)</f>
        <v>N/A</v>
      </c>
      <c r="Y24" s="614" t="str">
        <f aca="false">IF(Y23&lt;=0,"N/A",+'Book Income Statement'!Z65/Y23)</f>
        <v>N/A</v>
      </c>
      <c r="Z24" s="614" t="str">
        <f aca="false">IF(Z23&lt;=0,"N/A",+'Book Income Statement'!AA65/Z23)</f>
        <v>N/A</v>
      </c>
      <c r="AA24" s="615" t="str">
        <f aca="false">IF(AA23&lt;=0,"N/A",+'Book Income Statement'!AB65/AA23)</f>
        <v>N/A</v>
      </c>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row>
    <row r="25" customFormat="false" ht="12.6" hidden="false" customHeight="true" outlineLevel="0" collapsed="false">
      <c r="A25" s="397" t="s">
        <v>485</v>
      </c>
      <c r="B25" s="425" t="n">
        <f aca="false">B29+B34+B39</f>
        <v>182797</v>
      </c>
      <c r="C25" s="607" t="n">
        <f aca="false">(($B$29+$B$34)-(IF('Project Assumptions'!$I$34="Normal",SUM('Debt Amortization'!$E$53:E53),SUM('Debt Amortization'!$E$105:E105))))/($B$29+$B$34)</f>
        <v>1</v>
      </c>
      <c r="D25" s="607" t="n">
        <f aca="false">(($B$29+$B$34)-(IF('Project Assumptions'!$I$34="Normal",SUM('Debt Amortization'!$E$53:F53),SUM('Debt Amortization'!$E$105:F105))))/($B$29+$B$34)</f>
        <v>1</v>
      </c>
      <c r="E25" s="607" t="n">
        <f aca="false">(($B$29+$B$34)-(IF('Project Assumptions'!$I$34="Normal",SUM('Debt Amortization'!$E$53:G53),SUM('Debt Amortization'!$E$105:G105))))/($B$29+$B$34)</f>
        <v>1</v>
      </c>
      <c r="F25" s="607" t="n">
        <f aca="false">(($B$29+$B$34)-(IF('Project Assumptions'!$I$34="Normal",SUM('Debt Amortization'!$E$53:H53),SUM('Debt Amortization'!$E$105:H105))))/($B$29+$B$34)</f>
        <v>1</v>
      </c>
      <c r="G25" s="607" t="n">
        <f aca="false">(($B$29+$B$34)-(IF('Project Assumptions'!$I$34="Normal",SUM('Debt Amortization'!$E$53:I53),SUM('Debt Amortization'!$E$105:I105))))/($B$29+$B$34)</f>
        <v>1</v>
      </c>
      <c r="H25" s="607" t="n">
        <f aca="false">(($B$29+$B$34)-(IF('Project Assumptions'!$I$34="Normal",SUM('Debt Amortization'!$E$53:J53),SUM('Debt Amortization'!$E$105:J105))))/($B$29+$B$34)</f>
        <v>1</v>
      </c>
      <c r="I25" s="607" t="n">
        <f aca="false">(($B$29+$B$34)-(IF('Project Assumptions'!$I$34="Normal",SUM('Debt Amortization'!$E$53:K53),SUM('Debt Amortization'!$E$105:K105))))/($B$29+$B$34)</f>
        <v>1</v>
      </c>
      <c r="J25" s="607" t="n">
        <f aca="false">(($B$29+$B$34)-(IF('Project Assumptions'!$I$34="Normal",SUM('Debt Amortization'!$E$53:L53),SUM('Debt Amortization'!$E$105:L105))))/($B$29+$B$34)</f>
        <v>1</v>
      </c>
      <c r="K25" s="607" t="n">
        <f aca="false">(($B$29+$B$34)-(IF('Project Assumptions'!$I$34="Normal",SUM('Debt Amortization'!$E$53:M53),SUM('Debt Amortization'!$E$105:M105))))/($B$29+$B$34)</f>
        <v>1</v>
      </c>
      <c r="L25" s="607" t="n">
        <f aca="false">(($B$29+$B$34)-(IF('Project Assumptions'!$I$34="Normal",SUM('Debt Amortization'!$E$53:N53),SUM('Debt Amortization'!$E$105:N105))))/($B$29+$B$34)</f>
        <v>1</v>
      </c>
      <c r="M25" s="607" t="n">
        <f aca="false">(($B$29+$B$34)-(IF('Project Assumptions'!$I$34="Normal",SUM('Debt Amortization'!$E$53:O53),SUM('Debt Amortization'!$E$105:O105))))/($B$29+$B$34)</f>
        <v>1</v>
      </c>
      <c r="N25" s="607" t="n">
        <f aca="false">(($B$29+$B$34)-(IF('Project Assumptions'!$I$34="Normal",SUM('Debt Amortization'!$E$53:P53),SUM('Debt Amortization'!$E$105:P105))))/($B$29+$B$34)</f>
        <v>1</v>
      </c>
      <c r="O25" s="607" t="n">
        <f aca="false">(($B$29+$B$34)-(IF('Project Assumptions'!$I$34="Normal",SUM('Debt Amortization'!$E$53:Q53),SUM('Debt Amortization'!$E$105:Q105))))/($B$29+$B$34)</f>
        <v>1</v>
      </c>
      <c r="P25" s="607" t="n">
        <f aca="false">(($B$29+$B$34)-(IF('Project Assumptions'!$I$34="Normal",SUM('Debt Amortization'!$E$53:R53),SUM('Debt Amortization'!$E$105:R105))))/($B$29+$B$34)</f>
        <v>1</v>
      </c>
      <c r="Q25" s="607" t="n">
        <f aca="false">(($B$29+$B$34)-(IF('Project Assumptions'!$I$34="Normal",SUM('Debt Amortization'!$E$53:S53),SUM('Debt Amortization'!$E$105:S105))))/($B$29+$B$34)</f>
        <v>1</v>
      </c>
      <c r="R25" s="607" t="n">
        <f aca="false">(($B$29+$B$34)-(IF('Project Assumptions'!$I$34="Normal",SUM('Debt Amortization'!$E$53:T53),SUM('Debt Amortization'!$E$105:T105))))/($B$29+$B$34)</f>
        <v>1</v>
      </c>
      <c r="S25" s="607" t="n">
        <f aca="false">(($B$29+$B$34)-(IF('Project Assumptions'!$I$34="Normal",SUM('Debt Amortization'!$E$53:U53),SUM('Debt Amortization'!$E$105:U105))))/($B$29+$B$34)</f>
        <v>1</v>
      </c>
      <c r="T25" s="607" t="n">
        <f aca="false">(($B$29+$B$34)-(IF('Project Assumptions'!$I$34="Normal",SUM('Debt Amortization'!$E$53:V53),SUM('Debt Amortization'!$E$105:V105))))/($B$29+$B$34)</f>
        <v>1</v>
      </c>
      <c r="U25" s="607" t="n">
        <f aca="false">(($B$29+$B$34)-(IF('Project Assumptions'!$I$34="Normal",SUM('Debt Amortization'!$E$53:W53),SUM('Debt Amortization'!$E$105:W105))))/($B$29+$B$34)</f>
        <v>1</v>
      </c>
      <c r="V25" s="607" t="n">
        <f aca="false">(($B$29+$B$34)-(IF('Project Assumptions'!$I$34="Normal",SUM('Debt Amortization'!$E$53:X53),SUM('Debt Amortization'!$E$105:X105))))/($B$29+$B$34)</f>
        <v>1</v>
      </c>
      <c r="W25" s="607" t="n">
        <f aca="false">(($B$29+$B$34)-(IF('Project Assumptions'!$I$34="Normal",SUM('Debt Amortization'!$E$53:Y53),SUM('Debt Amortization'!$E$105:Y105))))/($B$29+$B$34)</f>
        <v>1</v>
      </c>
      <c r="X25" s="607" t="n">
        <f aca="false">(($B$29+$B$34)-(IF('Project Assumptions'!$I$34="Normal",SUM('Debt Amortization'!$E$53:Z53),SUM('Debt Amortization'!$E$105:Z105))))/($B$29+$B$34)</f>
        <v>1</v>
      </c>
      <c r="Y25" s="607" t="n">
        <f aca="false">(($B$29+$B$34)-(IF('Project Assumptions'!$I$34="Normal",SUM('Debt Amortization'!$E$53:AA53),SUM('Debt Amortization'!$E$105:AA105))))/($B$29+$B$34)</f>
        <v>1</v>
      </c>
      <c r="Z25" s="607" t="n">
        <f aca="false">(($B$29+$B$34)-(IF('Project Assumptions'!$I$34="Normal",SUM('Debt Amortization'!$E$53:AB53),SUM('Debt Amortization'!$E$105:AB105))))/($B$29+$B$34)</f>
        <v>1</v>
      </c>
      <c r="AA25" s="608" t="n">
        <f aca="false">(($B$29+$B$34)-(IF('Project Assumptions'!$I$34="Normal",SUM('Debt Amortization'!$E$53:AC53),SUM('Debt Amortization'!$E$105:AC105))))/($B$29+$B$34)</f>
        <v>1</v>
      </c>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row>
    <row r="26" customFormat="false" ht="12.6" hidden="false" customHeight="true" outlineLevel="0" collapsed="false">
      <c r="A26" s="397" t="s">
        <v>486</v>
      </c>
      <c r="B26" s="425" t="n">
        <f aca="false">+'Project Assumptions'!C48</f>
        <v>0</v>
      </c>
      <c r="C26" s="425" t="n">
        <f aca="false">B26+'Cash Flow Statement'!D17-'Cash Flow Statement'!D18</f>
        <v>0</v>
      </c>
      <c r="D26" s="425" t="n">
        <f aca="false">C26+'Cash Flow Statement'!E17-'Cash Flow Statement'!E18</f>
        <v>0</v>
      </c>
      <c r="E26" s="425" t="n">
        <f aca="false">D26+'Cash Flow Statement'!F17-'Cash Flow Statement'!F18</f>
        <v>0</v>
      </c>
      <c r="F26" s="425" t="n">
        <f aca="false">E26+'Cash Flow Statement'!G17-'Cash Flow Statement'!G18</f>
        <v>0</v>
      </c>
      <c r="G26" s="425" t="n">
        <f aca="false">F26+'Cash Flow Statement'!H17-'Cash Flow Statement'!H18</f>
        <v>0</v>
      </c>
      <c r="H26" s="425" t="n">
        <f aca="false">G26+'Cash Flow Statement'!I17-'Cash Flow Statement'!I18</f>
        <v>0</v>
      </c>
      <c r="I26" s="425" t="n">
        <f aca="false">H26+'Cash Flow Statement'!J17-'Cash Flow Statement'!J18</f>
        <v>0</v>
      </c>
      <c r="J26" s="425" t="n">
        <f aca="false">I26+'Cash Flow Statement'!K17-'Cash Flow Statement'!K18</f>
        <v>0</v>
      </c>
      <c r="K26" s="425" t="n">
        <f aca="false">J26+'Cash Flow Statement'!L17-'Cash Flow Statement'!L18</f>
        <v>0</v>
      </c>
      <c r="L26" s="425" t="n">
        <f aca="false">K26+'Cash Flow Statement'!M17-'Cash Flow Statement'!M18</f>
        <v>0</v>
      </c>
      <c r="M26" s="425" t="n">
        <f aca="false">L26+'Cash Flow Statement'!N17-'Cash Flow Statement'!N18</f>
        <v>0</v>
      </c>
      <c r="N26" s="425" t="n">
        <f aca="false">M26+'Cash Flow Statement'!O17-'Cash Flow Statement'!O18</f>
        <v>0</v>
      </c>
      <c r="O26" s="425" t="n">
        <f aca="false">N26+'Cash Flow Statement'!P17-'Cash Flow Statement'!P18</f>
        <v>0</v>
      </c>
      <c r="P26" s="425" t="n">
        <f aca="false">O26+'Cash Flow Statement'!Q17-'Cash Flow Statement'!Q18</f>
        <v>0</v>
      </c>
      <c r="Q26" s="425" t="n">
        <f aca="false">P26+'Cash Flow Statement'!R17+'Cash Flow Statement'!R18</f>
        <v>0</v>
      </c>
      <c r="R26" s="425" t="n">
        <f aca="false">Q26+'Cash Flow Statement'!S17+'Cash Flow Statement'!S18</f>
        <v>0</v>
      </c>
      <c r="S26" s="425" t="n">
        <f aca="false">R26+'Cash Flow Statement'!T17+'Cash Flow Statement'!T18</f>
        <v>0</v>
      </c>
      <c r="T26" s="425" t="n">
        <f aca="false">S26+'Cash Flow Statement'!U17+'Cash Flow Statement'!U18</f>
        <v>0</v>
      </c>
      <c r="U26" s="425" t="n">
        <f aca="false">T26+'Cash Flow Statement'!V17+'Cash Flow Statement'!V18</f>
        <v>0</v>
      </c>
      <c r="V26" s="425" t="n">
        <f aca="false">U26+'Cash Flow Statement'!W17+'Cash Flow Statement'!W18</f>
        <v>0</v>
      </c>
      <c r="W26" s="425" t="n">
        <f aca="false">V26+'Cash Flow Statement'!X17+'Cash Flow Statement'!X18</f>
        <v>0</v>
      </c>
      <c r="X26" s="425" t="n">
        <f aca="false">W26+'Cash Flow Statement'!Y17+'Cash Flow Statement'!Y18</f>
        <v>0</v>
      </c>
      <c r="Y26" s="425" t="n">
        <f aca="false">X26+'Cash Flow Statement'!Z17+'Cash Flow Statement'!Z18</f>
        <v>0</v>
      </c>
      <c r="Z26" s="425" t="n">
        <f aca="false">Y26+'Cash Flow Statement'!AA17+'Cash Flow Statement'!AA18</f>
        <v>0</v>
      </c>
      <c r="AA26" s="426" t="n">
        <f aca="false">Z26+'Cash Flow Statement'!AB17+'Cash Flow Statement'!AB18</f>
        <v>0</v>
      </c>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row>
    <row r="27" customFormat="false" ht="12.6" hidden="false" customHeight="true" outlineLevel="0" collapsed="false">
      <c r="A27" s="397" t="str">
        <f aca="false">"  Debt Reserve Interest Income @ "&amp;'Project Assumptions'!I48*100&amp;"%"</f>
        <v>  Debt Reserve Interest Income @ 0%</v>
      </c>
      <c r="B27" s="490"/>
      <c r="C27" s="425" t="n">
        <f aca="false">C26*'Project Assumptions'!$I$48*(SUM('Book Income Statement'!D7:D9)/12)</f>
        <v>0</v>
      </c>
      <c r="D27" s="425" t="n">
        <f aca="false">D26*'Project Assumptions'!$I$48*(SUM('Book Income Statement'!E7:E9)/12)</f>
        <v>0</v>
      </c>
      <c r="E27" s="425" t="n">
        <f aca="false">E26*'Project Assumptions'!$I$48*(SUM('Book Income Statement'!F7:F9)/12)</f>
        <v>0</v>
      </c>
      <c r="F27" s="425" t="n">
        <f aca="false">F26*'Project Assumptions'!$I$48*(SUM('Book Income Statement'!G7:G9)/12)</f>
        <v>0</v>
      </c>
      <c r="G27" s="425" t="n">
        <f aca="false">G26*'Project Assumptions'!$I$48*(SUM('Book Income Statement'!H7:H9)/12)</f>
        <v>0</v>
      </c>
      <c r="H27" s="425" t="n">
        <f aca="false">H26*'Project Assumptions'!$I$48*(SUM('Book Income Statement'!I7:I9)/12)</f>
        <v>0</v>
      </c>
      <c r="I27" s="425" t="n">
        <f aca="false">I26*'Project Assumptions'!$I$48*(SUM('Book Income Statement'!J7:J9)/12)</f>
        <v>0</v>
      </c>
      <c r="J27" s="425" t="n">
        <f aca="false">J26*'Project Assumptions'!$I$48*(SUM('Book Income Statement'!K7:K9)/12)</f>
        <v>0</v>
      </c>
      <c r="K27" s="425" t="n">
        <f aca="false">K26*'Project Assumptions'!$I$48*(SUM('Book Income Statement'!L7:L9)/12)</f>
        <v>0</v>
      </c>
      <c r="L27" s="425" t="n">
        <f aca="false">L26*'Project Assumptions'!$I$48*(SUM('Book Income Statement'!M7:M9)/12)</f>
        <v>0</v>
      </c>
      <c r="M27" s="425" t="n">
        <f aca="false">M26*'Project Assumptions'!$I$48*(SUM('Book Income Statement'!N7:N9)/12)</f>
        <v>0</v>
      </c>
      <c r="N27" s="425" t="n">
        <f aca="false">N26*'Project Assumptions'!$I$48*(SUM('Book Income Statement'!O7:O9)/12)</f>
        <v>0</v>
      </c>
      <c r="O27" s="425" t="n">
        <f aca="false">O26*'Project Assumptions'!$I$48*(SUM('Book Income Statement'!P7:P9)/12)</f>
        <v>0</v>
      </c>
      <c r="P27" s="425" t="n">
        <f aca="false">P26*'Project Assumptions'!$I$48*(SUM('Book Income Statement'!Q7:Q9)/12)</f>
        <v>0</v>
      </c>
      <c r="Q27" s="425" t="n">
        <f aca="false">Q26*'Project Assumptions'!$I$48*(SUM('Book Income Statement'!R7:R9)/12)</f>
        <v>0</v>
      </c>
      <c r="R27" s="425" t="n">
        <f aca="false">R26*'Project Assumptions'!$I$48*(SUM('Book Income Statement'!S7:S9)/12)</f>
        <v>0</v>
      </c>
      <c r="S27" s="425" t="n">
        <f aca="false">S26*'Project Assumptions'!$I$48*(SUM('Book Income Statement'!T7:T9)/12)</f>
        <v>0</v>
      </c>
      <c r="T27" s="425" t="n">
        <f aca="false">T26*'Project Assumptions'!$I$48*(SUM('Book Income Statement'!U7:U9)/12)</f>
        <v>0</v>
      </c>
      <c r="U27" s="425" t="n">
        <f aca="false">U26*'Project Assumptions'!$I$48*(SUM('Book Income Statement'!V7:V9)/12)</f>
        <v>0</v>
      </c>
      <c r="V27" s="425" t="n">
        <f aca="false">V26*'Project Assumptions'!$I$48*(SUM('Book Income Statement'!W7:W9)/12)</f>
        <v>0</v>
      </c>
      <c r="W27" s="425" t="n">
        <f aca="false">W26*'Project Assumptions'!$I$48*(SUM('Book Income Statement'!X7:X9)/12)</f>
        <v>0</v>
      </c>
      <c r="X27" s="425" t="n">
        <f aca="false">X26*'Project Assumptions'!$I$48*(SUM('Book Income Statement'!Y7:Y9)/12)</f>
        <v>0</v>
      </c>
      <c r="Y27" s="425" t="n">
        <f aca="false">Y26*'Project Assumptions'!$I$48*(SUM('Book Income Statement'!Z7:Z9)/12)</f>
        <v>0</v>
      </c>
      <c r="Z27" s="425" t="n">
        <f aca="false">Z26*'Project Assumptions'!$I$48*(SUM('Book Income Statement'!AA7:AA9)/12)</f>
        <v>0</v>
      </c>
      <c r="AA27" s="426" t="n">
        <f aca="false">AA26*'Project Assumptions'!$I$48*(SUM('Book Income Statement'!AB7:AB9)/12)</f>
        <v>0</v>
      </c>
      <c r="AB27" s="425"/>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c r="AZ27" s="425"/>
      <c r="BA27" s="425"/>
      <c r="BB27" s="425"/>
      <c r="BC27" s="425"/>
      <c r="BD27" s="425"/>
      <c r="BE27" s="425"/>
      <c r="BF27" s="425"/>
      <c r="BG27" s="425"/>
      <c r="BH27" s="425"/>
      <c r="BI27" s="425"/>
      <c r="BJ27" s="425"/>
      <c r="BK27" s="425"/>
      <c r="BL27" s="425"/>
      <c r="BM27" s="425"/>
      <c r="BN27" s="425"/>
      <c r="BO27" s="425"/>
      <c r="BP27" s="425"/>
      <c r="BQ27" s="425"/>
      <c r="BR27" s="425"/>
      <c r="BS27" s="425"/>
      <c r="BT27" s="425"/>
      <c r="BU27" s="425"/>
      <c r="BV27" s="425"/>
      <c r="BW27" s="425"/>
      <c r="BX27" s="425"/>
      <c r="BY27" s="425"/>
      <c r="BZ27" s="425"/>
      <c r="CA27" s="425"/>
      <c r="CB27" s="425"/>
      <c r="CC27" s="425"/>
      <c r="CD27" s="425"/>
      <c r="CE27" s="425"/>
      <c r="CF27" s="425"/>
      <c r="CG27" s="425"/>
      <c r="CH27" s="425"/>
      <c r="CI27" s="425"/>
      <c r="CJ27" s="425"/>
      <c r="CK27" s="425"/>
      <c r="CL27" s="425"/>
      <c r="CM27" s="425"/>
      <c r="CN27" s="425"/>
      <c r="CO27" s="425"/>
      <c r="CP27" s="425"/>
      <c r="CQ27" s="425"/>
      <c r="CR27" s="425"/>
      <c r="CS27" s="425"/>
      <c r="CT27" s="425"/>
      <c r="CU27" s="425"/>
      <c r="CV27" s="425"/>
      <c r="CW27" s="425"/>
      <c r="CX27" s="425"/>
      <c r="CY27" s="425"/>
      <c r="CZ27" s="425"/>
      <c r="DA27" s="425"/>
      <c r="DB27" s="425"/>
      <c r="DC27" s="425"/>
      <c r="DD27" s="425"/>
      <c r="DE27" s="425"/>
      <c r="DF27" s="425"/>
      <c r="DG27" s="425"/>
      <c r="DH27" s="425"/>
      <c r="DI27" s="425"/>
      <c r="DJ27" s="425"/>
      <c r="DK27" s="425"/>
      <c r="DL27" s="425"/>
      <c r="DM27" s="425"/>
      <c r="DN27" s="425"/>
      <c r="DO27" s="425"/>
      <c r="DP27" s="425"/>
      <c r="DQ27" s="425"/>
      <c r="DR27" s="425"/>
      <c r="DS27" s="425"/>
      <c r="DT27" s="425"/>
      <c r="DU27" s="425"/>
      <c r="DV27" s="425"/>
      <c r="DW27" s="425"/>
      <c r="DX27" s="425"/>
      <c r="DY27" s="425"/>
      <c r="DZ27" s="425"/>
      <c r="EA27" s="425"/>
      <c r="EB27" s="425"/>
      <c r="EC27" s="425"/>
      <c r="ED27" s="425"/>
      <c r="EE27" s="425"/>
      <c r="EF27" s="425"/>
      <c r="EG27" s="425"/>
      <c r="EH27" s="425"/>
      <c r="EI27" s="425"/>
      <c r="EJ27" s="425"/>
      <c r="EK27" s="425"/>
      <c r="EL27" s="425"/>
      <c r="EM27" s="425"/>
      <c r="EN27" s="425"/>
      <c r="EO27" s="425"/>
      <c r="EP27" s="425"/>
      <c r="EQ27" s="425"/>
      <c r="ER27" s="425"/>
      <c r="ES27" s="425"/>
      <c r="ET27" s="425"/>
      <c r="EU27" s="425"/>
      <c r="EV27" s="425"/>
      <c r="EW27" s="425"/>
      <c r="EX27" s="425"/>
      <c r="EY27" s="425"/>
      <c r="EZ27" s="425"/>
      <c r="FA27" s="425"/>
      <c r="FB27" s="425"/>
      <c r="FC27" s="425"/>
      <c r="FD27" s="425"/>
      <c r="FE27" s="425"/>
      <c r="FF27" s="425"/>
      <c r="FG27" s="425"/>
      <c r="FH27" s="425"/>
      <c r="FI27" s="425"/>
      <c r="FJ27" s="425"/>
      <c r="FK27" s="425"/>
      <c r="FL27" s="425"/>
      <c r="FM27" s="425"/>
      <c r="FN27" s="425"/>
      <c r="FO27" s="425"/>
      <c r="FP27" s="425"/>
      <c r="FQ27" s="425"/>
      <c r="FR27" s="425"/>
      <c r="FS27" s="425"/>
      <c r="FT27" s="425"/>
      <c r="FU27" s="425"/>
      <c r="FV27" s="425"/>
      <c r="FW27" s="425"/>
      <c r="FX27" s="425"/>
      <c r="FY27" s="425"/>
      <c r="FZ27" s="425"/>
      <c r="GA27" s="425"/>
      <c r="GB27" s="425"/>
      <c r="GC27" s="425"/>
      <c r="GD27" s="425"/>
      <c r="GE27" s="425"/>
      <c r="GF27" s="425"/>
      <c r="GG27" s="425"/>
      <c r="GH27" s="425"/>
      <c r="GI27" s="425"/>
      <c r="GJ27" s="425"/>
      <c r="GK27" s="425"/>
      <c r="GL27" s="425"/>
      <c r="GM27" s="425"/>
      <c r="GN27" s="425"/>
      <c r="GO27" s="425"/>
      <c r="GP27" s="425"/>
      <c r="GQ27" s="425"/>
      <c r="GR27" s="425"/>
      <c r="GS27" s="425"/>
      <c r="GT27" s="425"/>
      <c r="GU27" s="425"/>
      <c r="GV27" s="425"/>
      <c r="GW27" s="425"/>
      <c r="GX27" s="425"/>
      <c r="GY27" s="425"/>
      <c r="GZ27" s="425"/>
      <c r="HA27" s="425"/>
      <c r="HB27" s="425"/>
      <c r="HC27" s="425"/>
      <c r="HD27" s="425"/>
      <c r="HE27" s="425"/>
      <c r="HF27" s="425"/>
      <c r="HG27" s="425"/>
      <c r="HH27" s="425"/>
      <c r="HI27" s="425"/>
      <c r="HJ27" s="425"/>
      <c r="HK27" s="425"/>
      <c r="HL27" s="425"/>
      <c r="HM27" s="425"/>
      <c r="HN27" s="425"/>
      <c r="HO27" s="425"/>
      <c r="HP27" s="425"/>
      <c r="HQ27" s="425"/>
      <c r="HR27" s="425"/>
      <c r="HS27" s="425"/>
      <c r="HT27" s="425"/>
      <c r="HU27" s="425"/>
      <c r="HV27" s="425"/>
      <c r="HW27" s="425"/>
      <c r="HX27" s="425"/>
      <c r="HY27" s="425"/>
      <c r="HZ27" s="425"/>
      <c r="IA27" s="425"/>
      <c r="IB27" s="425"/>
      <c r="IC27" s="425"/>
      <c r="ID27" s="425"/>
      <c r="IE27" s="425"/>
      <c r="IF27" s="425"/>
      <c r="IG27" s="425"/>
      <c r="IH27" s="425"/>
      <c r="II27" s="425"/>
      <c r="IJ27" s="425"/>
      <c r="IK27" s="425"/>
      <c r="IL27" s="425"/>
      <c r="IM27" s="425"/>
      <c r="IN27" s="425"/>
      <c r="IO27" s="425"/>
      <c r="IP27" s="425"/>
      <c r="IQ27" s="425"/>
      <c r="IR27" s="425"/>
      <c r="IS27" s="425"/>
      <c r="IT27" s="425"/>
      <c r="IU27" s="425"/>
      <c r="IV27" s="425"/>
      <c r="IW27" s="425"/>
    </row>
    <row r="28" customFormat="false" ht="12.6" hidden="false" customHeight="true" outlineLevel="0" collapsed="false">
      <c r="A28" s="397"/>
      <c r="B28" s="371"/>
      <c r="C28" s="616"/>
      <c r="D28" s="616"/>
      <c r="E28" s="616"/>
      <c r="F28" s="616"/>
      <c r="G28" s="616"/>
      <c r="H28" s="616"/>
      <c r="I28" s="616"/>
      <c r="J28" s="616"/>
      <c r="K28" s="616"/>
      <c r="L28" s="616"/>
      <c r="M28" s="616"/>
      <c r="N28" s="616"/>
      <c r="O28" s="616"/>
      <c r="P28" s="616"/>
      <c r="Q28" s="616"/>
      <c r="R28" s="616"/>
      <c r="S28" s="616"/>
      <c r="T28" s="616"/>
      <c r="U28" s="616"/>
      <c r="V28" s="616"/>
      <c r="W28" s="616"/>
      <c r="X28" s="616"/>
      <c r="Y28" s="616"/>
      <c r="Z28" s="616"/>
      <c r="AA28" s="617"/>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row>
    <row r="29" customFormat="false" ht="12.6" hidden="false" customHeight="true" outlineLevel="0" collapsed="false">
      <c r="A29" s="421" t="s">
        <v>231</v>
      </c>
      <c r="B29" s="425" t="n">
        <f aca="false">IF('Project Assumptions'!$I$34="Normal",'Debt Amortization'!B19,'Debt Amortization'!C68)</f>
        <v>29573</v>
      </c>
      <c r="C29" s="616"/>
      <c r="D29" s="616"/>
      <c r="E29" s="616"/>
      <c r="F29" s="616"/>
      <c r="G29" s="616"/>
      <c r="H29" s="616"/>
      <c r="I29" s="616"/>
      <c r="J29" s="616"/>
      <c r="K29" s="616"/>
      <c r="L29" s="616"/>
      <c r="M29" s="616"/>
      <c r="N29" s="616"/>
      <c r="O29" s="616"/>
      <c r="P29" s="616"/>
      <c r="Q29" s="616"/>
      <c r="R29" s="616"/>
      <c r="S29" s="616"/>
      <c r="T29" s="616"/>
      <c r="U29" s="616"/>
      <c r="V29" s="616"/>
      <c r="W29" s="616"/>
      <c r="X29" s="616"/>
      <c r="Y29" s="616"/>
      <c r="Z29" s="616"/>
      <c r="AA29" s="617"/>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row>
    <row r="30" customFormat="false" ht="12.6" hidden="false" customHeight="true" outlineLevel="0" collapsed="false">
      <c r="A30" s="397" t="s">
        <v>487</v>
      </c>
      <c r="B30" s="371"/>
      <c r="C30" s="425" t="n">
        <f aca="false">IF('Project Assumptions'!$I$34="Normal",'Debt Amortization'!E29,'Debt Amortization'!E71)</f>
        <v>9383.5129</v>
      </c>
      <c r="D30" s="425" t="n">
        <f aca="false">IF('Project Assumptions'!$I$34="Normal",'Debt Amortization'!F29,'Debt Amortization'!F71)</f>
        <v>8885.947175</v>
      </c>
      <c r="E30" s="425" t="n">
        <f aca="false">IF('Project Assumptions'!$I$34="Normal",'Debt Amortization'!G29,'Debt Amortization'!G71)</f>
        <v>8388.38145</v>
      </c>
      <c r="F30" s="425" t="n">
        <f aca="false">IF('Project Assumptions'!$I$34="Normal",'Debt Amortization'!H29,'Debt Amortization'!H71)</f>
        <v>7890.815725</v>
      </c>
      <c r="G30" s="425" t="n">
        <f aca="false">IF('Project Assumptions'!$I$34="Normal",'Debt Amortization'!I29,'Debt Amortization'!I71)</f>
        <v>0</v>
      </c>
      <c r="H30" s="425" t="n">
        <f aca="false">IF('Project Assumptions'!$I$34="Normal",'Debt Amortization'!J29,'Debt Amortization'!J71)</f>
        <v>0</v>
      </c>
      <c r="I30" s="425" t="n">
        <f aca="false">IF('Project Assumptions'!$I$34="Normal",'Debt Amortization'!K29,'Debt Amortization'!K71)</f>
        <v>0</v>
      </c>
      <c r="J30" s="425" t="n">
        <f aca="false">IF('Project Assumptions'!$I$34="Normal",'Debt Amortization'!L29,'Debt Amortization'!L71)</f>
        <v>0</v>
      </c>
      <c r="K30" s="425" t="n">
        <f aca="false">IF('Project Assumptions'!$I$34="Normal",'Debt Amortization'!M29,'Debt Amortization'!M71)</f>
        <v>0</v>
      </c>
      <c r="L30" s="425" t="n">
        <f aca="false">IF('Project Assumptions'!$I$34="Normal",'Debt Amortization'!N29,'Debt Amortization'!N71)</f>
        <v>0</v>
      </c>
      <c r="M30" s="425" t="n">
        <f aca="false">IF('Project Assumptions'!$I$34="Normal",'Debt Amortization'!O29,'Debt Amortization'!O71)</f>
        <v>0</v>
      </c>
      <c r="N30" s="425" t="n">
        <f aca="false">IF('Project Assumptions'!$I$34="Normal",'Debt Amortization'!P29,'Debt Amortization'!P71)</f>
        <v>0</v>
      </c>
      <c r="O30" s="425" t="n">
        <f aca="false">IF('Project Assumptions'!$I$34="Normal",'Debt Amortization'!Q29,'Debt Amortization'!Q71)</f>
        <v>0</v>
      </c>
      <c r="P30" s="425" t="n">
        <f aca="false">IF('Project Assumptions'!$I$34="Normal",'Debt Amortization'!R29,'Debt Amortization'!R71)</f>
        <v>0</v>
      </c>
      <c r="Q30" s="425" t="n">
        <f aca="false">IF('Project Assumptions'!$I$34="Normal",'Debt Amortization'!S29,'Debt Amortization'!S71)</f>
        <v>0</v>
      </c>
      <c r="R30" s="425" t="n">
        <f aca="false">IF('Project Assumptions'!$I$34="Normal",'Debt Amortization'!T29,'Debt Amortization'!T71)</f>
        <v>0</v>
      </c>
      <c r="S30" s="425" t="n">
        <f aca="false">IF('Project Assumptions'!$I$34="Normal",'Debt Amortization'!U29,'Debt Amortization'!U71)</f>
        <v>0</v>
      </c>
      <c r="T30" s="425" t="n">
        <f aca="false">IF('Project Assumptions'!$I$34="Normal",'Debt Amortization'!V29,'Debt Amortization'!V71)</f>
        <v>0</v>
      </c>
      <c r="U30" s="425" t="n">
        <f aca="false">IF('Project Assumptions'!$I$34="Normal",'Debt Amortization'!W29,'Debt Amortization'!W71)</f>
        <v>0</v>
      </c>
      <c r="V30" s="425" t="n">
        <f aca="false">IF('Project Assumptions'!$I$34="Normal",'Debt Amortization'!X29,'Debt Amortization'!X71)</f>
        <v>0</v>
      </c>
      <c r="W30" s="425" t="n">
        <f aca="false">IF('Project Assumptions'!$I$34="Normal",'Debt Amortization'!Y29,'Debt Amortization'!Y71)</f>
        <v>0</v>
      </c>
      <c r="X30" s="425" t="n">
        <f aca="false">IF('Project Assumptions'!$I$34="Normal",'Debt Amortization'!Z29,'Debt Amortization'!Z71)</f>
        <v>0</v>
      </c>
      <c r="Y30" s="425" t="n">
        <f aca="false">IF('Project Assumptions'!$I$34="Normal",'Debt Amortization'!AA29,'Debt Amortization'!AA71)</f>
        <v>0</v>
      </c>
      <c r="Z30" s="425" t="n">
        <f aca="false">IF('Project Assumptions'!$I$34="Normal",'Debt Amortization'!AB29,'Debt Amortization'!AB71)</f>
        <v>0</v>
      </c>
      <c r="AA30" s="426" t="n">
        <f aca="false">IF('Project Assumptions'!$I$34="Normal",'Debt Amortization'!AC29,'Debt Amortization'!AC71)</f>
        <v>0</v>
      </c>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row>
    <row r="31" customFormat="false" ht="12.6" hidden="false" customHeight="true" outlineLevel="0" collapsed="false">
      <c r="A31" s="397" t="s">
        <v>488</v>
      </c>
      <c r="B31" s="371"/>
      <c r="C31" s="618" t="n">
        <f aca="false">IF(C30&lt;1,"N/A",'Book Income Statement'!D65/C30)</f>
        <v>1.61496462697493</v>
      </c>
      <c r="D31" s="618" t="n">
        <f aca="false">IF(D30&lt;1,"N/A",+'Book Income Statement'!E65/D30)</f>
        <v>2.96174107665863</v>
      </c>
      <c r="E31" s="618" t="n">
        <f aca="false">IF(E30&lt;1,"N/A",+'Book Income Statement'!F65/E30)</f>
        <v>3.12867893332786</v>
      </c>
      <c r="F31" s="618" t="n">
        <f aca="false">IF(F30&lt;1,"N/A",+'Book Income Statement'!G65/F30)</f>
        <v>4.58181180269142</v>
      </c>
      <c r="G31" s="618" t="str">
        <f aca="false">IF(G30&lt;1,"N/A",+'Book Income Statement'!H65/G30)</f>
        <v>N/A</v>
      </c>
      <c r="H31" s="618" t="str">
        <f aca="false">IF(H30&lt;1,"N/A",+'Book Income Statement'!I65/H30)</f>
        <v>N/A</v>
      </c>
      <c r="I31" s="618" t="str">
        <f aca="false">IF(I30&lt;1,"N/A",+'Book Income Statement'!J65/I30)</f>
        <v>N/A</v>
      </c>
      <c r="J31" s="618" t="str">
        <f aca="false">IF(J30&lt;1,"N/A",+'Book Income Statement'!K65/J30)</f>
        <v>N/A</v>
      </c>
      <c r="K31" s="618" t="str">
        <f aca="false">IF(K30&lt;1,"N/A",+'Book Income Statement'!L65/K30)</f>
        <v>N/A</v>
      </c>
      <c r="L31" s="618" t="str">
        <f aca="false">IF(L30&lt;1,"N/A",+'Book Income Statement'!M65/L30)</f>
        <v>N/A</v>
      </c>
      <c r="M31" s="618" t="str">
        <f aca="false">IF(M30&lt;1,"N/A",+'Book Income Statement'!N65/M30)</f>
        <v>N/A</v>
      </c>
      <c r="N31" s="618" t="str">
        <f aca="false">IF(N30&lt;1,"N/A",+'Book Income Statement'!O65/N30)</f>
        <v>N/A</v>
      </c>
      <c r="O31" s="618" t="str">
        <f aca="false">IF(O30&lt;1,"N/A",+'Book Income Statement'!P65/O30)</f>
        <v>N/A</v>
      </c>
      <c r="P31" s="618" t="str">
        <f aca="false">IF(P30&lt;1,"N/A",+'Book Income Statement'!Q65/P30)</f>
        <v>N/A</v>
      </c>
      <c r="Q31" s="618" t="str">
        <f aca="false">IF(Q30&lt;1,"N/A",+'Book Income Statement'!R65/Q30)</f>
        <v>N/A</v>
      </c>
      <c r="R31" s="618" t="str">
        <f aca="false">IF(R30&lt;1,"N/A",+'Book Income Statement'!S65/R30)</f>
        <v>N/A</v>
      </c>
      <c r="S31" s="618" t="str">
        <f aca="false">IF(S30&lt;1,"N/A",+'Book Income Statement'!T65/S30)</f>
        <v>N/A</v>
      </c>
      <c r="T31" s="618" t="str">
        <f aca="false">IF(T30&lt;1,"N/A",+'Book Income Statement'!U65/T30)</f>
        <v>N/A</v>
      </c>
      <c r="U31" s="618" t="str">
        <f aca="false">IF(U30&lt;1,"N/A",+'Book Income Statement'!V65/U30)</f>
        <v>N/A</v>
      </c>
      <c r="V31" s="618" t="str">
        <f aca="false">IF(V30&lt;1,"N/A",+'Book Income Statement'!W65/V30)</f>
        <v>N/A</v>
      </c>
      <c r="W31" s="618" t="str">
        <f aca="false">IF(W30&lt;1,"N/A",+'Book Income Statement'!X65/W30)</f>
        <v>N/A</v>
      </c>
      <c r="X31" s="618" t="str">
        <f aca="false">IF(X30&lt;1,"N/A",+'Book Income Statement'!Y65/X30)</f>
        <v>N/A</v>
      </c>
      <c r="Y31" s="618" t="str">
        <f aca="false">IF(Y30&lt;1,"N/A",+'Book Income Statement'!Z65/Y30)</f>
        <v>N/A</v>
      </c>
      <c r="Z31" s="618" t="str">
        <f aca="false">IF(Z30&lt;1,"N/A",+'Book Income Statement'!AA65/Z30)</f>
        <v>N/A</v>
      </c>
      <c r="AA31" s="619" t="str">
        <f aca="false">IF(AA30&lt;1,"N/A",+'Book Income Statement'!AB65/AA30)</f>
        <v>N/A</v>
      </c>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row>
    <row r="32" customFormat="false" ht="12.6" hidden="false" customHeight="true" outlineLevel="0" collapsed="false">
      <c r="A32" s="397" t="s">
        <v>485</v>
      </c>
      <c r="B32" s="371"/>
      <c r="C32" s="611" t="n">
        <f aca="false">($B$29-IF('Project Assumptions'!$I$34="Normal",SUM('Debt Amortization'!$E$28:E28),SUM('Debt Amortization'!$E$70:E70)))/$B$29</f>
        <v>0.75</v>
      </c>
      <c r="D32" s="611" t="n">
        <f aca="false">($B$29-IF('Project Assumptions'!$I$34="Normal",SUM('Debt Amortization'!$E$28:F28),SUM('Debt Amortization'!$E$70:F70)))/$B$29</f>
        <v>0.5</v>
      </c>
      <c r="E32" s="611" t="n">
        <f aca="false">($B$29-IF('Project Assumptions'!$I$34="Normal",SUM('Debt Amortization'!$E$28:G28),SUM('Debt Amortization'!$E$70:G70)))/$B$29</f>
        <v>0.25</v>
      </c>
      <c r="F32" s="611" t="n">
        <f aca="false">($B$29-IF('Project Assumptions'!$I$34="Normal",SUM('Debt Amortization'!$E$28:H28),SUM('Debt Amortization'!$E$70:H70)))/$B$29</f>
        <v>0</v>
      </c>
      <c r="G32" s="611" t="n">
        <f aca="false">($B$29-IF('Project Assumptions'!$I$34="Normal",SUM('Debt Amortization'!$E$28:I28),SUM('Debt Amortization'!$E$70:I70)))/$B$29</f>
        <v>0</v>
      </c>
      <c r="H32" s="611" t="n">
        <f aca="false">($B$29-IF('Project Assumptions'!$I$34="Normal",SUM('Debt Amortization'!$E$28:J28),SUM('Debt Amortization'!$E$70:J70)))/$B$29</f>
        <v>0</v>
      </c>
      <c r="I32" s="611" t="n">
        <f aca="false">($B$29-IF('Project Assumptions'!$I$34="Normal",SUM('Debt Amortization'!$E$28:K28),SUM('Debt Amortization'!$E$70:K70)))/$B$29</f>
        <v>0</v>
      </c>
      <c r="J32" s="611" t="n">
        <f aca="false">($B$29-IF('Project Assumptions'!$I$34="Normal",SUM('Debt Amortization'!$E$28:L28),SUM('Debt Amortization'!$E$70:L70)))/$B$29</f>
        <v>0</v>
      </c>
      <c r="K32" s="611" t="n">
        <f aca="false">($B$29-IF('Project Assumptions'!$I$34="Normal",SUM('Debt Amortization'!$E$28:M28),SUM('Debt Amortization'!$E$70:M70)))/$B$29</f>
        <v>0</v>
      </c>
      <c r="L32" s="611" t="n">
        <f aca="false">($B$29-IF('Project Assumptions'!$I$34="Normal",SUM('Debt Amortization'!$E$28:N28),SUM('Debt Amortization'!$E$70:N70)))/$B$29</f>
        <v>0</v>
      </c>
      <c r="M32" s="611" t="n">
        <f aca="false">($B$29-IF('Project Assumptions'!$I$34="Normal",SUM('Debt Amortization'!$E$28:O28),SUM('Debt Amortization'!$E$70:O70)))/$B$29</f>
        <v>0</v>
      </c>
      <c r="N32" s="611" t="n">
        <f aca="false">($B$29-IF('Project Assumptions'!$I$34="Normal",SUM('Debt Amortization'!$E$28:P28),SUM('Debt Amortization'!$E$70:P70)))/$B$29</f>
        <v>0</v>
      </c>
      <c r="O32" s="611" t="n">
        <f aca="false">($B$29-IF('Project Assumptions'!$I$34="Normal",SUM('Debt Amortization'!$E$28:Q28),SUM('Debt Amortization'!$E$70:Q70)))/$B$29</f>
        <v>0</v>
      </c>
      <c r="P32" s="611" t="n">
        <f aca="false">($B$29-IF('Project Assumptions'!$I$34="Normal",SUM('Debt Amortization'!$E$28:R28),SUM('Debt Amortization'!$E$70:R70)))/$B$29</f>
        <v>0</v>
      </c>
      <c r="Q32" s="611" t="n">
        <f aca="false">($B$29-IF('Project Assumptions'!$I$34="Normal",SUM('Debt Amortization'!$E$28:S28),SUM('Debt Amortization'!$E$70:S70)))/$B$29</f>
        <v>0</v>
      </c>
      <c r="R32" s="611" t="n">
        <f aca="false">($B$29-IF('Project Assumptions'!$I$34="Normal",SUM('Debt Amortization'!$E$28:T28),SUM('Debt Amortization'!$E$70:T70)))/$B$29</f>
        <v>0</v>
      </c>
      <c r="S32" s="611" t="n">
        <f aca="false">($B$29-IF('Project Assumptions'!$I$34="Normal",SUM('Debt Amortization'!$E$28:U28),SUM('Debt Amortization'!$E$70:U70)))/$B$29</f>
        <v>0</v>
      </c>
      <c r="T32" s="611" t="n">
        <f aca="false">($B$29-IF('Project Assumptions'!$I$34="Normal",SUM('Debt Amortization'!$E$28:V28),SUM('Debt Amortization'!$E$70:V70)))/$B$29</f>
        <v>0</v>
      </c>
      <c r="U32" s="611" t="n">
        <f aca="false">($B$29-IF('Project Assumptions'!$I$34="Normal",SUM('Debt Amortization'!$E$28:W28),SUM('Debt Amortization'!$E$70:W70)))/$B$29</f>
        <v>0</v>
      </c>
      <c r="V32" s="611" t="n">
        <f aca="false">($B$29-IF('Project Assumptions'!$I$34="Normal",SUM('Debt Amortization'!$E$28:X28),SUM('Debt Amortization'!$E$70:X70)))/$B$29</f>
        <v>0</v>
      </c>
      <c r="W32" s="611" t="n">
        <f aca="false">($B$29-IF('Project Assumptions'!$I$34="Normal",SUM('Debt Amortization'!$E$28:Y28),SUM('Debt Amortization'!$E$70:Y70)))/$B$29</f>
        <v>0</v>
      </c>
      <c r="X32" s="611" t="n">
        <f aca="false">($B$29-IF('Project Assumptions'!$I$34="Normal",SUM('Debt Amortization'!$E$28:Z28),SUM('Debt Amortization'!$E$70:Z70)))/$B$29</f>
        <v>0</v>
      </c>
      <c r="Y32" s="611" t="n">
        <f aca="false">($B$29-IF('Project Assumptions'!$I$34="Normal",SUM('Debt Amortization'!$E$28:AA28),SUM('Debt Amortization'!$E$70:AA70)))/$B$29</f>
        <v>0</v>
      </c>
      <c r="Z32" s="611" t="n">
        <f aca="false">($B$29-IF('Project Assumptions'!$I$34="Normal",SUM('Debt Amortization'!$E$28:AB28),SUM('Debt Amortization'!$E$70:AB70)))/$B$29</f>
        <v>0</v>
      </c>
      <c r="AA32" s="620" t="n">
        <f aca="false">($B$29-IF('Project Assumptions'!$I$34="Normal",SUM('Debt Amortization'!$E$28:AC28),SUM('Debt Amortization'!$E$70:AC70)))/$B$29</f>
        <v>0</v>
      </c>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row>
    <row r="33" customFormat="false" ht="12.6" hidden="false" customHeight="true" outlineLevel="0" collapsed="false">
      <c r="A33" s="397"/>
      <c r="B33" s="371"/>
      <c r="C33" s="611"/>
      <c r="D33" s="611"/>
      <c r="E33" s="611"/>
      <c r="F33" s="611"/>
      <c r="G33" s="611"/>
      <c r="H33" s="611"/>
      <c r="I33" s="611"/>
      <c r="J33" s="611"/>
      <c r="K33" s="611"/>
      <c r="L33" s="611"/>
      <c r="M33" s="611"/>
      <c r="N33" s="611"/>
      <c r="O33" s="611"/>
      <c r="P33" s="611"/>
      <c r="Q33" s="611"/>
      <c r="R33" s="611"/>
      <c r="S33" s="611"/>
      <c r="T33" s="611"/>
      <c r="U33" s="611"/>
      <c r="V33" s="611"/>
      <c r="W33" s="611"/>
      <c r="X33" s="611"/>
      <c r="Y33" s="611"/>
      <c r="Z33" s="611"/>
      <c r="AA33" s="620"/>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row>
    <row r="34" customFormat="false" ht="12.6" hidden="false" customHeight="true" outlineLevel="0" collapsed="false">
      <c r="A34" s="421" t="s">
        <v>232</v>
      </c>
      <c r="B34" s="425" t="n">
        <f aca="false">IF('Project Assumptions'!$I$34="Normal",'Debt Amortization'!B20,'Debt Amortization'!C82)</f>
        <v>54410</v>
      </c>
      <c r="C34" s="616"/>
      <c r="D34" s="616"/>
      <c r="E34" s="616"/>
      <c r="F34" s="616"/>
      <c r="G34" s="616"/>
      <c r="H34" s="616"/>
      <c r="I34" s="616"/>
      <c r="J34" s="616"/>
      <c r="K34" s="616"/>
      <c r="L34" s="616"/>
      <c r="M34" s="616"/>
      <c r="N34" s="616"/>
      <c r="O34" s="616"/>
      <c r="P34" s="616"/>
      <c r="Q34" s="616"/>
      <c r="R34" s="616"/>
      <c r="S34" s="616"/>
      <c r="T34" s="616"/>
      <c r="U34" s="616"/>
      <c r="V34" s="616"/>
      <c r="W34" s="616"/>
      <c r="X34" s="616"/>
      <c r="Y34" s="616"/>
      <c r="Z34" s="616"/>
      <c r="AA34" s="617"/>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row>
    <row r="35" customFormat="false" ht="12.6" hidden="false" customHeight="true" outlineLevel="0" collapsed="false">
      <c r="A35" s="397" t="s">
        <v>487</v>
      </c>
      <c r="B35" s="371"/>
      <c r="C35" s="425" t="n">
        <f aca="false">IF('Project Assumptions'!$I$34="Normal",'Debt Amortization'!E37,'Debt Amortization'!E85)</f>
        <v>4118.837</v>
      </c>
      <c r="D35" s="425" t="n">
        <f aca="false">IF('Project Assumptions'!$I$34="Normal",'Debt Amortization'!F37,'Debt Amortization'!F85)</f>
        <v>4118.837</v>
      </c>
      <c r="E35" s="425" t="n">
        <f aca="false">IF('Project Assumptions'!$I$34="Normal",'Debt Amortization'!G37,'Debt Amortization'!G85)</f>
        <v>6839.337</v>
      </c>
      <c r="F35" s="425" t="n">
        <f aca="false">IF('Project Assumptions'!$I$34="Normal",'Debt Amortization'!H37,'Debt Amortization'!H85)</f>
        <v>9353.89515</v>
      </c>
      <c r="G35" s="425" t="n">
        <f aca="false">IF('Project Assumptions'!$I$34="Normal",'Debt Amortization'!I37,'Debt Amortization'!I85)</f>
        <v>8942.01145</v>
      </c>
      <c r="H35" s="425" t="n">
        <f aca="false">IF('Project Assumptions'!$I$34="Normal",'Debt Amortization'!J37,'Debt Amortization'!J85)</f>
        <v>8530.12775</v>
      </c>
      <c r="I35" s="425" t="n">
        <f aca="false">IF('Project Assumptions'!$I$34="Normal",'Debt Amortization'!K37,'Debt Amortization'!K85)</f>
        <v>8118.24405</v>
      </c>
      <c r="J35" s="425" t="n">
        <f aca="false">IF('Project Assumptions'!$I$34="Normal",'Debt Amortization'!L37,'Debt Amortization'!L85)</f>
        <v>7706.36035</v>
      </c>
      <c r="K35" s="425" t="n">
        <f aca="false">IF('Project Assumptions'!$I$34="Normal",'Debt Amortization'!M37,'Debt Amortization'!M85)</f>
        <v>12735.47665</v>
      </c>
      <c r="L35" s="425" t="n">
        <f aca="false">IF('Project Assumptions'!$I$34="Normal",'Debt Amortization'!N37,'Debt Amortization'!N85)</f>
        <v>14632.20925</v>
      </c>
      <c r="M35" s="425" t="n">
        <f aca="false">IF('Project Assumptions'!$I$34="Normal",'Debt Amortization'!O37,'Debt Amortization'!O85)</f>
        <v>0</v>
      </c>
      <c r="N35" s="425" t="n">
        <f aca="false">IF('Project Assumptions'!$I$34="Normal",'Debt Amortization'!P37,'Debt Amortization'!P85)</f>
        <v>0</v>
      </c>
      <c r="O35" s="425" t="n">
        <f aca="false">IF('Project Assumptions'!$I$34="Normal",'Debt Amortization'!Q37,'Debt Amortization'!Q85)</f>
        <v>0</v>
      </c>
      <c r="P35" s="425" t="n">
        <f aca="false">IF('Project Assumptions'!$I$34="Normal",'Debt Amortization'!R37,'Debt Amortization'!R85)</f>
        <v>0</v>
      </c>
      <c r="Q35" s="425" t="n">
        <f aca="false">IF('Project Assumptions'!$I$34="Normal",'Debt Amortization'!S37,'Debt Amortization'!S85)</f>
        <v>0</v>
      </c>
      <c r="R35" s="425" t="n">
        <f aca="false">IF('Project Assumptions'!$I$34="Normal",'Debt Amortization'!T37,'Debt Amortization'!T85)</f>
        <v>0</v>
      </c>
      <c r="S35" s="425" t="n">
        <f aca="false">IF('Project Assumptions'!$I$34="Normal",'Debt Amortization'!U37,'Debt Amortization'!U85)</f>
        <v>0</v>
      </c>
      <c r="T35" s="425" t="n">
        <f aca="false">IF('Project Assumptions'!$I$34="Normal",'Debt Amortization'!V37,'Debt Amortization'!V85)</f>
        <v>0</v>
      </c>
      <c r="U35" s="425" t="n">
        <f aca="false">IF('Project Assumptions'!$I$34="Normal",'Debt Amortization'!W37,'Debt Amortization'!W85)</f>
        <v>0</v>
      </c>
      <c r="V35" s="425" t="n">
        <f aca="false">IF('Project Assumptions'!$I$34="Normal",'Debt Amortization'!X37,'Debt Amortization'!X85)</f>
        <v>0</v>
      </c>
      <c r="W35" s="425" t="n">
        <f aca="false">IF('Project Assumptions'!$I$34="Normal",'Debt Amortization'!Y37,'Debt Amortization'!Y85)</f>
        <v>0</v>
      </c>
      <c r="X35" s="425" t="n">
        <f aca="false">IF('Project Assumptions'!$I$34="Normal",'Debt Amortization'!Z37,'Debt Amortization'!Z85)</f>
        <v>0</v>
      </c>
      <c r="Y35" s="425" t="n">
        <f aca="false">IF('Project Assumptions'!$I$34="Normal",'Debt Amortization'!AA37,'Debt Amortization'!AA85)</f>
        <v>0</v>
      </c>
      <c r="Z35" s="425" t="n">
        <f aca="false">IF('Project Assumptions'!$I$34="Normal",'Debt Amortization'!AB37,'Debt Amortization'!AB85)</f>
        <v>0</v>
      </c>
      <c r="AA35" s="426" t="n">
        <f aca="false">IF('Project Assumptions'!$I$34="Normal",'Debt Amortization'!AC37,'Debt Amortization'!AC85)</f>
        <v>0</v>
      </c>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row>
    <row r="36" customFormat="false" ht="12.6" hidden="false" customHeight="true" outlineLevel="0" collapsed="false">
      <c r="A36" s="397" t="s">
        <v>488</v>
      </c>
      <c r="B36" s="371"/>
      <c r="C36" s="618" t="n">
        <f aca="false">IF(C35&lt;1,"N/A",'Book Income Statement'!D65/C35)</f>
        <v>3.67920396225025</v>
      </c>
      <c r="D36" s="618" t="n">
        <f aca="false">IF(D35&lt;1,"N/A",'Book Income Statement'!E65/D35)</f>
        <v>6.38963735472325</v>
      </c>
      <c r="E36" s="618" t="n">
        <f aca="false">IF(E35&lt;1,"N/A",'Book Income Statement'!F65/E35)</f>
        <v>3.83729480318533</v>
      </c>
      <c r="F36" s="618" t="n">
        <f aca="false">IF(F35&lt;1,"N/A",'Book Income Statement'!G65/F35)</f>
        <v>3.86515264944659</v>
      </c>
      <c r="G36" s="618" t="n">
        <f aca="false">IF(G35&lt;1,"N/A",'Book Income Statement'!H65/G35)</f>
        <v>4.90274433931921</v>
      </c>
      <c r="H36" s="618" t="n">
        <f aca="false">IF(H35&lt;1,"N/A",'Book Income Statement'!I65/H35)</f>
        <v>5.30001249444076</v>
      </c>
      <c r="I36" s="618" t="n">
        <f aca="false">IF(I35&lt;1,"N/A",'Book Income Statement'!J65/I35)</f>
        <v>5.53774104086361</v>
      </c>
      <c r="J36" s="618" t="n">
        <f aca="false">IF(J35&lt;1,"N/A",'Book Income Statement'!K65/J35)</f>
        <v>5.90186846545879</v>
      </c>
      <c r="K36" s="618" t="n">
        <f aca="false">IF(K35&lt;1,"N/A",'Book Income Statement'!L65/K35)</f>
        <v>3.61178782462247</v>
      </c>
      <c r="L36" s="618" t="n">
        <f aca="false">IF(L35&lt;1,"N/A",'Book Income Statement'!M65/L35)</f>
        <v>3.1810255400256</v>
      </c>
      <c r="M36" s="618" t="str">
        <f aca="false">IF(M35&lt;1,"N/A",'Book Income Statement'!N65/M35)</f>
        <v>N/A</v>
      </c>
      <c r="N36" s="618" t="str">
        <f aca="false">IF(N35&lt;1,"N/A",'Book Income Statement'!O65/N35)</f>
        <v>N/A</v>
      </c>
      <c r="O36" s="618" t="str">
        <f aca="false">IF(O35&lt;1,"N/A",'Book Income Statement'!P65/O35)</f>
        <v>N/A</v>
      </c>
      <c r="P36" s="618" t="str">
        <f aca="false">IF(P35&lt;1,"N/A",'Book Income Statement'!Q65/P35)</f>
        <v>N/A</v>
      </c>
      <c r="Q36" s="618" t="str">
        <f aca="false">IF(Q35&lt;1,"N/A",'Book Income Statement'!R65/Q35)</f>
        <v>N/A</v>
      </c>
      <c r="R36" s="618" t="str">
        <f aca="false">IF(R35&lt;1,"N/A",'Book Income Statement'!S65/R35)</f>
        <v>N/A</v>
      </c>
      <c r="S36" s="618" t="str">
        <f aca="false">IF(S35&lt;1,"N/A",'Book Income Statement'!T65/S35)</f>
        <v>N/A</v>
      </c>
      <c r="T36" s="618" t="str">
        <f aca="false">IF(T35&lt;1,"N/A",'Book Income Statement'!U65/T35)</f>
        <v>N/A</v>
      </c>
      <c r="U36" s="618" t="str">
        <f aca="false">IF(U35&lt;1,"N/A",'Book Income Statement'!V65/U35)</f>
        <v>N/A</v>
      </c>
      <c r="V36" s="618" t="str">
        <f aca="false">IF(V35&lt;1,"N/A",'Book Income Statement'!W65/V35)</f>
        <v>N/A</v>
      </c>
      <c r="W36" s="618" t="str">
        <f aca="false">IF(W35&lt;1,"N/A",'Book Income Statement'!X65/W35)</f>
        <v>N/A</v>
      </c>
      <c r="X36" s="618" t="str">
        <f aca="false">IF(X35&lt;1,"N/A",'Book Income Statement'!Y65/X35)</f>
        <v>N/A</v>
      </c>
      <c r="Y36" s="618" t="str">
        <f aca="false">IF(Y35&lt;1,"N/A",'Book Income Statement'!Z65/Y35)</f>
        <v>N/A</v>
      </c>
      <c r="Z36" s="618" t="str">
        <f aca="false">IF(Z35&lt;1,"N/A",'Book Income Statement'!AA65/Z35)</f>
        <v>N/A</v>
      </c>
      <c r="AA36" s="619" t="str">
        <f aca="false">IF(AA35&lt;1,"N/A",'Book Income Statement'!AB65/AA35)</f>
        <v>N/A</v>
      </c>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row>
    <row r="37" customFormat="false" ht="12.6" hidden="false" customHeight="true" outlineLevel="0" collapsed="false">
      <c r="A37" s="397" t="s">
        <v>485</v>
      </c>
      <c r="B37" s="371"/>
      <c r="C37" s="611" t="n">
        <f aca="false">IF($B$34&gt;0,(($B$34-IF('Project Assumptions'!$I$34="Normal",SUM('Debt Amortization'!$E$36:E36),SUM('Debt Amortization'!$E$84:E84)))/$B$34),0)</f>
        <v>1</v>
      </c>
      <c r="D37" s="611" t="n">
        <f aca="false">IF($B$34&gt;0,(($B$34-IF('Project Assumptions'!$I$34="Normal",SUM('Debt Amortization'!$E$36:F36),SUM('Debt Amortization'!$E$84:F84)))/$B$34),0)</f>
        <v>1</v>
      </c>
      <c r="E37" s="611" t="n">
        <f aca="false">IF($B$34&gt;0,(($B$34-IF('Project Assumptions'!$I$34="Normal",SUM('Debt Amortization'!$E$36:G36),SUM('Debt Amortization'!$E$84:G84)))/$B$34),0)</f>
        <v>0.95</v>
      </c>
      <c r="F37" s="611" t="n">
        <f aca="false">IF($B$34&gt;0,(($B$34-IF('Project Assumptions'!$I$34="Normal",SUM('Debt Amortization'!$E$36:H36),SUM('Debt Amortization'!$E$84:H84)))/$B$34),0)</f>
        <v>0.85</v>
      </c>
      <c r="G37" s="611" t="n">
        <f aca="false">IF($B$34&gt;0,(($B$34-IF('Project Assumptions'!$I$34="Normal",SUM('Debt Amortization'!$E$36:I36),SUM('Debt Amortization'!$E$84:I84)))/$B$34),0)</f>
        <v>0.75</v>
      </c>
      <c r="H37" s="611" t="n">
        <f aca="false">IF($B$34&gt;0,(($B$34-IF('Project Assumptions'!$I$34="Normal",SUM('Debt Amortization'!$E$36:J36),SUM('Debt Amortization'!$E$84:J84)))/$B$34),0)</f>
        <v>0.65</v>
      </c>
      <c r="I37" s="611" t="n">
        <f aca="false">IF($B$34&gt;0,(($B$34-IF('Project Assumptions'!$I$34="Normal",SUM('Debt Amortization'!$E$36:K36),SUM('Debt Amortization'!$E$84:K84)))/$B$34),0)</f>
        <v>0.55</v>
      </c>
      <c r="J37" s="611" t="n">
        <f aca="false">IF($B$34&gt;0,(($B$34-IF('Project Assumptions'!$I$34="Normal",SUM('Debt Amortization'!$E$36:L36),SUM('Debt Amortization'!$E$84:L84)))/$B$34),0)</f>
        <v>0.45</v>
      </c>
      <c r="K37" s="611" t="n">
        <f aca="false">IF($B$34&gt;0,(($B$34-IF('Project Assumptions'!$I$34="Normal",SUM('Debt Amortization'!$E$36:M36),SUM('Debt Amortization'!$E$84:M84)))/$B$34),0)</f>
        <v>0.25</v>
      </c>
      <c r="L37" s="611" t="n">
        <f aca="false">IF($B$34&gt;0,(($B$34-IF('Project Assumptions'!$I$34="Normal",SUM('Debt Amortization'!$E$36:N36),SUM('Debt Amortization'!$E$84:N84)))/$B$34),0)</f>
        <v>0</v>
      </c>
      <c r="M37" s="611" t="n">
        <f aca="false">IF($B$34&gt;0,(($B$34-IF('Project Assumptions'!$I$34="Normal",SUM('Debt Amortization'!$E$36:O36),SUM('Debt Amortization'!$E$84:O84)))/$B$34),0)</f>
        <v>0</v>
      </c>
      <c r="N37" s="611" t="n">
        <f aca="false">IF($B$34&gt;0,(($B$34-IF('Project Assumptions'!$I$34="Normal",SUM('Debt Amortization'!$E$36:P36),SUM('Debt Amortization'!$E$84:P84)))/$B$34),0)</f>
        <v>0</v>
      </c>
      <c r="O37" s="611" t="n">
        <f aca="false">IF($B$34&gt;0,(($B$34-IF('Project Assumptions'!$I$34="Normal",SUM('Debt Amortization'!$E$36:Q36),SUM('Debt Amortization'!$E$84:Q84)))/$B$34),0)</f>
        <v>0</v>
      </c>
      <c r="P37" s="611" t="n">
        <f aca="false">IF($B$34&gt;0,(($B$34-IF('Project Assumptions'!$I$34="Normal",SUM('Debt Amortization'!$E$36:R36),SUM('Debt Amortization'!$E$84:R84)))/$B$34),0)</f>
        <v>0</v>
      </c>
      <c r="Q37" s="611" t="n">
        <f aca="false">IF($B$34&gt;0,(($B$34-IF('Project Assumptions'!$I$34="Normal",SUM('Debt Amortization'!$E$36:S36),SUM('Debt Amortization'!$E$84:S84)))/$B$34),0)</f>
        <v>0</v>
      </c>
      <c r="R37" s="611" t="n">
        <f aca="false">IF($B$34&gt;0,(($B$34-IF('Project Assumptions'!$I$34="Normal",SUM('Debt Amortization'!$E$36:T36),SUM('Debt Amortization'!$E$84:T84)))/$B$34),0)</f>
        <v>0</v>
      </c>
      <c r="S37" s="611" t="n">
        <f aca="false">IF($B$34&gt;0,(($B$34-IF('Project Assumptions'!$I$34="Normal",SUM('Debt Amortization'!$E$36:U36),SUM('Debt Amortization'!$E$84:U84)))/$B$34),0)</f>
        <v>0</v>
      </c>
      <c r="T37" s="611" t="n">
        <f aca="false">IF($B$34&gt;0,(($B$34-IF('Project Assumptions'!$I$34="Normal",SUM('Debt Amortization'!$E$36:V36),SUM('Debt Amortization'!$E$84:V84)))/$B$34),0)</f>
        <v>0</v>
      </c>
      <c r="U37" s="611" t="n">
        <f aca="false">IF($B$34&gt;0,(($B$34-IF('Project Assumptions'!$I$34="Normal",SUM('Debt Amortization'!$E$36:W36),SUM('Debt Amortization'!$E$84:W84)))/$B$34),0)</f>
        <v>0</v>
      </c>
      <c r="V37" s="611" t="n">
        <f aca="false">IF($B$34&gt;0,(($B$34-IF('Project Assumptions'!$I$34="Normal",SUM('Debt Amortization'!$E$36:X36),SUM('Debt Amortization'!$E$84:X84)))/$B$34),0)</f>
        <v>0</v>
      </c>
      <c r="W37" s="611" t="n">
        <f aca="false">IF($B$34&gt;0,(($B$34-IF('Project Assumptions'!$I$34="Normal",SUM('Debt Amortization'!$E$36:Y36),SUM('Debt Amortization'!$E$84:Y84)))/$B$34),0)</f>
        <v>0</v>
      </c>
      <c r="X37" s="611" t="n">
        <f aca="false">IF($B$34&gt;0,(($B$34-IF('Project Assumptions'!$I$34="Normal",SUM('Debt Amortization'!$E$36:Z36),SUM('Debt Amortization'!$E$84:Z84)))/$B$34),0)</f>
        <v>0</v>
      </c>
      <c r="Y37" s="611" t="n">
        <f aca="false">IF($B$34&gt;0,(($B$34-IF('Project Assumptions'!$I$34="Normal",SUM('Debt Amortization'!$E$36:AA36),SUM('Debt Amortization'!$E$84:AA84)))/$B$34),0)</f>
        <v>0</v>
      </c>
      <c r="Z37" s="611" t="n">
        <f aca="false">IF($B$34&gt;0,(($B$34-IF('Project Assumptions'!$I$34="Normal",SUM('Debt Amortization'!$E$36:AB36),SUM('Debt Amortization'!$E$84:AB84)))/$B$34),0)</f>
        <v>0</v>
      </c>
      <c r="AA37" s="620" t="n">
        <f aca="false">IF($B$34&gt;0,(($B$34-IF('Project Assumptions'!$I$34="Normal",SUM('Debt Amortization'!$E$36:AC36),SUM('Debt Amortization'!$E$84:AC84)))/$B$34),0)</f>
        <v>0</v>
      </c>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row>
    <row r="38" customFormat="false" ht="11.25" hidden="false" customHeight="false" outlineLevel="0" collapsed="false">
      <c r="A38" s="397"/>
      <c r="B38" s="371"/>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402"/>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row>
    <row r="39" customFormat="false" ht="12.6" hidden="false" customHeight="true" outlineLevel="0" collapsed="false">
      <c r="A39" s="421" t="s">
        <v>233</v>
      </c>
      <c r="B39" s="425" t="n">
        <f aca="false">IF('Project Assumptions'!$I$34="Normal",'Debt Amortization'!B21,'Debt Amortization'!C96)</f>
        <v>98814</v>
      </c>
      <c r="C39" s="616"/>
      <c r="D39" s="616"/>
      <c r="E39" s="616"/>
      <c r="F39" s="616"/>
      <c r="G39" s="616"/>
      <c r="H39" s="616"/>
      <c r="I39" s="616"/>
      <c r="J39" s="616"/>
      <c r="K39" s="616"/>
      <c r="L39" s="616"/>
      <c r="M39" s="616"/>
      <c r="N39" s="616"/>
      <c r="O39" s="616"/>
      <c r="P39" s="616"/>
      <c r="Q39" s="616"/>
      <c r="R39" s="616"/>
      <c r="S39" s="616"/>
      <c r="T39" s="616"/>
      <c r="U39" s="616"/>
      <c r="V39" s="616"/>
      <c r="W39" s="616"/>
      <c r="X39" s="616"/>
      <c r="Y39" s="616"/>
      <c r="Z39" s="616"/>
      <c r="AA39" s="617"/>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row>
    <row r="40" customFormat="false" ht="12.6" hidden="false" customHeight="true" outlineLevel="0" collapsed="false">
      <c r="A40" s="397" t="s">
        <v>487</v>
      </c>
      <c r="B40" s="371"/>
      <c r="C40" s="425" t="n">
        <f aca="false">IF('Project Assumptions'!$I$34="Normal",'Debt Amortization'!E45,'Debt Amortization'!E99)</f>
        <v>8082.9852</v>
      </c>
      <c r="D40" s="425" t="n">
        <f aca="false">IF('Project Assumptions'!$I$34="Normal",'Debt Amortization'!F45,'Debt Amortization'!F99)</f>
        <v>8082.9852</v>
      </c>
      <c r="E40" s="425" t="n">
        <f aca="false">IF('Project Assumptions'!$I$34="Normal",'Debt Amortization'!G45,'Debt Amortization'!G99)</f>
        <v>8082.9852</v>
      </c>
      <c r="F40" s="425" t="n">
        <f aca="false">IF('Project Assumptions'!$I$34="Normal",'Debt Amortization'!H45,'Debt Amortization'!H99)</f>
        <v>8082.9852</v>
      </c>
      <c r="G40" s="425" t="n">
        <f aca="false">IF('Project Assumptions'!$I$34="Normal",'Debt Amortization'!I45,'Debt Amortization'!I99)</f>
        <v>10059.2652</v>
      </c>
      <c r="H40" s="425" t="n">
        <f aca="false">IF('Project Assumptions'!$I$34="Normal",'Debt Amortization'!J45,'Debt Amortization'!J99)</f>
        <v>9897.605496</v>
      </c>
      <c r="I40" s="425" t="n">
        <f aca="false">IF('Project Assumptions'!$I$34="Normal",'Debt Amortization'!K45,'Debt Amortization'!K99)</f>
        <v>10724.085792</v>
      </c>
      <c r="J40" s="425" t="n">
        <f aca="false">IF('Project Assumptions'!$I$34="Normal",'Debt Amortization'!L45,'Debt Amortization'!L99)</f>
        <v>10481.596236</v>
      </c>
      <c r="K40" s="425" t="n">
        <f aca="false">IF('Project Assumptions'!$I$34="Normal",'Debt Amortization'!M45,'Debt Amortization'!M99)</f>
        <v>10239.10668</v>
      </c>
      <c r="L40" s="425" t="n">
        <f aca="false">IF('Project Assumptions'!$I$34="Normal",'Debt Amortization'!N45,'Debt Amortization'!N99)</f>
        <v>10984.757124</v>
      </c>
      <c r="M40" s="425" t="n">
        <f aca="false">IF('Project Assumptions'!$I$34="Normal",'Debt Amortization'!O45,'Debt Amortization'!O99)</f>
        <v>10661.437716</v>
      </c>
      <c r="N40" s="425" t="n">
        <f aca="false">IF('Project Assumptions'!$I$34="Normal",'Debt Amortization'!P45,'Debt Amortization'!P99)</f>
        <v>11326.258308</v>
      </c>
      <c r="O40" s="425" t="n">
        <f aca="false">IF('Project Assumptions'!$I$34="Normal",'Debt Amortization'!Q45,'Debt Amortization'!Q99)</f>
        <v>10922.109048</v>
      </c>
      <c r="P40" s="425" t="n">
        <f aca="false">IF('Project Assumptions'!$I$34="Normal",'Debt Amortization'!R45,'Debt Amortization'!R99)</f>
        <v>10517.959788</v>
      </c>
      <c r="Q40" s="425" t="n">
        <f aca="false">IF('Project Assumptions'!$I$34="Normal",'Debt Amortization'!S45,'Debt Amortization'!S99)</f>
        <v>10113.810528</v>
      </c>
      <c r="R40" s="425" t="n">
        <f aca="false">IF('Project Assumptions'!$I$34="Normal",'Debt Amortization'!T45,'Debt Amortization'!T99)</f>
        <v>9709.661268</v>
      </c>
      <c r="S40" s="425" t="n">
        <f aca="false">IF('Project Assumptions'!$I$34="Normal",'Debt Amortization'!U45,'Debt Amortization'!U99)</f>
        <v>14246.212008</v>
      </c>
      <c r="T40" s="425" t="n">
        <f aca="false">IF('Project Assumptions'!$I$34="Normal",'Debt Amortization'!V45,'Debt Amortization'!V99)</f>
        <v>15414.193488</v>
      </c>
      <c r="U40" s="425" t="n">
        <f aca="false">IF('Project Assumptions'!$I$34="Normal",'Debt Amortization'!W45,'Debt Amortization'!W99)</f>
        <v>17408.655264</v>
      </c>
      <c r="V40" s="425" t="n">
        <f aca="false">IF('Project Assumptions'!$I$34="Normal",'Debt Amortization'!X45,'Debt Amortization'!X99)</f>
        <v>18172.487484</v>
      </c>
      <c r="W40" s="425" t="n">
        <f aca="false">IF('Project Assumptions'!$I$34="Normal",'Debt Amortization'!Y45,'Debt Amortization'!Y99)</f>
        <v>0</v>
      </c>
      <c r="X40" s="425" t="n">
        <f aca="false">IF('Project Assumptions'!$I$34="Normal",'Debt Amortization'!Z45,'Debt Amortization'!Z99)</f>
        <v>0</v>
      </c>
      <c r="Y40" s="425" t="n">
        <f aca="false">IF('Project Assumptions'!$I$34="Normal",'Debt Amortization'!AA45,'Debt Amortization'!AA99)</f>
        <v>0</v>
      </c>
      <c r="Z40" s="425" t="n">
        <f aca="false">IF('Project Assumptions'!$I$34="Normal",'Debt Amortization'!AB45,'Debt Amortization'!AB99)</f>
        <v>0</v>
      </c>
      <c r="AA40" s="426" t="n">
        <f aca="false">IF('Project Assumptions'!$I$34="Normal",'Debt Amortization'!AC45,'Debt Amortization'!AC99)</f>
        <v>0</v>
      </c>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row>
    <row r="41" customFormat="false" ht="12.6" hidden="false" customHeight="true" outlineLevel="0" collapsed="false">
      <c r="A41" s="397" t="s">
        <v>488</v>
      </c>
      <c r="B41" s="371"/>
      <c r="C41" s="618" t="n">
        <f aca="false">+IF(C40&lt;1,"N/A",'Book Income Statement'!D65/C40)</f>
        <v>1.8748075166911</v>
      </c>
      <c r="D41" s="618" t="n">
        <f aca="false">+IF(D40&lt;1,"N/A",'Book Income Statement'!E65/D40)</f>
        <v>3.2559597849092</v>
      </c>
      <c r="E41" s="618" t="n">
        <f aca="false">+IF(E40&lt;1,"N/A",'Book Income Statement'!F65/E40)</f>
        <v>3.24688857865695</v>
      </c>
      <c r="F41" s="618" t="n">
        <f aca="false">+IF(F40&lt;1,"N/A",'Book Income Statement'!G65/F40)</f>
        <v>4.47288120998515</v>
      </c>
      <c r="G41" s="618" t="n">
        <f aca="false">+IF(G40&lt;1,"N/A",'Book Income Statement'!H65/G40)</f>
        <v>4.35821057969672</v>
      </c>
      <c r="H41" s="618" t="n">
        <f aca="false">+IF(H40&lt;1,"N/A",'Book Income Statement'!I65/H40)</f>
        <v>4.56774961099903</v>
      </c>
      <c r="I41" s="618" t="n">
        <f aca="false">+IF(I40&lt;1,"N/A",'Book Income Statement'!J65/I40)</f>
        <v>4.19212734095888</v>
      </c>
      <c r="J41" s="618" t="n">
        <f aca="false">+IF(J40&lt;1,"N/A",'Book Income Statement'!K65/J40)</f>
        <v>4.339217434928</v>
      </c>
      <c r="K41" s="618" t="n">
        <f aca="false">+IF(K40&lt;1,"N/A",'Book Income Statement'!L65/K40)</f>
        <v>4.49236842068274</v>
      </c>
      <c r="L41" s="618" t="n">
        <f aca="false">+IF(L40&lt;1,"N/A",'Book Income Statement'!M65/L40)</f>
        <v>4.23727450737661</v>
      </c>
      <c r="M41" s="618" t="n">
        <f aca="false">+IF(M40&lt;1,"N/A",'Book Income Statement'!N65/M40)</f>
        <v>4.41213001159146</v>
      </c>
      <c r="N41" s="618" t="n">
        <f aca="false">+IF(N40&lt;1,"N/A",'Book Income Statement'!O65/N40)</f>
        <v>4.195678574663</v>
      </c>
      <c r="O41" s="618" t="n">
        <f aca="false">+IF(O40&lt;1,"N/A",'Book Income Statement'!P65/O40)</f>
        <v>4.3937763894091</v>
      </c>
      <c r="P41" s="618" t="n">
        <f aca="false">+IF(P40&lt;1,"N/A",'Book Income Statement'!Q65/P40)</f>
        <v>4.60966520274622</v>
      </c>
      <c r="Q41" s="618" t="n">
        <f aca="false">+IF(Q40&lt;1,"N/A",'Book Income Statement'!R65/Q40)</f>
        <v>4.83704491998456</v>
      </c>
      <c r="R41" s="618" t="n">
        <f aca="false">+IF(R40&lt;1,"N/A",'Book Income Statement'!S65/R40)</f>
        <v>5.08153166162488</v>
      </c>
      <c r="S41" s="618" t="n">
        <f aca="false">+IF(S40&lt;1,"N/A",'Book Income Statement'!T65/S40)</f>
        <v>3.49144073682857</v>
      </c>
      <c r="T41" s="618" t="n">
        <f aca="false">+IF(T40&lt;1,"N/A",'Book Income Statement'!U65/T40)</f>
        <v>3.25420697164426</v>
      </c>
      <c r="U41" s="618" t="n">
        <f aca="false">+IF(U40&lt;1,"N/A",'Book Income Statement'!V65/U40)</f>
        <v>2.90188385102831</v>
      </c>
      <c r="V41" s="618" t="n">
        <f aca="false">+IF(V40&lt;1,"N/A",'Book Income Statement'!W65/V40)</f>
        <v>2.73276600873058</v>
      </c>
      <c r="W41" s="618" t="str">
        <f aca="false">+IF(W40&lt;1,"N/A",'Book Income Statement'!X65/W40)</f>
        <v>N/A</v>
      </c>
      <c r="X41" s="618" t="str">
        <f aca="false">+IF(X40&lt;1,"N/A",'Book Income Statement'!Y65/X40)</f>
        <v>N/A</v>
      </c>
      <c r="Y41" s="618" t="str">
        <f aca="false">+IF(Y40&lt;1,"N/A",'Book Income Statement'!Z65/Y40)</f>
        <v>N/A</v>
      </c>
      <c r="Z41" s="618" t="str">
        <f aca="false">+IF(Z40&lt;1,"N/A",'Book Income Statement'!AA65/Z40)</f>
        <v>N/A</v>
      </c>
      <c r="AA41" s="619" t="str">
        <f aca="false">+IF(AA40&lt;1,"N/A",'Book Income Statement'!AB65/AA40)</f>
        <v>N/A</v>
      </c>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row>
    <row r="42" customFormat="false" ht="12.6" hidden="false" customHeight="true" outlineLevel="0" collapsed="false">
      <c r="A42" s="449" t="s">
        <v>485</v>
      </c>
      <c r="B42" s="467"/>
      <c r="C42" s="621" t="n">
        <f aca="false">IF($B$39&gt;0,(($B$39-IF('Project Assumptions'!$I$34="Normal",SUM('Debt Amortization'!$E$44:E44),SUM('Debt Amortization'!$E$98:E98)))/$B$39),0)</f>
        <v>1</v>
      </c>
      <c r="D42" s="621" t="n">
        <f aca="false">IF($B$39&gt;0,(($B$39-IF('Project Assumptions'!$I$34="Normal",SUM('Debt Amortization'!$E$44:F44),SUM('Debt Amortization'!$E$98:F98)))/$B$39),0)</f>
        <v>1</v>
      </c>
      <c r="E42" s="621" t="n">
        <f aca="false">IF($B$39&gt;0,(($B$39-IF('Project Assumptions'!$I$34="Normal",SUM('Debt Amortization'!$E$44:G44),SUM('Debt Amortization'!$E$98:G98)))/$B$39),0)</f>
        <v>1</v>
      </c>
      <c r="F42" s="621" t="n">
        <f aca="false">IF($B$39&gt;0,(($B$39-IF('Project Assumptions'!$I$34="Normal",SUM('Debt Amortization'!$E$44:H44),SUM('Debt Amortization'!$E$98:H98)))/$B$39),0)</f>
        <v>1</v>
      </c>
      <c r="G42" s="621" t="n">
        <f aca="false">IF($B$39&gt;0,(($B$39-IF('Project Assumptions'!$I$34="Normal",SUM('Debt Amortization'!$E$44:I44),SUM('Debt Amortization'!$E$98:I98)))/$B$39),0)</f>
        <v>0.98</v>
      </c>
      <c r="H42" s="621" t="n">
        <f aca="false">IF($B$39&gt;0,(($B$39-IF('Project Assumptions'!$I$34="Normal",SUM('Debt Amortization'!$E$44:J44),SUM('Debt Amortization'!$E$98:J98)))/$B$39),0)</f>
        <v>0.96</v>
      </c>
      <c r="I42" s="621" t="n">
        <f aca="false">IF($B$39&gt;0,(($B$39-IF('Project Assumptions'!$I$34="Normal",SUM('Debt Amortization'!$E$44:K44),SUM('Debt Amortization'!$E$98:K98)))/$B$39),0)</f>
        <v>0.93</v>
      </c>
      <c r="J42" s="621" t="n">
        <f aca="false">IF($B$39&gt;0,(($B$39-IF('Project Assumptions'!$I$34="Normal",SUM('Debt Amortization'!$E$44:L44),SUM('Debt Amortization'!$E$98:L98)))/$B$39),0)</f>
        <v>0.9</v>
      </c>
      <c r="K42" s="621" t="n">
        <f aca="false">IF($B$39&gt;0,(($B$39-IF('Project Assumptions'!$I$34="Normal",SUM('Debt Amortization'!$E$44:M44),SUM('Debt Amortization'!$E$98:M98)))/$B$39),0)</f>
        <v>0.87</v>
      </c>
      <c r="L42" s="621" t="n">
        <f aca="false">IF($B$39&gt;0,(($B$39-IF('Project Assumptions'!$I$34="Normal",SUM('Debt Amortization'!$E$44:N44),SUM('Debt Amortization'!$E$98:N98)))/$B$39),0)</f>
        <v>0.83</v>
      </c>
      <c r="M42" s="621" t="n">
        <f aca="false">IF($B$39&gt;0,(($B$39-IF('Project Assumptions'!$I$34="Normal",SUM('Debt Amortization'!$E$44:O44),SUM('Debt Amortization'!$E$98:O98)))/$B$39),0)</f>
        <v>0.79</v>
      </c>
      <c r="N42" s="621" t="n">
        <f aca="false">IF($B$39&gt;0,(($B$39-IF('Project Assumptions'!$I$34="Normal",SUM('Debt Amortization'!$E$44:P44),SUM('Debt Amortization'!$E$98:P98)))/$B$39),0)</f>
        <v>0.74</v>
      </c>
      <c r="O42" s="621" t="n">
        <f aca="false">IF($B$39&gt;0,(($B$39-IF('Project Assumptions'!$I$34="Normal",SUM('Debt Amortization'!$E$44:Q44),SUM('Debt Amortization'!$E$98:Q98)))/$B$39),0)</f>
        <v>0.69</v>
      </c>
      <c r="P42" s="621" t="n">
        <f aca="false">IF($B$39&gt;0,(($B$39-IF('Project Assumptions'!$I$34="Normal",SUM('Debt Amortization'!$E$44:R44),SUM('Debt Amortization'!$E$98:R98)))/$B$39),0)</f>
        <v>0.64</v>
      </c>
      <c r="Q42" s="621" t="n">
        <f aca="false">IF($B$39&gt;0,(($B$39-IF('Project Assumptions'!$I$34="Normal",SUM('Debt Amortization'!$E$44:S44),SUM('Debt Amortization'!$E$98:S98)))/$B$39),0)</f>
        <v>0.59</v>
      </c>
      <c r="R42" s="621" t="n">
        <f aca="false">IF($B$39&gt;0,(($B$39-IF('Project Assumptions'!$I$34="Normal",SUM('Debt Amortization'!$E$44:T44),SUM('Debt Amortization'!$E$98:T98)))/$B$39),0)</f>
        <v>0.54</v>
      </c>
      <c r="S42" s="621" t="n">
        <f aca="false">IF($B$39&gt;0,(($B$39-IF('Project Assumptions'!$I$34="Normal",SUM('Debt Amortization'!$E$44:U44),SUM('Debt Amortization'!$E$98:U98)))/$B$39),0)</f>
        <v>0.44</v>
      </c>
      <c r="T42" s="621" t="n">
        <f aca="false">IF($B$39&gt;0,(($B$39-IF('Project Assumptions'!$I$34="Normal",SUM('Debt Amortization'!$E$44:V44),SUM('Debt Amortization'!$E$98:V98)))/$B$39),0)</f>
        <v>0.32</v>
      </c>
      <c r="U42" s="621" t="n">
        <f aca="false">IF($B$39&gt;0,(($B$39-IF('Project Assumptions'!$I$34="Normal",SUM('Debt Amortization'!$E$44:W44),SUM('Debt Amortization'!$E$98:W98)))/$B$39),0)</f>
        <v>0.17</v>
      </c>
      <c r="V42" s="621" t="n">
        <f aca="false">IF($B$39&gt;0,(($B$39-IF('Project Assumptions'!$I$34="Normal",SUM('Debt Amortization'!$E$44:X44),SUM('Debt Amortization'!$E$98:X98)))/$B$39),0)</f>
        <v>0</v>
      </c>
      <c r="W42" s="621" t="n">
        <f aca="false">IF($B$39&gt;0,(($B$39-IF('Project Assumptions'!$I$34="Normal",SUM('Debt Amortization'!$E$44:Y44),SUM('Debt Amortization'!$E$98:Y98)))/$B$39),0)</f>
        <v>0</v>
      </c>
      <c r="X42" s="621" t="n">
        <f aca="false">IF($B$39&gt;0,(($B$39-IF('Project Assumptions'!$I$34="Normal",SUM('Debt Amortization'!$E$44:Z44),SUM('Debt Amortization'!$E$98:Z98)))/$B$39),0)</f>
        <v>0</v>
      </c>
      <c r="Y42" s="621" t="n">
        <f aca="false">IF($B$39&gt;0,(($B$39-IF('Project Assumptions'!$I$34="Normal",SUM('Debt Amortization'!$E$44:AA44),SUM('Debt Amortization'!$E$98:AA98)))/$B$39),0)</f>
        <v>0</v>
      </c>
      <c r="Z42" s="621" t="n">
        <f aca="false">IF($B$39&gt;0,(($B$39-IF('Project Assumptions'!$I$34="Normal",SUM('Debt Amortization'!$E$44:AB44),SUM('Debt Amortization'!$E$98:AB98)))/$B$39),0)</f>
        <v>0</v>
      </c>
      <c r="AA42" s="622" t="n">
        <f aca="false">IF($B$39&gt;0,(($B$39-IF('Project Assumptions'!$I$34="Normal",SUM('Debt Amortization'!$E$44:AC44),SUM('Debt Amortization'!$E$98:AC98)))/$B$39),0)</f>
        <v>0</v>
      </c>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row>
    <row r="43" customFormat="false" ht="12.6" hidden="false" customHeight="true" outlineLevel="0" collapsed="false"/>
    <row r="44" customFormat="false" ht="12.6" hidden="false" customHeight="true" outlineLevel="0" collapsed="false"/>
    <row r="45" customFormat="false" ht="12.6" hidden="false" customHeight="true" outlineLevel="0" collapsed="false"/>
    <row r="46" customFormat="false" ht="12.6" hidden="false" customHeight="true" outlineLevel="0" collapsed="false"/>
    <row r="47" customFormat="false" ht="12.6" hidden="false" customHeight="true" outlineLevel="0" collapsed="false"/>
    <row r="48" customFormat="false" ht="12.6" hidden="false" customHeight="true" outlineLevel="0" collapsed="false"/>
    <row r="49" customFormat="false" ht="12.6" hidden="false" customHeight="true" outlineLevel="0" collapsed="false"/>
    <row r="87" customFormat="false" ht="12.6" hidden="false" customHeight="true" outlineLevel="0" collapsed="false">
      <c r="A87" s="1"/>
      <c r="B87" s="1"/>
      <c r="C87" s="623"/>
      <c r="D87" s="623"/>
      <c r="E87" s="623"/>
      <c r="F87" s="623"/>
      <c r="G87" s="623"/>
      <c r="H87" s="623"/>
      <c r="I87" s="623"/>
      <c r="J87" s="623"/>
      <c r="K87" s="623"/>
      <c r="L87" s="623"/>
      <c r="M87" s="623"/>
      <c r="N87" s="623"/>
      <c r="O87" s="623"/>
      <c r="P87" s="623"/>
      <c r="Q87" s="623"/>
      <c r="R87" s="623"/>
      <c r="S87" s="623"/>
      <c r="T87" s="623"/>
      <c r="U87" s="623"/>
      <c r="V87" s="623"/>
      <c r="W87" s="623"/>
      <c r="X87" s="623"/>
      <c r="Y87" s="623"/>
      <c r="Z87" s="623"/>
      <c r="AA87" s="623"/>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row>
    <row r="88" customFormat="false" ht="12.6" hidden="false" customHeight="true" outlineLevel="0" collapsed="false">
      <c r="A88" s="1"/>
      <c r="B88" s="1"/>
      <c r="C88" s="444"/>
      <c r="D88" s="444"/>
      <c r="E88" s="444"/>
      <c r="F88" s="444"/>
      <c r="G88" s="444"/>
      <c r="H88" s="444"/>
      <c r="I88" s="444"/>
      <c r="J88" s="444"/>
      <c r="K88" s="444"/>
      <c r="L88" s="444"/>
      <c r="M88" s="444"/>
      <c r="N88" s="444"/>
      <c r="O88" s="444"/>
      <c r="P88" s="444"/>
      <c r="Q88" s="444"/>
      <c r="R88" s="444"/>
      <c r="S88" s="444"/>
      <c r="T88" s="444"/>
      <c r="U88" s="444"/>
      <c r="V88" s="444"/>
      <c r="W88" s="444"/>
      <c r="X88" s="444"/>
      <c r="Y88" s="444"/>
      <c r="Z88" s="444"/>
      <c r="AA88" s="444"/>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row>
    <row r="89" customFormat="false" ht="12.6" hidden="false" customHeight="true" outlineLevel="0" collapsed="false">
      <c r="A89" s="1"/>
      <c r="B89" s="1"/>
      <c r="C89" s="623"/>
      <c r="D89" s="623"/>
      <c r="E89" s="623"/>
      <c r="F89" s="623"/>
      <c r="G89" s="623"/>
      <c r="H89" s="623"/>
      <c r="I89" s="623"/>
      <c r="J89" s="623"/>
      <c r="K89" s="623"/>
      <c r="L89" s="623"/>
      <c r="M89" s="623"/>
      <c r="N89" s="623"/>
      <c r="O89" s="623"/>
      <c r="P89" s="623"/>
      <c r="Q89" s="623"/>
      <c r="R89" s="623"/>
      <c r="S89" s="623"/>
      <c r="T89" s="623"/>
      <c r="U89" s="623"/>
      <c r="V89" s="623"/>
      <c r="W89" s="623"/>
      <c r="X89" s="623"/>
      <c r="Y89" s="623"/>
      <c r="Z89" s="623"/>
      <c r="AA89" s="623"/>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row>
    <row r="90" customFormat="false" ht="12.6" hidden="false" customHeight="true" outlineLevel="0" collapsed="false">
      <c r="A90" s="1"/>
      <c r="B90" s="1"/>
      <c r="C90" s="444"/>
      <c r="D90" s="444"/>
      <c r="E90" s="444"/>
      <c r="F90" s="444"/>
      <c r="G90" s="444"/>
      <c r="H90" s="444"/>
      <c r="I90" s="444"/>
      <c r="J90" s="444"/>
      <c r="K90" s="444"/>
      <c r="L90" s="444"/>
      <c r="M90" s="444"/>
      <c r="N90" s="444"/>
      <c r="O90" s="444"/>
      <c r="P90" s="444"/>
      <c r="Q90" s="444"/>
      <c r="R90" s="444"/>
      <c r="S90" s="444"/>
      <c r="T90" s="444"/>
      <c r="U90" s="444"/>
      <c r="V90" s="444"/>
      <c r="W90" s="444"/>
      <c r="X90" s="444"/>
      <c r="Y90" s="444"/>
      <c r="Z90" s="444"/>
      <c r="AA90" s="444"/>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row>
    <row r="91" customFormat="false" ht="12.75" hidden="false" customHeight="false" outlineLevel="0" collapsed="false">
      <c r="C91" s="624"/>
      <c r="D91" s="624"/>
      <c r="E91" s="624"/>
      <c r="F91" s="624"/>
      <c r="G91" s="624"/>
      <c r="H91" s="624"/>
      <c r="I91" s="624"/>
      <c r="J91" s="624"/>
      <c r="K91" s="624"/>
      <c r="L91" s="624"/>
      <c r="M91" s="624"/>
      <c r="N91" s="624"/>
      <c r="O91" s="624"/>
      <c r="P91" s="624"/>
      <c r="Q91" s="624"/>
      <c r="R91" s="624"/>
      <c r="S91" s="624"/>
      <c r="T91" s="624"/>
      <c r="U91" s="624"/>
      <c r="V91" s="624"/>
      <c r="W91" s="624"/>
      <c r="X91" s="624"/>
      <c r="Y91" s="624"/>
      <c r="Z91" s="624"/>
      <c r="AA91" s="624"/>
    </row>
    <row r="93" customFormat="false" ht="12.75" hidden="false" customHeight="false" outlineLevel="0" collapsed="false">
      <c r="C93" s="624"/>
      <c r="D93" s="624"/>
      <c r="E93" s="624"/>
      <c r="F93" s="624"/>
      <c r="G93" s="624"/>
      <c r="H93" s="624"/>
      <c r="I93" s="624"/>
      <c r="J93" s="624"/>
      <c r="K93" s="624"/>
      <c r="L93" s="624"/>
      <c r="M93" s="624"/>
      <c r="N93" s="624"/>
      <c r="O93" s="624"/>
      <c r="P93" s="624"/>
      <c r="Q93" s="624"/>
      <c r="R93" s="624"/>
      <c r="S93" s="624"/>
      <c r="T93" s="624"/>
      <c r="U93" s="624"/>
      <c r="V93" s="624"/>
      <c r="W93" s="624"/>
      <c r="X93" s="624"/>
      <c r="Y93" s="624"/>
      <c r="Z93" s="624"/>
      <c r="AA93" s="624"/>
    </row>
    <row r="96" customFormat="false" ht="12.6" hidden="false" customHeight="true" outlineLevel="0" collapsed="false"/>
    <row r="97" customFormat="false" ht="12.6" hidden="false" customHeight="true" outlineLevel="0" collapsed="false"/>
    <row r="131" customFormat="false" ht="12.6" hidden="false" customHeight="true" outlineLevel="0" collapsed="false">
      <c r="A131" s="1"/>
      <c r="B131" s="1"/>
      <c r="C131" s="395"/>
      <c r="D131" s="395"/>
      <c r="E131" s="395"/>
      <c r="F131" s="395"/>
      <c r="G131" s="395"/>
      <c r="H131" s="395"/>
      <c r="I131" s="395"/>
      <c r="J131" s="395"/>
      <c r="K131" s="395"/>
      <c r="L131" s="395"/>
      <c r="M131" s="395"/>
      <c r="N131" s="395"/>
      <c r="O131" s="395"/>
      <c r="P131" s="395"/>
      <c r="Q131" s="395"/>
      <c r="R131" s="395"/>
      <c r="S131" s="395"/>
      <c r="T131" s="395"/>
      <c r="U131" s="395"/>
      <c r="V131" s="395"/>
      <c r="W131" s="395"/>
      <c r="X131" s="395"/>
      <c r="Y131" s="395"/>
      <c r="Z131" s="395"/>
      <c r="AA131" s="395"/>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row>
    <row r="132" customFormat="false" ht="12.6" hidden="false" customHeight="true" outlineLevel="0" collapsed="false">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row>
    <row r="133" customFormat="false" ht="12.6" hidden="false" customHeight="true" outlineLevel="0" collapsed="false">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row>
    <row r="134" customFormat="false" ht="15.75" hidden="false" customHeight="false" outlineLevel="0" collapsed="false">
      <c r="A134" s="625"/>
      <c r="B134" s="371"/>
      <c r="C134" s="371"/>
      <c r="D134" s="371"/>
      <c r="E134" s="371"/>
      <c r="F134" s="371"/>
      <c r="G134" s="371"/>
      <c r="H134" s="371"/>
      <c r="I134" s="371"/>
      <c r="J134" s="371"/>
      <c r="K134" s="371"/>
      <c r="L134" s="371"/>
      <c r="M134" s="371"/>
      <c r="N134" s="371"/>
      <c r="O134" s="371"/>
      <c r="P134" s="371"/>
      <c r="Q134" s="371"/>
      <c r="R134" s="371"/>
      <c r="S134" s="371"/>
      <c r="T134" s="371"/>
      <c r="U134" s="371"/>
      <c r="V134" s="371"/>
      <c r="W134" s="371"/>
      <c r="X134" s="371"/>
      <c r="Y134" s="371"/>
      <c r="Z134" s="371"/>
      <c r="AA134" s="371"/>
      <c r="AB134" s="371"/>
      <c r="AC134" s="371"/>
      <c r="AD134" s="371"/>
      <c r="AE134" s="371"/>
      <c r="AF134" s="371"/>
      <c r="AG134" s="371"/>
      <c r="AH134" s="371"/>
      <c r="AI134" s="371"/>
      <c r="AJ134" s="371"/>
      <c r="AK134" s="371"/>
      <c r="AL134" s="371"/>
      <c r="AM134" s="371"/>
      <c r="AN134" s="371"/>
      <c r="AO134" s="371"/>
      <c r="AP134" s="371"/>
      <c r="AQ134" s="371"/>
      <c r="AR134" s="371"/>
      <c r="AS134" s="371"/>
      <c r="AT134" s="371"/>
      <c r="AU134" s="371"/>
      <c r="AV134" s="371"/>
      <c r="AW134" s="371"/>
      <c r="AX134" s="371"/>
      <c r="AY134" s="371"/>
      <c r="AZ134" s="371"/>
      <c r="BA134" s="371"/>
      <c r="BB134" s="371"/>
      <c r="BC134" s="371"/>
      <c r="BD134" s="371"/>
      <c r="BE134" s="371"/>
      <c r="BF134" s="371"/>
      <c r="BG134" s="371"/>
      <c r="BH134" s="371"/>
      <c r="BI134" s="371"/>
      <c r="BJ134" s="371"/>
      <c r="BK134" s="371"/>
      <c r="BL134" s="371"/>
      <c r="BM134" s="371"/>
      <c r="BN134" s="371"/>
      <c r="BO134" s="371"/>
      <c r="BP134" s="371"/>
      <c r="BQ134" s="371"/>
      <c r="BR134" s="371"/>
      <c r="BS134" s="371"/>
      <c r="BT134" s="371"/>
      <c r="BU134" s="371"/>
      <c r="BV134" s="371"/>
      <c r="BW134" s="371"/>
      <c r="BX134" s="371"/>
      <c r="BY134" s="371"/>
      <c r="BZ134" s="371"/>
      <c r="CA134" s="371"/>
      <c r="CB134" s="371"/>
      <c r="CC134" s="371"/>
      <c r="CD134" s="371"/>
      <c r="CE134" s="371"/>
      <c r="CF134" s="371"/>
      <c r="CG134" s="371"/>
      <c r="CH134" s="371"/>
      <c r="CI134" s="371"/>
      <c r="CJ134" s="371"/>
      <c r="CK134" s="371"/>
      <c r="CL134" s="371"/>
      <c r="CM134" s="371"/>
      <c r="CN134" s="371"/>
      <c r="CO134" s="371"/>
      <c r="CP134" s="371"/>
      <c r="CQ134" s="371"/>
      <c r="CR134" s="371"/>
      <c r="CS134" s="371"/>
      <c r="CT134" s="371"/>
      <c r="CU134" s="371"/>
      <c r="CV134" s="371"/>
      <c r="CW134" s="371"/>
      <c r="CX134" s="371"/>
      <c r="CY134" s="371"/>
      <c r="CZ134" s="371"/>
      <c r="DA134" s="371"/>
      <c r="DB134" s="371"/>
      <c r="DC134" s="371"/>
      <c r="DD134" s="371"/>
      <c r="DE134" s="371"/>
      <c r="DF134" s="371"/>
      <c r="DG134" s="371"/>
      <c r="DH134" s="371"/>
      <c r="DI134" s="371"/>
      <c r="DJ134" s="371"/>
      <c r="DK134" s="371"/>
      <c r="DL134" s="371"/>
      <c r="DM134" s="371"/>
      <c r="DN134" s="371"/>
      <c r="DO134" s="371"/>
      <c r="DP134" s="371"/>
      <c r="DQ134" s="371"/>
      <c r="DR134" s="371"/>
      <c r="DS134" s="371"/>
      <c r="DT134" s="371"/>
      <c r="DU134" s="371"/>
      <c r="DV134" s="371"/>
      <c r="DW134" s="371"/>
      <c r="DX134" s="371"/>
      <c r="DY134" s="371"/>
      <c r="DZ134" s="371"/>
      <c r="EA134" s="371"/>
      <c r="EB134" s="371"/>
      <c r="EC134" s="371"/>
      <c r="ED134" s="371"/>
      <c r="EE134" s="371"/>
      <c r="EF134" s="371"/>
      <c r="EG134" s="371"/>
      <c r="EH134" s="371"/>
      <c r="EI134" s="371"/>
      <c r="EJ134" s="371"/>
      <c r="EK134" s="371"/>
      <c r="EL134" s="371"/>
      <c r="EM134" s="371"/>
      <c r="EN134" s="371"/>
      <c r="EO134" s="371"/>
      <c r="EP134" s="371"/>
      <c r="EQ134" s="371"/>
      <c r="ER134" s="371"/>
      <c r="ES134" s="371"/>
      <c r="ET134" s="371"/>
      <c r="EU134" s="371"/>
      <c r="EV134" s="371"/>
      <c r="EW134" s="371"/>
      <c r="EX134" s="371"/>
      <c r="EY134" s="371"/>
      <c r="EZ134" s="371"/>
      <c r="FA134" s="371"/>
      <c r="FB134" s="371"/>
      <c r="FC134" s="371"/>
      <c r="FD134" s="371"/>
      <c r="FE134" s="371"/>
      <c r="FF134" s="371"/>
      <c r="FG134" s="371"/>
      <c r="FH134" s="371"/>
      <c r="FI134" s="371"/>
      <c r="FJ134" s="371"/>
      <c r="FK134" s="371"/>
      <c r="FL134" s="371"/>
      <c r="FM134" s="371"/>
      <c r="FN134" s="371"/>
      <c r="FO134" s="371"/>
      <c r="FP134" s="371"/>
      <c r="FQ134" s="371"/>
      <c r="FR134" s="371"/>
      <c r="FS134" s="371"/>
      <c r="FT134" s="371"/>
      <c r="FU134" s="371"/>
      <c r="FV134" s="371"/>
      <c r="FW134" s="371"/>
      <c r="FX134" s="371"/>
      <c r="FY134" s="371"/>
      <c r="FZ134" s="371"/>
      <c r="GA134" s="371"/>
      <c r="GB134" s="371"/>
      <c r="GC134" s="371"/>
      <c r="GD134" s="371"/>
      <c r="GE134" s="371"/>
      <c r="GF134" s="371"/>
      <c r="GG134" s="371"/>
      <c r="GH134" s="371"/>
      <c r="GI134" s="371"/>
      <c r="GJ134" s="371"/>
      <c r="GK134" s="371"/>
      <c r="GL134" s="371"/>
      <c r="GM134" s="371"/>
      <c r="GN134" s="371"/>
      <c r="GO134" s="371"/>
      <c r="GP134" s="371"/>
      <c r="GQ134" s="371"/>
      <c r="GR134" s="371"/>
      <c r="GS134" s="371"/>
      <c r="GT134" s="371"/>
      <c r="GU134" s="371"/>
      <c r="GV134" s="371"/>
      <c r="GW134" s="371"/>
      <c r="GX134" s="371"/>
      <c r="GY134" s="371"/>
      <c r="GZ134" s="371"/>
      <c r="HA134" s="371"/>
      <c r="HB134" s="371"/>
      <c r="HC134" s="371"/>
      <c r="HD134" s="371"/>
      <c r="HE134" s="371"/>
      <c r="HF134" s="371"/>
      <c r="HG134" s="371"/>
      <c r="HH134" s="371"/>
      <c r="HI134" s="371"/>
      <c r="HJ134" s="371"/>
      <c r="HK134" s="371"/>
      <c r="HL134" s="371"/>
      <c r="HM134" s="371"/>
      <c r="HN134" s="371"/>
      <c r="HO134" s="371"/>
      <c r="HP134" s="371"/>
      <c r="HQ134" s="371"/>
      <c r="HR134" s="371"/>
      <c r="HS134" s="371"/>
      <c r="HT134" s="371"/>
      <c r="HU134" s="371"/>
      <c r="HV134" s="371"/>
      <c r="HW134" s="371"/>
      <c r="HX134" s="371"/>
      <c r="HY134" s="371"/>
      <c r="HZ134" s="371"/>
      <c r="IA134" s="371"/>
      <c r="IB134" s="371"/>
      <c r="IC134" s="371"/>
      <c r="ID134" s="371"/>
      <c r="IE134" s="371"/>
      <c r="IF134" s="371"/>
      <c r="IG134" s="371"/>
      <c r="IH134" s="371"/>
      <c r="II134" s="371"/>
      <c r="IJ134" s="371"/>
      <c r="IK134" s="371"/>
      <c r="IL134" s="371"/>
      <c r="IM134" s="371"/>
      <c r="IN134" s="371"/>
      <c r="IO134" s="371"/>
      <c r="IP134" s="371"/>
      <c r="IQ134" s="371"/>
      <c r="IR134" s="371"/>
      <c r="IS134" s="371"/>
      <c r="IT134" s="371"/>
      <c r="IU134" s="371"/>
      <c r="IV134" s="371"/>
      <c r="IW134" s="371"/>
    </row>
    <row r="135" customFormat="false" ht="12.6" hidden="false" customHeight="true" outlineLevel="0" collapsed="false">
      <c r="A135" s="1"/>
      <c r="B135" s="1"/>
      <c r="C135" s="444"/>
      <c r="D135" s="444"/>
      <c r="E135" s="444"/>
      <c r="F135" s="444"/>
      <c r="G135" s="444"/>
      <c r="H135" s="444"/>
      <c r="I135" s="444"/>
      <c r="J135" s="444"/>
      <c r="K135" s="444"/>
      <c r="L135" s="444"/>
      <c r="M135" s="444"/>
      <c r="N135" s="444"/>
      <c r="O135" s="444"/>
      <c r="P135" s="444"/>
      <c r="Q135" s="444"/>
      <c r="R135" s="444"/>
      <c r="S135" s="444"/>
      <c r="T135" s="444"/>
      <c r="U135" s="444"/>
      <c r="V135" s="444"/>
      <c r="W135" s="444"/>
      <c r="X135" s="444"/>
      <c r="Y135" s="444"/>
      <c r="Z135" s="444"/>
      <c r="AA135" s="444"/>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row>
    <row r="136" customFormat="false" ht="12.6" hidden="false" customHeight="true" outlineLevel="0" collapsed="false">
      <c r="A136" s="1"/>
      <c r="B136" s="1"/>
      <c r="C136" s="444"/>
      <c r="D136" s="444"/>
      <c r="E136" s="444"/>
      <c r="F136" s="444"/>
      <c r="G136" s="444"/>
      <c r="H136" s="444"/>
      <c r="I136" s="444"/>
      <c r="J136" s="444"/>
      <c r="K136" s="444"/>
      <c r="L136" s="444"/>
      <c r="M136" s="444"/>
      <c r="N136" s="444"/>
      <c r="O136" s="444"/>
      <c r="P136" s="444"/>
      <c r="Q136" s="444"/>
      <c r="R136" s="444"/>
      <c r="S136" s="444"/>
      <c r="T136" s="444"/>
      <c r="U136" s="444"/>
      <c r="V136" s="444"/>
      <c r="W136" s="444"/>
      <c r="X136" s="444"/>
      <c r="Y136" s="444"/>
      <c r="Z136" s="444"/>
      <c r="AA136" s="444"/>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row>
    <row r="137" customFormat="false" ht="12.6" hidden="false" customHeight="true" outlineLevel="0" collapsed="false">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row>
    <row r="138" customFormat="false" ht="12.6" hidden="false" customHeight="true" outlineLevel="0" collapsed="false">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row>
    <row r="139" customFormat="false" ht="12.6" hidden="false" customHeight="true" outlineLevel="0" collapsed="false">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row>
    <row r="140" customFormat="false" ht="12.6" hidden="false" customHeight="true" outlineLevel="0" collapsed="false">
      <c r="A140" s="416"/>
      <c r="B140" s="473"/>
      <c r="C140" s="404"/>
      <c r="D140" s="481"/>
      <c r="E140" s="481"/>
      <c r="F140" s="481"/>
      <c r="G140" s="481"/>
      <c r="H140" s="481"/>
      <c r="I140" s="481"/>
      <c r="J140" s="481"/>
      <c r="K140" s="481"/>
      <c r="L140" s="481"/>
      <c r="M140" s="481"/>
      <c r="N140" s="481"/>
      <c r="O140" s="481"/>
      <c r="P140" s="481"/>
      <c r="Q140" s="481"/>
      <c r="R140" s="481"/>
      <c r="S140" s="481"/>
      <c r="T140" s="481"/>
      <c r="U140" s="481"/>
      <c r="V140" s="481"/>
      <c r="W140" s="481"/>
      <c r="X140" s="481"/>
      <c r="Y140" s="481"/>
      <c r="Z140" s="481"/>
      <c r="AA140" s="481"/>
      <c r="AB140" s="481"/>
      <c r="AC140" s="473"/>
      <c r="AD140" s="473"/>
      <c r="AE140" s="473"/>
      <c r="AF140" s="473"/>
      <c r="AG140" s="473"/>
      <c r="AH140" s="473"/>
      <c r="AI140" s="473"/>
      <c r="AJ140" s="473"/>
      <c r="AK140" s="473"/>
      <c r="AL140" s="473"/>
      <c r="AM140" s="473"/>
      <c r="AN140" s="473"/>
      <c r="AO140" s="473"/>
      <c r="AP140" s="473"/>
      <c r="AQ140" s="473"/>
      <c r="AR140" s="473"/>
      <c r="AS140" s="473"/>
      <c r="AT140" s="473"/>
      <c r="AU140" s="473"/>
      <c r="AV140" s="473"/>
      <c r="AW140" s="473"/>
      <c r="AX140" s="473"/>
      <c r="AY140" s="473"/>
      <c r="AZ140" s="473"/>
      <c r="BA140" s="473"/>
      <c r="BB140" s="473"/>
      <c r="BC140" s="473"/>
      <c r="BD140" s="473"/>
      <c r="BE140" s="473"/>
      <c r="BF140" s="473"/>
      <c r="BG140" s="473"/>
      <c r="BH140" s="473"/>
      <c r="BI140" s="473"/>
      <c r="BJ140" s="473"/>
      <c r="BK140" s="473"/>
      <c r="BL140" s="473"/>
      <c r="BM140" s="473"/>
      <c r="BN140" s="473"/>
      <c r="BO140" s="473"/>
      <c r="BP140" s="473"/>
      <c r="BQ140" s="473"/>
      <c r="BR140" s="473"/>
      <c r="BS140" s="473"/>
      <c r="BT140" s="473"/>
      <c r="BU140" s="473"/>
      <c r="BV140" s="473"/>
      <c r="BW140" s="473"/>
      <c r="BX140" s="473"/>
      <c r="BY140" s="473"/>
      <c r="BZ140" s="473"/>
      <c r="CA140" s="473"/>
      <c r="CB140" s="473"/>
      <c r="CC140" s="473"/>
      <c r="CD140" s="473"/>
      <c r="CE140" s="473"/>
      <c r="CF140" s="473"/>
      <c r="CG140" s="473"/>
      <c r="CH140" s="473"/>
      <c r="CI140" s="473"/>
      <c r="CJ140" s="473"/>
      <c r="CK140" s="473"/>
      <c r="CL140" s="473"/>
      <c r="CM140" s="473"/>
      <c r="CN140" s="473"/>
      <c r="CO140" s="473"/>
      <c r="CP140" s="473"/>
      <c r="CQ140" s="473"/>
      <c r="CR140" s="473"/>
      <c r="CS140" s="473"/>
      <c r="CT140" s="473"/>
      <c r="CU140" s="473"/>
      <c r="CV140" s="473"/>
      <c r="CW140" s="473"/>
      <c r="CX140" s="473"/>
      <c r="CY140" s="473"/>
      <c r="CZ140" s="473"/>
      <c r="DA140" s="473"/>
      <c r="DB140" s="473"/>
      <c r="DC140" s="473"/>
      <c r="DD140" s="473"/>
      <c r="DE140" s="473"/>
      <c r="DF140" s="473"/>
      <c r="DG140" s="473"/>
      <c r="DH140" s="473"/>
      <c r="DI140" s="473"/>
      <c r="DJ140" s="473"/>
      <c r="DK140" s="473"/>
      <c r="DL140" s="473"/>
      <c r="DM140" s="473"/>
      <c r="DN140" s="473"/>
      <c r="DO140" s="473"/>
      <c r="DP140" s="473"/>
      <c r="DQ140" s="473"/>
      <c r="DR140" s="473"/>
      <c r="DS140" s="473"/>
      <c r="DT140" s="473"/>
      <c r="DU140" s="473"/>
      <c r="DV140" s="473"/>
      <c r="DW140" s="473"/>
      <c r="DX140" s="473"/>
      <c r="DY140" s="473"/>
      <c r="DZ140" s="473"/>
      <c r="EA140" s="473"/>
      <c r="EB140" s="473"/>
      <c r="EC140" s="473"/>
      <c r="ED140" s="473"/>
      <c r="EE140" s="473"/>
      <c r="EF140" s="473"/>
      <c r="EG140" s="473"/>
      <c r="EH140" s="473"/>
      <c r="EI140" s="473"/>
      <c r="EJ140" s="473"/>
      <c r="EK140" s="473"/>
      <c r="EL140" s="473"/>
      <c r="EM140" s="473"/>
      <c r="EN140" s="473"/>
      <c r="EO140" s="473"/>
      <c r="EP140" s="473"/>
      <c r="EQ140" s="473"/>
      <c r="ER140" s="473"/>
      <c r="ES140" s="473"/>
      <c r="ET140" s="473"/>
      <c r="EU140" s="473"/>
      <c r="EV140" s="473"/>
      <c r="EW140" s="473"/>
      <c r="EX140" s="473"/>
      <c r="EY140" s="473"/>
      <c r="EZ140" s="473"/>
      <c r="FA140" s="473"/>
      <c r="FB140" s="473"/>
      <c r="FC140" s="473"/>
      <c r="FD140" s="473"/>
      <c r="FE140" s="473"/>
      <c r="FF140" s="473"/>
      <c r="FG140" s="473"/>
      <c r="FH140" s="473"/>
      <c r="FI140" s="473"/>
      <c r="FJ140" s="473"/>
      <c r="FK140" s="473"/>
      <c r="FL140" s="473"/>
      <c r="FM140" s="473"/>
      <c r="FN140" s="473"/>
      <c r="FO140" s="473"/>
      <c r="FP140" s="473"/>
      <c r="FQ140" s="473"/>
      <c r="FR140" s="473"/>
      <c r="FS140" s="473"/>
      <c r="FT140" s="473"/>
      <c r="FU140" s="473"/>
      <c r="FV140" s="473"/>
      <c r="FW140" s="473"/>
      <c r="FX140" s="473"/>
      <c r="FY140" s="473"/>
      <c r="FZ140" s="473"/>
      <c r="GA140" s="473"/>
      <c r="GB140" s="473"/>
      <c r="GC140" s="473"/>
      <c r="GD140" s="473"/>
      <c r="GE140" s="473"/>
      <c r="GF140" s="473"/>
      <c r="GG140" s="473"/>
      <c r="GH140" s="473"/>
      <c r="GI140" s="473"/>
      <c r="GJ140" s="473"/>
      <c r="GK140" s="473"/>
      <c r="GL140" s="473"/>
      <c r="GM140" s="473"/>
      <c r="GN140" s="473"/>
      <c r="GO140" s="473"/>
      <c r="GP140" s="473"/>
      <c r="GQ140" s="473"/>
      <c r="GR140" s="473"/>
      <c r="GS140" s="473"/>
      <c r="GT140" s="473"/>
      <c r="GU140" s="473"/>
      <c r="GV140" s="473"/>
      <c r="GW140" s="473"/>
      <c r="GX140" s="473"/>
      <c r="GY140" s="473"/>
      <c r="GZ140" s="473"/>
      <c r="HA140" s="473"/>
      <c r="HB140" s="473"/>
      <c r="HC140" s="473"/>
      <c r="HD140" s="473"/>
      <c r="HE140" s="473"/>
      <c r="HF140" s="473"/>
      <c r="HG140" s="473"/>
      <c r="HH140" s="473"/>
      <c r="HI140" s="473"/>
      <c r="HJ140" s="473"/>
      <c r="HK140" s="473"/>
      <c r="HL140" s="473"/>
      <c r="HM140" s="473"/>
      <c r="HN140" s="473"/>
      <c r="HO140" s="473"/>
      <c r="HP140" s="473"/>
      <c r="HQ140" s="473"/>
      <c r="HR140" s="473"/>
      <c r="HS140" s="473"/>
      <c r="HT140" s="473"/>
      <c r="HU140" s="473"/>
      <c r="HV140" s="473"/>
      <c r="HW140" s="473"/>
      <c r="HX140" s="473"/>
      <c r="HY140" s="473"/>
      <c r="HZ140" s="473"/>
      <c r="IA140" s="473"/>
      <c r="IB140" s="473"/>
      <c r="IC140" s="473"/>
      <c r="ID140" s="473"/>
      <c r="IE140" s="473"/>
      <c r="IF140" s="473"/>
      <c r="IG140" s="473"/>
      <c r="IH140" s="473"/>
      <c r="II140" s="473"/>
      <c r="IJ140" s="473"/>
      <c r="IK140" s="473"/>
      <c r="IL140" s="473"/>
      <c r="IM140" s="473"/>
      <c r="IN140" s="473"/>
      <c r="IO140" s="473"/>
      <c r="IP140" s="473"/>
      <c r="IQ140" s="473"/>
      <c r="IR140" s="473"/>
      <c r="IS140" s="473"/>
      <c r="IT140" s="473"/>
      <c r="IU140" s="473"/>
      <c r="IV140" s="473"/>
      <c r="IW140" s="473"/>
    </row>
    <row r="141" customFormat="false" ht="12.6" hidden="false" customHeight="true" outlineLevel="0" collapsed="false">
      <c r="A141" s="600"/>
      <c r="B141" s="474"/>
      <c r="C141" s="404"/>
      <c r="D141" s="404"/>
      <c r="E141" s="404"/>
      <c r="F141" s="404"/>
      <c r="G141" s="404"/>
      <c r="H141" s="404"/>
      <c r="I141" s="404"/>
      <c r="J141" s="404"/>
      <c r="K141" s="404"/>
      <c r="L141" s="404"/>
      <c r="M141" s="404"/>
      <c r="N141" s="404"/>
      <c r="O141" s="404"/>
      <c r="P141" s="404"/>
      <c r="Q141" s="404"/>
      <c r="R141" s="404"/>
      <c r="S141" s="404"/>
      <c r="T141" s="404"/>
      <c r="U141" s="404"/>
      <c r="V141" s="404"/>
      <c r="W141" s="404"/>
      <c r="X141" s="404"/>
      <c r="Y141" s="404"/>
      <c r="Z141" s="404"/>
      <c r="AA141" s="404"/>
      <c r="AB141" s="404"/>
      <c r="AC141" s="404"/>
      <c r="AD141" s="404"/>
      <c r="AE141" s="404"/>
      <c r="AF141" s="404"/>
      <c r="AG141" s="404"/>
      <c r="AH141" s="404"/>
      <c r="AI141" s="404"/>
      <c r="AJ141" s="404"/>
      <c r="AK141" s="404"/>
      <c r="AL141" s="404"/>
      <c r="AM141" s="404"/>
      <c r="AN141" s="404"/>
      <c r="AO141" s="404"/>
      <c r="AP141" s="404"/>
      <c r="AQ141" s="404"/>
      <c r="AR141" s="404"/>
      <c r="AS141" s="404"/>
      <c r="AT141" s="404"/>
      <c r="AU141" s="404"/>
      <c r="AV141" s="404"/>
      <c r="AW141" s="404"/>
      <c r="AX141" s="404"/>
      <c r="AY141" s="404"/>
      <c r="AZ141" s="404"/>
      <c r="BA141" s="404"/>
      <c r="BB141" s="404"/>
      <c r="BC141" s="404"/>
      <c r="BD141" s="404"/>
      <c r="BE141" s="404"/>
      <c r="BF141" s="404"/>
      <c r="BG141" s="404"/>
      <c r="BH141" s="404"/>
      <c r="BI141" s="404"/>
      <c r="BJ141" s="404"/>
      <c r="BK141" s="404"/>
      <c r="BL141" s="404"/>
      <c r="BM141" s="404"/>
      <c r="BN141" s="404"/>
      <c r="BO141" s="404"/>
      <c r="BP141" s="404"/>
      <c r="BQ141" s="404"/>
      <c r="BR141" s="404"/>
      <c r="BS141" s="404"/>
      <c r="BT141" s="404"/>
      <c r="BU141" s="404"/>
      <c r="BV141" s="404"/>
      <c r="BW141" s="404"/>
      <c r="BX141" s="404"/>
      <c r="BY141" s="404"/>
      <c r="BZ141" s="404"/>
      <c r="CA141" s="404"/>
      <c r="CB141" s="404"/>
      <c r="CC141" s="404"/>
      <c r="CD141" s="404"/>
      <c r="CE141" s="404"/>
      <c r="CF141" s="404"/>
      <c r="CG141" s="404"/>
      <c r="CH141" s="404"/>
      <c r="CI141" s="404"/>
      <c r="CJ141" s="404"/>
      <c r="CK141" s="404"/>
      <c r="CL141" s="404"/>
      <c r="CM141" s="404"/>
      <c r="CN141" s="404"/>
      <c r="CO141" s="404"/>
      <c r="CP141" s="404"/>
      <c r="CQ141" s="404"/>
      <c r="CR141" s="404"/>
      <c r="CS141" s="404"/>
      <c r="CT141" s="404"/>
      <c r="CU141" s="404"/>
      <c r="CV141" s="404"/>
      <c r="CW141" s="404"/>
      <c r="CX141" s="404"/>
      <c r="CY141" s="404"/>
      <c r="CZ141" s="404"/>
      <c r="DA141" s="404"/>
      <c r="DB141" s="404"/>
      <c r="DC141" s="404"/>
      <c r="DD141" s="404"/>
      <c r="DE141" s="404"/>
      <c r="DF141" s="404"/>
      <c r="DG141" s="404"/>
      <c r="DH141" s="404"/>
      <c r="DI141" s="404"/>
      <c r="DJ141" s="404"/>
      <c r="DK141" s="404"/>
      <c r="DL141" s="404"/>
      <c r="DM141" s="404"/>
      <c r="DN141" s="404"/>
      <c r="DO141" s="404"/>
      <c r="DP141" s="404"/>
      <c r="DQ141" s="404"/>
      <c r="DR141" s="404"/>
      <c r="DS141" s="404"/>
      <c r="DT141" s="404"/>
      <c r="DU141" s="404"/>
      <c r="DV141" s="404"/>
      <c r="DW141" s="404"/>
      <c r="DX141" s="404"/>
      <c r="DY141" s="404"/>
      <c r="DZ141" s="404"/>
      <c r="EA141" s="404"/>
      <c r="EB141" s="404"/>
      <c r="EC141" s="404"/>
      <c r="ED141" s="404"/>
      <c r="EE141" s="404"/>
      <c r="EF141" s="404"/>
      <c r="EG141" s="404"/>
      <c r="EH141" s="404"/>
      <c r="EI141" s="404"/>
      <c r="EJ141" s="404"/>
      <c r="EK141" s="404"/>
      <c r="EL141" s="404"/>
      <c r="EM141" s="404"/>
      <c r="EN141" s="404"/>
      <c r="EO141" s="404"/>
      <c r="EP141" s="404"/>
      <c r="EQ141" s="404"/>
      <c r="ER141" s="404"/>
      <c r="ES141" s="404"/>
      <c r="ET141" s="404"/>
      <c r="EU141" s="404"/>
      <c r="EV141" s="404"/>
      <c r="EW141" s="404"/>
      <c r="EX141" s="404"/>
      <c r="EY141" s="404"/>
      <c r="EZ141" s="404"/>
      <c r="FA141" s="404"/>
      <c r="FB141" s="404"/>
      <c r="FC141" s="404"/>
      <c r="FD141" s="404"/>
      <c r="FE141" s="404"/>
      <c r="FF141" s="404"/>
      <c r="FG141" s="404"/>
      <c r="FH141" s="404"/>
      <c r="FI141" s="404"/>
      <c r="FJ141" s="404"/>
      <c r="FK141" s="404"/>
      <c r="FL141" s="404"/>
      <c r="FM141" s="404"/>
      <c r="FN141" s="404"/>
      <c r="FO141" s="404"/>
      <c r="FP141" s="404"/>
      <c r="FQ141" s="404"/>
      <c r="FR141" s="404"/>
      <c r="FS141" s="404"/>
      <c r="FT141" s="404"/>
      <c r="FU141" s="404"/>
      <c r="FV141" s="404"/>
      <c r="FW141" s="404"/>
      <c r="FX141" s="404"/>
      <c r="FY141" s="404"/>
      <c r="FZ141" s="404"/>
      <c r="GA141" s="404"/>
      <c r="GB141" s="404"/>
      <c r="GC141" s="404"/>
      <c r="GD141" s="404"/>
      <c r="GE141" s="404"/>
      <c r="GF141" s="404"/>
      <c r="GG141" s="404"/>
      <c r="GH141" s="404"/>
      <c r="GI141" s="404"/>
      <c r="GJ141" s="404"/>
      <c r="GK141" s="404"/>
      <c r="GL141" s="404"/>
      <c r="GM141" s="404"/>
      <c r="GN141" s="404"/>
      <c r="GO141" s="404"/>
      <c r="GP141" s="404"/>
      <c r="GQ141" s="404"/>
      <c r="GR141" s="404"/>
      <c r="GS141" s="404"/>
      <c r="GT141" s="404"/>
      <c r="GU141" s="404"/>
      <c r="GV141" s="404"/>
      <c r="GW141" s="404"/>
      <c r="GX141" s="404"/>
      <c r="GY141" s="404"/>
      <c r="GZ141" s="404"/>
      <c r="HA141" s="404"/>
      <c r="HB141" s="404"/>
      <c r="HC141" s="404"/>
      <c r="HD141" s="404"/>
      <c r="HE141" s="404"/>
      <c r="HF141" s="404"/>
      <c r="HG141" s="404"/>
      <c r="HH141" s="404"/>
      <c r="HI141" s="404"/>
      <c r="HJ141" s="404"/>
      <c r="HK141" s="404"/>
      <c r="HL141" s="404"/>
      <c r="HM141" s="404"/>
      <c r="HN141" s="404"/>
      <c r="HO141" s="404"/>
      <c r="HP141" s="404"/>
      <c r="HQ141" s="404"/>
      <c r="HR141" s="404"/>
      <c r="HS141" s="404"/>
      <c r="HT141" s="404"/>
      <c r="HU141" s="404"/>
      <c r="HV141" s="473"/>
      <c r="HW141" s="473"/>
      <c r="HX141" s="473"/>
      <c r="HY141" s="473"/>
      <c r="HZ141" s="473"/>
      <c r="IA141" s="473"/>
      <c r="IB141" s="473"/>
      <c r="IC141" s="473"/>
      <c r="ID141" s="473"/>
      <c r="IE141" s="473"/>
      <c r="IF141" s="473"/>
      <c r="IG141" s="473"/>
      <c r="IH141" s="473"/>
      <c r="II141" s="473"/>
      <c r="IJ141" s="473"/>
      <c r="IK141" s="473"/>
      <c r="IL141" s="473"/>
      <c r="IM141" s="473"/>
      <c r="IN141" s="473"/>
      <c r="IO141" s="473"/>
      <c r="IP141" s="473"/>
      <c r="IQ141" s="473"/>
      <c r="IR141" s="473"/>
      <c r="IS141" s="473"/>
      <c r="IT141" s="473"/>
      <c r="IU141" s="473"/>
      <c r="IV141" s="473"/>
      <c r="IW141" s="473"/>
    </row>
    <row r="142" customFormat="false" ht="12.6" hidden="false" customHeight="true" outlineLevel="0" collapsed="false">
      <c r="A142" s="600"/>
      <c r="B142" s="474"/>
      <c r="C142" s="417"/>
      <c r="D142" s="417"/>
      <c r="E142" s="417"/>
      <c r="F142" s="417"/>
      <c r="G142" s="417"/>
      <c r="H142" s="417"/>
      <c r="I142" s="417"/>
      <c r="J142" s="417"/>
      <c r="K142" s="417"/>
      <c r="L142" s="417"/>
      <c r="M142" s="417"/>
      <c r="N142" s="417"/>
      <c r="O142" s="417"/>
      <c r="P142" s="417"/>
      <c r="Q142" s="417"/>
      <c r="R142" s="417"/>
      <c r="S142" s="417"/>
      <c r="T142" s="417"/>
      <c r="U142" s="417"/>
      <c r="V142" s="417"/>
      <c r="W142" s="417"/>
      <c r="X142" s="417"/>
      <c r="Y142" s="417"/>
      <c r="Z142" s="417"/>
      <c r="AA142" s="417"/>
      <c r="AB142" s="404"/>
      <c r="AC142" s="404"/>
      <c r="AD142" s="404"/>
      <c r="AE142" s="404"/>
      <c r="AF142" s="404"/>
      <c r="AG142" s="404"/>
      <c r="AH142" s="404"/>
      <c r="AI142" s="404"/>
      <c r="AJ142" s="404"/>
      <c r="AK142" s="404"/>
      <c r="AL142" s="404"/>
      <c r="AM142" s="404"/>
      <c r="AN142" s="404"/>
      <c r="AO142" s="404"/>
      <c r="AP142" s="404"/>
      <c r="AQ142" s="404"/>
      <c r="AR142" s="404"/>
      <c r="AS142" s="404"/>
      <c r="AT142" s="404"/>
      <c r="AU142" s="404"/>
      <c r="AV142" s="404"/>
      <c r="AW142" s="404"/>
      <c r="AX142" s="404"/>
      <c r="AY142" s="404"/>
      <c r="AZ142" s="404"/>
      <c r="BA142" s="404"/>
      <c r="BB142" s="404"/>
      <c r="BC142" s="404"/>
      <c r="BD142" s="404"/>
      <c r="BE142" s="404"/>
      <c r="BF142" s="404"/>
      <c r="BG142" s="404"/>
      <c r="BH142" s="404"/>
      <c r="BI142" s="404"/>
      <c r="BJ142" s="404"/>
      <c r="BK142" s="404"/>
      <c r="BL142" s="404"/>
      <c r="BM142" s="404"/>
      <c r="BN142" s="404"/>
      <c r="BO142" s="404"/>
      <c r="BP142" s="404"/>
      <c r="BQ142" s="404"/>
      <c r="BR142" s="404"/>
      <c r="BS142" s="404"/>
      <c r="BT142" s="404"/>
      <c r="BU142" s="404"/>
      <c r="BV142" s="404"/>
      <c r="BW142" s="404"/>
      <c r="BX142" s="404"/>
      <c r="BY142" s="404"/>
      <c r="BZ142" s="404"/>
      <c r="CA142" s="404"/>
      <c r="CB142" s="404"/>
      <c r="CC142" s="404"/>
      <c r="CD142" s="404"/>
      <c r="CE142" s="404"/>
      <c r="CF142" s="404"/>
      <c r="CG142" s="404"/>
      <c r="CH142" s="404"/>
      <c r="CI142" s="404"/>
      <c r="CJ142" s="404"/>
      <c r="CK142" s="404"/>
      <c r="CL142" s="404"/>
      <c r="CM142" s="404"/>
      <c r="CN142" s="404"/>
      <c r="CO142" s="404"/>
      <c r="CP142" s="404"/>
      <c r="CQ142" s="404"/>
      <c r="CR142" s="404"/>
      <c r="CS142" s="404"/>
      <c r="CT142" s="404"/>
      <c r="CU142" s="404"/>
      <c r="CV142" s="404"/>
      <c r="CW142" s="404"/>
      <c r="CX142" s="404"/>
      <c r="CY142" s="404"/>
      <c r="CZ142" s="404"/>
      <c r="DA142" s="404"/>
      <c r="DB142" s="404"/>
      <c r="DC142" s="404"/>
      <c r="DD142" s="404"/>
      <c r="DE142" s="404"/>
      <c r="DF142" s="404"/>
      <c r="DG142" s="404"/>
      <c r="DH142" s="404"/>
      <c r="DI142" s="404"/>
      <c r="DJ142" s="404"/>
      <c r="DK142" s="404"/>
      <c r="DL142" s="404"/>
      <c r="DM142" s="404"/>
      <c r="DN142" s="404"/>
      <c r="DO142" s="404"/>
      <c r="DP142" s="404"/>
      <c r="DQ142" s="404"/>
      <c r="DR142" s="404"/>
      <c r="DS142" s="404"/>
      <c r="DT142" s="404"/>
      <c r="DU142" s="404"/>
      <c r="DV142" s="404"/>
      <c r="DW142" s="404"/>
      <c r="DX142" s="404"/>
      <c r="DY142" s="404"/>
      <c r="DZ142" s="404"/>
      <c r="EA142" s="404"/>
      <c r="EB142" s="404"/>
      <c r="EC142" s="404"/>
      <c r="ED142" s="404"/>
      <c r="EE142" s="404"/>
      <c r="EF142" s="404"/>
      <c r="EG142" s="404"/>
      <c r="EH142" s="404"/>
      <c r="EI142" s="404"/>
      <c r="EJ142" s="404"/>
      <c r="EK142" s="404"/>
      <c r="EL142" s="404"/>
      <c r="EM142" s="404"/>
      <c r="EN142" s="404"/>
      <c r="EO142" s="404"/>
      <c r="EP142" s="404"/>
      <c r="EQ142" s="404"/>
      <c r="ER142" s="404"/>
      <c r="ES142" s="404"/>
      <c r="ET142" s="404"/>
      <c r="EU142" s="404"/>
      <c r="EV142" s="404"/>
      <c r="EW142" s="404"/>
      <c r="EX142" s="404"/>
      <c r="EY142" s="404"/>
      <c r="EZ142" s="404"/>
      <c r="FA142" s="404"/>
      <c r="FB142" s="404"/>
      <c r="FC142" s="404"/>
      <c r="FD142" s="404"/>
      <c r="FE142" s="404"/>
      <c r="FF142" s="404"/>
      <c r="FG142" s="404"/>
      <c r="FH142" s="404"/>
      <c r="FI142" s="404"/>
      <c r="FJ142" s="404"/>
      <c r="FK142" s="404"/>
      <c r="FL142" s="404"/>
      <c r="FM142" s="404"/>
      <c r="FN142" s="404"/>
      <c r="FO142" s="404"/>
      <c r="FP142" s="404"/>
      <c r="FQ142" s="404"/>
      <c r="FR142" s="404"/>
      <c r="FS142" s="404"/>
      <c r="FT142" s="404"/>
      <c r="FU142" s="404"/>
      <c r="FV142" s="404"/>
      <c r="FW142" s="404"/>
      <c r="FX142" s="404"/>
      <c r="FY142" s="404"/>
      <c r="FZ142" s="404"/>
      <c r="GA142" s="404"/>
      <c r="GB142" s="404"/>
      <c r="GC142" s="404"/>
      <c r="GD142" s="404"/>
      <c r="GE142" s="404"/>
      <c r="GF142" s="404"/>
      <c r="GG142" s="404"/>
      <c r="GH142" s="404"/>
      <c r="GI142" s="404"/>
      <c r="GJ142" s="404"/>
      <c r="GK142" s="404"/>
      <c r="GL142" s="404"/>
      <c r="GM142" s="404"/>
      <c r="GN142" s="404"/>
      <c r="GO142" s="404"/>
      <c r="GP142" s="404"/>
      <c r="GQ142" s="404"/>
      <c r="GR142" s="404"/>
      <c r="GS142" s="404"/>
      <c r="GT142" s="404"/>
      <c r="GU142" s="404"/>
      <c r="GV142" s="404"/>
      <c r="GW142" s="404"/>
      <c r="GX142" s="404"/>
      <c r="GY142" s="404"/>
      <c r="GZ142" s="404"/>
      <c r="HA142" s="404"/>
      <c r="HB142" s="404"/>
      <c r="HC142" s="404"/>
      <c r="HD142" s="404"/>
      <c r="HE142" s="404"/>
      <c r="HF142" s="404"/>
      <c r="HG142" s="404"/>
      <c r="HH142" s="404"/>
      <c r="HI142" s="404"/>
      <c r="HJ142" s="404"/>
      <c r="HK142" s="404"/>
      <c r="HL142" s="404"/>
      <c r="HM142" s="404"/>
      <c r="HN142" s="404"/>
      <c r="HO142" s="404"/>
      <c r="HP142" s="404"/>
      <c r="HQ142" s="404"/>
      <c r="HR142" s="404"/>
      <c r="HS142" s="404"/>
      <c r="HT142" s="404"/>
      <c r="HU142" s="404"/>
      <c r="HV142" s="404"/>
      <c r="HW142" s="404"/>
      <c r="HX142" s="404"/>
      <c r="HY142" s="404"/>
      <c r="HZ142" s="404"/>
      <c r="IA142" s="404"/>
      <c r="IB142" s="404"/>
      <c r="IC142" s="404"/>
      <c r="ID142" s="404"/>
      <c r="IE142" s="404"/>
      <c r="IF142" s="404"/>
      <c r="IG142" s="404"/>
      <c r="IH142" s="404"/>
      <c r="II142" s="404"/>
      <c r="IJ142" s="404"/>
      <c r="IK142" s="404"/>
      <c r="IL142" s="404"/>
      <c r="IM142" s="404"/>
      <c r="IN142" s="404"/>
      <c r="IO142" s="404"/>
      <c r="IP142" s="404"/>
      <c r="IQ142" s="404"/>
      <c r="IR142" s="404"/>
      <c r="IS142" s="404"/>
      <c r="IT142" s="404"/>
      <c r="IU142" s="404"/>
      <c r="IV142" s="404"/>
      <c r="IW142" s="404"/>
    </row>
    <row r="143" customFormat="false" ht="12.6" hidden="false" customHeight="true" outlineLevel="0" collapsed="false">
      <c r="A143" s="1"/>
      <c r="B143" s="1"/>
      <c r="C143" s="395"/>
      <c r="D143" s="395"/>
      <c r="E143" s="395"/>
      <c r="F143" s="395"/>
      <c r="G143" s="395"/>
      <c r="H143" s="395"/>
      <c r="I143" s="395"/>
      <c r="J143" s="395"/>
      <c r="K143" s="395"/>
      <c r="L143" s="395"/>
      <c r="M143" s="395"/>
      <c r="N143" s="395"/>
      <c r="O143" s="395"/>
      <c r="P143" s="395"/>
      <c r="Q143" s="395"/>
      <c r="R143" s="395"/>
      <c r="S143" s="395"/>
      <c r="T143" s="395"/>
      <c r="U143" s="395"/>
      <c r="V143" s="395"/>
      <c r="W143" s="395"/>
      <c r="X143" s="395"/>
      <c r="Y143" s="395"/>
      <c r="Z143" s="395"/>
      <c r="AA143" s="395"/>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row>
    <row r="144" customFormat="false" ht="12.6" hidden="false" customHeight="true" outlineLevel="0" collapsed="false">
      <c r="A144" s="1"/>
      <c r="B144" s="1"/>
      <c r="C144" s="361"/>
      <c r="D144" s="361"/>
      <c r="E144" s="361"/>
      <c r="F144" s="361"/>
      <c r="G144" s="361"/>
      <c r="H144" s="361"/>
      <c r="I144" s="361"/>
      <c r="J144" s="361"/>
      <c r="K144" s="361"/>
      <c r="L144" s="361"/>
      <c r="M144" s="361"/>
      <c r="N144" s="361"/>
      <c r="O144" s="361"/>
      <c r="P144" s="361"/>
      <c r="Q144" s="361"/>
      <c r="R144" s="361"/>
      <c r="S144" s="361"/>
      <c r="T144" s="361"/>
      <c r="U144" s="361"/>
      <c r="V144" s="361"/>
      <c r="W144" s="361"/>
      <c r="X144" s="361"/>
      <c r="Y144" s="361"/>
      <c r="Z144" s="361"/>
      <c r="AA144" s="36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row>
    <row r="145" customFormat="false" ht="12.6" hidden="false" customHeight="true" outlineLevel="0" collapsed="false">
      <c r="A145" s="416"/>
      <c r="B145" s="404"/>
      <c r="C145" s="417"/>
      <c r="D145" s="417"/>
      <c r="E145" s="417"/>
      <c r="F145" s="417"/>
      <c r="G145" s="417"/>
      <c r="H145" s="417"/>
      <c r="I145" s="417"/>
      <c r="J145" s="417"/>
      <c r="K145" s="417"/>
      <c r="L145" s="417"/>
      <c r="M145" s="417"/>
      <c r="N145" s="417"/>
      <c r="O145" s="417"/>
      <c r="P145" s="417"/>
      <c r="Q145" s="417"/>
      <c r="R145" s="417"/>
      <c r="S145" s="417"/>
      <c r="T145" s="417"/>
      <c r="U145" s="417"/>
      <c r="V145" s="417"/>
      <c r="W145" s="417"/>
      <c r="X145" s="417"/>
      <c r="Y145" s="417"/>
      <c r="Z145" s="417"/>
      <c r="AA145" s="417"/>
      <c r="AB145" s="404"/>
      <c r="AC145" s="404"/>
      <c r="AD145" s="404"/>
      <c r="AE145" s="404"/>
      <c r="AF145" s="404"/>
      <c r="AG145" s="404"/>
      <c r="AH145" s="404"/>
      <c r="AI145" s="404"/>
      <c r="AJ145" s="404"/>
      <c r="AK145" s="404"/>
      <c r="AL145" s="404"/>
      <c r="AM145" s="404"/>
      <c r="AN145" s="404"/>
      <c r="AO145" s="404"/>
      <c r="AP145" s="404"/>
      <c r="AQ145" s="404"/>
      <c r="AR145" s="404"/>
      <c r="AS145" s="404"/>
      <c r="AT145" s="404"/>
      <c r="AU145" s="404"/>
      <c r="AV145" s="404"/>
      <c r="AW145" s="404"/>
      <c r="AX145" s="404"/>
      <c r="AY145" s="404"/>
      <c r="AZ145" s="404"/>
      <c r="BA145" s="404"/>
      <c r="BB145" s="404"/>
      <c r="BC145" s="404"/>
      <c r="BD145" s="404"/>
      <c r="BE145" s="404"/>
      <c r="BF145" s="404"/>
      <c r="BG145" s="404"/>
      <c r="BH145" s="404"/>
      <c r="BI145" s="404"/>
      <c r="BJ145" s="404"/>
      <c r="BK145" s="404"/>
      <c r="BL145" s="404"/>
      <c r="BM145" s="404"/>
      <c r="BN145" s="404"/>
      <c r="BO145" s="404"/>
      <c r="BP145" s="404"/>
      <c r="BQ145" s="404"/>
      <c r="BR145" s="404"/>
      <c r="BS145" s="404"/>
      <c r="BT145" s="404"/>
      <c r="BU145" s="404"/>
      <c r="BV145" s="404"/>
      <c r="BW145" s="404"/>
      <c r="BX145" s="404"/>
      <c r="BY145" s="404"/>
      <c r="BZ145" s="404"/>
      <c r="CA145" s="404"/>
      <c r="CB145" s="404"/>
      <c r="CC145" s="404"/>
      <c r="CD145" s="404"/>
      <c r="CE145" s="404"/>
      <c r="CF145" s="404"/>
      <c r="CG145" s="404"/>
      <c r="CH145" s="404"/>
      <c r="CI145" s="404"/>
      <c r="CJ145" s="404"/>
      <c r="CK145" s="404"/>
      <c r="CL145" s="404"/>
      <c r="CM145" s="404"/>
      <c r="CN145" s="404"/>
      <c r="CO145" s="404"/>
      <c r="CP145" s="404"/>
      <c r="CQ145" s="404"/>
      <c r="CR145" s="404"/>
      <c r="CS145" s="404"/>
      <c r="CT145" s="404"/>
      <c r="CU145" s="404"/>
      <c r="CV145" s="404"/>
      <c r="CW145" s="404"/>
      <c r="CX145" s="404"/>
      <c r="CY145" s="404"/>
      <c r="CZ145" s="404"/>
      <c r="DA145" s="404"/>
      <c r="DB145" s="404"/>
      <c r="DC145" s="404"/>
      <c r="DD145" s="404"/>
      <c r="DE145" s="404"/>
      <c r="DF145" s="404"/>
      <c r="DG145" s="404"/>
      <c r="DH145" s="404"/>
      <c r="DI145" s="404"/>
      <c r="DJ145" s="404"/>
      <c r="DK145" s="404"/>
      <c r="DL145" s="404"/>
      <c r="DM145" s="404"/>
      <c r="DN145" s="404"/>
      <c r="DO145" s="404"/>
      <c r="DP145" s="404"/>
      <c r="DQ145" s="404"/>
      <c r="DR145" s="404"/>
      <c r="DS145" s="404"/>
      <c r="DT145" s="404"/>
      <c r="DU145" s="404"/>
      <c r="DV145" s="404"/>
      <c r="DW145" s="404"/>
      <c r="DX145" s="404"/>
      <c r="DY145" s="404"/>
      <c r="DZ145" s="404"/>
      <c r="EA145" s="404"/>
      <c r="EB145" s="404"/>
      <c r="EC145" s="404"/>
      <c r="ED145" s="404"/>
      <c r="EE145" s="404"/>
      <c r="EF145" s="404"/>
      <c r="EG145" s="404"/>
      <c r="EH145" s="404"/>
      <c r="EI145" s="404"/>
      <c r="EJ145" s="404"/>
      <c r="EK145" s="404"/>
      <c r="EL145" s="404"/>
      <c r="EM145" s="404"/>
      <c r="EN145" s="404"/>
      <c r="EO145" s="404"/>
      <c r="EP145" s="404"/>
      <c r="EQ145" s="404"/>
      <c r="ER145" s="404"/>
      <c r="ES145" s="404"/>
      <c r="ET145" s="404"/>
      <c r="EU145" s="404"/>
      <c r="EV145" s="404"/>
      <c r="EW145" s="404"/>
      <c r="EX145" s="404"/>
      <c r="EY145" s="404"/>
      <c r="EZ145" s="404"/>
      <c r="FA145" s="404"/>
      <c r="FB145" s="404"/>
      <c r="FC145" s="404"/>
      <c r="FD145" s="404"/>
      <c r="FE145" s="404"/>
      <c r="FF145" s="404"/>
      <c r="FG145" s="404"/>
      <c r="FH145" s="404"/>
      <c r="FI145" s="404"/>
      <c r="FJ145" s="404"/>
      <c r="FK145" s="404"/>
      <c r="FL145" s="404"/>
      <c r="FM145" s="404"/>
      <c r="FN145" s="404"/>
      <c r="FO145" s="404"/>
      <c r="FP145" s="404"/>
      <c r="FQ145" s="404"/>
      <c r="FR145" s="404"/>
      <c r="FS145" s="404"/>
      <c r="FT145" s="404"/>
      <c r="FU145" s="404"/>
      <c r="FV145" s="404"/>
      <c r="FW145" s="404"/>
      <c r="FX145" s="404"/>
      <c r="FY145" s="404"/>
      <c r="FZ145" s="404"/>
      <c r="GA145" s="404"/>
      <c r="GB145" s="404"/>
      <c r="GC145" s="404"/>
      <c r="GD145" s="404"/>
      <c r="GE145" s="404"/>
      <c r="GF145" s="404"/>
      <c r="GG145" s="404"/>
      <c r="GH145" s="404"/>
      <c r="GI145" s="404"/>
      <c r="GJ145" s="404"/>
      <c r="GK145" s="404"/>
      <c r="GL145" s="404"/>
      <c r="GM145" s="404"/>
      <c r="GN145" s="404"/>
      <c r="GO145" s="404"/>
      <c r="GP145" s="404"/>
      <c r="GQ145" s="404"/>
      <c r="GR145" s="404"/>
      <c r="GS145" s="404"/>
      <c r="GT145" s="404"/>
      <c r="GU145" s="404"/>
      <c r="GV145" s="404"/>
      <c r="GW145" s="404"/>
      <c r="GX145" s="404"/>
      <c r="GY145" s="404"/>
      <c r="GZ145" s="404"/>
      <c r="HA145" s="404"/>
      <c r="HB145" s="404"/>
      <c r="HC145" s="404"/>
      <c r="HD145" s="404"/>
      <c r="HE145" s="404"/>
      <c r="HF145" s="404"/>
      <c r="HG145" s="404"/>
      <c r="HH145" s="404"/>
      <c r="HI145" s="404"/>
      <c r="HJ145" s="404"/>
      <c r="HK145" s="404"/>
      <c r="HL145" s="404"/>
      <c r="HM145" s="404"/>
      <c r="HN145" s="404"/>
      <c r="HO145" s="404"/>
      <c r="HP145" s="404"/>
      <c r="HQ145" s="404"/>
      <c r="HR145" s="404"/>
      <c r="HS145" s="404"/>
      <c r="HT145" s="404"/>
      <c r="HU145" s="404"/>
      <c r="HV145" s="404"/>
      <c r="HW145" s="404"/>
      <c r="HX145" s="404"/>
      <c r="HY145" s="404"/>
      <c r="HZ145" s="404"/>
      <c r="IA145" s="404"/>
      <c r="IB145" s="404"/>
      <c r="IC145" s="404"/>
      <c r="ID145" s="404"/>
      <c r="IE145" s="404"/>
      <c r="IF145" s="404"/>
      <c r="IG145" s="404"/>
      <c r="IH145" s="404"/>
      <c r="II145" s="404"/>
      <c r="IJ145" s="404"/>
      <c r="IK145" s="404"/>
      <c r="IL145" s="404"/>
      <c r="IM145" s="404"/>
      <c r="IN145" s="404"/>
      <c r="IO145" s="404"/>
      <c r="IP145" s="404"/>
      <c r="IQ145" s="404"/>
      <c r="IR145" s="404"/>
      <c r="IS145" s="404"/>
      <c r="IT145" s="404"/>
      <c r="IU145" s="404"/>
      <c r="IV145" s="404"/>
      <c r="IW145" s="404"/>
    </row>
    <row r="146" customFormat="false" ht="15.75" hidden="false" customHeight="false" outlineLevel="0" collapsed="false">
      <c r="A146" s="625"/>
      <c r="B146" s="371"/>
      <c r="C146" s="371"/>
      <c r="D146" s="371"/>
      <c r="E146" s="371"/>
      <c r="F146" s="371"/>
      <c r="G146" s="371"/>
      <c r="H146" s="371"/>
      <c r="I146" s="371"/>
      <c r="J146" s="371"/>
      <c r="K146" s="371"/>
      <c r="L146" s="371"/>
      <c r="M146" s="371"/>
      <c r="N146" s="371"/>
      <c r="O146" s="371"/>
      <c r="P146" s="371"/>
      <c r="Q146" s="371"/>
      <c r="R146" s="371"/>
      <c r="S146" s="371"/>
      <c r="T146" s="371"/>
      <c r="U146" s="371"/>
      <c r="V146" s="371"/>
      <c r="W146" s="371"/>
      <c r="X146" s="371"/>
      <c r="Y146" s="371"/>
      <c r="Z146" s="371"/>
      <c r="AA146" s="371"/>
      <c r="AB146" s="371"/>
      <c r="AC146" s="371"/>
      <c r="AD146" s="371"/>
      <c r="AE146" s="371"/>
      <c r="AF146" s="371"/>
      <c r="AG146" s="371"/>
      <c r="AH146" s="371"/>
      <c r="AI146" s="371"/>
      <c r="AJ146" s="371"/>
      <c r="AK146" s="371"/>
      <c r="AL146" s="371"/>
      <c r="AM146" s="371"/>
      <c r="AN146" s="371"/>
      <c r="AO146" s="371"/>
      <c r="AP146" s="371"/>
      <c r="AQ146" s="371"/>
      <c r="AR146" s="371"/>
      <c r="AS146" s="371"/>
      <c r="AT146" s="371"/>
      <c r="AU146" s="371"/>
      <c r="AV146" s="371"/>
      <c r="AW146" s="371"/>
      <c r="AX146" s="371"/>
      <c r="AY146" s="371"/>
      <c r="AZ146" s="371"/>
      <c r="BA146" s="371"/>
      <c r="BB146" s="371"/>
      <c r="BC146" s="371"/>
      <c r="BD146" s="371"/>
      <c r="BE146" s="371"/>
      <c r="BF146" s="371"/>
      <c r="BG146" s="371"/>
      <c r="BH146" s="371"/>
      <c r="BI146" s="371"/>
      <c r="BJ146" s="371"/>
      <c r="BK146" s="371"/>
      <c r="BL146" s="371"/>
      <c r="BM146" s="371"/>
      <c r="BN146" s="371"/>
      <c r="BO146" s="371"/>
      <c r="BP146" s="371"/>
      <c r="BQ146" s="371"/>
      <c r="BR146" s="371"/>
      <c r="BS146" s="371"/>
      <c r="BT146" s="371"/>
      <c r="BU146" s="371"/>
      <c r="BV146" s="371"/>
      <c r="BW146" s="371"/>
      <c r="BX146" s="371"/>
      <c r="BY146" s="371"/>
      <c r="BZ146" s="371"/>
      <c r="CA146" s="371"/>
      <c r="CB146" s="371"/>
      <c r="CC146" s="371"/>
      <c r="CD146" s="371"/>
      <c r="CE146" s="371"/>
      <c r="CF146" s="371"/>
      <c r="CG146" s="371"/>
      <c r="CH146" s="371"/>
      <c r="CI146" s="371"/>
      <c r="CJ146" s="371"/>
      <c r="CK146" s="371"/>
      <c r="CL146" s="371"/>
      <c r="CM146" s="371"/>
      <c r="CN146" s="371"/>
      <c r="CO146" s="371"/>
      <c r="CP146" s="371"/>
      <c r="CQ146" s="371"/>
      <c r="CR146" s="371"/>
      <c r="CS146" s="371"/>
      <c r="CT146" s="371"/>
      <c r="CU146" s="371"/>
      <c r="CV146" s="371"/>
      <c r="CW146" s="371"/>
      <c r="CX146" s="371"/>
      <c r="CY146" s="371"/>
      <c r="CZ146" s="371"/>
      <c r="DA146" s="371"/>
      <c r="DB146" s="371"/>
      <c r="DC146" s="371"/>
      <c r="DD146" s="371"/>
      <c r="DE146" s="371"/>
      <c r="DF146" s="371"/>
      <c r="DG146" s="371"/>
      <c r="DH146" s="371"/>
      <c r="DI146" s="371"/>
      <c r="DJ146" s="371"/>
      <c r="DK146" s="371"/>
      <c r="DL146" s="371"/>
      <c r="DM146" s="371"/>
      <c r="DN146" s="371"/>
      <c r="DO146" s="371"/>
      <c r="DP146" s="371"/>
      <c r="DQ146" s="371"/>
      <c r="DR146" s="371"/>
      <c r="DS146" s="371"/>
      <c r="DT146" s="371"/>
      <c r="DU146" s="371"/>
      <c r="DV146" s="371"/>
      <c r="DW146" s="371"/>
      <c r="DX146" s="371"/>
      <c r="DY146" s="371"/>
      <c r="DZ146" s="371"/>
      <c r="EA146" s="371"/>
      <c r="EB146" s="371"/>
      <c r="EC146" s="371"/>
      <c r="ED146" s="371"/>
      <c r="EE146" s="371"/>
      <c r="EF146" s="371"/>
      <c r="EG146" s="371"/>
      <c r="EH146" s="371"/>
      <c r="EI146" s="371"/>
      <c r="EJ146" s="371"/>
      <c r="EK146" s="371"/>
      <c r="EL146" s="371"/>
      <c r="EM146" s="371"/>
      <c r="EN146" s="371"/>
      <c r="EO146" s="371"/>
      <c r="EP146" s="371"/>
      <c r="EQ146" s="371"/>
      <c r="ER146" s="371"/>
      <c r="ES146" s="371"/>
      <c r="ET146" s="371"/>
      <c r="EU146" s="371"/>
      <c r="EV146" s="371"/>
      <c r="EW146" s="371"/>
      <c r="EX146" s="371"/>
      <c r="EY146" s="371"/>
      <c r="EZ146" s="371"/>
      <c r="FA146" s="371"/>
      <c r="FB146" s="371"/>
      <c r="FC146" s="371"/>
      <c r="FD146" s="371"/>
      <c r="FE146" s="371"/>
      <c r="FF146" s="371"/>
      <c r="FG146" s="371"/>
      <c r="FH146" s="371"/>
      <c r="FI146" s="371"/>
      <c r="FJ146" s="371"/>
      <c r="FK146" s="371"/>
      <c r="FL146" s="371"/>
      <c r="FM146" s="371"/>
      <c r="FN146" s="371"/>
      <c r="FO146" s="371"/>
      <c r="FP146" s="371"/>
      <c r="FQ146" s="371"/>
      <c r="FR146" s="371"/>
      <c r="FS146" s="371"/>
      <c r="FT146" s="371"/>
      <c r="FU146" s="371"/>
      <c r="FV146" s="371"/>
      <c r="FW146" s="371"/>
      <c r="FX146" s="371"/>
      <c r="FY146" s="371"/>
      <c r="FZ146" s="371"/>
      <c r="GA146" s="371"/>
      <c r="GB146" s="371"/>
      <c r="GC146" s="371"/>
      <c r="GD146" s="371"/>
      <c r="GE146" s="371"/>
      <c r="GF146" s="371"/>
      <c r="GG146" s="371"/>
      <c r="GH146" s="371"/>
      <c r="GI146" s="371"/>
      <c r="GJ146" s="371"/>
      <c r="GK146" s="371"/>
      <c r="GL146" s="371"/>
      <c r="GM146" s="371"/>
      <c r="GN146" s="371"/>
      <c r="GO146" s="371"/>
      <c r="GP146" s="371"/>
      <c r="GQ146" s="371"/>
      <c r="GR146" s="371"/>
      <c r="GS146" s="371"/>
      <c r="GT146" s="371"/>
      <c r="GU146" s="371"/>
      <c r="GV146" s="371"/>
      <c r="GW146" s="371"/>
      <c r="GX146" s="371"/>
      <c r="GY146" s="371"/>
      <c r="GZ146" s="371"/>
      <c r="HA146" s="371"/>
      <c r="HB146" s="371"/>
      <c r="HC146" s="371"/>
      <c r="HD146" s="371"/>
      <c r="HE146" s="371"/>
      <c r="HF146" s="371"/>
      <c r="HG146" s="371"/>
      <c r="HH146" s="371"/>
      <c r="HI146" s="371"/>
      <c r="HJ146" s="371"/>
      <c r="HK146" s="371"/>
      <c r="HL146" s="371"/>
      <c r="HM146" s="371"/>
      <c r="HN146" s="371"/>
      <c r="HO146" s="371"/>
      <c r="HP146" s="371"/>
      <c r="HQ146" s="371"/>
      <c r="HR146" s="371"/>
      <c r="HS146" s="371"/>
      <c r="HT146" s="371"/>
      <c r="HU146" s="371"/>
      <c r="HV146" s="371"/>
      <c r="HW146" s="371"/>
      <c r="HX146" s="371"/>
      <c r="HY146" s="371"/>
      <c r="HZ146" s="371"/>
      <c r="IA146" s="371"/>
      <c r="IB146" s="371"/>
      <c r="IC146" s="371"/>
      <c r="ID146" s="371"/>
      <c r="IE146" s="371"/>
      <c r="IF146" s="371"/>
      <c r="IG146" s="371"/>
      <c r="IH146" s="371"/>
      <c r="II146" s="371"/>
      <c r="IJ146" s="371"/>
      <c r="IK146" s="371"/>
      <c r="IL146" s="371"/>
      <c r="IM146" s="371"/>
      <c r="IN146" s="371"/>
      <c r="IO146" s="371"/>
      <c r="IP146" s="371"/>
      <c r="IQ146" s="371"/>
      <c r="IR146" s="371"/>
      <c r="IS146" s="371"/>
      <c r="IT146" s="371"/>
      <c r="IU146" s="371"/>
      <c r="IV146" s="371"/>
      <c r="IW146" s="371"/>
    </row>
    <row r="147" customFormat="false" ht="12.6" hidden="false" customHeight="true" outlineLevel="0" collapsed="false">
      <c r="A147" s="1"/>
      <c r="B147" s="1"/>
      <c r="C147" s="395"/>
      <c r="D147" s="395"/>
      <c r="E147" s="395"/>
      <c r="F147" s="395"/>
      <c r="G147" s="395"/>
      <c r="H147" s="395"/>
      <c r="I147" s="395"/>
      <c r="J147" s="395"/>
      <c r="K147" s="395"/>
      <c r="L147" s="395"/>
      <c r="M147" s="395"/>
      <c r="N147" s="395"/>
      <c r="O147" s="395"/>
      <c r="P147" s="395"/>
      <c r="Q147" s="395"/>
      <c r="R147" s="395"/>
      <c r="S147" s="395"/>
      <c r="T147" s="395"/>
      <c r="U147" s="395"/>
      <c r="V147" s="395"/>
      <c r="W147" s="395"/>
      <c r="X147" s="395"/>
      <c r="Y147" s="395"/>
      <c r="Z147" s="395"/>
      <c r="AA147" s="395"/>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row>
    <row r="148" customFormat="false" ht="12.6" hidden="false" customHeight="true" outlineLevel="0" collapsed="false">
      <c r="A148" s="1"/>
      <c r="B148" s="1"/>
      <c r="C148" s="395"/>
      <c r="D148" s="395"/>
      <c r="E148" s="395"/>
      <c r="F148" s="395"/>
      <c r="G148" s="395"/>
      <c r="H148" s="395"/>
      <c r="I148" s="395"/>
      <c r="J148" s="395"/>
      <c r="K148" s="395"/>
      <c r="L148" s="395"/>
      <c r="M148" s="395"/>
      <c r="N148" s="395"/>
      <c r="O148" s="395"/>
      <c r="P148" s="395"/>
      <c r="Q148" s="395"/>
      <c r="R148" s="395"/>
      <c r="S148" s="395"/>
      <c r="T148" s="395"/>
      <c r="U148" s="395"/>
      <c r="V148" s="395"/>
      <c r="W148" s="395"/>
      <c r="X148" s="395"/>
      <c r="Y148" s="395"/>
      <c r="Z148" s="395"/>
      <c r="AA148" s="395"/>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row>
    <row r="149" customFormat="false" ht="12.6" hidden="false" customHeight="true" outlineLevel="0" collapsed="false">
      <c r="A149" s="1"/>
      <c r="B149" s="1"/>
      <c r="C149" s="395"/>
      <c r="D149" s="395"/>
      <c r="E149" s="395"/>
      <c r="F149" s="395"/>
      <c r="G149" s="395"/>
      <c r="H149" s="395"/>
      <c r="I149" s="395"/>
      <c r="J149" s="395"/>
      <c r="K149" s="395"/>
      <c r="L149" s="395"/>
      <c r="M149" s="395"/>
      <c r="N149" s="395"/>
      <c r="O149" s="395"/>
      <c r="P149" s="395"/>
      <c r="Q149" s="395"/>
      <c r="R149" s="395"/>
      <c r="S149" s="395"/>
      <c r="T149" s="395"/>
      <c r="U149" s="395"/>
      <c r="V149" s="395"/>
      <c r="W149" s="395"/>
      <c r="X149" s="395"/>
      <c r="Y149" s="395"/>
      <c r="Z149" s="395"/>
      <c r="AA149" s="395"/>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row>
    <row r="150" customFormat="false" ht="15.75" hidden="false" customHeight="false" outlineLevel="0" collapsed="false">
      <c r="A150" s="625"/>
      <c r="B150" s="371"/>
      <c r="C150" s="371"/>
      <c r="D150" s="371"/>
      <c r="E150" s="371"/>
      <c r="F150" s="371"/>
      <c r="G150" s="371"/>
      <c r="H150" s="371"/>
      <c r="I150" s="371"/>
      <c r="J150" s="371"/>
      <c r="K150" s="371"/>
      <c r="L150" s="371"/>
      <c r="M150" s="371"/>
      <c r="N150" s="371"/>
      <c r="O150" s="371"/>
      <c r="P150" s="371"/>
      <c r="Q150" s="371"/>
      <c r="R150" s="371"/>
      <c r="S150" s="371"/>
      <c r="T150" s="371"/>
      <c r="U150" s="371"/>
      <c r="V150" s="371"/>
      <c r="W150" s="371"/>
      <c r="X150" s="371"/>
      <c r="Y150" s="371"/>
      <c r="Z150" s="371"/>
      <c r="AA150" s="371"/>
      <c r="AB150" s="371"/>
      <c r="AC150" s="371"/>
      <c r="AD150" s="371"/>
      <c r="AE150" s="371"/>
      <c r="AF150" s="371"/>
      <c r="AG150" s="371"/>
      <c r="AH150" s="371"/>
      <c r="AI150" s="371"/>
      <c r="AJ150" s="371"/>
      <c r="AK150" s="371"/>
      <c r="AL150" s="371"/>
      <c r="AM150" s="371"/>
      <c r="AN150" s="371"/>
      <c r="AO150" s="371"/>
      <c r="AP150" s="371"/>
      <c r="AQ150" s="371"/>
      <c r="AR150" s="371"/>
      <c r="AS150" s="371"/>
      <c r="AT150" s="371"/>
      <c r="AU150" s="371"/>
      <c r="AV150" s="371"/>
      <c r="AW150" s="371"/>
      <c r="AX150" s="371"/>
      <c r="AY150" s="371"/>
      <c r="AZ150" s="371"/>
      <c r="BA150" s="371"/>
      <c r="BB150" s="371"/>
      <c r="BC150" s="371"/>
      <c r="BD150" s="371"/>
      <c r="BE150" s="371"/>
      <c r="BF150" s="371"/>
      <c r="BG150" s="371"/>
      <c r="BH150" s="371"/>
      <c r="BI150" s="371"/>
      <c r="BJ150" s="371"/>
      <c r="BK150" s="371"/>
      <c r="BL150" s="371"/>
      <c r="BM150" s="371"/>
      <c r="BN150" s="371"/>
      <c r="BO150" s="371"/>
      <c r="BP150" s="371"/>
      <c r="BQ150" s="371"/>
      <c r="BR150" s="371"/>
      <c r="BS150" s="371"/>
      <c r="BT150" s="371"/>
      <c r="BU150" s="371"/>
      <c r="BV150" s="371"/>
      <c r="BW150" s="371"/>
      <c r="BX150" s="371"/>
      <c r="BY150" s="371"/>
      <c r="BZ150" s="371"/>
      <c r="CA150" s="371"/>
      <c r="CB150" s="371"/>
      <c r="CC150" s="371"/>
      <c r="CD150" s="371"/>
      <c r="CE150" s="371"/>
      <c r="CF150" s="371"/>
      <c r="CG150" s="371"/>
      <c r="CH150" s="371"/>
      <c r="CI150" s="371"/>
      <c r="CJ150" s="371"/>
      <c r="CK150" s="371"/>
      <c r="CL150" s="371"/>
      <c r="CM150" s="371"/>
      <c r="CN150" s="371"/>
      <c r="CO150" s="371"/>
      <c r="CP150" s="371"/>
      <c r="CQ150" s="371"/>
      <c r="CR150" s="371"/>
      <c r="CS150" s="371"/>
      <c r="CT150" s="371"/>
      <c r="CU150" s="371"/>
      <c r="CV150" s="371"/>
      <c r="CW150" s="371"/>
      <c r="CX150" s="371"/>
      <c r="CY150" s="371"/>
      <c r="CZ150" s="371"/>
      <c r="DA150" s="371"/>
      <c r="DB150" s="371"/>
      <c r="DC150" s="371"/>
      <c r="DD150" s="371"/>
      <c r="DE150" s="371"/>
      <c r="DF150" s="371"/>
      <c r="DG150" s="371"/>
      <c r="DH150" s="371"/>
      <c r="DI150" s="371"/>
      <c r="DJ150" s="371"/>
      <c r="DK150" s="371"/>
      <c r="DL150" s="371"/>
      <c r="DM150" s="371"/>
      <c r="DN150" s="371"/>
      <c r="DO150" s="371"/>
      <c r="DP150" s="371"/>
      <c r="DQ150" s="371"/>
      <c r="DR150" s="371"/>
      <c r="DS150" s="371"/>
      <c r="DT150" s="371"/>
      <c r="DU150" s="371"/>
      <c r="DV150" s="371"/>
      <c r="DW150" s="371"/>
      <c r="DX150" s="371"/>
      <c r="DY150" s="371"/>
      <c r="DZ150" s="371"/>
      <c r="EA150" s="371"/>
      <c r="EB150" s="371"/>
      <c r="EC150" s="371"/>
      <c r="ED150" s="371"/>
      <c r="EE150" s="371"/>
      <c r="EF150" s="371"/>
      <c r="EG150" s="371"/>
      <c r="EH150" s="371"/>
      <c r="EI150" s="371"/>
      <c r="EJ150" s="371"/>
      <c r="EK150" s="371"/>
      <c r="EL150" s="371"/>
      <c r="EM150" s="371"/>
      <c r="EN150" s="371"/>
      <c r="EO150" s="371"/>
      <c r="EP150" s="371"/>
      <c r="EQ150" s="371"/>
      <c r="ER150" s="371"/>
      <c r="ES150" s="371"/>
      <c r="ET150" s="371"/>
      <c r="EU150" s="371"/>
      <c r="EV150" s="371"/>
      <c r="EW150" s="371"/>
      <c r="EX150" s="371"/>
      <c r="EY150" s="371"/>
      <c r="EZ150" s="371"/>
      <c r="FA150" s="371"/>
      <c r="FB150" s="371"/>
      <c r="FC150" s="371"/>
      <c r="FD150" s="371"/>
      <c r="FE150" s="371"/>
      <c r="FF150" s="371"/>
      <c r="FG150" s="371"/>
      <c r="FH150" s="371"/>
      <c r="FI150" s="371"/>
      <c r="FJ150" s="371"/>
      <c r="FK150" s="371"/>
      <c r="FL150" s="371"/>
      <c r="FM150" s="371"/>
      <c r="FN150" s="371"/>
      <c r="FO150" s="371"/>
      <c r="FP150" s="371"/>
      <c r="FQ150" s="371"/>
      <c r="FR150" s="371"/>
      <c r="FS150" s="371"/>
      <c r="FT150" s="371"/>
      <c r="FU150" s="371"/>
      <c r="FV150" s="371"/>
      <c r="FW150" s="371"/>
      <c r="FX150" s="371"/>
      <c r="FY150" s="371"/>
      <c r="FZ150" s="371"/>
      <c r="GA150" s="371"/>
      <c r="GB150" s="371"/>
      <c r="GC150" s="371"/>
      <c r="GD150" s="371"/>
      <c r="GE150" s="371"/>
      <c r="GF150" s="371"/>
      <c r="GG150" s="371"/>
      <c r="GH150" s="371"/>
      <c r="GI150" s="371"/>
      <c r="GJ150" s="371"/>
      <c r="GK150" s="371"/>
      <c r="GL150" s="371"/>
      <c r="GM150" s="371"/>
      <c r="GN150" s="371"/>
      <c r="GO150" s="371"/>
      <c r="GP150" s="371"/>
      <c r="GQ150" s="371"/>
      <c r="GR150" s="371"/>
      <c r="GS150" s="371"/>
      <c r="GT150" s="371"/>
      <c r="GU150" s="371"/>
      <c r="GV150" s="371"/>
      <c r="GW150" s="371"/>
      <c r="GX150" s="371"/>
      <c r="GY150" s="371"/>
      <c r="GZ150" s="371"/>
      <c r="HA150" s="371"/>
      <c r="HB150" s="371"/>
      <c r="HC150" s="371"/>
      <c r="HD150" s="371"/>
      <c r="HE150" s="371"/>
      <c r="HF150" s="371"/>
      <c r="HG150" s="371"/>
      <c r="HH150" s="371"/>
      <c r="HI150" s="371"/>
      <c r="HJ150" s="371"/>
      <c r="HK150" s="371"/>
      <c r="HL150" s="371"/>
      <c r="HM150" s="371"/>
      <c r="HN150" s="371"/>
      <c r="HO150" s="371"/>
      <c r="HP150" s="371"/>
      <c r="HQ150" s="371"/>
      <c r="HR150" s="371"/>
      <c r="HS150" s="371"/>
      <c r="HT150" s="371"/>
      <c r="HU150" s="371"/>
      <c r="HV150" s="371"/>
      <c r="HW150" s="371"/>
      <c r="HX150" s="371"/>
      <c r="HY150" s="371"/>
      <c r="HZ150" s="371"/>
      <c r="IA150" s="371"/>
      <c r="IB150" s="371"/>
      <c r="IC150" s="371"/>
      <c r="ID150" s="371"/>
      <c r="IE150" s="371"/>
      <c r="IF150" s="371"/>
      <c r="IG150" s="371"/>
      <c r="IH150" s="371"/>
      <c r="II150" s="371"/>
      <c r="IJ150" s="371"/>
      <c r="IK150" s="371"/>
      <c r="IL150" s="371"/>
      <c r="IM150" s="371"/>
      <c r="IN150" s="371"/>
      <c r="IO150" s="371"/>
      <c r="IP150" s="371"/>
      <c r="IQ150" s="371"/>
      <c r="IR150" s="371"/>
      <c r="IS150" s="371"/>
      <c r="IT150" s="371"/>
      <c r="IU150" s="371"/>
      <c r="IV150" s="371"/>
      <c r="IW150" s="371"/>
    </row>
    <row r="151" customFormat="false" ht="12.6" hidden="false" customHeight="true" outlineLevel="0" collapsed="false">
      <c r="A151" s="416"/>
      <c r="B151" s="404"/>
      <c r="C151" s="417"/>
      <c r="D151" s="417"/>
      <c r="E151" s="417"/>
      <c r="F151" s="417"/>
      <c r="G151" s="417"/>
      <c r="H151" s="417"/>
      <c r="I151" s="417"/>
      <c r="J151" s="417"/>
      <c r="K151" s="417"/>
      <c r="L151" s="417"/>
      <c r="M151" s="417"/>
      <c r="N151" s="417"/>
      <c r="O151" s="417"/>
      <c r="P151" s="417"/>
      <c r="Q151" s="417"/>
      <c r="R151" s="417"/>
      <c r="S151" s="417"/>
      <c r="T151" s="417"/>
      <c r="U151" s="417"/>
      <c r="V151" s="417"/>
      <c r="W151" s="417"/>
      <c r="X151" s="417"/>
      <c r="Y151" s="417"/>
      <c r="Z151" s="417"/>
      <c r="AA151" s="417"/>
      <c r="AB151" s="404"/>
      <c r="AC151" s="404"/>
      <c r="AD151" s="404"/>
      <c r="AE151" s="404"/>
      <c r="AF151" s="404"/>
      <c r="AG151" s="404"/>
      <c r="AH151" s="404"/>
      <c r="AI151" s="404"/>
      <c r="AJ151" s="404"/>
      <c r="AK151" s="404"/>
      <c r="AL151" s="404"/>
      <c r="AM151" s="404"/>
      <c r="AN151" s="404"/>
      <c r="AO151" s="404"/>
      <c r="AP151" s="404"/>
      <c r="AQ151" s="404"/>
      <c r="AR151" s="404"/>
      <c r="AS151" s="404"/>
      <c r="AT151" s="404"/>
      <c r="AU151" s="404"/>
      <c r="AV151" s="404"/>
      <c r="AW151" s="404"/>
      <c r="AX151" s="404"/>
      <c r="AY151" s="404"/>
      <c r="AZ151" s="404"/>
      <c r="BA151" s="404"/>
      <c r="BB151" s="404"/>
      <c r="BC151" s="404"/>
      <c r="BD151" s="404"/>
      <c r="BE151" s="404"/>
      <c r="BF151" s="404"/>
      <c r="BG151" s="404"/>
      <c r="BH151" s="404"/>
      <c r="BI151" s="404"/>
      <c r="BJ151" s="404"/>
      <c r="BK151" s="404"/>
      <c r="BL151" s="404"/>
      <c r="BM151" s="404"/>
      <c r="BN151" s="404"/>
      <c r="BO151" s="404"/>
      <c r="BP151" s="404"/>
      <c r="BQ151" s="404"/>
      <c r="BR151" s="404"/>
      <c r="BS151" s="404"/>
      <c r="BT151" s="404"/>
      <c r="BU151" s="404"/>
      <c r="BV151" s="404"/>
      <c r="BW151" s="404"/>
      <c r="BX151" s="404"/>
      <c r="BY151" s="404"/>
      <c r="BZ151" s="404"/>
      <c r="CA151" s="404"/>
      <c r="CB151" s="404"/>
      <c r="CC151" s="404"/>
      <c r="CD151" s="404"/>
      <c r="CE151" s="404"/>
      <c r="CF151" s="404"/>
      <c r="CG151" s="404"/>
      <c r="CH151" s="404"/>
      <c r="CI151" s="404"/>
      <c r="CJ151" s="404"/>
      <c r="CK151" s="404"/>
      <c r="CL151" s="404"/>
      <c r="CM151" s="404"/>
      <c r="CN151" s="404"/>
      <c r="CO151" s="404"/>
      <c r="CP151" s="404"/>
      <c r="CQ151" s="404"/>
      <c r="CR151" s="404"/>
      <c r="CS151" s="404"/>
      <c r="CT151" s="404"/>
      <c r="CU151" s="404"/>
      <c r="CV151" s="404"/>
      <c r="CW151" s="404"/>
      <c r="CX151" s="404"/>
      <c r="CY151" s="404"/>
      <c r="CZ151" s="404"/>
      <c r="DA151" s="404"/>
      <c r="DB151" s="404"/>
      <c r="DC151" s="404"/>
      <c r="DD151" s="404"/>
      <c r="DE151" s="404"/>
      <c r="DF151" s="404"/>
      <c r="DG151" s="404"/>
      <c r="DH151" s="404"/>
      <c r="DI151" s="404"/>
      <c r="DJ151" s="404"/>
      <c r="DK151" s="404"/>
      <c r="DL151" s="404"/>
      <c r="DM151" s="404"/>
      <c r="DN151" s="404"/>
      <c r="DO151" s="404"/>
      <c r="DP151" s="404"/>
      <c r="DQ151" s="404"/>
      <c r="DR151" s="404"/>
      <c r="DS151" s="404"/>
      <c r="DT151" s="404"/>
      <c r="DU151" s="404"/>
      <c r="DV151" s="404"/>
      <c r="DW151" s="404"/>
      <c r="DX151" s="404"/>
      <c r="DY151" s="404"/>
      <c r="DZ151" s="404"/>
      <c r="EA151" s="404"/>
      <c r="EB151" s="404"/>
      <c r="EC151" s="404"/>
      <c r="ED151" s="404"/>
      <c r="EE151" s="404"/>
      <c r="EF151" s="404"/>
      <c r="EG151" s="404"/>
      <c r="EH151" s="404"/>
      <c r="EI151" s="404"/>
      <c r="EJ151" s="404"/>
      <c r="EK151" s="404"/>
      <c r="EL151" s="404"/>
      <c r="EM151" s="404"/>
      <c r="EN151" s="404"/>
      <c r="EO151" s="404"/>
      <c r="EP151" s="404"/>
      <c r="EQ151" s="404"/>
      <c r="ER151" s="404"/>
      <c r="ES151" s="404"/>
      <c r="ET151" s="404"/>
      <c r="EU151" s="404"/>
      <c r="EV151" s="404"/>
      <c r="EW151" s="404"/>
      <c r="EX151" s="404"/>
      <c r="EY151" s="404"/>
      <c r="EZ151" s="404"/>
      <c r="FA151" s="404"/>
      <c r="FB151" s="404"/>
      <c r="FC151" s="404"/>
      <c r="FD151" s="404"/>
      <c r="FE151" s="404"/>
      <c r="FF151" s="404"/>
      <c r="FG151" s="404"/>
      <c r="FH151" s="404"/>
      <c r="FI151" s="404"/>
      <c r="FJ151" s="404"/>
      <c r="FK151" s="404"/>
      <c r="FL151" s="404"/>
      <c r="FM151" s="404"/>
      <c r="FN151" s="404"/>
      <c r="FO151" s="404"/>
      <c r="FP151" s="404"/>
      <c r="FQ151" s="404"/>
      <c r="FR151" s="404"/>
      <c r="FS151" s="404"/>
      <c r="FT151" s="404"/>
      <c r="FU151" s="404"/>
      <c r="FV151" s="404"/>
      <c r="FW151" s="404"/>
      <c r="FX151" s="404"/>
      <c r="FY151" s="404"/>
      <c r="FZ151" s="404"/>
      <c r="GA151" s="404"/>
      <c r="GB151" s="404"/>
      <c r="GC151" s="404"/>
      <c r="GD151" s="404"/>
      <c r="GE151" s="404"/>
      <c r="GF151" s="404"/>
      <c r="GG151" s="404"/>
      <c r="GH151" s="404"/>
      <c r="GI151" s="404"/>
      <c r="GJ151" s="404"/>
      <c r="GK151" s="404"/>
      <c r="GL151" s="404"/>
      <c r="GM151" s="404"/>
      <c r="GN151" s="404"/>
      <c r="GO151" s="404"/>
      <c r="GP151" s="404"/>
      <c r="GQ151" s="404"/>
      <c r="GR151" s="404"/>
      <c r="GS151" s="404"/>
      <c r="GT151" s="404"/>
      <c r="GU151" s="404"/>
      <c r="GV151" s="404"/>
      <c r="GW151" s="404"/>
      <c r="GX151" s="404"/>
      <c r="GY151" s="404"/>
      <c r="GZ151" s="404"/>
      <c r="HA151" s="404"/>
      <c r="HB151" s="404"/>
      <c r="HC151" s="404"/>
      <c r="HD151" s="404"/>
      <c r="HE151" s="404"/>
      <c r="HF151" s="404"/>
      <c r="HG151" s="404"/>
      <c r="HH151" s="404"/>
      <c r="HI151" s="404"/>
      <c r="HJ151" s="404"/>
      <c r="HK151" s="404"/>
      <c r="HL151" s="404"/>
      <c r="HM151" s="404"/>
      <c r="HN151" s="404"/>
      <c r="HO151" s="404"/>
      <c r="HP151" s="404"/>
      <c r="HQ151" s="404"/>
      <c r="HR151" s="404"/>
      <c r="HS151" s="404"/>
      <c r="HT151" s="404"/>
      <c r="HU151" s="404"/>
      <c r="HV151" s="404"/>
      <c r="HW151" s="404"/>
      <c r="HX151" s="404"/>
      <c r="HY151" s="404"/>
      <c r="HZ151" s="404"/>
      <c r="IA151" s="404"/>
      <c r="IB151" s="404"/>
      <c r="IC151" s="404"/>
      <c r="ID151" s="404"/>
      <c r="IE151" s="404"/>
      <c r="IF151" s="404"/>
      <c r="IG151" s="404"/>
      <c r="IH151" s="404"/>
      <c r="II151" s="404"/>
      <c r="IJ151" s="404"/>
      <c r="IK151" s="404"/>
      <c r="IL151" s="404"/>
      <c r="IM151" s="404"/>
      <c r="IN151" s="404"/>
      <c r="IO151" s="404"/>
      <c r="IP151" s="404"/>
      <c r="IQ151" s="404"/>
      <c r="IR151" s="404"/>
      <c r="IS151" s="404"/>
      <c r="IT151" s="404"/>
      <c r="IU151" s="404"/>
      <c r="IV151" s="404"/>
      <c r="IW151" s="404"/>
    </row>
    <row r="152" customFormat="false" ht="12.6" hidden="false" customHeight="true" outlineLevel="0" collapsed="false">
      <c r="A152" s="416"/>
      <c r="B152" s="404"/>
      <c r="C152" s="417"/>
      <c r="D152" s="417"/>
      <c r="E152" s="417"/>
      <c r="F152" s="417"/>
      <c r="G152" s="417"/>
      <c r="H152" s="417"/>
      <c r="I152" s="417"/>
      <c r="J152" s="417"/>
      <c r="K152" s="417"/>
      <c r="L152" s="417"/>
      <c r="M152" s="417"/>
      <c r="N152" s="417"/>
      <c r="O152" s="417"/>
      <c r="P152" s="417"/>
      <c r="Q152" s="417"/>
      <c r="R152" s="417"/>
      <c r="S152" s="417"/>
      <c r="T152" s="417"/>
      <c r="U152" s="417"/>
      <c r="V152" s="417"/>
      <c r="W152" s="417"/>
      <c r="X152" s="417"/>
      <c r="Y152" s="417"/>
      <c r="Z152" s="417"/>
      <c r="AA152" s="417"/>
      <c r="AB152" s="404"/>
      <c r="AC152" s="404"/>
      <c r="AD152" s="404"/>
      <c r="AE152" s="404"/>
      <c r="AF152" s="404"/>
      <c r="AG152" s="404"/>
      <c r="AH152" s="404"/>
      <c r="AI152" s="404"/>
      <c r="AJ152" s="404"/>
      <c r="AK152" s="404"/>
      <c r="AL152" s="404"/>
      <c r="AM152" s="404"/>
      <c r="AN152" s="404"/>
      <c r="AO152" s="404"/>
      <c r="AP152" s="404"/>
      <c r="AQ152" s="404"/>
      <c r="AR152" s="404"/>
      <c r="AS152" s="404"/>
      <c r="AT152" s="404"/>
      <c r="AU152" s="404"/>
      <c r="AV152" s="404"/>
      <c r="AW152" s="404"/>
      <c r="AX152" s="404"/>
      <c r="AY152" s="404"/>
      <c r="AZ152" s="404"/>
      <c r="BA152" s="404"/>
      <c r="BB152" s="404"/>
      <c r="BC152" s="404"/>
      <c r="BD152" s="404"/>
      <c r="BE152" s="404"/>
      <c r="BF152" s="404"/>
      <c r="BG152" s="404"/>
      <c r="BH152" s="404"/>
      <c r="BI152" s="404"/>
      <c r="BJ152" s="404"/>
      <c r="BK152" s="404"/>
      <c r="BL152" s="404"/>
      <c r="BM152" s="404"/>
      <c r="BN152" s="404"/>
      <c r="BO152" s="404"/>
      <c r="BP152" s="404"/>
      <c r="BQ152" s="404"/>
      <c r="BR152" s="404"/>
      <c r="BS152" s="404"/>
      <c r="BT152" s="404"/>
      <c r="BU152" s="404"/>
      <c r="BV152" s="404"/>
      <c r="BW152" s="404"/>
      <c r="BX152" s="404"/>
      <c r="BY152" s="404"/>
      <c r="BZ152" s="404"/>
      <c r="CA152" s="404"/>
      <c r="CB152" s="404"/>
      <c r="CC152" s="404"/>
      <c r="CD152" s="404"/>
      <c r="CE152" s="404"/>
      <c r="CF152" s="404"/>
      <c r="CG152" s="404"/>
      <c r="CH152" s="404"/>
      <c r="CI152" s="404"/>
      <c r="CJ152" s="404"/>
      <c r="CK152" s="404"/>
      <c r="CL152" s="404"/>
      <c r="CM152" s="404"/>
      <c r="CN152" s="404"/>
      <c r="CO152" s="404"/>
      <c r="CP152" s="404"/>
      <c r="CQ152" s="404"/>
      <c r="CR152" s="404"/>
      <c r="CS152" s="404"/>
      <c r="CT152" s="404"/>
      <c r="CU152" s="404"/>
      <c r="CV152" s="404"/>
      <c r="CW152" s="404"/>
      <c r="CX152" s="404"/>
      <c r="CY152" s="404"/>
      <c r="CZ152" s="404"/>
      <c r="DA152" s="404"/>
      <c r="DB152" s="404"/>
      <c r="DC152" s="404"/>
      <c r="DD152" s="404"/>
      <c r="DE152" s="404"/>
      <c r="DF152" s="404"/>
      <c r="DG152" s="404"/>
      <c r="DH152" s="404"/>
      <c r="DI152" s="404"/>
      <c r="DJ152" s="404"/>
      <c r="DK152" s="404"/>
      <c r="DL152" s="404"/>
      <c r="DM152" s="404"/>
      <c r="DN152" s="404"/>
      <c r="DO152" s="404"/>
      <c r="DP152" s="404"/>
      <c r="DQ152" s="404"/>
      <c r="DR152" s="404"/>
      <c r="DS152" s="404"/>
      <c r="DT152" s="404"/>
      <c r="DU152" s="404"/>
      <c r="DV152" s="404"/>
      <c r="DW152" s="404"/>
      <c r="DX152" s="404"/>
      <c r="DY152" s="404"/>
      <c r="DZ152" s="404"/>
      <c r="EA152" s="404"/>
      <c r="EB152" s="404"/>
      <c r="EC152" s="404"/>
      <c r="ED152" s="404"/>
      <c r="EE152" s="404"/>
      <c r="EF152" s="404"/>
      <c r="EG152" s="404"/>
      <c r="EH152" s="404"/>
      <c r="EI152" s="404"/>
      <c r="EJ152" s="404"/>
      <c r="EK152" s="404"/>
      <c r="EL152" s="404"/>
      <c r="EM152" s="404"/>
      <c r="EN152" s="404"/>
      <c r="EO152" s="404"/>
      <c r="EP152" s="404"/>
      <c r="EQ152" s="404"/>
      <c r="ER152" s="404"/>
      <c r="ES152" s="404"/>
      <c r="ET152" s="404"/>
      <c r="EU152" s="404"/>
      <c r="EV152" s="404"/>
      <c r="EW152" s="404"/>
      <c r="EX152" s="404"/>
      <c r="EY152" s="404"/>
      <c r="EZ152" s="404"/>
      <c r="FA152" s="404"/>
      <c r="FB152" s="404"/>
      <c r="FC152" s="404"/>
      <c r="FD152" s="404"/>
      <c r="FE152" s="404"/>
      <c r="FF152" s="404"/>
      <c r="FG152" s="404"/>
      <c r="FH152" s="404"/>
      <c r="FI152" s="404"/>
      <c r="FJ152" s="404"/>
      <c r="FK152" s="404"/>
      <c r="FL152" s="404"/>
      <c r="FM152" s="404"/>
      <c r="FN152" s="404"/>
      <c r="FO152" s="404"/>
      <c r="FP152" s="404"/>
      <c r="FQ152" s="404"/>
      <c r="FR152" s="404"/>
      <c r="FS152" s="404"/>
      <c r="FT152" s="404"/>
      <c r="FU152" s="404"/>
      <c r="FV152" s="404"/>
      <c r="FW152" s="404"/>
      <c r="FX152" s="404"/>
      <c r="FY152" s="404"/>
      <c r="FZ152" s="404"/>
      <c r="GA152" s="404"/>
      <c r="GB152" s="404"/>
      <c r="GC152" s="404"/>
      <c r="GD152" s="404"/>
      <c r="GE152" s="404"/>
      <c r="GF152" s="404"/>
      <c r="GG152" s="404"/>
      <c r="GH152" s="404"/>
      <c r="GI152" s="404"/>
      <c r="GJ152" s="404"/>
      <c r="GK152" s="404"/>
      <c r="GL152" s="404"/>
      <c r="GM152" s="404"/>
      <c r="GN152" s="404"/>
      <c r="GO152" s="404"/>
      <c r="GP152" s="404"/>
      <c r="GQ152" s="404"/>
      <c r="GR152" s="404"/>
      <c r="GS152" s="404"/>
      <c r="GT152" s="404"/>
      <c r="GU152" s="404"/>
      <c r="GV152" s="404"/>
      <c r="GW152" s="404"/>
      <c r="GX152" s="404"/>
      <c r="GY152" s="404"/>
      <c r="GZ152" s="404"/>
      <c r="HA152" s="404"/>
      <c r="HB152" s="404"/>
      <c r="HC152" s="404"/>
      <c r="HD152" s="404"/>
      <c r="HE152" s="404"/>
      <c r="HF152" s="404"/>
      <c r="HG152" s="404"/>
      <c r="HH152" s="404"/>
      <c r="HI152" s="404"/>
      <c r="HJ152" s="404"/>
      <c r="HK152" s="404"/>
      <c r="HL152" s="404"/>
      <c r="HM152" s="404"/>
      <c r="HN152" s="404"/>
      <c r="HO152" s="404"/>
      <c r="HP152" s="404"/>
      <c r="HQ152" s="404"/>
      <c r="HR152" s="404"/>
      <c r="HS152" s="404"/>
      <c r="HT152" s="404"/>
      <c r="HU152" s="404"/>
      <c r="HV152" s="404"/>
      <c r="HW152" s="404"/>
      <c r="HX152" s="404"/>
      <c r="HY152" s="404"/>
      <c r="HZ152" s="404"/>
      <c r="IA152" s="404"/>
      <c r="IB152" s="404"/>
      <c r="IC152" s="404"/>
      <c r="ID152" s="404"/>
      <c r="IE152" s="404"/>
      <c r="IF152" s="404"/>
      <c r="IG152" s="404"/>
      <c r="IH152" s="404"/>
      <c r="II152" s="404"/>
      <c r="IJ152" s="404"/>
      <c r="IK152" s="404"/>
      <c r="IL152" s="404"/>
      <c r="IM152" s="404"/>
      <c r="IN152" s="404"/>
      <c r="IO152" s="404"/>
      <c r="IP152" s="404"/>
      <c r="IQ152" s="404"/>
      <c r="IR152" s="404"/>
      <c r="IS152" s="404"/>
      <c r="IT152" s="404"/>
      <c r="IU152" s="404"/>
      <c r="IV152" s="404"/>
      <c r="IW152" s="404"/>
    </row>
    <row r="153" customFormat="false" ht="12.6" hidden="false" customHeight="true" outlineLevel="0" collapsed="false">
      <c r="A153" s="416"/>
      <c r="B153" s="404"/>
      <c r="C153" s="417"/>
      <c r="D153" s="417"/>
      <c r="E153" s="417"/>
      <c r="F153" s="417"/>
      <c r="G153" s="417"/>
      <c r="H153" s="417"/>
      <c r="I153" s="417"/>
      <c r="J153" s="417"/>
      <c r="K153" s="417"/>
      <c r="L153" s="417"/>
      <c r="M153" s="417"/>
      <c r="N153" s="417"/>
      <c r="O153" s="417"/>
      <c r="P153" s="417"/>
      <c r="Q153" s="417"/>
      <c r="R153" s="417"/>
      <c r="S153" s="417"/>
      <c r="T153" s="417"/>
      <c r="U153" s="417"/>
      <c r="V153" s="417"/>
      <c r="W153" s="417"/>
      <c r="X153" s="417"/>
      <c r="Y153" s="417"/>
      <c r="Z153" s="417"/>
      <c r="AA153" s="417"/>
      <c r="AB153" s="404"/>
      <c r="AC153" s="404"/>
      <c r="AD153" s="404"/>
      <c r="AE153" s="404"/>
      <c r="AF153" s="404"/>
      <c r="AG153" s="404"/>
      <c r="AH153" s="404"/>
      <c r="AI153" s="404"/>
      <c r="AJ153" s="404"/>
      <c r="AK153" s="404"/>
      <c r="AL153" s="404"/>
      <c r="AM153" s="404"/>
      <c r="AN153" s="404"/>
      <c r="AO153" s="404"/>
      <c r="AP153" s="404"/>
      <c r="AQ153" s="404"/>
      <c r="AR153" s="404"/>
      <c r="AS153" s="404"/>
      <c r="AT153" s="404"/>
      <c r="AU153" s="404"/>
      <c r="AV153" s="404"/>
      <c r="AW153" s="404"/>
      <c r="AX153" s="404"/>
      <c r="AY153" s="404"/>
      <c r="AZ153" s="404"/>
      <c r="BA153" s="404"/>
      <c r="BB153" s="404"/>
      <c r="BC153" s="404"/>
      <c r="BD153" s="404"/>
      <c r="BE153" s="404"/>
      <c r="BF153" s="404"/>
      <c r="BG153" s="404"/>
      <c r="BH153" s="404"/>
      <c r="BI153" s="404"/>
      <c r="BJ153" s="404"/>
      <c r="BK153" s="404"/>
      <c r="BL153" s="404"/>
      <c r="BM153" s="404"/>
      <c r="BN153" s="404"/>
      <c r="BO153" s="404"/>
      <c r="BP153" s="404"/>
      <c r="BQ153" s="404"/>
      <c r="BR153" s="404"/>
      <c r="BS153" s="404"/>
      <c r="BT153" s="404"/>
      <c r="BU153" s="404"/>
      <c r="BV153" s="404"/>
      <c r="BW153" s="404"/>
      <c r="BX153" s="404"/>
      <c r="BY153" s="404"/>
      <c r="BZ153" s="404"/>
      <c r="CA153" s="404"/>
      <c r="CB153" s="404"/>
      <c r="CC153" s="404"/>
      <c r="CD153" s="404"/>
      <c r="CE153" s="404"/>
      <c r="CF153" s="404"/>
      <c r="CG153" s="404"/>
      <c r="CH153" s="404"/>
      <c r="CI153" s="404"/>
      <c r="CJ153" s="404"/>
      <c r="CK153" s="404"/>
      <c r="CL153" s="404"/>
      <c r="CM153" s="404"/>
      <c r="CN153" s="404"/>
      <c r="CO153" s="404"/>
      <c r="CP153" s="404"/>
      <c r="CQ153" s="404"/>
      <c r="CR153" s="404"/>
      <c r="CS153" s="404"/>
      <c r="CT153" s="404"/>
      <c r="CU153" s="404"/>
      <c r="CV153" s="404"/>
      <c r="CW153" s="404"/>
      <c r="CX153" s="404"/>
      <c r="CY153" s="404"/>
      <c r="CZ153" s="404"/>
      <c r="DA153" s="404"/>
      <c r="DB153" s="404"/>
      <c r="DC153" s="404"/>
      <c r="DD153" s="404"/>
      <c r="DE153" s="404"/>
      <c r="DF153" s="404"/>
      <c r="DG153" s="404"/>
      <c r="DH153" s="404"/>
      <c r="DI153" s="404"/>
      <c r="DJ153" s="404"/>
      <c r="DK153" s="404"/>
      <c r="DL153" s="404"/>
      <c r="DM153" s="404"/>
      <c r="DN153" s="404"/>
      <c r="DO153" s="404"/>
      <c r="DP153" s="404"/>
      <c r="DQ153" s="404"/>
      <c r="DR153" s="404"/>
      <c r="DS153" s="404"/>
      <c r="DT153" s="404"/>
      <c r="DU153" s="404"/>
      <c r="DV153" s="404"/>
      <c r="DW153" s="404"/>
      <c r="DX153" s="404"/>
      <c r="DY153" s="404"/>
      <c r="DZ153" s="404"/>
      <c r="EA153" s="404"/>
      <c r="EB153" s="404"/>
      <c r="EC153" s="404"/>
      <c r="ED153" s="404"/>
      <c r="EE153" s="404"/>
      <c r="EF153" s="404"/>
      <c r="EG153" s="404"/>
      <c r="EH153" s="404"/>
      <c r="EI153" s="404"/>
      <c r="EJ153" s="404"/>
      <c r="EK153" s="404"/>
      <c r="EL153" s="404"/>
      <c r="EM153" s="404"/>
      <c r="EN153" s="404"/>
      <c r="EO153" s="404"/>
      <c r="EP153" s="404"/>
      <c r="EQ153" s="404"/>
      <c r="ER153" s="404"/>
      <c r="ES153" s="404"/>
      <c r="ET153" s="404"/>
      <c r="EU153" s="404"/>
      <c r="EV153" s="404"/>
      <c r="EW153" s="404"/>
      <c r="EX153" s="404"/>
      <c r="EY153" s="404"/>
      <c r="EZ153" s="404"/>
      <c r="FA153" s="404"/>
      <c r="FB153" s="404"/>
      <c r="FC153" s="404"/>
      <c r="FD153" s="404"/>
      <c r="FE153" s="404"/>
      <c r="FF153" s="404"/>
      <c r="FG153" s="404"/>
      <c r="FH153" s="404"/>
      <c r="FI153" s="404"/>
      <c r="FJ153" s="404"/>
      <c r="FK153" s="404"/>
      <c r="FL153" s="404"/>
      <c r="FM153" s="404"/>
      <c r="FN153" s="404"/>
      <c r="FO153" s="404"/>
      <c r="FP153" s="404"/>
      <c r="FQ153" s="404"/>
      <c r="FR153" s="404"/>
      <c r="FS153" s="404"/>
      <c r="FT153" s="404"/>
      <c r="FU153" s="404"/>
      <c r="FV153" s="404"/>
      <c r="FW153" s="404"/>
      <c r="FX153" s="404"/>
      <c r="FY153" s="404"/>
      <c r="FZ153" s="404"/>
      <c r="GA153" s="404"/>
      <c r="GB153" s="404"/>
      <c r="GC153" s="404"/>
      <c r="GD153" s="404"/>
      <c r="GE153" s="404"/>
      <c r="GF153" s="404"/>
      <c r="GG153" s="404"/>
      <c r="GH153" s="404"/>
      <c r="GI153" s="404"/>
      <c r="GJ153" s="404"/>
      <c r="GK153" s="404"/>
      <c r="GL153" s="404"/>
      <c r="GM153" s="404"/>
      <c r="GN153" s="404"/>
      <c r="GO153" s="404"/>
      <c r="GP153" s="404"/>
      <c r="GQ153" s="404"/>
      <c r="GR153" s="404"/>
      <c r="GS153" s="404"/>
      <c r="GT153" s="404"/>
      <c r="GU153" s="404"/>
      <c r="GV153" s="404"/>
      <c r="GW153" s="404"/>
      <c r="GX153" s="404"/>
      <c r="GY153" s="404"/>
      <c r="GZ153" s="404"/>
      <c r="HA153" s="404"/>
      <c r="HB153" s="404"/>
      <c r="HC153" s="404"/>
      <c r="HD153" s="404"/>
      <c r="HE153" s="404"/>
      <c r="HF153" s="404"/>
      <c r="HG153" s="404"/>
      <c r="HH153" s="404"/>
      <c r="HI153" s="404"/>
      <c r="HJ153" s="404"/>
      <c r="HK153" s="404"/>
      <c r="HL153" s="404"/>
      <c r="HM153" s="404"/>
      <c r="HN153" s="404"/>
      <c r="HO153" s="404"/>
      <c r="HP153" s="404"/>
      <c r="HQ153" s="404"/>
      <c r="HR153" s="404"/>
      <c r="HS153" s="404"/>
      <c r="HT153" s="404"/>
      <c r="HU153" s="404"/>
      <c r="HV153" s="404"/>
      <c r="HW153" s="404"/>
      <c r="HX153" s="404"/>
      <c r="HY153" s="404"/>
      <c r="HZ153" s="404"/>
      <c r="IA153" s="404"/>
      <c r="IB153" s="404"/>
      <c r="IC153" s="404"/>
      <c r="ID153" s="404"/>
      <c r="IE153" s="404"/>
      <c r="IF153" s="404"/>
      <c r="IG153" s="404"/>
      <c r="IH153" s="404"/>
      <c r="II153" s="404"/>
      <c r="IJ153" s="404"/>
      <c r="IK153" s="404"/>
      <c r="IL153" s="404"/>
      <c r="IM153" s="404"/>
      <c r="IN153" s="404"/>
      <c r="IO153" s="404"/>
      <c r="IP153" s="404"/>
      <c r="IQ153" s="404"/>
      <c r="IR153" s="404"/>
      <c r="IS153" s="404"/>
      <c r="IT153" s="404"/>
      <c r="IU153" s="404"/>
      <c r="IV153" s="404"/>
      <c r="IW153" s="404"/>
    </row>
    <row r="154" customFormat="false" ht="12.6" hidden="false" customHeight="true" outlineLevel="0" collapsed="false">
      <c r="A154" s="416"/>
      <c r="B154" s="404"/>
      <c r="C154" s="417"/>
      <c r="D154" s="417"/>
      <c r="E154" s="417"/>
      <c r="F154" s="417"/>
      <c r="G154" s="417"/>
      <c r="H154" s="417"/>
      <c r="I154" s="417"/>
      <c r="J154" s="417"/>
      <c r="K154" s="417"/>
      <c r="L154" s="417"/>
      <c r="M154" s="417"/>
      <c r="N154" s="417"/>
      <c r="O154" s="417"/>
      <c r="P154" s="417"/>
      <c r="Q154" s="417"/>
      <c r="R154" s="417"/>
      <c r="S154" s="417"/>
      <c r="T154" s="417"/>
      <c r="U154" s="417"/>
      <c r="V154" s="417"/>
      <c r="W154" s="417"/>
      <c r="X154" s="417"/>
      <c r="Y154" s="417"/>
      <c r="Z154" s="417"/>
      <c r="AA154" s="417"/>
      <c r="AB154" s="404"/>
      <c r="AC154" s="404"/>
      <c r="AD154" s="404"/>
      <c r="AE154" s="404"/>
      <c r="AF154" s="404"/>
      <c r="AG154" s="404"/>
      <c r="AH154" s="404"/>
      <c r="AI154" s="404"/>
      <c r="AJ154" s="404"/>
      <c r="AK154" s="404"/>
      <c r="AL154" s="404"/>
      <c r="AM154" s="404"/>
      <c r="AN154" s="404"/>
      <c r="AO154" s="404"/>
      <c r="AP154" s="404"/>
      <c r="AQ154" s="404"/>
      <c r="AR154" s="404"/>
      <c r="AS154" s="404"/>
      <c r="AT154" s="404"/>
      <c r="AU154" s="404"/>
      <c r="AV154" s="404"/>
      <c r="AW154" s="404"/>
      <c r="AX154" s="404"/>
      <c r="AY154" s="404"/>
      <c r="AZ154" s="404"/>
      <c r="BA154" s="404"/>
      <c r="BB154" s="404"/>
      <c r="BC154" s="404"/>
      <c r="BD154" s="404"/>
      <c r="BE154" s="404"/>
      <c r="BF154" s="404"/>
      <c r="BG154" s="404"/>
      <c r="BH154" s="404"/>
      <c r="BI154" s="404"/>
      <c r="BJ154" s="404"/>
      <c r="BK154" s="404"/>
      <c r="BL154" s="404"/>
      <c r="BM154" s="404"/>
      <c r="BN154" s="404"/>
      <c r="BO154" s="404"/>
      <c r="BP154" s="404"/>
      <c r="BQ154" s="404"/>
      <c r="BR154" s="404"/>
      <c r="BS154" s="404"/>
      <c r="BT154" s="404"/>
      <c r="BU154" s="404"/>
      <c r="BV154" s="404"/>
      <c r="BW154" s="404"/>
      <c r="BX154" s="404"/>
      <c r="BY154" s="404"/>
      <c r="BZ154" s="404"/>
      <c r="CA154" s="404"/>
      <c r="CB154" s="404"/>
      <c r="CC154" s="404"/>
      <c r="CD154" s="404"/>
      <c r="CE154" s="404"/>
      <c r="CF154" s="404"/>
      <c r="CG154" s="404"/>
      <c r="CH154" s="404"/>
      <c r="CI154" s="404"/>
      <c r="CJ154" s="404"/>
      <c r="CK154" s="404"/>
      <c r="CL154" s="404"/>
      <c r="CM154" s="404"/>
      <c r="CN154" s="404"/>
      <c r="CO154" s="404"/>
      <c r="CP154" s="404"/>
      <c r="CQ154" s="404"/>
      <c r="CR154" s="404"/>
      <c r="CS154" s="404"/>
      <c r="CT154" s="404"/>
      <c r="CU154" s="404"/>
      <c r="CV154" s="404"/>
      <c r="CW154" s="404"/>
      <c r="CX154" s="404"/>
      <c r="CY154" s="404"/>
      <c r="CZ154" s="404"/>
      <c r="DA154" s="404"/>
      <c r="DB154" s="404"/>
      <c r="DC154" s="404"/>
      <c r="DD154" s="404"/>
      <c r="DE154" s="404"/>
      <c r="DF154" s="404"/>
      <c r="DG154" s="404"/>
      <c r="DH154" s="404"/>
      <c r="DI154" s="404"/>
      <c r="DJ154" s="404"/>
      <c r="DK154" s="404"/>
      <c r="DL154" s="404"/>
      <c r="DM154" s="404"/>
      <c r="DN154" s="404"/>
      <c r="DO154" s="404"/>
      <c r="DP154" s="404"/>
      <c r="DQ154" s="404"/>
      <c r="DR154" s="404"/>
      <c r="DS154" s="404"/>
      <c r="DT154" s="404"/>
      <c r="DU154" s="404"/>
      <c r="DV154" s="404"/>
      <c r="DW154" s="404"/>
      <c r="DX154" s="404"/>
      <c r="DY154" s="404"/>
      <c r="DZ154" s="404"/>
      <c r="EA154" s="404"/>
      <c r="EB154" s="404"/>
      <c r="EC154" s="404"/>
      <c r="ED154" s="404"/>
      <c r="EE154" s="404"/>
      <c r="EF154" s="404"/>
      <c r="EG154" s="404"/>
      <c r="EH154" s="404"/>
      <c r="EI154" s="404"/>
      <c r="EJ154" s="404"/>
      <c r="EK154" s="404"/>
      <c r="EL154" s="404"/>
      <c r="EM154" s="404"/>
      <c r="EN154" s="404"/>
      <c r="EO154" s="404"/>
      <c r="EP154" s="404"/>
      <c r="EQ154" s="404"/>
      <c r="ER154" s="404"/>
      <c r="ES154" s="404"/>
      <c r="ET154" s="404"/>
      <c r="EU154" s="404"/>
      <c r="EV154" s="404"/>
      <c r="EW154" s="404"/>
      <c r="EX154" s="404"/>
      <c r="EY154" s="404"/>
      <c r="EZ154" s="404"/>
      <c r="FA154" s="404"/>
      <c r="FB154" s="404"/>
      <c r="FC154" s="404"/>
      <c r="FD154" s="404"/>
      <c r="FE154" s="404"/>
      <c r="FF154" s="404"/>
      <c r="FG154" s="404"/>
      <c r="FH154" s="404"/>
      <c r="FI154" s="404"/>
      <c r="FJ154" s="404"/>
      <c r="FK154" s="404"/>
      <c r="FL154" s="404"/>
      <c r="FM154" s="404"/>
      <c r="FN154" s="404"/>
      <c r="FO154" s="404"/>
      <c r="FP154" s="404"/>
      <c r="FQ154" s="404"/>
      <c r="FR154" s="404"/>
      <c r="FS154" s="404"/>
      <c r="FT154" s="404"/>
      <c r="FU154" s="404"/>
      <c r="FV154" s="404"/>
      <c r="FW154" s="404"/>
      <c r="FX154" s="404"/>
      <c r="FY154" s="404"/>
      <c r="FZ154" s="404"/>
      <c r="GA154" s="404"/>
      <c r="GB154" s="404"/>
      <c r="GC154" s="404"/>
      <c r="GD154" s="404"/>
      <c r="GE154" s="404"/>
      <c r="GF154" s="404"/>
      <c r="GG154" s="404"/>
      <c r="GH154" s="404"/>
      <c r="GI154" s="404"/>
      <c r="GJ154" s="404"/>
      <c r="GK154" s="404"/>
      <c r="GL154" s="404"/>
      <c r="GM154" s="404"/>
      <c r="GN154" s="404"/>
      <c r="GO154" s="404"/>
      <c r="GP154" s="404"/>
      <c r="GQ154" s="404"/>
      <c r="GR154" s="404"/>
      <c r="GS154" s="404"/>
      <c r="GT154" s="404"/>
      <c r="GU154" s="404"/>
      <c r="GV154" s="404"/>
      <c r="GW154" s="404"/>
      <c r="GX154" s="404"/>
      <c r="GY154" s="404"/>
      <c r="GZ154" s="404"/>
      <c r="HA154" s="404"/>
      <c r="HB154" s="404"/>
      <c r="HC154" s="404"/>
      <c r="HD154" s="404"/>
      <c r="HE154" s="404"/>
      <c r="HF154" s="404"/>
      <c r="HG154" s="404"/>
      <c r="HH154" s="404"/>
      <c r="HI154" s="404"/>
      <c r="HJ154" s="404"/>
      <c r="HK154" s="404"/>
      <c r="HL154" s="404"/>
      <c r="HM154" s="404"/>
      <c r="HN154" s="404"/>
      <c r="HO154" s="404"/>
      <c r="HP154" s="404"/>
      <c r="HQ154" s="404"/>
      <c r="HR154" s="404"/>
      <c r="HS154" s="404"/>
      <c r="HT154" s="404"/>
      <c r="HU154" s="404"/>
      <c r="HV154" s="404"/>
      <c r="HW154" s="404"/>
      <c r="HX154" s="404"/>
      <c r="HY154" s="404"/>
      <c r="HZ154" s="404"/>
      <c r="IA154" s="404"/>
      <c r="IB154" s="404"/>
      <c r="IC154" s="404"/>
      <c r="ID154" s="404"/>
      <c r="IE154" s="404"/>
      <c r="IF154" s="404"/>
      <c r="IG154" s="404"/>
      <c r="IH154" s="404"/>
      <c r="II154" s="404"/>
      <c r="IJ154" s="404"/>
      <c r="IK154" s="404"/>
      <c r="IL154" s="404"/>
      <c r="IM154" s="404"/>
      <c r="IN154" s="404"/>
      <c r="IO154" s="404"/>
      <c r="IP154" s="404"/>
      <c r="IQ154" s="404"/>
      <c r="IR154" s="404"/>
      <c r="IS154" s="404"/>
      <c r="IT154" s="404"/>
      <c r="IU154" s="404"/>
      <c r="IV154" s="404"/>
      <c r="IW154" s="404"/>
    </row>
    <row r="155" customFormat="false" ht="12.6" hidden="false" customHeight="true" outlineLevel="0" collapsed="false">
      <c r="A155" s="416"/>
      <c r="B155" s="404"/>
      <c r="C155" s="417"/>
      <c r="D155" s="417"/>
      <c r="E155" s="417"/>
      <c r="F155" s="417"/>
      <c r="G155" s="417"/>
      <c r="H155" s="417"/>
      <c r="I155" s="417"/>
      <c r="J155" s="417"/>
      <c r="K155" s="417"/>
      <c r="L155" s="417"/>
      <c r="M155" s="417"/>
      <c r="N155" s="417"/>
      <c r="O155" s="417"/>
      <c r="P155" s="417"/>
      <c r="Q155" s="417"/>
      <c r="R155" s="417"/>
      <c r="S155" s="417"/>
      <c r="T155" s="417"/>
      <c r="U155" s="417"/>
      <c r="V155" s="417"/>
      <c r="W155" s="417"/>
      <c r="X155" s="417"/>
      <c r="Y155" s="417"/>
      <c r="Z155" s="417"/>
      <c r="AA155" s="417"/>
      <c r="AB155" s="404"/>
      <c r="AC155" s="404"/>
      <c r="AD155" s="404"/>
      <c r="AE155" s="404"/>
      <c r="AF155" s="404"/>
      <c r="AG155" s="404"/>
      <c r="AH155" s="404"/>
      <c r="AI155" s="404"/>
      <c r="AJ155" s="404"/>
      <c r="AK155" s="404"/>
      <c r="AL155" s="404"/>
      <c r="AM155" s="404"/>
      <c r="AN155" s="404"/>
      <c r="AO155" s="404"/>
      <c r="AP155" s="404"/>
      <c r="AQ155" s="404"/>
      <c r="AR155" s="404"/>
      <c r="AS155" s="404"/>
      <c r="AT155" s="404"/>
      <c r="AU155" s="404"/>
      <c r="AV155" s="404"/>
      <c r="AW155" s="404"/>
      <c r="AX155" s="404"/>
      <c r="AY155" s="404"/>
      <c r="AZ155" s="404"/>
      <c r="BA155" s="404"/>
      <c r="BB155" s="404"/>
      <c r="BC155" s="404"/>
      <c r="BD155" s="404"/>
      <c r="BE155" s="404"/>
      <c r="BF155" s="404"/>
      <c r="BG155" s="404"/>
      <c r="BH155" s="404"/>
      <c r="BI155" s="404"/>
      <c r="BJ155" s="404"/>
      <c r="BK155" s="404"/>
      <c r="BL155" s="404"/>
      <c r="BM155" s="404"/>
      <c r="BN155" s="404"/>
      <c r="BO155" s="404"/>
      <c r="BP155" s="404"/>
      <c r="BQ155" s="404"/>
      <c r="BR155" s="404"/>
      <c r="BS155" s="404"/>
      <c r="BT155" s="404"/>
      <c r="BU155" s="404"/>
      <c r="BV155" s="404"/>
      <c r="BW155" s="404"/>
      <c r="BX155" s="404"/>
      <c r="BY155" s="404"/>
      <c r="BZ155" s="404"/>
      <c r="CA155" s="404"/>
      <c r="CB155" s="404"/>
      <c r="CC155" s="404"/>
      <c r="CD155" s="404"/>
      <c r="CE155" s="404"/>
      <c r="CF155" s="404"/>
      <c r="CG155" s="404"/>
      <c r="CH155" s="404"/>
      <c r="CI155" s="404"/>
      <c r="CJ155" s="404"/>
      <c r="CK155" s="404"/>
      <c r="CL155" s="404"/>
      <c r="CM155" s="404"/>
      <c r="CN155" s="404"/>
      <c r="CO155" s="404"/>
      <c r="CP155" s="404"/>
      <c r="CQ155" s="404"/>
      <c r="CR155" s="404"/>
      <c r="CS155" s="404"/>
      <c r="CT155" s="404"/>
      <c r="CU155" s="404"/>
      <c r="CV155" s="404"/>
      <c r="CW155" s="404"/>
      <c r="CX155" s="404"/>
      <c r="CY155" s="404"/>
      <c r="CZ155" s="404"/>
      <c r="DA155" s="404"/>
      <c r="DB155" s="404"/>
      <c r="DC155" s="404"/>
      <c r="DD155" s="404"/>
      <c r="DE155" s="404"/>
      <c r="DF155" s="404"/>
      <c r="DG155" s="404"/>
      <c r="DH155" s="404"/>
      <c r="DI155" s="404"/>
      <c r="DJ155" s="404"/>
      <c r="DK155" s="404"/>
      <c r="DL155" s="404"/>
      <c r="DM155" s="404"/>
      <c r="DN155" s="404"/>
      <c r="DO155" s="404"/>
      <c r="DP155" s="404"/>
      <c r="DQ155" s="404"/>
      <c r="DR155" s="404"/>
      <c r="DS155" s="404"/>
      <c r="DT155" s="404"/>
      <c r="DU155" s="404"/>
      <c r="DV155" s="404"/>
      <c r="DW155" s="404"/>
      <c r="DX155" s="404"/>
      <c r="DY155" s="404"/>
      <c r="DZ155" s="404"/>
      <c r="EA155" s="404"/>
      <c r="EB155" s="404"/>
      <c r="EC155" s="404"/>
      <c r="ED155" s="404"/>
      <c r="EE155" s="404"/>
      <c r="EF155" s="404"/>
      <c r="EG155" s="404"/>
      <c r="EH155" s="404"/>
      <c r="EI155" s="404"/>
      <c r="EJ155" s="404"/>
      <c r="EK155" s="404"/>
      <c r="EL155" s="404"/>
      <c r="EM155" s="404"/>
      <c r="EN155" s="404"/>
      <c r="EO155" s="404"/>
      <c r="EP155" s="404"/>
      <c r="EQ155" s="404"/>
      <c r="ER155" s="404"/>
      <c r="ES155" s="404"/>
      <c r="ET155" s="404"/>
      <c r="EU155" s="404"/>
      <c r="EV155" s="404"/>
      <c r="EW155" s="404"/>
      <c r="EX155" s="404"/>
      <c r="EY155" s="404"/>
      <c r="EZ155" s="404"/>
      <c r="FA155" s="404"/>
      <c r="FB155" s="404"/>
      <c r="FC155" s="404"/>
      <c r="FD155" s="404"/>
      <c r="FE155" s="404"/>
      <c r="FF155" s="404"/>
      <c r="FG155" s="404"/>
      <c r="FH155" s="404"/>
      <c r="FI155" s="404"/>
      <c r="FJ155" s="404"/>
      <c r="FK155" s="404"/>
      <c r="FL155" s="404"/>
      <c r="FM155" s="404"/>
      <c r="FN155" s="404"/>
      <c r="FO155" s="404"/>
      <c r="FP155" s="404"/>
      <c r="FQ155" s="404"/>
      <c r="FR155" s="404"/>
      <c r="FS155" s="404"/>
      <c r="FT155" s="404"/>
      <c r="FU155" s="404"/>
      <c r="FV155" s="404"/>
      <c r="FW155" s="404"/>
      <c r="FX155" s="404"/>
      <c r="FY155" s="404"/>
      <c r="FZ155" s="404"/>
      <c r="GA155" s="404"/>
      <c r="GB155" s="404"/>
      <c r="GC155" s="404"/>
      <c r="GD155" s="404"/>
      <c r="GE155" s="404"/>
      <c r="GF155" s="404"/>
      <c r="GG155" s="404"/>
      <c r="GH155" s="404"/>
      <c r="GI155" s="404"/>
      <c r="GJ155" s="404"/>
      <c r="GK155" s="404"/>
      <c r="GL155" s="404"/>
      <c r="GM155" s="404"/>
      <c r="GN155" s="404"/>
      <c r="GO155" s="404"/>
      <c r="GP155" s="404"/>
      <c r="GQ155" s="404"/>
      <c r="GR155" s="404"/>
      <c r="GS155" s="404"/>
      <c r="GT155" s="404"/>
      <c r="GU155" s="404"/>
      <c r="GV155" s="404"/>
      <c r="GW155" s="404"/>
      <c r="GX155" s="404"/>
      <c r="GY155" s="404"/>
      <c r="GZ155" s="404"/>
      <c r="HA155" s="404"/>
      <c r="HB155" s="404"/>
      <c r="HC155" s="404"/>
      <c r="HD155" s="404"/>
      <c r="HE155" s="404"/>
      <c r="HF155" s="404"/>
      <c r="HG155" s="404"/>
      <c r="HH155" s="404"/>
      <c r="HI155" s="404"/>
      <c r="HJ155" s="404"/>
      <c r="HK155" s="404"/>
      <c r="HL155" s="404"/>
      <c r="HM155" s="404"/>
      <c r="HN155" s="404"/>
      <c r="HO155" s="404"/>
      <c r="HP155" s="404"/>
      <c r="HQ155" s="404"/>
      <c r="HR155" s="404"/>
      <c r="HS155" s="404"/>
      <c r="HT155" s="404"/>
      <c r="HU155" s="404"/>
      <c r="HV155" s="404"/>
      <c r="HW155" s="404"/>
      <c r="HX155" s="404"/>
      <c r="HY155" s="404"/>
      <c r="HZ155" s="404"/>
      <c r="IA155" s="404"/>
      <c r="IB155" s="404"/>
      <c r="IC155" s="404"/>
      <c r="ID155" s="404"/>
      <c r="IE155" s="404"/>
      <c r="IF155" s="404"/>
      <c r="IG155" s="404"/>
      <c r="IH155" s="404"/>
      <c r="II155" s="404"/>
      <c r="IJ155" s="404"/>
      <c r="IK155" s="404"/>
      <c r="IL155" s="404"/>
      <c r="IM155" s="404"/>
      <c r="IN155" s="404"/>
      <c r="IO155" s="404"/>
      <c r="IP155" s="404"/>
      <c r="IQ155" s="404"/>
      <c r="IR155" s="404"/>
      <c r="IS155" s="404"/>
      <c r="IT155" s="404"/>
      <c r="IU155" s="404"/>
      <c r="IV155" s="404"/>
      <c r="IW155" s="404"/>
    </row>
    <row r="156" customFormat="false" ht="12.6" hidden="false" customHeight="true" outlineLevel="0" collapsed="false">
      <c r="A156" s="416"/>
      <c r="B156" s="404"/>
      <c r="C156" s="417"/>
      <c r="D156" s="417"/>
      <c r="E156" s="417"/>
      <c r="F156" s="417"/>
      <c r="G156" s="417"/>
      <c r="H156" s="417"/>
      <c r="I156" s="417"/>
      <c r="J156" s="417"/>
      <c r="K156" s="417"/>
      <c r="L156" s="417"/>
      <c r="M156" s="417"/>
      <c r="N156" s="417"/>
      <c r="O156" s="417"/>
      <c r="P156" s="417"/>
      <c r="Q156" s="417"/>
      <c r="R156" s="417"/>
      <c r="S156" s="417"/>
      <c r="T156" s="417"/>
      <c r="U156" s="417"/>
      <c r="V156" s="417"/>
      <c r="W156" s="417"/>
      <c r="X156" s="417"/>
      <c r="Y156" s="417"/>
      <c r="Z156" s="417"/>
      <c r="AA156" s="417"/>
      <c r="AB156" s="404"/>
      <c r="AC156" s="404"/>
      <c r="AD156" s="404"/>
      <c r="AE156" s="404"/>
      <c r="AF156" s="404"/>
      <c r="AG156" s="404"/>
      <c r="AH156" s="404"/>
      <c r="AI156" s="404"/>
      <c r="AJ156" s="404"/>
      <c r="AK156" s="404"/>
      <c r="AL156" s="404"/>
      <c r="AM156" s="404"/>
      <c r="AN156" s="404"/>
      <c r="AO156" s="404"/>
      <c r="AP156" s="404"/>
      <c r="AQ156" s="404"/>
      <c r="AR156" s="404"/>
      <c r="AS156" s="404"/>
      <c r="AT156" s="404"/>
      <c r="AU156" s="404"/>
      <c r="AV156" s="404"/>
      <c r="AW156" s="404"/>
      <c r="AX156" s="404"/>
      <c r="AY156" s="404"/>
      <c r="AZ156" s="404"/>
      <c r="BA156" s="404"/>
      <c r="BB156" s="404"/>
      <c r="BC156" s="404"/>
      <c r="BD156" s="404"/>
      <c r="BE156" s="404"/>
      <c r="BF156" s="404"/>
      <c r="BG156" s="404"/>
      <c r="BH156" s="404"/>
      <c r="BI156" s="404"/>
      <c r="BJ156" s="404"/>
      <c r="BK156" s="404"/>
      <c r="BL156" s="404"/>
      <c r="BM156" s="404"/>
      <c r="BN156" s="404"/>
      <c r="BO156" s="404"/>
      <c r="BP156" s="404"/>
      <c r="BQ156" s="404"/>
      <c r="BR156" s="404"/>
      <c r="BS156" s="404"/>
      <c r="BT156" s="404"/>
      <c r="BU156" s="404"/>
      <c r="BV156" s="404"/>
      <c r="BW156" s="404"/>
      <c r="BX156" s="404"/>
      <c r="BY156" s="404"/>
      <c r="BZ156" s="404"/>
      <c r="CA156" s="404"/>
      <c r="CB156" s="404"/>
      <c r="CC156" s="404"/>
      <c r="CD156" s="404"/>
      <c r="CE156" s="404"/>
      <c r="CF156" s="404"/>
      <c r="CG156" s="404"/>
      <c r="CH156" s="404"/>
      <c r="CI156" s="404"/>
      <c r="CJ156" s="404"/>
      <c r="CK156" s="404"/>
      <c r="CL156" s="404"/>
      <c r="CM156" s="404"/>
      <c r="CN156" s="404"/>
      <c r="CO156" s="404"/>
      <c r="CP156" s="404"/>
      <c r="CQ156" s="404"/>
      <c r="CR156" s="404"/>
      <c r="CS156" s="404"/>
      <c r="CT156" s="404"/>
      <c r="CU156" s="404"/>
      <c r="CV156" s="404"/>
      <c r="CW156" s="404"/>
      <c r="CX156" s="404"/>
      <c r="CY156" s="404"/>
      <c r="CZ156" s="404"/>
      <c r="DA156" s="404"/>
      <c r="DB156" s="404"/>
      <c r="DC156" s="404"/>
      <c r="DD156" s="404"/>
      <c r="DE156" s="404"/>
      <c r="DF156" s="404"/>
      <c r="DG156" s="404"/>
      <c r="DH156" s="404"/>
      <c r="DI156" s="404"/>
      <c r="DJ156" s="404"/>
      <c r="DK156" s="404"/>
      <c r="DL156" s="404"/>
      <c r="DM156" s="404"/>
      <c r="DN156" s="404"/>
      <c r="DO156" s="404"/>
      <c r="DP156" s="404"/>
      <c r="DQ156" s="404"/>
      <c r="DR156" s="404"/>
      <c r="DS156" s="404"/>
      <c r="DT156" s="404"/>
      <c r="DU156" s="404"/>
      <c r="DV156" s="404"/>
      <c r="DW156" s="404"/>
      <c r="DX156" s="404"/>
      <c r="DY156" s="404"/>
      <c r="DZ156" s="404"/>
      <c r="EA156" s="404"/>
      <c r="EB156" s="404"/>
      <c r="EC156" s="404"/>
      <c r="ED156" s="404"/>
      <c r="EE156" s="404"/>
      <c r="EF156" s="404"/>
      <c r="EG156" s="404"/>
      <c r="EH156" s="404"/>
      <c r="EI156" s="404"/>
      <c r="EJ156" s="404"/>
      <c r="EK156" s="404"/>
      <c r="EL156" s="404"/>
      <c r="EM156" s="404"/>
      <c r="EN156" s="404"/>
      <c r="EO156" s="404"/>
      <c r="EP156" s="404"/>
      <c r="EQ156" s="404"/>
      <c r="ER156" s="404"/>
      <c r="ES156" s="404"/>
      <c r="ET156" s="404"/>
      <c r="EU156" s="404"/>
      <c r="EV156" s="404"/>
      <c r="EW156" s="404"/>
      <c r="EX156" s="404"/>
      <c r="EY156" s="404"/>
      <c r="EZ156" s="404"/>
      <c r="FA156" s="404"/>
      <c r="FB156" s="404"/>
      <c r="FC156" s="404"/>
      <c r="FD156" s="404"/>
      <c r="FE156" s="404"/>
      <c r="FF156" s="404"/>
      <c r="FG156" s="404"/>
      <c r="FH156" s="404"/>
      <c r="FI156" s="404"/>
      <c r="FJ156" s="404"/>
      <c r="FK156" s="404"/>
      <c r="FL156" s="404"/>
      <c r="FM156" s="404"/>
      <c r="FN156" s="404"/>
      <c r="FO156" s="404"/>
      <c r="FP156" s="404"/>
      <c r="FQ156" s="404"/>
      <c r="FR156" s="404"/>
      <c r="FS156" s="404"/>
      <c r="FT156" s="404"/>
      <c r="FU156" s="404"/>
      <c r="FV156" s="404"/>
      <c r="FW156" s="404"/>
      <c r="FX156" s="404"/>
      <c r="FY156" s="404"/>
      <c r="FZ156" s="404"/>
      <c r="GA156" s="404"/>
      <c r="GB156" s="404"/>
      <c r="GC156" s="404"/>
      <c r="GD156" s="404"/>
      <c r="GE156" s="404"/>
      <c r="GF156" s="404"/>
      <c r="GG156" s="404"/>
      <c r="GH156" s="404"/>
      <c r="GI156" s="404"/>
      <c r="GJ156" s="404"/>
      <c r="GK156" s="404"/>
      <c r="GL156" s="404"/>
      <c r="GM156" s="404"/>
      <c r="GN156" s="404"/>
      <c r="GO156" s="404"/>
      <c r="GP156" s="404"/>
      <c r="GQ156" s="404"/>
      <c r="GR156" s="404"/>
      <c r="GS156" s="404"/>
      <c r="GT156" s="404"/>
      <c r="GU156" s="404"/>
      <c r="GV156" s="404"/>
      <c r="GW156" s="404"/>
      <c r="GX156" s="404"/>
      <c r="GY156" s="404"/>
      <c r="GZ156" s="404"/>
      <c r="HA156" s="404"/>
      <c r="HB156" s="404"/>
      <c r="HC156" s="404"/>
      <c r="HD156" s="404"/>
      <c r="HE156" s="404"/>
      <c r="HF156" s="404"/>
      <c r="HG156" s="404"/>
      <c r="HH156" s="404"/>
      <c r="HI156" s="404"/>
      <c r="HJ156" s="404"/>
      <c r="HK156" s="404"/>
      <c r="HL156" s="404"/>
      <c r="HM156" s="404"/>
      <c r="HN156" s="404"/>
      <c r="HO156" s="404"/>
      <c r="HP156" s="404"/>
      <c r="HQ156" s="404"/>
      <c r="HR156" s="404"/>
      <c r="HS156" s="404"/>
      <c r="HT156" s="404"/>
      <c r="HU156" s="404"/>
      <c r="HV156" s="404"/>
      <c r="HW156" s="404"/>
      <c r="HX156" s="404"/>
      <c r="HY156" s="404"/>
      <c r="HZ156" s="404"/>
      <c r="IA156" s="404"/>
      <c r="IB156" s="404"/>
      <c r="IC156" s="404"/>
      <c r="ID156" s="404"/>
      <c r="IE156" s="404"/>
      <c r="IF156" s="404"/>
      <c r="IG156" s="404"/>
      <c r="IH156" s="404"/>
      <c r="II156" s="404"/>
      <c r="IJ156" s="404"/>
      <c r="IK156" s="404"/>
      <c r="IL156" s="404"/>
      <c r="IM156" s="404"/>
      <c r="IN156" s="404"/>
      <c r="IO156" s="404"/>
      <c r="IP156" s="404"/>
      <c r="IQ156" s="404"/>
      <c r="IR156" s="404"/>
      <c r="IS156" s="404"/>
      <c r="IT156" s="404"/>
      <c r="IU156" s="404"/>
      <c r="IV156" s="404"/>
      <c r="IW156" s="404"/>
    </row>
    <row r="157" customFormat="false" ht="12.6" hidden="false" customHeight="true" outlineLevel="0" collapsed="false">
      <c r="A157" s="416"/>
      <c r="B157" s="404"/>
      <c r="C157" s="417"/>
      <c r="D157" s="417"/>
      <c r="E157" s="417"/>
      <c r="F157" s="417"/>
      <c r="G157" s="417"/>
      <c r="H157" s="417"/>
      <c r="I157" s="417"/>
      <c r="J157" s="417"/>
      <c r="K157" s="417"/>
      <c r="L157" s="417"/>
      <c r="M157" s="417"/>
      <c r="N157" s="417"/>
      <c r="O157" s="417"/>
      <c r="P157" s="417"/>
      <c r="Q157" s="417"/>
      <c r="R157" s="417"/>
      <c r="S157" s="417"/>
      <c r="T157" s="417"/>
      <c r="U157" s="417"/>
      <c r="V157" s="417"/>
      <c r="W157" s="417"/>
      <c r="X157" s="417"/>
      <c r="Y157" s="417"/>
      <c r="Z157" s="417"/>
      <c r="AA157" s="417"/>
      <c r="AB157" s="404"/>
      <c r="AC157" s="404"/>
      <c r="AD157" s="404"/>
      <c r="AE157" s="404"/>
      <c r="AF157" s="404"/>
      <c r="AG157" s="404"/>
      <c r="AH157" s="404"/>
      <c r="AI157" s="404"/>
      <c r="AJ157" s="404"/>
      <c r="AK157" s="404"/>
      <c r="AL157" s="404"/>
      <c r="AM157" s="404"/>
      <c r="AN157" s="404"/>
      <c r="AO157" s="404"/>
      <c r="AP157" s="404"/>
      <c r="AQ157" s="404"/>
      <c r="AR157" s="404"/>
      <c r="AS157" s="404"/>
      <c r="AT157" s="404"/>
      <c r="AU157" s="404"/>
      <c r="AV157" s="404"/>
      <c r="AW157" s="404"/>
      <c r="AX157" s="404"/>
      <c r="AY157" s="404"/>
      <c r="AZ157" s="404"/>
      <c r="BA157" s="404"/>
      <c r="BB157" s="404"/>
      <c r="BC157" s="404"/>
      <c r="BD157" s="404"/>
      <c r="BE157" s="404"/>
      <c r="BF157" s="404"/>
      <c r="BG157" s="404"/>
      <c r="BH157" s="404"/>
      <c r="BI157" s="404"/>
      <c r="BJ157" s="404"/>
      <c r="BK157" s="404"/>
      <c r="BL157" s="404"/>
      <c r="BM157" s="404"/>
      <c r="BN157" s="404"/>
      <c r="BO157" s="404"/>
      <c r="BP157" s="404"/>
      <c r="BQ157" s="404"/>
      <c r="BR157" s="404"/>
      <c r="BS157" s="404"/>
      <c r="BT157" s="404"/>
      <c r="BU157" s="404"/>
      <c r="BV157" s="404"/>
      <c r="BW157" s="404"/>
      <c r="BX157" s="404"/>
      <c r="BY157" s="404"/>
      <c r="BZ157" s="404"/>
      <c r="CA157" s="404"/>
      <c r="CB157" s="404"/>
      <c r="CC157" s="404"/>
      <c r="CD157" s="404"/>
      <c r="CE157" s="404"/>
      <c r="CF157" s="404"/>
      <c r="CG157" s="404"/>
      <c r="CH157" s="404"/>
      <c r="CI157" s="404"/>
      <c r="CJ157" s="404"/>
      <c r="CK157" s="404"/>
      <c r="CL157" s="404"/>
      <c r="CM157" s="404"/>
      <c r="CN157" s="404"/>
      <c r="CO157" s="404"/>
      <c r="CP157" s="404"/>
      <c r="CQ157" s="404"/>
      <c r="CR157" s="404"/>
      <c r="CS157" s="404"/>
      <c r="CT157" s="404"/>
      <c r="CU157" s="404"/>
      <c r="CV157" s="404"/>
      <c r="CW157" s="404"/>
      <c r="CX157" s="404"/>
      <c r="CY157" s="404"/>
      <c r="CZ157" s="404"/>
      <c r="DA157" s="404"/>
      <c r="DB157" s="404"/>
      <c r="DC157" s="404"/>
      <c r="DD157" s="404"/>
      <c r="DE157" s="404"/>
      <c r="DF157" s="404"/>
      <c r="DG157" s="404"/>
      <c r="DH157" s="404"/>
      <c r="DI157" s="404"/>
      <c r="DJ157" s="404"/>
      <c r="DK157" s="404"/>
      <c r="DL157" s="404"/>
      <c r="DM157" s="404"/>
      <c r="DN157" s="404"/>
      <c r="DO157" s="404"/>
      <c r="DP157" s="404"/>
      <c r="DQ157" s="404"/>
      <c r="DR157" s="404"/>
      <c r="DS157" s="404"/>
      <c r="DT157" s="404"/>
      <c r="DU157" s="404"/>
      <c r="DV157" s="404"/>
      <c r="DW157" s="404"/>
      <c r="DX157" s="404"/>
      <c r="DY157" s="404"/>
      <c r="DZ157" s="404"/>
      <c r="EA157" s="404"/>
      <c r="EB157" s="404"/>
      <c r="EC157" s="404"/>
      <c r="ED157" s="404"/>
      <c r="EE157" s="404"/>
      <c r="EF157" s="404"/>
      <c r="EG157" s="404"/>
      <c r="EH157" s="404"/>
      <c r="EI157" s="404"/>
      <c r="EJ157" s="404"/>
      <c r="EK157" s="404"/>
      <c r="EL157" s="404"/>
      <c r="EM157" s="404"/>
      <c r="EN157" s="404"/>
      <c r="EO157" s="404"/>
      <c r="EP157" s="404"/>
      <c r="EQ157" s="404"/>
      <c r="ER157" s="404"/>
      <c r="ES157" s="404"/>
      <c r="ET157" s="404"/>
      <c r="EU157" s="404"/>
      <c r="EV157" s="404"/>
      <c r="EW157" s="404"/>
      <c r="EX157" s="404"/>
      <c r="EY157" s="404"/>
      <c r="EZ157" s="404"/>
      <c r="FA157" s="404"/>
      <c r="FB157" s="404"/>
      <c r="FC157" s="404"/>
      <c r="FD157" s="404"/>
      <c r="FE157" s="404"/>
      <c r="FF157" s="404"/>
      <c r="FG157" s="404"/>
      <c r="FH157" s="404"/>
      <c r="FI157" s="404"/>
      <c r="FJ157" s="404"/>
      <c r="FK157" s="404"/>
      <c r="FL157" s="404"/>
      <c r="FM157" s="404"/>
      <c r="FN157" s="404"/>
      <c r="FO157" s="404"/>
      <c r="FP157" s="404"/>
      <c r="FQ157" s="404"/>
      <c r="FR157" s="404"/>
      <c r="FS157" s="404"/>
      <c r="FT157" s="404"/>
      <c r="FU157" s="404"/>
      <c r="FV157" s="404"/>
      <c r="FW157" s="404"/>
      <c r="FX157" s="404"/>
      <c r="FY157" s="404"/>
      <c r="FZ157" s="404"/>
      <c r="GA157" s="404"/>
      <c r="GB157" s="404"/>
      <c r="GC157" s="404"/>
      <c r="GD157" s="404"/>
      <c r="GE157" s="404"/>
      <c r="GF157" s="404"/>
      <c r="GG157" s="404"/>
      <c r="GH157" s="404"/>
      <c r="GI157" s="404"/>
      <c r="GJ157" s="404"/>
      <c r="GK157" s="404"/>
      <c r="GL157" s="404"/>
      <c r="GM157" s="404"/>
      <c r="GN157" s="404"/>
      <c r="GO157" s="404"/>
      <c r="GP157" s="404"/>
      <c r="GQ157" s="404"/>
      <c r="GR157" s="404"/>
      <c r="GS157" s="404"/>
      <c r="GT157" s="404"/>
      <c r="GU157" s="404"/>
      <c r="GV157" s="404"/>
      <c r="GW157" s="404"/>
      <c r="GX157" s="404"/>
      <c r="GY157" s="404"/>
      <c r="GZ157" s="404"/>
      <c r="HA157" s="404"/>
      <c r="HB157" s="404"/>
      <c r="HC157" s="404"/>
      <c r="HD157" s="404"/>
      <c r="HE157" s="404"/>
      <c r="HF157" s="404"/>
      <c r="HG157" s="404"/>
      <c r="HH157" s="404"/>
      <c r="HI157" s="404"/>
      <c r="HJ157" s="404"/>
      <c r="HK157" s="404"/>
      <c r="HL157" s="404"/>
      <c r="HM157" s="404"/>
      <c r="HN157" s="404"/>
      <c r="HO157" s="404"/>
      <c r="HP157" s="404"/>
      <c r="HQ157" s="404"/>
      <c r="HR157" s="404"/>
      <c r="HS157" s="404"/>
      <c r="HT157" s="404"/>
      <c r="HU157" s="404"/>
      <c r="HV157" s="404"/>
      <c r="HW157" s="404"/>
      <c r="HX157" s="404"/>
      <c r="HY157" s="404"/>
      <c r="HZ157" s="404"/>
      <c r="IA157" s="404"/>
      <c r="IB157" s="404"/>
      <c r="IC157" s="404"/>
      <c r="ID157" s="404"/>
      <c r="IE157" s="404"/>
      <c r="IF157" s="404"/>
      <c r="IG157" s="404"/>
      <c r="IH157" s="404"/>
      <c r="II157" s="404"/>
      <c r="IJ157" s="404"/>
      <c r="IK157" s="404"/>
      <c r="IL157" s="404"/>
      <c r="IM157" s="404"/>
      <c r="IN157" s="404"/>
      <c r="IO157" s="404"/>
      <c r="IP157" s="404"/>
      <c r="IQ157" s="404"/>
      <c r="IR157" s="404"/>
      <c r="IS157" s="404"/>
      <c r="IT157" s="404"/>
      <c r="IU157" s="404"/>
      <c r="IV157" s="404"/>
      <c r="IW157" s="404"/>
    </row>
    <row r="158" customFormat="false" ht="12.6" hidden="false" customHeight="true" outlineLevel="0" collapsed="false">
      <c r="A158" s="416"/>
      <c r="B158" s="404"/>
      <c r="C158" s="417"/>
      <c r="D158" s="417"/>
      <c r="E158" s="417"/>
      <c r="F158" s="417"/>
      <c r="G158" s="417"/>
      <c r="H158" s="417"/>
      <c r="I158" s="417"/>
      <c r="J158" s="417"/>
      <c r="K158" s="417"/>
      <c r="L158" s="417"/>
      <c r="M158" s="417"/>
      <c r="N158" s="417"/>
      <c r="O158" s="417"/>
      <c r="P158" s="417"/>
      <c r="Q158" s="417"/>
      <c r="R158" s="417"/>
      <c r="S158" s="417"/>
      <c r="T158" s="417"/>
      <c r="U158" s="417"/>
      <c r="V158" s="417"/>
      <c r="W158" s="417"/>
      <c r="X158" s="417"/>
      <c r="Y158" s="417"/>
      <c r="Z158" s="417"/>
      <c r="AA158" s="417"/>
      <c r="AB158" s="404"/>
      <c r="AC158" s="404"/>
      <c r="AD158" s="404"/>
      <c r="AE158" s="404"/>
      <c r="AF158" s="404"/>
      <c r="AG158" s="404"/>
      <c r="AH158" s="404"/>
      <c r="AI158" s="404"/>
      <c r="AJ158" s="404"/>
      <c r="AK158" s="404"/>
      <c r="AL158" s="404"/>
      <c r="AM158" s="404"/>
      <c r="AN158" s="404"/>
      <c r="AO158" s="404"/>
      <c r="AP158" s="404"/>
      <c r="AQ158" s="404"/>
      <c r="AR158" s="404"/>
      <c r="AS158" s="404"/>
      <c r="AT158" s="404"/>
      <c r="AU158" s="404"/>
      <c r="AV158" s="404"/>
      <c r="AW158" s="404"/>
      <c r="AX158" s="404"/>
      <c r="AY158" s="404"/>
      <c r="AZ158" s="404"/>
      <c r="BA158" s="404"/>
      <c r="BB158" s="404"/>
      <c r="BC158" s="404"/>
      <c r="BD158" s="404"/>
      <c r="BE158" s="404"/>
      <c r="BF158" s="404"/>
      <c r="BG158" s="404"/>
      <c r="BH158" s="404"/>
      <c r="BI158" s="404"/>
      <c r="BJ158" s="404"/>
      <c r="BK158" s="404"/>
      <c r="BL158" s="404"/>
      <c r="BM158" s="404"/>
      <c r="BN158" s="404"/>
      <c r="BO158" s="404"/>
      <c r="BP158" s="404"/>
      <c r="BQ158" s="404"/>
      <c r="BR158" s="404"/>
      <c r="BS158" s="404"/>
      <c r="BT158" s="404"/>
      <c r="BU158" s="404"/>
      <c r="BV158" s="404"/>
      <c r="BW158" s="404"/>
      <c r="BX158" s="404"/>
      <c r="BY158" s="404"/>
      <c r="BZ158" s="404"/>
      <c r="CA158" s="404"/>
      <c r="CB158" s="404"/>
      <c r="CC158" s="404"/>
      <c r="CD158" s="404"/>
      <c r="CE158" s="404"/>
      <c r="CF158" s="404"/>
      <c r="CG158" s="404"/>
      <c r="CH158" s="404"/>
      <c r="CI158" s="404"/>
      <c r="CJ158" s="404"/>
      <c r="CK158" s="404"/>
      <c r="CL158" s="404"/>
      <c r="CM158" s="404"/>
      <c r="CN158" s="404"/>
      <c r="CO158" s="404"/>
      <c r="CP158" s="404"/>
      <c r="CQ158" s="404"/>
      <c r="CR158" s="404"/>
      <c r="CS158" s="404"/>
      <c r="CT158" s="404"/>
      <c r="CU158" s="404"/>
      <c r="CV158" s="404"/>
      <c r="CW158" s="404"/>
      <c r="CX158" s="404"/>
      <c r="CY158" s="404"/>
      <c r="CZ158" s="404"/>
      <c r="DA158" s="404"/>
      <c r="DB158" s="404"/>
      <c r="DC158" s="404"/>
      <c r="DD158" s="404"/>
      <c r="DE158" s="404"/>
      <c r="DF158" s="404"/>
      <c r="DG158" s="404"/>
      <c r="DH158" s="404"/>
      <c r="DI158" s="404"/>
      <c r="DJ158" s="404"/>
      <c r="DK158" s="404"/>
      <c r="DL158" s="404"/>
      <c r="DM158" s="404"/>
      <c r="DN158" s="404"/>
      <c r="DO158" s="404"/>
      <c r="DP158" s="404"/>
      <c r="DQ158" s="404"/>
      <c r="DR158" s="404"/>
      <c r="DS158" s="404"/>
      <c r="DT158" s="404"/>
      <c r="DU158" s="404"/>
      <c r="DV158" s="404"/>
      <c r="DW158" s="404"/>
      <c r="DX158" s="404"/>
      <c r="DY158" s="404"/>
      <c r="DZ158" s="404"/>
      <c r="EA158" s="404"/>
      <c r="EB158" s="404"/>
      <c r="EC158" s="404"/>
      <c r="ED158" s="404"/>
      <c r="EE158" s="404"/>
      <c r="EF158" s="404"/>
      <c r="EG158" s="404"/>
      <c r="EH158" s="404"/>
      <c r="EI158" s="404"/>
      <c r="EJ158" s="404"/>
      <c r="EK158" s="404"/>
      <c r="EL158" s="404"/>
      <c r="EM158" s="404"/>
      <c r="EN158" s="404"/>
      <c r="EO158" s="404"/>
      <c r="EP158" s="404"/>
      <c r="EQ158" s="404"/>
      <c r="ER158" s="404"/>
      <c r="ES158" s="404"/>
      <c r="ET158" s="404"/>
      <c r="EU158" s="404"/>
      <c r="EV158" s="404"/>
      <c r="EW158" s="404"/>
      <c r="EX158" s="404"/>
      <c r="EY158" s="404"/>
      <c r="EZ158" s="404"/>
      <c r="FA158" s="404"/>
      <c r="FB158" s="404"/>
      <c r="FC158" s="404"/>
      <c r="FD158" s="404"/>
      <c r="FE158" s="404"/>
      <c r="FF158" s="404"/>
      <c r="FG158" s="404"/>
      <c r="FH158" s="404"/>
      <c r="FI158" s="404"/>
      <c r="FJ158" s="404"/>
      <c r="FK158" s="404"/>
      <c r="FL158" s="404"/>
      <c r="FM158" s="404"/>
      <c r="FN158" s="404"/>
      <c r="FO158" s="404"/>
      <c r="FP158" s="404"/>
      <c r="FQ158" s="404"/>
      <c r="FR158" s="404"/>
      <c r="FS158" s="404"/>
      <c r="FT158" s="404"/>
      <c r="FU158" s="404"/>
      <c r="FV158" s="404"/>
      <c r="FW158" s="404"/>
      <c r="FX158" s="404"/>
      <c r="FY158" s="404"/>
      <c r="FZ158" s="404"/>
      <c r="GA158" s="404"/>
      <c r="GB158" s="404"/>
      <c r="GC158" s="404"/>
      <c r="GD158" s="404"/>
      <c r="GE158" s="404"/>
      <c r="GF158" s="404"/>
      <c r="GG158" s="404"/>
      <c r="GH158" s="404"/>
      <c r="GI158" s="404"/>
      <c r="GJ158" s="404"/>
      <c r="GK158" s="404"/>
      <c r="GL158" s="404"/>
      <c r="GM158" s="404"/>
      <c r="GN158" s="404"/>
      <c r="GO158" s="404"/>
      <c r="GP158" s="404"/>
      <c r="GQ158" s="404"/>
      <c r="GR158" s="404"/>
      <c r="GS158" s="404"/>
      <c r="GT158" s="404"/>
      <c r="GU158" s="404"/>
      <c r="GV158" s="404"/>
      <c r="GW158" s="404"/>
      <c r="GX158" s="404"/>
      <c r="GY158" s="404"/>
      <c r="GZ158" s="404"/>
      <c r="HA158" s="404"/>
      <c r="HB158" s="404"/>
      <c r="HC158" s="404"/>
      <c r="HD158" s="404"/>
      <c r="HE158" s="404"/>
      <c r="HF158" s="404"/>
      <c r="HG158" s="404"/>
      <c r="HH158" s="404"/>
      <c r="HI158" s="404"/>
      <c r="HJ158" s="404"/>
      <c r="HK158" s="404"/>
      <c r="HL158" s="404"/>
      <c r="HM158" s="404"/>
      <c r="HN158" s="404"/>
      <c r="HO158" s="404"/>
      <c r="HP158" s="404"/>
      <c r="HQ158" s="404"/>
      <c r="HR158" s="404"/>
      <c r="HS158" s="404"/>
      <c r="HT158" s="404"/>
      <c r="HU158" s="404"/>
      <c r="HV158" s="404"/>
      <c r="HW158" s="404"/>
      <c r="HX158" s="404"/>
      <c r="HY158" s="404"/>
      <c r="HZ158" s="404"/>
      <c r="IA158" s="404"/>
      <c r="IB158" s="404"/>
      <c r="IC158" s="404"/>
      <c r="ID158" s="404"/>
      <c r="IE158" s="404"/>
      <c r="IF158" s="404"/>
      <c r="IG158" s="404"/>
      <c r="IH158" s="404"/>
      <c r="II158" s="404"/>
      <c r="IJ158" s="404"/>
      <c r="IK158" s="404"/>
      <c r="IL158" s="404"/>
      <c r="IM158" s="404"/>
      <c r="IN158" s="404"/>
      <c r="IO158" s="404"/>
      <c r="IP158" s="404"/>
      <c r="IQ158" s="404"/>
      <c r="IR158" s="404"/>
      <c r="IS158" s="404"/>
      <c r="IT158" s="404"/>
      <c r="IU158" s="404"/>
      <c r="IV158" s="404"/>
      <c r="IW158" s="404"/>
    </row>
    <row r="164" customFormat="false" ht="12.6" hidden="false" customHeight="true" outlineLevel="0" collapsed="false">
      <c r="A164" s="600"/>
      <c r="B164" s="474"/>
      <c r="C164" s="434"/>
      <c r="D164" s="434"/>
      <c r="E164" s="434"/>
      <c r="F164" s="434"/>
      <c r="G164" s="434"/>
      <c r="H164" s="434"/>
      <c r="I164" s="434"/>
      <c r="J164" s="434"/>
      <c r="K164" s="434"/>
      <c r="L164" s="434"/>
      <c r="M164" s="434"/>
      <c r="N164" s="434"/>
      <c r="O164" s="434"/>
      <c r="P164" s="434"/>
      <c r="Q164" s="434"/>
      <c r="R164" s="434"/>
      <c r="S164" s="434"/>
      <c r="T164" s="434"/>
      <c r="U164" s="434"/>
      <c r="V164" s="434"/>
      <c r="W164" s="434"/>
      <c r="X164" s="434"/>
      <c r="Y164" s="434"/>
      <c r="Z164" s="434"/>
      <c r="AA164" s="434"/>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473"/>
      <c r="AY164" s="473"/>
      <c r="AZ164" s="473"/>
      <c r="BA164" s="473"/>
      <c r="BB164" s="473"/>
      <c r="BC164" s="473"/>
      <c r="BD164" s="473"/>
      <c r="BE164" s="473"/>
      <c r="BF164" s="473"/>
      <c r="BG164" s="473"/>
      <c r="BH164" s="473"/>
      <c r="BI164" s="473"/>
      <c r="BJ164" s="473"/>
      <c r="BK164" s="473"/>
      <c r="BL164" s="473"/>
      <c r="BM164" s="473"/>
      <c r="BN164" s="473"/>
      <c r="BO164" s="473"/>
      <c r="BP164" s="473"/>
      <c r="BQ164" s="473"/>
      <c r="BR164" s="473"/>
      <c r="BS164" s="473"/>
      <c r="BT164" s="473"/>
      <c r="BU164" s="473"/>
      <c r="BV164" s="473"/>
      <c r="BW164" s="473"/>
      <c r="BX164" s="473"/>
      <c r="BY164" s="473"/>
      <c r="BZ164" s="473"/>
      <c r="CA164" s="473"/>
      <c r="CB164" s="473"/>
      <c r="CC164" s="473"/>
      <c r="CD164" s="473"/>
      <c r="CE164" s="473"/>
      <c r="CF164" s="473"/>
      <c r="CG164" s="473"/>
      <c r="CH164" s="473"/>
      <c r="CI164" s="473"/>
      <c r="CJ164" s="473"/>
      <c r="CK164" s="473"/>
      <c r="CL164" s="473"/>
      <c r="CM164" s="473"/>
      <c r="CN164" s="473"/>
      <c r="CO164" s="473"/>
      <c r="CP164" s="473"/>
      <c r="CQ164" s="473"/>
      <c r="CR164" s="473"/>
      <c r="CS164" s="473"/>
      <c r="CT164" s="473"/>
      <c r="CU164" s="473"/>
      <c r="CV164" s="473"/>
      <c r="CW164" s="473"/>
      <c r="CX164" s="473"/>
      <c r="CY164" s="473"/>
      <c r="CZ164" s="473"/>
      <c r="DA164" s="473"/>
      <c r="DB164" s="473"/>
      <c r="DC164" s="473"/>
      <c r="DD164" s="473"/>
      <c r="DE164" s="473"/>
      <c r="DF164" s="473"/>
      <c r="DG164" s="473"/>
      <c r="DH164" s="473"/>
      <c r="DI164" s="473"/>
      <c r="DJ164" s="473"/>
      <c r="DK164" s="473"/>
      <c r="DL164" s="473"/>
      <c r="DM164" s="473"/>
      <c r="DN164" s="473"/>
      <c r="DO164" s="473"/>
      <c r="DP164" s="473"/>
      <c r="DQ164" s="473"/>
      <c r="DR164" s="473"/>
      <c r="DS164" s="473"/>
      <c r="DT164" s="473"/>
      <c r="DU164" s="473"/>
      <c r="DV164" s="473"/>
      <c r="DW164" s="473"/>
      <c r="DX164" s="473"/>
      <c r="DY164" s="473"/>
      <c r="DZ164" s="473"/>
      <c r="EA164" s="473"/>
      <c r="EB164" s="473"/>
      <c r="EC164" s="473"/>
      <c r="ED164" s="473"/>
      <c r="EE164" s="473"/>
      <c r="EF164" s="473"/>
      <c r="EG164" s="473"/>
      <c r="EH164" s="473"/>
      <c r="EI164" s="473"/>
      <c r="EJ164" s="473"/>
      <c r="EK164" s="473"/>
      <c r="EL164" s="473"/>
      <c r="EM164" s="473"/>
      <c r="EN164" s="473"/>
      <c r="EO164" s="473"/>
      <c r="EP164" s="473"/>
      <c r="EQ164" s="473"/>
      <c r="ER164" s="473"/>
      <c r="ES164" s="473"/>
      <c r="ET164" s="473"/>
      <c r="EU164" s="473"/>
      <c r="EV164" s="473"/>
      <c r="EW164" s="473"/>
      <c r="EX164" s="473"/>
      <c r="EY164" s="473"/>
      <c r="EZ164" s="473"/>
      <c r="FA164" s="473"/>
      <c r="FB164" s="473"/>
      <c r="FC164" s="473"/>
      <c r="FD164" s="473"/>
      <c r="FE164" s="473"/>
      <c r="FF164" s="473"/>
      <c r="FG164" s="473"/>
      <c r="FH164" s="473"/>
      <c r="FI164" s="473"/>
      <c r="FJ164" s="473"/>
      <c r="FK164" s="473"/>
      <c r="FL164" s="473"/>
      <c r="FM164" s="473"/>
      <c r="FN164" s="473"/>
      <c r="FO164" s="473"/>
      <c r="FP164" s="473"/>
      <c r="FQ164" s="473"/>
      <c r="FR164" s="473"/>
      <c r="FS164" s="473"/>
      <c r="FT164" s="473"/>
      <c r="FU164" s="473"/>
      <c r="FV164" s="473"/>
      <c r="FW164" s="473"/>
      <c r="FX164" s="473"/>
      <c r="FY164" s="473"/>
      <c r="FZ164" s="473"/>
      <c r="GA164" s="473"/>
      <c r="GB164" s="473"/>
      <c r="GC164" s="473"/>
      <c r="GD164" s="473"/>
      <c r="GE164" s="473"/>
      <c r="GF164" s="473"/>
      <c r="GG164" s="473"/>
      <c r="GH164" s="473"/>
      <c r="GI164" s="473"/>
      <c r="GJ164" s="473"/>
      <c r="GK164" s="473"/>
      <c r="GL164" s="473"/>
      <c r="GM164" s="473"/>
      <c r="GN164" s="473"/>
      <c r="GO164" s="473"/>
      <c r="GP164" s="473"/>
      <c r="GQ164" s="473"/>
      <c r="GR164" s="473"/>
      <c r="GS164" s="473"/>
      <c r="GT164" s="473"/>
      <c r="GU164" s="473"/>
      <c r="GV164" s="473"/>
      <c r="GW164" s="473"/>
      <c r="GX164" s="473"/>
      <c r="GY164" s="473"/>
      <c r="GZ164" s="473"/>
      <c r="HA164" s="473"/>
      <c r="HB164" s="473"/>
      <c r="HC164" s="473"/>
      <c r="HD164" s="473"/>
      <c r="HE164" s="473"/>
      <c r="HF164" s="473"/>
      <c r="HG164" s="473"/>
      <c r="HH164" s="473"/>
      <c r="HI164" s="473"/>
      <c r="HJ164" s="473"/>
      <c r="HK164" s="473"/>
      <c r="HL164" s="473"/>
      <c r="HM164" s="473"/>
      <c r="HN164" s="473"/>
      <c r="HO164" s="473"/>
      <c r="HP164" s="473"/>
      <c r="HQ164" s="473"/>
      <c r="HR164" s="473"/>
      <c r="HS164" s="473"/>
      <c r="HT164" s="473"/>
      <c r="HU164" s="473"/>
      <c r="HV164" s="473"/>
      <c r="HW164" s="473"/>
      <c r="HX164" s="473"/>
      <c r="HY164" s="473"/>
      <c r="HZ164" s="473"/>
      <c r="IA164" s="473"/>
      <c r="IB164" s="473"/>
      <c r="IC164" s="473"/>
      <c r="ID164" s="473"/>
      <c r="IE164" s="473"/>
      <c r="IF164" s="473"/>
      <c r="IG164" s="473"/>
      <c r="IH164" s="473"/>
      <c r="II164" s="473"/>
      <c r="IJ164" s="473"/>
      <c r="IK164" s="473"/>
      <c r="IL164" s="473"/>
      <c r="IM164" s="473"/>
      <c r="IN164" s="473"/>
      <c r="IO164" s="473"/>
      <c r="IP164" s="473"/>
      <c r="IQ164" s="473"/>
      <c r="IR164" s="473"/>
      <c r="IS164" s="473"/>
      <c r="IT164" s="473"/>
      <c r="IU164" s="473"/>
      <c r="IV164" s="473"/>
      <c r="IW164" s="473"/>
    </row>
    <row r="165" customFormat="false" ht="12.6" hidden="false" customHeight="true" outlineLevel="0" collapsed="false">
      <c r="A165" s="416"/>
      <c r="B165" s="473"/>
      <c r="C165" s="404"/>
      <c r="D165" s="404"/>
      <c r="E165" s="404"/>
      <c r="F165" s="404"/>
      <c r="G165" s="404"/>
      <c r="H165" s="404"/>
      <c r="I165" s="404"/>
      <c r="J165" s="404"/>
      <c r="K165" s="404"/>
      <c r="L165" s="404"/>
      <c r="M165" s="404"/>
      <c r="N165" s="404"/>
      <c r="O165" s="404"/>
      <c r="P165" s="404"/>
      <c r="Q165" s="404"/>
      <c r="R165" s="404"/>
      <c r="S165" s="404"/>
      <c r="T165" s="404"/>
      <c r="U165" s="404"/>
      <c r="V165" s="404"/>
      <c r="W165" s="404"/>
      <c r="X165" s="404"/>
      <c r="Y165" s="404"/>
      <c r="Z165" s="404"/>
      <c r="AA165" s="404"/>
      <c r="AB165" s="404"/>
      <c r="AC165" s="404"/>
      <c r="AD165" s="404"/>
      <c r="AE165" s="404"/>
      <c r="AF165" s="404"/>
      <c r="AG165" s="404"/>
      <c r="AH165" s="404"/>
      <c r="AI165" s="404"/>
      <c r="AJ165" s="404"/>
      <c r="AK165" s="404"/>
      <c r="AL165" s="404"/>
      <c r="AM165" s="404"/>
      <c r="AN165" s="404"/>
      <c r="AO165" s="404"/>
      <c r="AP165" s="404"/>
      <c r="AQ165" s="404"/>
      <c r="AR165" s="404"/>
      <c r="AS165" s="404"/>
      <c r="AT165" s="404"/>
      <c r="AU165" s="404"/>
      <c r="AV165" s="404"/>
      <c r="AW165" s="404"/>
      <c r="AX165" s="404"/>
      <c r="AY165" s="404"/>
      <c r="AZ165" s="404"/>
      <c r="BA165" s="404"/>
      <c r="BB165" s="404"/>
      <c r="BC165" s="404"/>
      <c r="BD165" s="404"/>
      <c r="BE165" s="404"/>
      <c r="BF165" s="404"/>
      <c r="BG165" s="404"/>
      <c r="BH165" s="404"/>
      <c r="BI165" s="404"/>
      <c r="BJ165" s="404"/>
      <c r="BK165" s="404"/>
      <c r="BL165" s="404"/>
      <c r="BM165" s="404"/>
      <c r="BN165" s="404"/>
      <c r="BO165" s="404"/>
      <c r="BP165" s="404"/>
      <c r="BQ165" s="404"/>
      <c r="BR165" s="404"/>
      <c r="BS165" s="404"/>
      <c r="BT165" s="404"/>
      <c r="BU165" s="404"/>
      <c r="BV165" s="404"/>
      <c r="BW165" s="404"/>
      <c r="BX165" s="404"/>
      <c r="BY165" s="404"/>
      <c r="BZ165" s="404"/>
      <c r="CA165" s="404"/>
      <c r="CB165" s="404"/>
      <c r="CC165" s="404"/>
      <c r="CD165" s="404"/>
      <c r="CE165" s="404"/>
      <c r="CF165" s="404"/>
      <c r="CG165" s="404"/>
      <c r="CH165" s="404"/>
      <c r="CI165" s="404"/>
      <c r="CJ165" s="404"/>
      <c r="CK165" s="404"/>
      <c r="CL165" s="404"/>
      <c r="CM165" s="404"/>
      <c r="CN165" s="404"/>
      <c r="CO165" s="404"/>
      <c r="CP165" s="404"/>
      <c r="CQ165" s="404"/>
      <c r="CR165" s="404"/>
      <c r="CS165" s="404"/>
      <c r="CT165" s="404"/>
      <c r="CU165" s="404"/>
      <c r="CV165" s="404"/>
      <c r="CW165" s="404"/>
      <c r="CX165" s="404"/>
      <c r="CY165" s="404"/>
      <c r="CZ165" s="404"/>
      <c r="DA165" s="404"/>
      <c r="DB165" s="404"/>
      <c r="DC165" s="404"/>
      <c r="DD165" s="404"/>
      <c r="DE165" s="404"/>
      <c r="DF165" s="404"/>
      <c r="DG165" s="404"/>
      <c r="DH165" s="404"/>
      <c r="DI165" s="404"/>
      <c r="DJ165" s="404"/>
      <c r="DK165" s="404"/>
      <c r="DL165" s="404"/>
      <c r="DM165" s="404"/>
      <c r="DN165" s="404"/>
      <c r="DO165" s="404"/>
      <c r="DP165" s="404"/>
      <c r="DQ165" s="404"/>
      <c r="DR165" s="404"/>
      <c r="DS165" s="404"/>
      <c r="DT165" s="404"/>
      <c r="DU165" s="404"/>
      <c r="DV165" s="404"/>
      <c r="DW165" s="404"/>
      <c r="DX165" s="404"/>
      <c r="DY165" s="404"/>
      <c r="DZ165" s="404"/>
      <c r="EA165" s="404"/>
      <c r="EB165" s="404"/>
      <c r="EC165" s="404"/>
      <c r="ED165" s="404"/>
      <c r="EE165" s="404"/>
      <c r="EF165" s="404"/>
      <c r="EG165" s="404"/>
      <c r="EH165" s="404"/>
      <c r="EI165" s="404"/>
      <c r="EJ165" s="404"/>
      <c r="EK165" s="404"/>
      <c r="EL165" s="404"/>
      <c r="EM165" s="404"/>
      <c r="EN165" s="404"/>
      <c r="EO165" s="404"/>
      <c r="EP165" s="404"/>
      <c r="EQ165" s="404"/>
      <c r="ER165" s="404"/>
      <c r="ES165" s="404"/>
      <c r="ET165" s="404"/>
      <c r="EU165" s="404"/>
      <c r="EV165" s="404"/>
      <c r="EW165" s="404"/>
      <c r="EX165" s="404"/>
      <c r="EY165" s="404"/>
      <c r="EZ165" s="404"/>
      <c r="FA165" s="404"/>
      <c r="FB165" s="404"/>
      <c r="FC165" s="404"/>
      <c r="FD165" s="404"/>
      <c r="FE165" s="404"/>
      <c r="FF165" s="404"/>
      <c r="FG165" s="404"/>
      <c r="FH165" s="404"/>
      <c r="FI165" s="404"/>
      <c r="FJ165" s="404"/>
      <c r="FK165" s="404"/>
      <c r="FL165" s="404"/>
      <c r="FM165" s="404"/>
      <c r="FN165" s="404"/>
      <c r="FO165" s="404"/>
      <c r="FP165" s="404"/>
      <c r="FQ165" s="404"/>
      <c r="FR165" s="404"/>
      <c r="FS165" s="404"/>
      <c r="FT165" s="404"/>
      <c r="FU165" s="404"/>
      <c r="FV165" s="404"/>
      <c r="FW165" s="404"/>
      <c r="FX165" s="404"/>
      <c r="FY165" s="404"/>
      <c r="FZ165" s="404"/>
      <c r="GA165" s="404"/>
      <c r="GB165" s="404"/>
      <c r="GC165" s="404"/>
      <c r="GD165" s="404"/>
      <c r="GE165" s="404"/>
      <c r="GF165" s="404"/>
      <c r="GG165" s="404"/>
      <c r="GH165" s="404"/>
      <c r="GI165" s="404"/>
      <c r="GJ165" s="404"/>
      <c r="GK165" s="404"/>
      <c r="GL165" s="404"/>
      <c r="GM165" s="404"/>
      <c r="GN165" s="404"/>
      <c r="GO165" s="404"/>
      <c r="GP165" s="404"/>
      <c r="GQ165" s="404"/>
      <c r="GR165" s="404"/>
      <c r="GS165" s="404"/>
      <c r="GT165" s="404"/>
      <c r="GU165" s="404"/>
      <c r="GV165" s="404"/>
      <c r="GW165" s="404"/>
      <c r="GX165" s="404"/>
      <c r="GY165" s="404"/>
      <c r="GZ165" s="404"/>
      <c r="HA165" s="404"/>
      <c r="HB165" s="404"/>
      <c r="HC165" s="404"/>
      <c r="HD165" s="404"/>
      <c r="HE165" s="404"/>
      <c r="HF165" s="404"/>
      <c r="HG165" s="404"/>
      <c r="HH165" s="404"/>
      <c r="HI165" s="404"/>
      <c r="HJ165" s="404"/>
      <c r="HK165" s="404"/>
      <c r="HL165" s="404"/>
      <c r="HM165" s="404"/>
      <c r="HN165" s="404"/>
      <c r="HO165" s="404"/>
      <c r="HP165" s="404"/>
      <c r="HQ165" s="404"/>
      <c r="HR165" s="404"/>
      <c r="HS165" s="404"/>
      <c r="HT165" s="404"/>
      <c r="HU165" s="473"/>
      <c r="HV165" s="473"/>
      <c r="HW165" s="473"/>
      <c r="HX165" s="473"/>
      <c r="HY165" s="473"/>
      <c r="HZ165" s="473"/>
      <c r="IA165" s="473"/>
      <c r="IB165" s="473"/>
      <c r="IC165" s="473"/>
      <c r="ID165" s="473"/>
      <c r="IE165" s="473"/>
      <c r="IF165" s="473"/>
      <c r="IG165" s="473"/>
      <c r="IH165" s="473"/>
      <c r="II165" s="473"/>
      <c r="IJ165" s="473"/>
      <c r="IK165" s="473"/>
      <c r="IL165" s="473"/>
      <c r="IM165" s="473"/>
      <c r="IN165" s="473"/>
      <c r="IO165" s="473"/>
      <c r="IP165" s="473"/>
      <c r="IQ165" s="473"/>
      <c r="IR165" s="473"/>
      <c r="IS165" s="473"/>
      <c r="IT165" s="473"/>
      <c r="IU165" s="473"/>
      <c r="IV165" s="473"/>
      <c r="IW165" s="473"/>
    </row>
    <row r="168" customFormat="false" ht="12.6" hidden="false" customHeight="true" outlineLevel="0" collapsed="false"/>
    <row r="179"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4" man="true" max="65535" min="0"/>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95"/>
  <sheetViews>
    <sheetView showFormulas="false" showGridLines="true" showRowColHeaders="true" showZeros="true" rightToLeft="false" tabSelected="false" showOutlineSymbols="true" defaultGridColor="true" view="normal" topLeftCell="A43" colorId="64" zoomScale="75" zoomScaleNormal="75" zoomScalePageLayoutView="85" workbookViewId="0">
      <selection pane="topLeft" activeCell="D77" activeCellId="0" sqref="D77:X77"/>
    </sheetView>
  </sheetViews>
  <sheetFormatPr defaultColWidth="9.28125" defaultRowHeight="12.6" customHeight="true" zeroHeight="false" outlineLevelRow="0" outlineLevelCol="0"/>
  <cols>
    <col collapsed="false" customWidth="true" hidden="false" outlineLevel="0" max="1" min="1" style="626" width="9.14"/>
    <col collapsed="false" customWidth="true" hidden="false" outlineLevel="0" max="2" min="2" style="473" width="28.14"/>
    <col collapsed="false" customWidth="true" hidden="false" outlineLevel="0" max="3" min="3" style="473" width="8.28"/>
    <col collapsed="false" customWidth="true" hidden="false" outlineLevel="0" max="4" min="4" style="473" width="10.41"/>
    <col collapsed="false" customWidth="true" hidden="false" outlineLevel="0" max="5" min="5" style="473" width="9.99"/>
    <col collapsed="false" customWidth="true" hidden="false" outlineLevel="0" max="9" min="6" style="473" width="10.28"/>
    <col collapsed="false" customWidth="true" hidden="false" outlineLevel="0" max="11" min="10" style="473" width="10.41"/>
    <col collapsed="false" customWidth="true" hidden="false" outlineLevel="0" max="13" min="12" style="473" width="9.99"/>
    <col collapsed="false" customWidth="true" hidden="false" outlineLevel="0" max="14" min="14" style="473" width="10.28"/>
    <col collapsed="false" customWidth="true" hidden="false" outlineLevel="0" max="16" min="15" style="473" width="9.99"/>
    <col collapsed="false" customWidth="true" hidden="false" outlineLevel="0" max="17" min="17" style="473" width="10.41"/>
    <col collapsed="false" customWidth="true" hidden="false" outlineLevel="0" max="18" min="18" style="473" width="10.28"/>
    <col collapsed="false" customWidth="true" hidden="false" outlineLevel="0" max="19" min="19" style="473" width="9.85"/>
    <col collapsed="false" customWidth="true" hidden="false" outlineLevel="0" max="20" min="20" style="473" width="10.41"/>
    <col collapsed="false" customWidth="true" hidden="false" outlineLevel="0" max="23" min="21" style="473" width="10.28"/>
    <col collapsed="false" customWidth="true" hidden="false" outlineLevel="0" max="24" min="24" style="473" width="9.85"/>
    <col collapsed="false" customWidth="true" hidden="false" outlineLevel="0" max="25" min="25" style="473" width="8.7"/>
    <col collapsed="false" customWidth="true" hidden="false" outlineLevel="0" max="28" min="26" style="473" width="7.14"/>
    <col collapsed="false" customWidth="false" hidden="false" outlineLevel="0" max="30" min="29" style="473" width="9.28"/>
    <col collapsed="false" customWidth="true" hidden="false" outlineLevel="0" max="31" min="31" style="357" width="9.7"/>
    <col collapsed="false" customWidth="true" hidden="false" outlineLevel="0" max="32" min="32" style="473" width="10.71"/>
    <col collapsed="false" customWidth="false" hidden="false" outlineLevel="0" max="35" min="33" style="473" width="9.28"/>
    <col collapsed="false" customWidth="false" hidden="false" outlineLevel="0" max="257" min="36" style="626" width="9.28"/>
  </cols>
  <sheetData>
    <row r="1" customFormat="false" ht="20.25" hidden="false" customHeight="true" outlineLevel="0" collapsed="false">
      <c r="B1" s="358" t="str">
        <f aca="false">'Project Assumptions'!$A$2</f>
        <v>WILTON CENTER, Will County, IL</v>
      </c>
      <c r="C1" s="359"/>
      <c r="D1" s="627"/>
      <c r="E1" s="628"/>
      <c r="AD1" s="475"/>
    </row>
    <row r="2" customFormat="false" ht="15.6" hidden="false" customHeight="true" outlineLevel="0" collapsed="false">
      <c r="B2" s="362" t="s">
        <v>489</v>
      </c>
      <c r="C2" s="363"/>
      <c r="D2" s="629"/>
      <c r="E2" s="630"/>
      <c r="F2" s="611"/>
      <c r="G2" s="611"/>
      <c r="H2" s="611"/>
      <c r="I2" s="611"/>
      <c r="J2" s="611"/>
      <c r="K2" s="611"/>
      <c r="L2" s="611"/>
      <c r="M2" s="611"/>
      <c r="N2" s="611"/>
      <c r="O2" s="611"/>
      <c r="P2" s="611"/>
      <c r="Q2" s="611"/>
      <c r="R2" s="611"/>
      <c r="S2" s="611"/>
      <c r="T2" s="611"/>
      <c r="U2" s="611"/>
      <c r="V2" s="611"/>
      <c r="W2" s="611"/>
      <c r="X2" s="611"/>
      <c r="Y2" s="611"/>
      <c r="Z2" s="611"/>
      <c r="AA2" s="611"/>
      <c r="AB2" s="611"/>
      <c r="AD2" s="475"/>
    </row>
    <row r="3" customFormat="false" ht="15.6" hidden="false" customHeight="true" outlineLevel="0" collapsed="false">
      <c r="B3" s="631"/>
      <c r="C3" s="525"/>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D3" s="475"/>
    </row>
    <row r="4" customFormat="false" ht="12.6" hidden="false" customHeight="true" outlineLevel="0" collapsed="false">
      <c r="B4" s="632"/>
      <c r="C4" s="455"/>
      <c r="D4" s="477" t="n">
        <v>1</v>
      </c>
      <c r="E4" s="477" t="n">
        <f aca="false">D4+1</f>
        <v>2</v>
      </c>
      <c r="F4" s="477" t="n">
        <f aca="false">E4+1</f>
        <v>3</v>
      </c>
      <c r="G4" s="477" t="n">
        <f aca="false">F4+1</f>
        <v>4</v>
      </c>
      <c r="H4" s="477" t="n">
        <f aca="false">G4+1</f>
        <v>5</v>
      </c>
      <c r="I4" s="477" t="n">
        <f aca="false">H4+1</f>
        <v>6</v>
      </c>
      <c r="J4" s="477" t="n">
        <f aca="false">I4+1</f>
        <v>7</v>
      </c>
      <c r="K4" s="477" t="n">
        <f aca="false">J4+1</f>
        <v>8</v>
      </c>
      <c r="L4" s="477" t="n">
        <f aca="false">K4+1</f>
        <v>9</v>
      </c>
      <c r="M4" s="477" t="n">
        <f aca="false">L4+1</f>
        <v>10</v>
      </c>
      <c r="N4" s="477" t="n">
        <f aca="false">M4+1</f>
        <v>11</v>
      </c>
      <c r="O4" s="477" t="n">
        <f aca="false">N4+1</f>
        <v>12</v>
      </c>
      <c r="P4" s="477" t="n">
        <f aca="false">O4+1</f>
        <v>13</v>
      </c>
      <c r="Q4" s="477" t="n">
        <f aca="false">P4+1</f>
        <v>14</v>
      </c>
      <c r="R4" s="477" t="n">
        <f aca="false">Q4+1</f>
        <v>15</v>
      </c>
      <c r="S4" s="477" t="n">
        <f aca="false">R4+1</f>
        <v>16</v>
      </c>
      <c r="T4" s="477" t="n">
        <f aca="false">S4+1</f>
        <v>17</v>
      </c>
      <c r="U4" s="477" t="n">
        <f aca="false">T4+1</f>
        <v>18</v>
      </c>
      <c r="V4" s="477" t="n">
        <f aca="false">U4+1</f>
        <v>19</v>
      </c>
      <c r="W4" s="477" t="n">
        <f aca="false">V4+1</f>
        <v>20</v>
      </c>
      <c r="X4" s="477" t="n">
        <f aca="false">W4+1</f>
        <v>21</v>
      </c>
      <c r="Y4" s="477" t="n">
        <f aca="false">X4+1</f>
        <v>22</v>
      </c>
      <c r="Z4" s="477" t="n">
        <f aca="false">Y4+1</f>
        <v>23</v>
      </c>
      <c r="AA4" s="477" t="n">
        <f aca="false">Z4+1</f>
        <v>24</v>
      </c>
      <c r="AB4" s="633" t="n">
        <f aca="false">AA4+1</f>
        <v>25</v>
      </c>
      <c r="AD4" s="475"/>
    </row>
    <row r="5" customFormat="false" ht="12.6" hidden="false" customHeight="true" outlineLevel="0" collapsed="false">
      <c r="B5" s="634"/>
      <c r="C5" s="404"/>
      <c r="D5" s="635" t="n">
        <f aca="false">YEAR(StartDate)</f>
        <v>2000</v>
      </c>
      <c r="E5" s="635" t="n">
        <f aca="false">D5+1</f>
        <v>2001</v>
      </c>
      <c r="F5" s="635" t="n">
        <f aca="false">E5+1</f>
        <v>2002</v>
      </c>
      <c r="G5" s="635" t="n">
        <f aca="false">F5+1</f>
        <v>2003</v>
      </c>
      <c r="H5" s="635" t="n">
        <f aca="false">G5+1</f>
        <v>2004</v>
      </c>
      <c r="I5" s="635" t="n">
        <f aca="false">H5+1</f>
        <v>2005</v>
      </c>
      <c r="J5" s="635" t="n">
        <f aca="false">I5+1</f>
        <v>2006</v>
      </c>
      <c r="K5" s="635" t="n">
        <f aca="false">J5+1</f>
        <v>2007</v>
      </c>
      <c r="L5" s="635" t="n">
        <f aca="false">K5+1</f>
        <v>2008</v>
      </c>
      <c r="M5" s="635" t="n">
        <f aca="false">L5+1</f>
        <v>2009</v>
      </c>
      <c r="N5" s="635" t="n">
        <f aca="false">M5+1</f>
        <v>2010</v>
      </c>
      <c r="O5" s="635" t="n">
        <f aca="false">N5+1</f>
        <v>2011</v>
      </c>
      <c r="P5" s="635" t="n">
        <f aca="false">O5+1</f>
        <v>2012</v>
      </c>
      <c r="Q5" s="635" t="n">
        <f aca="false">P5+1</f>
        <v>2013</v>
      </c>
      <c r="R5" s="635" t="n">
        <f aca="false">Q5+1</f>
        <v>2014</v>
      </c>
      <c r="S5" s="635" t="n">
        <f aca="false">R5+1</f>
        <v>2015</v>
      </c>
      <c r="T5" s="635" t="n">
        <f aca="false">S5+1</f>
        <v>2016</v>
      </c>
      <c r="U5" s="635" t="n">
        <f aca="false">T5+1</f>
        <v>2017</v>
      </c>
      <c r="V5" s="635" t="n">
        <f aca="false">U5+1</f>
        <v>2018</v>
      </c>
      <c r="W5" s="635" t="n">
        <f aca="false">V5+1</f>
        <v>2019</v>
      </c>
      <c r="X5" s="635" t="n">
        <f aca="false">W5+1</f>
        <v>2020</v>
      </c>
      <c r="Y5" s="635" t="n">
        <f aca="false">X5+1</f>
        <v>2021</v>
      </c>
      <c r="Z5" s="635" t="n">
        <f aca="false">Y5+1</f>
        <v>2022</v>
      </c>
      <c r="AA5" s="635" t="n">
        <f aca="false">Z5+1</f>
        <v>2023</v>
      </c>
      <c r="AB5" s="636" t="n">
        <f aca="false">AA5+1</f>
        <v>2024</v>
      </c>
      <c r="AC5" s="384"/>
      <c r="AD5" s="384"/>
      <c r="AF5" s="384"/>
      <c r="AG5" s="384"/>
      <c r="AH5" s="384"/>
      <c r="AI5" s="384"/>
      <c r="AJ5" s="637"/>
      <c r="AK5" s="637"/>
      <c r="AL5" s="637"/>
      <c r="AM5" s="637"/>
      <c r="AN5" s="637"/>
      <c r="AO5" s="637"/>
      <c r="AP5" s="637"/>
      <c r="AQ5" s="637"/>
      <c r="AR5" s="637"/>
      <c r="AS5" s="637"/>
      <c r="AT5" s="637"/>
      <c r="AU5" s="637"/>
      <c r="AV5" s="637"/>
      <c r="AW5" s="637"/>
      <c r="AX5" s="637"/>
      <c r="AY5" s="637"/>
      <c r="AZ5" s="637"/>
      <c r="BA5" s="637"/>
    </row>
    <row r="6" customFormat="false" ht="12.6" hidden="false" customHeight="true" outlineLevel="0" collapsed="false">
      <c r="B6" s="638" t="str">
        <f aca="false">'PPA Assumptions &amp;Summary'!A5</f>
        <v>Months of Operation</v>
      </c>
      <c r="D6" s="373" t="n">
        <f aca="false">'PPA Assumptions &amp;Summary'!C5</f>
        <v>7</v>
      </c>
      <c r="E6" s="373" t="n">
        <f aca="false">'PPA Assumptions &amp;Summary'!D5</f>
        <v>12</v>
      </c>
      <c r="F6" s="373" t="n">
        <f aca="false">'PPA Assumptions &amp;Summary'!E5</f>
        <v>12</v>
      </c>
      <c r="G6" s="373" t="n">
        <f aca="false">'PPA Assumptions &amp;Summary'!F5</f>
        <v>12</v>
      </c>
      <c r="H6" s="373" t="n">
        <f aca="false">'PPA Assumptions &amp;Summary'!G5</f>
        <v>12</v>
      </c>
      <c r="I6" s="373" t="n">
        <f aca="false">'PPA Assumptions &amp;Summary'!H5</f>
        <v>12</v>
      </c>
      <c r="J6" s="373" t="n">
        <f aca="false">'PPA Assumptions &amp;Summary'!I5</f>
        <v>12</v>
      </c>
      <c r="K6" s="373" t="n">
        <f aca="false">'PPA Assumptions &amp;Summary'!J5</f>
        <v>12</v>
      </c>
      <c r="L6" s="373" t="n">
        <f aca="false">'PPA Assumptions &amp;Summary'!K5</f>
        <v>12</v>
      </c>
      <c r="M6" s="373" t="n">
        <f aca="false">'PPA Assumptions &amp;Summary'!L5</f>
        <v>12</v>
      </c>
      <c r="N6" s="373" t="n">
        <f aca="false">'PPA Assumptions &amp;Summary'!M5</f>
        <v>12</v>
      </c>
      <c r="O6" s="373" t="n">
        <f aca="false">'PPA Assumptions &amp;Summary'!N5</f>
        <v>12</v>
      </c>
      <c r="P6" s="373" t="n">
        <f aca="false">'PPA Assumptions &amp;Summary'!O5</f>
        <v>12</v>
      </c>
      <c r="Q6" s="373" t="n">
        <f aca="false">'PPA Assumptions &amp;Summary'!P5</f>
        <v>12</v>
      </c>
      <c r="R6" s="373" t="n">
        <f aca="false">'PPA Assumptions &amp;Summary'!Q5</f>
        <v>12</v>
      </c>
      <c r="S6" s="373" t="n">
        <f aca="false">'PPA Assumptions &amp;Summary'!R5</f>
        <v>12</v>
      </c>
      <c r="T6" s="373" t="n">
        <f aca="false">'PPA Assumptions &amp;Summary'!S5</f>
        <v>12</v>
      </c>
      <c r="U6" s="373" t="n">
        <f aca="false">'PPA Assumptions &amp;Summary'!T5</f>
        <v>12</v>
      </c>
      <c r="V6" s="373" t="n">
        <f aca="false">'PPA Assumptions &amp;Summary'!U5</f>
        <v>12</v>
      </c>
      <c r="W6" s="373" t="n">
        <f aca="false">'PPA Assumptions &amp;Summary'!V5</f>
        <v>12</v>
      </c>
      <c r="X6" s="373" t="n">
        <f aca="false">'PPA Assumptions &amp;Summary'!W5</f>
        <v>5</v>
      </c>
      <c r="Y6" s="373" t="n">
        <f aca="false">'PPA Assumptions &amp;Summary'!X5</f>
        <v>0</v>
      </c>
      <c r="Z6" s="373" t="n">
        <f aca="false">'PPA Assumptions &amp;Summary'!Y5</f>
        <v>0</v>
      </c>
      <c r="AA6" s="373" t="n">
        <f aca="false">'PPA Assumptions &amp;Summary'!Z5</f>
        <v>0</v>
      </c>
      <c r="AB6" s="375" t="n">
        <f aca="false">'PPA Assumptions &amp;Summary'!AA5</f>
        <v>0</v>
      </c>
      <c r="AD6" s="475"/>
    </row>
    <row r="7" customFormat="false" ht="12.6" hidden="false" customHeight="true" outlineLevel="0" collapsed="false">
      <c r="B7" s="638" t="str">
        <f aca="false">'PPA Assumptions &amp;Summary'!A6</f>
        <v>Months of Year Under PPA</v>
      </c>
      <c r="D7" s="373" t="n">
        <f aca="false">'PPA Assumptions &amp;Summary'!C6</f>
        <v>7</v>
      </c>
      <c r="E7" s="373" t="n">
        <f aca="false">'PPA Assumptions &amp;Summary'!D6</f>
        <v>12</v>
      </c>
      <c r="F7" s="373" t="n">
        <f aca="false">'PPA Assumptions &amp;Summary'!E6</f>
        <v>12</v>
      </c>
      <c r="G7" s="373" t="n">
        <f aca="false">'PPA Assumptions &amp;Summary'!F6</f>
        <v>5</v>
      </c>
      <c r="H7" s="373" t="n">
        <f aca="false">'PPA Assumptions &amp;Summary'!G6</f>
        <v>0</v>
      </c>
      <c r="I7" s="373" t="n">
        <f aca="false">'PPA Assumptions &amp;Summary'!H6</f>
        <v>0</v>
      </c>
      <c r="J7" s="373" t="n">
        <f aca="false">'PPA Assumptions &amp;Summary'!I6</f>
        <v>0</v>
      </c>
      <c r="K7" s="373" t="n">
        <f aca="false">'PPA Assumptions &amp;Summary'!J6</f>
        <v>0</v>
      </c>
      <c r="L7" s="373" t="n">
        <f aca="false">'PPA Assumptions &amp;Summary'!K6</f>
        <v>0</v>
      </c>
      <c r="M7" s="373" t="n">
        <f aca="false">'PPA Assumptions &amp;Summary'!L6</f>
        <v>0</v>
      </c>
      <c r="N7" s="373" t="n">
        <f aca="false">'PPA Assumptions &amp;Summary'!M6</f>
        <v>0</v>
      </c>
      <c r="O7" s="373" t="n">
        <f aca="false">'PPA Assumptions &amp;Summary'!N6</f>
        <v>0</v>
      </c>
      <c r="P7" s="373" t="n">
        <f aca="false">'PPA Assumptions &amp;Summary'!O6</f>
        <v>0</v>
      </c>
      <c r="Q7" s="373" t="n">
        <f aca="false">'PPA Assumptions &amp;Summary'!P6</f>
        <v>0</v>
      </c>
      <c r="R7" s="373" t="n">
        <f aca="false">'PPA Assumptions &amp;Summary'!Q6</f>
        <v>0</v>
      </c>
      <c r="S7" s="373" t="n">
        <f aca="false">'PPA Assumptions &amp;Summary'!R6</f>
        <v>0</v>
      </c>
      <c r="T7" s="373" t="n">
        <f aca="false">'PPA Assumptions &amp;Summary'!S6</f>
        <v>0</v>
      </c>
      <c r="U7" s="373" t="n">
        <f aca="false">'PPA Assumptions &amp;Summary'!T6</f>
        <v>0</v>
      </c>
      <c r="V7" s="373" t="n">
        <f aca="false">'PPA Assumptions &amp;Summary'!U6</f>
        <v>0</v>
      </c>
      <c r="W7" s="373" t="n">
        <f aca="false">'PPA Assumptions &amp;Summary'!V6</f>
        <v>0</v>
      </c>
      <c r="X7" s="373" t="n">
        <f aca="false">'PPA Assumptions &amp;Summary'!W6</f>
        <v>0</v>
      </c>
      <c r="Y7" s="373" t="n">
        <f aca="false">'PPA Assumptions &amp;Summary'!X6</f>
        <v>0</v>
      </c>
      <c r="Z7" s="373" t="n">
        <f aca="false">'PPA Assumptions &amp;Summary'!Y6</f>
        <v>0</v>
      </c>
      <c r="AA7" s="373" t="n">
        <f aca="false">'PPA Assumptions &amp;Summary'!Z6</f>
        <v>0</v>
      </c>
      <c r="AB7" s="375" t="n">
        <f aca="false">'PPA Assumptions &amp;Summary'!AA6</f>
        <v>0</v>
      </c>
      <c r="AD7" s="475"/>
    </row>
    <row r="8" customFormat="false" ht="12.6" hidden="false" customHeight="true" outlineLevel="0" collapsed="false">
      <c r="A8" s="639"/>
      <c r="B8" s="640" t="str">
        <f aca="false">'PPA Assumptions &amp;Summary'!A7</f>
        <v>Months of Year Merchant</v>
      </c>
      <c r="C8" s="413"/>
      <c r="D8" s="641" t="n">
        <f aca="false">'PPA Assumptions &amp;Summary'!C7</f>
        <v>0</v>
      </c>
      <c r="E8" s="641" t="n">
        <f aca="false">'PPA Assumptions &amp;Summary'!D7</f>
        <v>0</v>
      </c>
      <c r="F8" s="641" t="n">
        <f aca="false">'PPA Assumptions &amp;Summary'!E7</f>
        <v>0</v>
      </c>
      <c r="G8" s="641" t="n">
        <f aca="false">'PPA Assumptions &amp;Summary'!F7</f>
        <v>7</v>
      </c>
      <c r="H8" s="641" t="n">
        <f aca="false">'PPA Assumptions &amp;Summary'!G7</f>
        <v>12</v>
      </c>
      <c r="I8" s="641" t="n">
        <f aca="false">'PPA Assumptions &amp;Summary'!H7</f>
        <v>12</v>
      </c>
      <c r="J8" s="641" t="n">
        <f aca="false">'PPA Assumptions &amp;Summary'!I7</f>
        <v>12</v>
      </c>
      <c r="K8" s="641" t="n">
        <f aca="false">'PPA Assumptions &amp;Summary'!J7</f>
        <v>12</v>
      </c>
      <c r="L8" s="641" t="n">
        <f aca="false">'PPA Assumptions &amp;Summary'!K7</f>
        <v>12</v>
      </c>
      <c r="M8" s="641" t="n">
        <f aca="false">'PPA Assumptions &amp;Summary'!L7</f>
        <v>12</v>
      </c>
      <c r="N8" s="641" t="n">
        <f aca="false">'PPA Assumptions &amp;Summary'!M7</f>
        <v>12</v>
      </c>
      <c r="O8" s="641" t="n">
        <f aca="false">'PPA Assumptions &amp;Summary'!N7</f>
        <v>12</v>
      </c>
      <c r="P8" s="641" t="n">
        <f aca="false">'PPA Assumptions &amp;Summary'!O7</f>
        <v>12</v>
      </c>
      <c r="Q8" s="641" t="n">
        <f aca="false">'PPA Assumptions &amp;Summary'!P7</f>
        <v>12</v>
      </c>
      <c r="R8" s="641" t="n">
        <f aca="false">'PPA Assumptions &amp;Summary'!Q7</f>
        <v>12</v>
      </c>
      <c r="S8" s="641" t="n">
        <f aca="false">'PPA Assumptions &amp;Summary'!R7</f>
        <v>12</v>
      </c>
      <c r="T8" s="641" t="n">
        <f aca="false">'PPA Assumptions &amp;Summary'!S7</f>
        <v>12</v>
      </c>
      <c r="U8" s="641" t="n">
        <f aca="false">'PPA Assumptions &amp;Summary'!T7</f>
        <v>12</v>
      </c>
      <c r="V8" s="641" t="n">
        <f aca="false">'PPA Assumptions &amp;Summary'!U7</f>
        <v>12</v>
      </c>
      <c r="W8" s="641" t="n">
        <f aca="false">'PPA Assumptions &amp;Summary'!V7</f>
        <v>12</v>
      </c>
      <c r="X8" s="641" t="n">
        <f aca="false">'PPA Assumptions &amp;Summary'!W7</f>
        <v>5</v>
      </c>
      <c r="Y8" s="641" t="n">
        <f aca="false">'PPA Assumptions &amp;Summary'!X7</f>
        <v>0</v>
      </c>
      <c r="Z8" s="641" t="n">
        <f aca="false">'PPA Assumptions &amp;Summary'!Y7</f>
        <v>0</v>
      </c>
      <c r="AA8" s="641" t="n">
        <f aca="false">'PPA Assumptions &amp;Summary'!Z7</f>
        <v>0</v>
      </c>
      <c r="AB8" s="642" t="n">
        <f aca="false">'PPA Assumptions &amp;Summary'!AA7</f>
        <v>0</v>
      </c>
      <c r="AC8" s="404"/>
      <c r="AD8" s="475"/>
      <c r="AF8" s="404"/>
      <c r="AG8" s="404"/>
      <c r="AH8" s="404"/>
      <c r="AI8" s="404"/>
      <c r="AJ8" s="639"/>
      <c r="AK8" s="639"/>
      <c r="AL8" s="639"/>
      <c r="AM8" s="639"/>
      <c r="AN8" s="639"/>
      <c r="AO8" s="639"/>
      <c r="AP8" s="639"/>
      <c r="AQ8" s="639"/>
      <c r="AR8" s="639"/>
      <c r="AS8" s="639"/>
      <c r="AT8" s="639"/>
      <c r="AU8" s="639"/>
      <c r="AV8" s="639"/>
      <c r="AW8" s="639"/>
      <c r="AX8" s="639"/>
      <c r="AY8" s="639"/>
      <c r="AZ8" s="639"/>
      <c r="BA8" s="639"/>
      <c r="BB8" s="639"/>
      <c r="BC8" s="639"/>
      <c r="BD8" s="639"/>
      <c r="BE8" s="639"/>
      <c r="BF8" s="639"/>
      <c r="BG8" s="639"/>
      <c r="BH8" s="639"/>
      <c r="BI8" s="639"/>
      <c r="BJ8" s="639"/>
      <c r="BK8" s="639"/>
      <c r="BL8" s="639"/>
      <c r="BM8" s="639"/>
      <c r="BN8" s="639"/>
      <c r="BO8" s="639"/>
      <c r="BP8" s="639"/>
      <c r="BQ8" s="639"/>
      <c r="BR8" s="639"/>
      <c r="BS8" s="639"/>
      <c r="BT8" s="639"/>
      <c r="BU8" s="639"/>
      <c r="BV8" s="639"/>
      <c r="BW8" s="639"/>
      <c r="BX8" s="639"/>
      <c r="BY8" s="639"/>
      <c r="BZ8" s="639"/>
      <c r="CA8" s="639"/>
      <c r="CB8" s="639"/>
      <c r="CC8" s="639"/>
      <c r="CD8" s="639"/>
      <c r="CE8" s="639"/>
      <c r="CF8" s="639"/>
      <c r="CG8" s="639"/>
      <c r="CH8" s="639"/>
      <c r="CI8" s="639"/>
      <c r="CJ8" s="639"/>
      <c r="CK8" s="639"/>
      <c r="CL8" s="639"/>
      <c r="CM8" s="639"/>
      <c r="CN8" s="639"/>
      <c r="CO8" s="639"/>
      <c r="CP8" s="639"/>
      <c r="CQ8" s="639"/>
      <c r="CR8" s="639"/>
      <c r="CS8" s="639"/>
      <c r="CT8" s="639"/>
      <c r="CU8" s="639"/>
      <c r="CV8" s="639"/>
      <c r="CW8" s="639"/>
      <c r="CX8" s="639"/>
      <c r="CY8" s="639"/>
      <c r="CZ8" s="639"/>
      <c r="DA8" s="639"/>
      <c r="DB8" s="639"/>
      <c r="DC8" s="639"/>
      <c r="DD8" s="639"/>
      <c r="DE8" s="639"/>
      <c r="DF8" s="639"/>
      <c r="DG8" s="639"/>
      <c r="DH8" s="639"/>
      <c r="DI8" s="639"/>
      <c r="DJ8" s="639"/>
      <c r="DK8" s="639"/>
      <c r="DL8" s="639"/>
      <c r="DM8" s="639"/>
      <c r="DN8" s="639"/>
      <c r="DO8" s="639"/>
      <c r="DP8" s="639"/>
      <c r="DQ8" s="639"/>
      <c r="DR8" s="639"/>
      <c r="DS8" s="639"/>
      <c r="DT8" s="639"/>
      <c r="DU8" s="639"/>
      <c r="DV8" s="639"/>
      <c r="DW8" s="639"/>
      <c r="DX8" s="639"/>
      <c r="DY8" s="639"/>
      <c r="DZ8" s="639"/>
      <c r="EA8" s="639"/>
      <c r="EB8" s="639"/>
      <c r="EC8" s="639"/>
      <c r="ED8" s="639"/>
      <c r="EE8" s="639"/>
      <c r="EF8" s="639"/>
      <c r="EG8" s="639"/>
      <c r="EH8" s="639"/>
      <c r="EI8" s="639"/>
      <c r="EJ8" s="639"/>
      <c r="EK8" s="639"/>
      <c r="EL8" s="639"/>
      <c r="EM8" s="639"/>
      <c r="EN8" s="639"/>
      <c r="EO8" s="639"/>
      <c r="EP8" s="639"/>
      <c r="EQ8" s="639"/>
      <c r="ER8" s="639"/>
      <c r="ES8" s="639"/>
      <c r="ET8" s="639"/>
      <c r="EU8" s="639"/>
      <c r="EV8" s="639"/>
      <c r="EW8" s="639"/>
      <c r="EX8" s="639"/>
      <c r="EY8" s="639"/>
      <c r="EZ8" s="639"/>
      <c r="FA8" s="639"/>
      <c r="FB8" s="639"/>
      <c r="FC8" s="639"/>
      <c r="FD8" s="639"/>
      <c r="FE8" s="639"/>
      <c r="FF8" s="639"/>
      <c r="FG8" s="639"/>
      <c r="FH8" s="639"/>
      <c r="FI8" s="639"/>
      <c r="FJ8" s="639"/>
      <c r="FK8" s="639"/>
      <c r="FL8" s="639"/>
      <c r="FM8" s="639"/>
      <c r="FN8" s="639"/>
      <c r="FO8" s="639"/>
      <c r="FP8" s="639"/>
      <c r="FQ8" s="639"/>
      <c r="FR8" s="639"/>
      <c r="FS8" s="639"/>
      <c r="FT8" s="639"/>
      <c r="FU8" s="639"/>
      <c r="FV8" s="639"/>
      <c r="FW8" s="639"/>
      <c r="FX8" s="639"/>
      <c r="FY8" s="639"/>
      <c r="FZ8" s="639"/>
      <c r="GA8" s="639"/>
      <c r="GB8" s="639"/>
      <c r="GC8" s="639"/>
      <c r="GD8" s="639"/>
      <c r="GE8" s="639"/>
      <c r="GF8" s="639"/>
      <c r="GG8" s="639"/>
      <c r="GH8" s="639"/>
      <c r="GI8" s="639"/>
      <c r="GJ8" s="639"/>
      <c r="GK8" s="639"/>
      <c r="GL8" s="639"/>
      <c r="GM8" s="639"/>
      <c r="GN8" s="639"/>
      <c r="GO8" s="639"/>
      <c r="GP8" s="639"/>
      <c r="GQ8" s="639"/>
      <c r="GR8" s="639"/>
      <c r="GS8" s="639"/>
      <c r="GT8" s="639"/>
      <c r="GU8" s="639"/>
      <c r="GV8" s="639"/>
      <c r="GW8" s="639"/>
      <c r="GX8" s="639"/>
      <c r="GY8" s="639"/>
      <c r="GZ8" s="639"/>
      <c r="HA8" s="639"/>
      <c r="HB8" s="639"/>
      <c r="HC8" s="639"/>
      <c r="HD8" s="639"/>
      <c r="HE8" s="639"/>
      <c r="HF8" s="639"/>
      <c r="HG8" s="639"/>
      <c r="HH8" s="639"/>
      <c r="HI8" s="639"/>
      <c r="HJ8" s="639"/>
      <c r="HK8" s="639"/>
      <c r="HL8" s="639"/>
      <c r="HM8" s="639"/>
      <c r="HN8" s="639"/>
      <c r="HO8" s="639"/>
      <c r="HP8" s="639"/>
      <c r="HQ8" s="639"/>
      <c r="HR8" s="639"/>
      <c r="HS8" s="639"/>
      <c r="HT8" s="639"/>
      <c r="HU8" s="639"/>
      <c r="HV8" s="639"/>
      <c r="HW8" s="639"/>
      <c r="HX8" s="639"/>
      <c r="HY8" s="639"/>
      <c r="HZ8" s="639"/>
      <c r="IA8" s="639"/>
      <c r="IB8" s="639"/>
      <c r="IC8" s="639"/>
      <c r="ID8" s="639"/>
      <c r="IE8" s="639"/>
      <c r="IF8" s="639"/>
      <c r="IG8" s="639"/>
      <c r="IH8" s="639"/>
      <c r="II8" s="639"/>
      <c r="IJ8" s="639"/>
      <c r="IK8" s="639"/>
      <c r="IL8" s="639"/>
      <c r="IM8" s="639"/>
      <c r="IN8" s="639"/>
      <c r="IO8" s="639"/>
      <c r="IP8" s="639"/>
      <c r="IQ8" s="639"/>
      <c r="IR8" s="639"/>
      <c r="IS8" s="639"/>
      <c r="IT8" s="639"/>
      <c r="IU8" s="639"/>
      <c r="IV8" s="639"/>
      <c r="IW8" s="639"/>
    </row>
    <row r="9" customFormat="false" ht="12.6" hidden="false" customHeight="true" outlineLevel="0" collapsed="false">
      <c r="A9" s="639"/>
      <c r="B9" s="600"/>
      <c r="C9" s="404"/>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404"/>
      <c r="AD9" s="475"/>
      <c r="AF9" s="404"/>
      <c r="AG9" s="404"/>
      <c r="AH9" s="404"/>
      <c r="AI9" s="404"/>
      <c r="AJ9" s="639"/>
      <c r="AK9" s="639"/>
      <c r="AL9" s="639"/>
      <c r="AM9" s="639"/>
      <c r="AN9" s="639"/>
      <c r="AO9" s="639"/>
      <c r="AP9" s="639"/>
      <c r="AQ9" s="639"/>
      <c r="AR9" s="639"/>
      <c r="AS9" s="639"/>
      <c r="AT9" s="639"/>
      <c r="AU9" s="639"/>
      <c r="AV9" s="639"/>
      <c r="AW9" s="639"/>
      <c r="AX9" s="639"/>
      <c r="AY9" s="639"/>
      <c r="AZ9" s="639"/>
      <c r="BA9" s="639"/>
      <c r="BB9" s="639"/>
      <c r="BC9" s="639"/>
      <c r="BD9" s="639"/>
      <c r="BE9" s="639"/>
      <c r="BF9" s="639"/>
      <c r="BG9" s="639"/>
      <c r="BH9" s="639"/>
      <c r="BI9" s="639"/>
      <c r="BJ9" s="639"/>
      <c r="BK9" s="639"/>
      <c r="BL9" s="639"/>
      <c r="BM9" s="639"/>
      <c r="BN9" s="639"/>
      <c r="BO9" s="639"/>
      <c r="BP9" s="639"/>
      <c r="BQ9" s="639"/>
      <c r="BR9" s="639"/>
      <c r="BS9" s="639"/>
      <c r="BT9" s="639"/>
      <c r="BU9" s="639"/>
      <c r="BV9" s="639"/>
      <c r="BW9" s="639"/>
      <c r="BX9" s="639"/>
      <c r="BY9" s="639"/>
      <c r="BZ9" s="639"/>
      <c r="CA9" s="639"/>
      <c r="CB9" s="639"/>
      <c r="CC9" s="639"/>
      <c r="CD9" s="639"/>
      <c r="CE9" s="639"/>
      <c r="CF9" s="639"/>
      <c r="CG9" s="639"/>
      <c r="CH9" s="639"/>
      <c r="CI9" s="639"/>
      <c r="CJ9" s="639"/>
      <c r="CK9" s="639"/>
      <c r="CL9" s="639"/>
      <c r="CM9" s="639"/>
      <c r="CN9" s="639"/>
      <c r="CO9" s="639"/>
      <c r="CP9" s="639"/>
      <c r="CQ9" s="639"/>
      <c r="CR9" s="639"/>
      <c r="CS9" s="639"/>
      <c r="CT9" s="639"/>
      <c r="CU9" s="639"/>
      <c r="CV9" s="639"/>
      <c r="CW9" s="639"/>
      <c r="CX9" s="639"/>
      <c r="CY9" s="639"/>
      <c r="CZ9" s="639"/>
      <c r="DA9" s="639"/>
      <c r="DB9" s="639"/>
      <c r="DC9" s="639"/>
      <c r="DD9" s="639"/>
      <c r="DE9" s="639"/>
      <c r="DF9" s="639"/>
      <c r="DG9" s="639"/>
      <c r="DH9" s="639"/>
      <c r="DI9" s="639"/>
      <c r="DJ9" s="639"/>
      <c r="DK9" s="639"/>
      <c r="DL9" s="639"/>
      <c r="DM9" s="639"/>
      <c r="DN9" s="639"/>
      <c r="DO9" s="639"/>
      <c r="DP9" s="639"/>
      <c r="DQ9" s="639"/>
      <c r="DR9" s="639"/>
      <c r="DS9" s="639"/>
      <c r="DT9" s="639"/>
      <c r="DU9" s="639"/>
      <c r="DV9" s="639"/>
      <c r="DW9" s="639"/>
      <c r="DX9" s="639"/>
      <c r="DY9" s="639"/>
      <c r="DZ9" s="639"/>
      <c r="EA9" s="639"/>
      <c r="EB9" s="639"/>
      <c r="EC9" s="639"/>
      <c r="ED9" s="639"/>
      <c r="EE9" s="639"/>
      <c r="EF9" s="639"/>
      <c r="EG9" s="639"/>
      <c r="EH9" s="639"/>
      <c r="EI9" s="639"/>
      <c r="EJ9" s="639"/>
      <c r="EK9" s="639"/>
      <c r="EL9" s="639"/>
      <c r="EM9" s="639"/>
      <c r="EN9" s="639"/>
      <c r="EO9" s="639"/>
      <c r="EP9" s="639"/>
      <c r="EQ9" s="639"/>
      <c r="ER9" s="639"/>
      <c r="ES9" s="639"/>
      <c r="ET9" s="639"/>
      <c r="EU9" s="639"/>
      <c r="EV9" s="639"/>
      <c r="EW9" s="639"/>
      <c r="EX9" s="639"/>
      <c r="EY9" s="639"/>
      <c r="EZ9" s="639"/>
      <c r="FA9" s="639"/>
      <c r="FB9" s="639"/>
      <c r="FC9" s="639"/>
      <c r="FD9" s="639"/>
      <c r="FE9" s="639"/>
      <c r="FF9" s="639"/>
      <c r="FG9" s="639"/>
      <c r="FH9" s="639"/>
      <c r="FI9" s="639"/>
      <c r="FJ9" s="639"/>
      <c r="FK9" s="639"/>
      <c r="FL9" s="639"/>
      <c r="FM9" s="639"/>
      <c r="FN9" s="639"/>
      <c r="FO9" s="639"/>
      <c r="FP9" s="639"/>
      <c r="FQ9" s="639"/>
      <c r="FR9" s="639"/>
      <c r="FS9" s="639"/>
      <c r="FT9" s="639"/>
      <c r="FU9" s="639"/>
      <c r="FV9" s="639"/>
      <c r="FW9" s="639"/>
      <c r="FX9" s="639"/>
      <c r="FY9" s="639"/>
      <c r="FZ9" s="639"/>
      <c r="GA9" s="639"/>
      <c r="GB9" s="639"/>
      <c r="GC9" s="639"/>
      <c r="GD9" s="639"/>
      <c r="GE9" s="639"/>
      <c r="GF9" s="639"/>
      <c r="GG9" s="639"/>
      <c r="GH9" s="639"/>
      <c r="GI9" s="639"/>
      <c r="GJ9" s="639"/>
      <c r="GK9" s="639"/>
      <c r="GL9" s="639"/>
      <c r="GM9" s="639"/>
      <c r="GN9" s="639"/>
      <c r="GO9" s="639"/>
      <c r="GP9" s="639"/>
      <c r="GQ9" s="639"/>
      <c r="GR9" s="639"/>
      <c r="GS9" s="639"/>
      <c r="GT9" s="639"/>
      <c r="GU9" s="639"/>
      <c r="GV9" s="639"/>
      <c r="GW9" s="639"/>
      <c r="GX9" s="639"/>
      <c r="GY9" s="639"/>
      <c r="GZ9" s="639"/>
      <c r="HA9" s="639"/>
      <c r="HB9" s="639"/>
      <c r="HC9" s="639"/>
      <c r="HD9" s="639"/>
      <c r="HE9" s="639"/>
      <c r="HF9" s="639"/>
      <c r="HG9" s="639"/>
      <c r="HH9" s="639"/>
      <c r="HI9" s="639"/>
      <c r="HJ9" s="639"/>
      <c r="HK9" s="639"/>
      <c r="HL9" s="639"/>
      <c r="HM9" s="639"/>
      <c r="HN9" s="639"/>
      <c r="HO9" s="639"/>
      <c r="HP9" s="639"/>
      <c r="HQ9" s="639"/>
      <c r="HR9" s="639"/>
      <c r="HS9" s="639"/>
      <c r="HT9" s="639"/>
      <c r="HU9" s="639"/>
      <c r="HV9" s="639"/>
      <c r="HW9" s="639"/>
      <c r="HX9" s="639"/>
      <c r="HY9" s="639"/>
      <c r="HZ9" s="639"/>
      <c r="IA9" s="639"/>
      <c r="IB9" s="639"/>
      <c r="IC9" s="639"/>
      <c r="ID9" s="639"/>
      <c r="IE9" s="639"/>
      <c r="IF9" s="639"/>
      <c r="IG9" s="639"/>
      <c r="IH9" s="639"/>
      <c r="II9" s="639"/>
      <c r="IJ9" s="639"/>
      <c r="IK9" s="639"/>
      <c r="IL9" s="639"/>
      <c r="IM9" s="639"/>
      <c r="IN9" s="639"/>
      <c r="IO9" s="639"/>
      <c r="IP9" s="639"/>
      <c r="IQ9" s="639"/>
      <c r="IR9" s="639"/>
      <c r="IS9" s="639"/>
      <c r="IT9" s="639"/>
      <c r="IU9" s="639"/>
      <c r="IV9" s="639"/>
      <c r="IW9" s="639"/>
    </row>
    <row r="10" customFormat="false" ht="12.6" hidden="false" customHeight="true" outlineLevel="0" collapsed="false">
      <c r="A10" s="639"/>
      <c r="B10" s="643" t="s">
        <v>490</v>
      </c>
      <c r="C10" s="644"/>
      <c r="D10" s="477"/>
      <c r="E10" s="477"/>
      <c r="F10" s="645"/>
      <c r="G10" s="645"/>
      <c r="H10" s="645"/>
      <c r="I10" s="645"/>
      <c r="J10" s="645"/>
      <c r="K10" s="645"/>
      <c r="L10" s="645"/>
      <c r="M10" s="645"/>
      <c r="N10" s="645"/>
      <c r="O10" s="645"/>
      <c r="P10" s="645"/>
      <c r="Q10" s="645"/>
      <c r="R10" s="645"/>
      <c r="S10" s="645"/>
      <c r="T10" s="645"/>
      <c r="U10" s="645"/>
      <c r="V10" s="645"/>
      <c r="W10" s="645"/>
      <c r="X10" s="645"/>
      <c r="Y10" s="645"/>
      <c r="Z10" s="645"/>
      <c r="AA10" s="645"/>
      <c r="AB10" s="646"/>
      <c r="AC10" s="404"/>
      <c r="AD10" s="475"/>
      <c r="AF10" s="404"/>
      <c r="AG10" s="404"/>
      <c r="AH10" s="404"/>
      <c r="AI10" s="404"/>
      <c r="AJ10" s="639"/>
      <c r="AK10" s="639"/>
      <c r="AL10" s="639"/>
      <c r="AM10" s="639"/>
      <c r="AN10" s="639"/>
      <c r="AO10" s="639"/>
      <c r="AP10" s="639"/>
      <c r="AQ10" s="639"/>
      <c r="AR10" s="639"/>
      <c r="AS10" s="639"/>
      <c r="AT10" s="639"/>
      <c r="AU10" s="639"/>
      <c r="AV10" s="639"/>
      <c r="AW10" s="639"/>
      <c r="AX10" s="639"/>
      <c r="AY10" s="639"/>
      <c r="AZ10" s="639"/>
      <c r="BA10" s="639"/>
      <c r="BB10" s="639"/>
      <c r="BC10" s="639"/>
      <c r="BD10" s="639"/>
      <c r="BE10" s="639"/>
      <c r="BF10" s="639"/>
      <c r="BG10" s="639"/>
      <c r="BH10" s="639"/>
      <c r="BI10" s="639"/>
      <c r="BJ10" s="639"/>
      <c r="BK10" s="639"/>
      <c r="BL10" s="639"/>
      <c r="BM10" s="639"/>
      <c r="BN10" s="639"/>
      <c r="BO10" s="639"/>
      <c r="BP10" s="639"/>
      <c r="BQ10" s="639"/>
      <c r="BR10" s="639"/>
      <c r="BS10" s="639"/>
      <c r="BT10" s="639"/>
      <c r="BU10" s="639"/>
      <c r="BV10" s="639"/>
      <c r="BW10" s="639"/>
      <c r="BX10" s="639"/>
      <c r="BY10" s="639"/>
      <c r="BZ10" s="639"/>
      <c r="CA10" s="639"/>
      <c r="CB10" s="639"/>
      <c r="CC10" s="639"/>
      <c r="CD10" s="639"/>
      <c r="CE10" s="639"/>
      <c r="CF10" s="639"/>
      <c r="CG10" s="639"/>
      <c r="CH10" s="639"/>
      <c r="CI10" s="639"/>
      <c r="CJ10" s="639"/>
      <c r="CK10" s="639"/>
      <c r="CL10" s="639"/>
      <c r="CM10" s="639"/>
      <c r="CN10" s="639"/>
      <c r="CO10" s="639"/>
      <c r="CP10" s="639"/>
      <c r="CQ10" s="639"/>
      <c r="CR10" s="639"/>
      <c r="CS10" s="639"/>
      <c r="CT10" s="639"/>
      <c r="CU10" s="639"/>
      <c r="CV10" s="639"/>
      <c r="CW10" s="639"/>
      <c r="CX10" s="639"/>
      <c r="CY10" s="639"/>
      <c r="CZ10" s="639"/>
      <c r="DA10" s="639"/>
      <c r="DB10" s="639"/>
      <c r="DC10" s="639"/>
      <c r="DD10" s="639"/>
      <c r="DE10" s="639"/>
      <c r="DF10" s="639"/>
      <c r="DG10" s="639"/>
      <c r="DH10" s="639"/>
      <c r="DI10" s="639"/>
      <c r="DJ10" s="639"/>
      <c r="DK10" s="639"/>
      <c r="DL10" s="639"/>
      <c r="DM10" s="639"/>
      <c r="DN10" s="639"/>
      <c r="DO10" s="639"/>
      <c r="DP10" s="639"/>
      <c r="DQ10" s="639"/>
      <c r="DR10" s="639"/>
      <c r="DS10" s="639"/>
      <c r="DT10" s="639"/>
      <c r="DU10" s="639"/>
      <c r="DV10" s="639"/>
      <c r="DW10" s="639"/>
      <c r="DX10" s="639"/>
      <c r="DY10" s="639"/>
      <c r="DZ10" s="639"/>
      <c r="EA10" s="639"/>
      <c r="EB10" s="639"/>
      <c r="EC10" s="639"/>
      <c r="ED10" s="639"/>
      <c r="EE10" s="639"/>
      <c r="EF10" s="639"/>
      <c r="EG10" s="639"/>
      <c r="EH10" s="639"/>
      <c r="EI10" s="639"/>
      <c r="EJ10" s="639"/>
      <c r="EK10" s="639"/>
      <c r="EL10" s="639"/>
      <c r="EM10" s="639"/>
      <c r="EN10" s="639"/>
      <c r="EO10" s="639"/>
      <c r="EP10" s="639"/>
      <c r="EQ10" s="639"/>
      <c r="ER10" s="639"/>
      <c r="ES10" s="639"/>
      <c r="ET10" s="639"/>
      <c r="EU10" s="639"/>
      <c r="EV10" s="639"/>
      <c r="EW10" s="639"/>
      <c r="EX10" s="639"/>
      <c r="EY10" s="639"/>
      <c r="EZ10" s="639"/>
      <c r="FA10" s="639"/>
      <c r="FB10" s="639"/>
      <c r="FC10" s="639"/>
      <c r="FD10" s="639"/>
      <c r="FE10" s="639"/>
      <c r="FF10" s="639"/>
      <c r="FG10" s="639"/>
      <c r="FH10" s="639"/>
      <c r="FI10" s="639"/>
      <c r="FJ10" s="639"/>
      <c r="FK10" s="639"/>
      <c r="FL10" s="639"/>
      <c r="FM10" s="639"/>
      <c r="FN10" s="639"/>
      <c r="FO10" s="639"/>
      <c r="FP10" s="639"/>
      <c r="FQ10" s="639"/>
      <c r="FR10" s="639"/>
      <c r="FS10" s="639"/>
      <c r="FT10" s="639"/>
      <c r="FU10" s="639"/>
      <c r="FV10" s="639"/>
      <c r="FW10" s="639"/>
      <c r="FX10" s="639"/>
      <c r="FY10" s="639"/>
      <c r="FZ10" s="639"/>
      <c r="GA10" s="639"/>
      <c r="GB10" s="639"/>
      <c r="GC10" s="639"/>
      <c r="GD10" s="639"/>
      <c r="GE10" s="639"/>
      <c r="GF10" s="639"/>
      <c r="GG10" s="639"/>
      <c r="GH10" s="639"/>
      <c r="GI10" s="639"/>
      <c r="GJ10" s="639"/>
      <c r="GK10" s="639"/>
      <c r="GL10" s="639"/>
      <c r="GM10" s="639"/>
      <c r="GN10" s="639"/>
      <c r="GO10" s="639"/>
      <c r="GP10" s="639"/>
      <c r="GQ10" s="639"/>
      <c r="GR10" s="639"/>
      <c r="GS10" s="639"/>
      <c r="GT10" s="639"/>
      <c r="GU10" s="639"/>
      <c r="GV10" s="639"/>
      <c r="GW10" s="639"/>
      <c r="GX10" s="639"/>
      <c r="GY10" s="639"/>
      <c r="GZ10" s="639"/>
      <c r="HA10" s="639"/>
      <c r="HB10" s="639"/>
      <c r="HC10" s="639"/>
      <c r="HD10" s="639"/>
      <c r="HE10" s="639"/>
      <c r="HF10" s="639"/>
      <c r="HG10" s="639"/>
      <c r="HH10" s="639"/>
      <c r="HI10" s="639"/>
      <c r="HJ10" s="639"/>
      <c r="HK10" s="639"/>
      <c r="HL10" s="639"/>
      <c r="HM10" s="639"/>
      <c r="HN10" s="639"/>
      <c r="HO10" s="639"/>
      <c r="HP10" s="639"/>
      <c r="HQ10" s="639"/>
      <c r="HR10" s="639"/>
      <c r="HS10" s="639"/>
      <c r="HT10" s="639"/>
      <c r="HU10" s="639"/>
      <c r="HV10" s="639"/>
      <c r="HW10" s="639"/>
      <c r="HX10" s="639"/>
      <c r="HY10" s="639"/>
      <c r="HZ10" s="639"/>
      <c r="IA10" s="639"/>
      <c r="IB10" s="639"/>
      <c r="IC10" s="639"/>
      <c r="ID10" s="639"/>
      <c r="IE10" s="639"/>
      <c r="IF10" s="639"/>
      <c r="IG10" s="639"/>
      <c r="IH10" s="639"/>
      <c r="II10" s="639"/>
      <c r="IJ10" s="639"/>
      <c r="IK10" s="639"/>
      <c r="IL10" s="639"/>
      <c r="IM10" s="639"/>
      <c r="IN10" s="639"/>
      <c r="IO10" s="639"/>
      <c r="IP10" s="639"/>
      <c r="IQ10" s="639"/>
      <c r="IR10" s="639"/>
      <c r="IS10" s="639"/>
      <c r="IT10" s="639"/>
      <c r="IU10" s="639"/>
      <c r="IV10" s="639"/>
      <c r="IW10" s="639"/>
    </row>
    <row r="11" customFormat="false" ht="12.6" hidden="false" customHeight="true" outlineLevel="0" collapsed="false">
      <c r="A11" s="639"/>
      <c r="B11" s="403" t="s">
        <v>491</v>
      </c>
      <c r="D11" s="425" t="n">
        <f aca="false">(Operations!C25+Operations!C27)*'PPA Assumptions &amp;Summary'!C11/1000</f>
        <v>21838.752</v>
      </c>
      <c r="E11" s="425" t="n">
        <f aca="false">(Operations!D25+Operations!D27)*'PPA Assumptions &amp;Summary'!D11/1000</f>
        <v>21838.752</v>
      </c>
      <c r="F11" s="425" t="n">
        <f aca="false">(Operations!E25+Operations!E27)*'PPA Assumptions &amp;Summary'!E11/1000</f>
        <v>21838.752</v>
      </c>
      <c r="G11" s="425" t="n">
        <f aca="false">(Operations!F25+Operations!F27)*'PPA Assumptions &amp;Summary'!F11/1000</f>
        <v>22886.8123963375</v>
      </c>
      <c r="H11" s="425" t="n">
        <f aca="false">(Operations!G25+Operations!G27)*'PPA Assumptions &amp;Summary'!G11/1000</f>
        <v>23440.092858</v>
      </c>
      <c r="I11" s="425" t="n">
        <f aca="false">(Operations!H25+Operations!H27)*'PPA Assumptions &amp;Summary'!H11/1000</f>
        <v>23440.092858</v>
      </c>
      <c r="J11" s="425" t="n">
        <f aca="false">(Operations!I25+Operations!I27)*'PPA Assumptions &amp;Summary'!I11/1000</f>
        <v>23440.092858</v>
      </c>
      <c r="K11" s="425" t="n">
        <f aca="false">(Operations!J25+Operations!J27)*'PPA Assumptions &amp;Summary'!J11/1000</f>
        <v>23440.092858</v>
      </c>
      <c r="L11" s="425" t="n">
        <f aca="false">(Operations!K25+Operations!K27)*'PPA Assumptions &amp;Summary'!K11/1000</f>
        <v>23440.092858</v>
      </c>
      <c r="M11" s="425" t="n">
        <f aca="false">(Operations!L25+Operations!L27)*'PPA Assumptions &amp;Summary'!L11/1000</f>
        <v>23440.092858</v>
      </c>
      <c r="N11" s="425" t="n">
        <f aca="false">(Operations!M25+Operations!M27)*'PPA Assumptions &amp;Summary'!M11/1000</f>
        <v>23440.092858</v>
      </c>
      <c r="O11" s="425" t="n">
        <f aca="false">(Operations!N25+Operations!N27)*'PPA Assumptions &amp;Summary'!N11/1000</f>
        <v>23440.092858</v>
      </c>
      <c r="P11" s="425" t="n">
        <f aca="false">(Operations!O25+Operations!O27)*'PPA Assumptions &amp;Summary'!O11/1000</f>
        <v>23440.092858</v>
      </c>
      <c r="Q11" s="425" t="n">
        <f aca="false">(Operations!P25+Operations!P27)*'PPA Assumptions &amp;Summary'!P11/1000</f>
        <v>23440.092858</v>
      </c>
      <c r="R11" s="425" t="n">
        <f aca="false">(Operations!Q25+Operations!Q27)*'PPA Assumptions &amp;Summary'!Q11/1000</f>
        <v>23440.092858</v>
      </c>
      <c r="S11" s="425" t="n">
        <f aca="false">(Operations!R25+Operations!R27)*'PPA Assumptions &amp;Summary'!R11/1000</f>
        <v>23440.092858</v>
      </c>
      <c r="T11" s="425" t="n">
        <f aca="false">(Operations!S25+Operations!S27)*'PPA Assumptions &amp;Summary'!S11/1000</f>
        <v>23440.092858</v>
      </c>
      <c r="U11" s="425" t="n">
        <f aca="false">(Operations!T25+Operations!T27)*'PPA Assumptions &amp;Summary'!T11/1000</f>
        <v>23440.092858</v>
      </c>
      <c r="V11" s="425" t="n">
        <f aca="false">(Operations!U25+Operations!U27)*'PPA Assumptions &amp;Summary'!U11/1000</f>
        <v>23440.092858</v>
      </c>
      <c r="W11" s="425" t="n">
        <f aca="false">(Operations!V25+Operations!V27)*'PPA Assumptions &amp;Summary'!V11/1000</f>
        <v>23440.092858</v>
      </c>
      <c r="X11" s="425" t="n">
        <f aca="false">(Operations!W25+Operations!W27)*'PPA Assumptions &amp;Summary'!W11/1000</f>
        <v>9880.6502533375</v>
      </c>
      <c r="Y11" s="425" t="n">
        <f aca="false">(Operations!X25+Operations!X27)*'PPA Assumptions &amp;Summary'!X11/1000</f>
        <v>0</v>
      </c>
      <c r="Z11" s="425" t="n">
        <f aca="false">(Operations!Y25+Operations!Y27)*'PPA Assumptions &amp;Summary'!Y11/1000</f>
        <v>0</v>
      </c>
      <c r="AA11" s="425" t="n">
        <f aca="false">(Operations!Z25+Operations!Z27)*'PPA Assumptions &amp;Summary'!Z11/1000</f>
        <v>0</v>
      </c>
      <c r="AB11" s="426" t="n">
        <f aca="false">(Operations!AA25+Operations!AA27)*'PPA Assumptions &amp;Summary'!AA11/1000</f>
        <v>0</v>
      </c>
      <c r="AC11" s="404"/>
      <c r="AD11" s="475"/>
      <c r="AF11" s="404"/>
      <c r="AG11" s="404"/>
      <c r="AH11" s="404"/>
      <c r="AI11" s="404"/>
      <c r="AJ11" s="639"/>
      <c r="AK11" s="639"/>
      <c r="AL11" s="639"/>
      <c r="AM11" s="639"/>
      <c r="AN11" s="639"/>
      <c r="AO11" s="639"/>
      <c r="AP11" s="639"/>
      <c r="AQ11" s="639"/>
      <c r="AR11" s="639"/>
      <c r="AS11" s="639"/>
      <c r="AT11" s="639"/>
      <c r="AU11" s="639"/>
      <c r="AV11" s="639"/>
      <c r="AW11" s="639"/>
      <c r="AX11" s="639"/>
      <c r="AY11" s="639"/>
      <c r="AZ11" s="639"/>
      <c r="BA11" s="639"/>
      <c r="BB11" s="639"/>
      <c r="BC11" s="639"/>
      <c r="BD11" s="639"/>
      <c r="BE11" s="639"/>
      <c r="BF11" s="639"/>
      <c r="BG11" s="639"/>
      <c r="BH11" s="639"/>
      <c r="BI11" s="639"/>
      <c r="BJ11" s="639"/>
      <c r="BK11" s="639"/>
      <c r="BL11" s="639"/>
      <c r="BM11" s="639"/>
      <c r="BN11" s="639"/>
      <c r="BO11" s="639"/>
      <c r="BP11" s="639"/>
      <c r="BQ11" s="639"/>
      <c r="BR11" s="639"/>
      <c r="BS11" s="639"/>
      <c r="BT11" s="639"/>
      <c r="BU11" s="639"/>
      <c r="BV11" s="639"/>
      <c r="BW11" s="639"/>
      <c r="BX11" s="639"/>
      <c r="BY11" s="639"/>
      <c r="BZ11" s="639"/>
      <c r="CA11" s="639"/>
      <c r="CB11" s="639"/>
      <c r="CC11" s="639"/>
      <c r="CD11" s="639"/>
      <c r="CE11" s="639"/>
      <c r="CF11" s="639"/>
      <c r="CG11" s="639"/>
      <c r="CH11" s="639"/>
      <c r="CI11" s="639"/>
      <c r="CJ11" s="639"/>
      <c r="CK11" s="639"/>
      <c r="CL11" s="639"/>
      <c r="CM11" s="639"/>
      <c r="CN11" s="639"/>
      <c r="CO11" s="639"/>
      <c r="CP11" s="639"/>
      <c r="CQ11" s="639"/>
      <c r="CR11" s="639"/>
      <c r="CS11" s="639"/>
      <c r="CT11" s="639"/>
      <c r="CU11" s="639"/>
      <c r="CV11" s="639"/>
      <c r="CW11" s="639"/>
      <c r="CX11" s="639"/>
      <c r="CY11" s="639"/>
      <c r="CZ11" s="639"/>
      <c r="DA11" s="639"/>
      <c r="DB11" s="639"/>
      <c r="DC11" s="639"/>
      <c r="DD11" s="639"/>
      <c r="DE11" s="639"/>
      <c r="DF11" s="639"/>
      <c r="DG11" s="639"/>
      <c r="DH11" s="639"/>
      <c r="DI11" s="639"/>
      <c r="DJ11" s="639"/>
      <c r="DK11" s="639"/>
      <c r="DL11" s="639"/>
      <c r="DM11" s="639"/>
      <c r="DN11" s="639"/>
      <c r="DO11" s="639"/>
      <c r="DP11" s="639"/>
      <c r="DQ11" s="639"/>
      <c r="DR11" s="639"/>
      <c r="DS11" s="639"/>
      <c r="DT11" s="639"/>
      <c r="DU11" s="639"/>
      <c r="DV11" s="639"/>
      <c r="DW11" s="639"/>
      <c r="DX11" s="639"/>
      <c r="DY11" s="639"/>
      <c r="DZ11" s="639"/>
      <c r="EA11" s="639"/>
      <c r="EB11" s="639"/>
      <c r="EC11" s="639"/>
      <c r="ED11" s="639"/>
      <c r="EE11" s="639"/>
      <c r="EF11" s="639"/>
      <c r="EG11" s="639"/>
      <c r="EH11" s="639"/>
      <c r="EI11" s="639"/>
      <c r="EJ11" s="639"/>
      <c r="EK11" s="639"/>
      <c r="EL11" s="639"/>
      <c r="EM11" s="639"/>
      <c r="EN11" s="639"/>
      <c r="EO11" s="639"/>
      <c r="EP11" s="639"/>
      <c r="EQ11" s="639"/>
      <c r="ER11" s="639"/>
      <c r="ES11" s="639"/>
      <c r="ET11" s="639"/>
      <c r="EU11" s="639"/>
      <c r="EV11" s="639"/>
      <c r="EW11" s="639"/>
      <c r="EX11" s="639"/>
      <c r="EY11" s="639"/>
      <c r="EZ11" s="639"/>
      <c r="FA11" s="639"/>
      <c r="FB11" s="639"/>
      <c r="FC11" s="639"/>
      <c r="FD11" s="639"/>
      <c r="FE11" s="639"/>
      <c r="FF11" s="639"/>
      <c r="FG11" s="639"/>
      <c r="FH11" s="639"/>
      <c r="FI11" s="639"/>
      <c r="FJ11" s="639"/>
      <c r="FK11" s="639"/>
      <c r="FL11" s="639"/>
      <c r="FM11" s="639"/>
      <c r="FN11" s="639"/>
      <c r="FO11" s="639"/>
      <c r="FP11" s="639"/>
      <c r="FQ11" s="639"/>
      <c r="FR11" s="639"/>
      <c r="FS11" s="639"/>
      <c r="FT11" s="639"/>
      <c r="FU11" s="639"/>
      <c r="FV11" s="639"/>
      <c r="FW11" s="639"/>
      <c r="FX11" s="639"/>
      <c r="FY11" s="639"/>
      <c r="FZ11" s="639"/>
      <c r="GA11" s="639"/>
      <c r="GB11" s="639"/>
      <c r="GC11" s="639"/>
      <c r="GD11" s="639"/>
      <c r="GE11" s="639"/>
      <c r="GF11" s="639"/>
      <c r="GG11" s="639"/>
      <c r="GH11" s="639"/>
      <c r="GI11" s="639"/>
      <c r="GJ11" s="639"/>
      <c r="GK11" s="639"/>
      <c r="GL11" s="639"/>
      <c r="GM11" s="639"/>
      <c r="GN11" s="639"/>
      <c r="GO11" s="639"/>
      <c r="GP11" s="639"/>
      <c r="GQ11" s="639"/>
      <c r="GR11" s="639"/>
      <c r="GS11" s="639"/>
      <c r="GT11" s="639"/>
      <c r="GU11" s="639"/>
      <c r="GV11" s="639"/>
      <c r="GW11" s="639"/>
      <c r="GX11" s="639"/>
      <c r="GY11" s="639"/>
      <c r="GZ11" s="639"/>
      <c r="HA11" s="639"/>
      <c r="HB11" s="639"/>
      <c r="HC11" s="639"/>
      <c r="HD11" s="639"/>
      <c r="HE11" s="639"/>
      <c r="HF11" s="639"/>
      <c r="HG11" s="639"/>
      <c r="HH11" s="639"/>
      <c r="HI11" s="639"/>
      <c r="HJ11" s="639"/>
      <c r="HK11" s="639"/>
      <c r="HL11" s="639"/>
      <c r="HM11" s="639"/>
      <c r="HN11" s="639"/>
      <c r="HO11" s="639"/>
      <c r="HP11" s="639"/>
      <c r="HQ11" s="639"/>
      <c r="HR11" s="639"/>
      <c r="HS11" s="639"/>
      <c r="HT11" s="639"/>
      <c r="HU11" s="639"/>
      <c r="HV11" s="639"/>
      <c r="HW11" s="639"/>
      <c r="HX11" s="639"/>
      <c r="HY11" s="639"/>
      <c r="HZ11" s="639"/>
      <c r="IA11" s="639"/>
      <c r="IB11" s="639"/>
      <c r="IC11" s="639"/>
      <c r="ID11" s="639"/>
      <c r="IE11" s="639"/>
      <c r="IF11" s="639"/>
      <c r="IG11" s="639"/>
      <c r="IH11" s="639"/>
      <c r="II11" s="639"/>
      <c r="IJ11" s="639"/>
      <c r="IK11" s="639"/>
      <c r="IL11" s="639"/>
      <c r="IM11" s="639"/>
      <c r="IN11" s="639"/>
      <c r="IO11" s="639"/>
      <c r="IP11" s="639"/>
      <c r="IQ11" s="639"/>
      <c r="IR11" s="639"/>
      <c r="IS11" s="639"/>
      <c r="IT11" s="639"/>
      <c r="IU11" s="639"/>
      <c r="IV11" s="639"/>
      <c r="IW11" s="639"/>
    </row>
    <row r="12" customFormat="false" ht="12.6" hidden="false" customHeight="true" outlineLevel="0" collapsed="false">
      <c r="A12" s="626" t="n">
        <v>1</v>
      </c>
      <c r="B12" s="647" t="s">
        <v>492</v>
      </c>
      <c r="C12" s="404"/>
      <c r="D12" s="425" t="n">
        <f aca="false">(PPACAPACITY*'PPA Assumptions &amp;Summary'!C12*D7)+((Operations!C17*(1-Cap_Factor_Energy))*'PPA Assumptions &amp;Summary'!C13*D8)</f>
        <v>17024</v>
      </c>
      <c r="E12" s="425" t="n">
        <f aca="false">(PPACAPACITY*'PPA Assumptions &amp;Summary'!D12*E7)+((Operations!D17*(1-Cap_Factor_Energy))*'PPA Assumptions &amp;Summary'!D13*E8)</f>
        <v>29184</v>
      </c>
      <c r="F12" s="425" t="n">
        <f aca="false">(PPACAPACITY*'PPA Assumptions &amp;Summary'!E12*F7)+((Operations!E17*(1-Cap_Factor_Energy))*'PPA Assumptions &amp;Summary'!E13*F8)</f>
        <v>29184</v>
      </c>
      <c r="G12" s="425" t="n">
        <f aca="false">(PPACAPACITY*'PPA Assumptions &amp;Summary'!F12*G7)+((Operations!F17*(1-Cap_Factor_Energy))*'PPA Assumptions &amp;Summary'!F13*G8)</f>
        <v>40271.074130372</v>
      </c>
      <c r="H12" s="425" t="n">
        <f aca="false">(PPACAPACITY*'PPA Assumptions &amp;Summary'!G12*H7)+((Operations!G17*(1-Cap_Factor_Energy))*'PPA Assumptions &amp;Summary'!G13*H8)</f>
        <v>48872.4924837132</v>
      </c>
      <c r="I12" s="425" t="n">
        <f aca="false">(PPACAPACITY*'PPA Assumptions &amp;Summary'!H12*I7)+((Operations!H17*(1-Cap_Factor_Energy))*'PPA Assumptions &amp;Summary'!H13*I8)</f>
        <v>50338.6672582246</v>
      </c>
      <c r="J12" s="425" t="n">
        <f aca="false">(PPACAPACITY*'PPA Assumptions &amp;Summary'!I12*J7)+((Operations!I17*(1-Cap_Factor_Energy))*'PPA Assumptions &amp;Summary'!I13*J8)</f>
        <v>50228.5514235972</v>
      </c>
      <c r="K12" s="425" t="n">
        <f aca="false">(PPACAPACITY*'PPA Assumptions &amp;Summary'!J12*K7)+((Operations!J17*(1-Cap_Factor_Energy))*'PPA Assumptions &amp;Summary'!J13*K8)</f>
        <v>50900.9659023325</v>
      </c>
      <c r="L12" s="425" t="n">
        <f aca="false">(PPACAPACITY*'PPA Assumptions &amp;Summary'!K12*L7)+((Operations!K17*(1-Cap_Factor_Energy))*'PPA Assumptions &amp;Summary'!K13*L8)</f>
        <v>51568.5195535106</v>
      </c>
      <c r="M12" s="425" t="n">
        <f aca="false">(PPACAPACITY*'PPA Assumptions &amp;Summary'!L12*M7)+((Operations!L17*(1-Cap_Factor_Energy))*'PPA Assumptions &amp;Summary'!L13*M8)</f>
        <v>52230.3155544473</v>
      </c>
      <c r="N12" s="425" t="n">
        <f aca="false">(PPACAPACITY*'PPA Assumptions &amp;Summary'!M12*N7)+((Operations!M17*(1-Cap_Factor_Energy))*'PPA Assumptions &amp;Summary'!M13*N8)</f>
        <v>52885.4076478421</v>
      </c>
      <c r="O12" s="425" t="n">
        <f aca="false">(PPACAPACITY*'PPA Assumptions &amp;Summary'!N12*O7)+((Operations!N17*(1-Cap_Factor_Energy))*'PPA Assumptions &amp;Summary'!N13*O8)</f>
        <v>53532.7979828415</v>
      </c>
      <c r="P12" s="425" t="n">
        <f aca="false">(PPACAPACITY*'PPA Assumptions &amp;Summary'!O12*P7)+((Operations!O17*(1-Cap_Factor_Energy))*'PPA Assumptions &amp;Summary'!O13*P8)</f>
        <v>54171.4348710579</v>
      </c>
      <c r="Q12" s="425" t="n">
        <f aca="false">(PPACAPACITY*'PPA Assumptions &amp;Summary'!P12*Q7)+((Operations!P17*(1-Cap_Factor_Energy))*'PPA Assumptions &amp;Summary'!P13*Q8)</f>
        <v>54800.2104543826</v>
      </c>
      <c r="R12" s="425" t="n">
        <f aca="false">(PPACAPACITY*'PPA Assumptions &amp;Summary'!Q12*R7)+((Operations!Q17*(1-Cap_Factor_Energy))*'PPA Assumptions &amp;Summary'!Q13*R8)</f>
        <v>55417.958281323</v>
      </c>
      <c r="S12" s="425" t="n">
        <f aca="false">(PPACAPACITY*'PPA Assumptions &amp;Summary'!R12*S7)+((Operations!R17*(1-Cap_Factor_Energy))*'PPA Assumptions &amp;Summary'!R13*S8)</f>
        <v>56023.4507884708</v>
      </c>
      <c r="T12" s="425" t="n">
        <f aca="false">(PPACAPACITY*'PPA Assumptions &amp;Summary'!S12*T7)+((Operations!S17*(1-Cap_Factor_Energy))*'PPA Assumptions &amp;Summary'!S13*T8)</f>
        <v>56615.3966835942</v>
      </c>
      <c r="U12" s="425" t="n">
        <f aca="false">(PPACAPACITY*'PPA Assumptions &amp;Summary'!T12*U7)+((Operations!T17*(1-Cap_Factor_Energy))*'PPA Assumptions &amp;Summary'!T13*U8)</f>
        <v>57192.4382267155</v>
      </c>
      <c r="V12" s="425" t="n">
        <f aca="false">(PPACAPACITY*'PPA Assumptions &amp;Summary'!U12*V7)+((Operations!U17*(1-Cap_Factor_Energy))*'PPA Assumptions &amp;Summary'!U13*V8)</f>
        <v>57753.1484054088</v>
      </c>
      <c r="W12" s="425" t="n">
        <f aca="false">(PPACAPACITY*'PPA Assumptions &amp;Summary'!V12*W7)+((Operations!V17*(1-Cap_Factor_Energy))*'PPA Assumptions &amp;Summary'!V13*W8)</f>
        <v>57106.3131432682</v>
      </c>
      <c r="X12" s="425" t="n">
        <f aca="false">(PPACAPACITY*'PPA Assumptions &amp;Summary'!W12*X7)+((Operations!W17*(1-Cap_Factor_Energy))*'PPA Assumptions &amp;Summary'!W13*X8)</f>
        <v>23997.5400977918</v>
      </c>
      <c r="Y12" s="425" t="n">
        <f aca="false">(PPACAPACITY*'PPA Assumptions &amp;Summary'!X12*Y7)+((Operations!X17*(1-Cap_Factor_Energy))*'PPA Assumptions &amp;Summary'!X13*Y8)</f>
        <v>0</v>
      </c>
      <c r="Z12" s="425" t="n">
        <f aca="false">(PPACAPACITY*'PPA Assumptions &amp;Summary'!Y12*Z7)+((Operations!Y17*(1-Cap_Factor_Energy))*'PPA Assumptions &amp;Summary'!Y13*Z8)</f>
        <v>0</v>
      </c>
      <c r="AA12" s="425" t="n">
        <f aca="false">(PPACAPACITY*'PPA Assumptions &amp;Summary'!Z12*AA7)+((Operations!Z17*(1-Cap_Factor_Energy))*'PPA Assumptions &amp;Summary'!Z13*AA8)</f>
        <v>0</v>
      </c>
      <c r="AB12" s="426" t="n">
        <f aca="false">(PPACAPACITY*'PPA Assumptions &amp;Summary'!AA12*AB7)+((Operations!AA17*(1-Cap_Factor_Energy))*'PPA Assumptions &amp;Summary'!AA13*AB8)</f>
        <v>0</v>
      </c>
    </row>
    <row r="13" customFormat="false" ht="12.6" hidden="false" customHeight="true" outlineLevel="0" collapsed="false">
      <c r="B13" s="647" t="s">
        <v>493</v>
      </c>
      <c r="C13" s="404"/>
      <c r="D13" s="425" t="n">
        <f aca="false">(Operations!C25+Operations!C27)*'PPA Assumptions &amp;Summary'!C25/1000</f>
        <v>648.3644</v>
      </c>
      <c r="E13" s="425" t="n">
        <f aca="false">(Operations!D25+Operations!D27)*'PPA Assumptions &amp;Summary'!D25/1000</f>
        <v>667.815332</v>
      </c>
      <c r="F13" s="425" t="n">
        <f aca="false">(Operations!E25+Operations!E27)*'PPA Assumptions &amp;Summary'!E25/1000</f>
        <v>687.84979196</v>
      </c>
      <c r="G13" s="425" t="n">
        <f aca="false">(Operations!F25+Operations!F27)*'PPA Assumptions &amp;Summary'!F25/1000</f>
        <v>742.486100845495</v>
      </c>
      <c r="H13" s="425" t="n">
        <f aca="false">(Operations!G25+Operations!G27)*'PPA Assumptions &amp;Summary'!G25/1000</f>
        <v>783.248498464958</v>
      </c>
      <c r="I13" s="425" t="n">
        <f aca="false">(Operations!H25+Operations!H27)*'PPA Assumptions &amp;Summary'!H25/1000</f>
        <v>806.745953418907</v>
      </c>
      <c r="J13" s="425" t="n">
        <f aca="false">(Operations!I25+Operations!I27)*'PPA Assumptions &amp;Summary'!I25/1000</f>
        <v>830.948332021474</v>
      </c>
      <c r="K13" s="425" t="n">
        <f aca="false">(Operations!J25+Operations!J27)*'PPA Assumptions &amp;Summary'!J25/1000</f>
        <v>855.876781982118</v>
      </c>
      <c r="L13" s="425" t="n">
        <f aca="false">(Operations!K25+Operations!K27)*'PPA Assumptions &amp;Summary'!K25/1000</f>
        <v>881.553085441582</v>
      </c>
      <c r="M13" s="425" t="n">
        <f aca="false">(Operations!L25+Operations!L27)*'PPA Assumptions &amp;Summary'!L25/1000</f>
        <v>907.999678004829</v>
      </c>
      <c r="N13" s="425" t="n">
        <f aca="false">(Operations!M25+Operations!M27)*'PPA Assumptions &amp;Summary'!M25/1000</f>
        <v>935.239668344974</v>
      </c>
      <c r="O13" s="425" t="n">
        <f aca="false">(Operations!N25+Operations!N27)*'PPA Assumptions &amp;Summary'!N25/1000</f>
        <v>963.296858395323</v>
      </c>
      <c r="P13" s="425" t="n">
        <f aca="false">(Operations!O25+Operations!O27)*'PPA Assumptions &amp;Summary'!O25/1000</f>
        <v>992.195764147183</v>
      </c>
      <c r="Q13" s="425" t="n">
        <f aca="false">(Operations!P25+Operations!P27)*'PPA Assumptions &amp;Summary'!P25/1000</f>
        <v>1021.9616370716</v>
      </c>
      <c r="R13" s="425" t="n">
        <f aca="false">(Operations!Q25+Operations!Q27)*'PPA Assumptions &amp;Summary'!Q25/1000</f>
        <v>1052.62048618375</v>
      </c>
      <c r="S13" s="425" t="n">
        <f aca="false">(Operations!R25+Operations!R27)*'PPA Assumptions &amp;Summary'!R25/1000</f>
        <v>1084.19910076926</v>
      </c>
      <c r="T13" s="425" t="n">
        <f aca="false">(Operations!S25+Operations!S27)*'PPA Assumptions &amp;Summary'!S25/1000</f>
        <v>1116.72507379234</v>
      </c>
      <c r="U13" s="425" t="n">
        <f aca="false">(Operations!T25+Operations!T27)*'PPA Assumptions &amp;Summary'!T25/1000</f>
        <v>1150.22682600611</v>
      </c>
      <c r="V13" s="425" t="n">
        <f aca="false">(Operations!U25+Operations!U27)*'PPA Assumptions &amp;Summary'!U25/1000</f>
        <v>1184.73363078629</v>
      </c>
      <c r="W13" s="425" t="n">
        <f aca="false">(Operations!V25+Operations!V27)*'PPA Assumptions &amp;Summary'!V25/1000</f>
        <v>1220.27563970988</v>
      </c>
      <c r="X13" s="425" t="n">
        <f aca="false">(Operations!W25+Operations!W27)*'PPA Assumptions &amp;Summary'!W25/1000</f>
        <v>529.811481043759</v>
      </c>
      <c r="Y13" s="425" t="n">
        <f aca="false">(Operations!X25+Operations!X27)*'PPA Assumptions &amp;Summary'!X25/1000</f>
        <v>0</v>
      </c>
      <c r="Z13" s="425" t="n">
        <f aca="false">(Operations!Y25+Operations!Y27)*'PPA Assumptions &amp;Summary'!Y25/1000</f>
        <v>0</v>
      </c>
      <c r="AA13" s="425" t="n">
        <f aca="false">(Operations!Z25+Operations!Z27)*'PPA Assumptions &amp;Summary'!Z25/1000</f>
        <v>0</v>
      </c>
      <c r="AB13" s="426" t="n">
        <f aca="false">(Operations!AA25+Operations!AA27)*'PPA Assumptions &amp;Summary'!AA25/1000</f>
        <v>0</v>
      </c>
    </row>
    <row r="14" customFormat="false" ht="12.6" hidden="false" customHeight="true" outlineLevel="0" collapsed="false">
      <c r="B14" s="403" t="s">
        <v>494</v>
      </c>
      <c r="D14" s="425" t="n">
        <f aca="false">IF(D4&gt;ProjectLife+1,0,(Main_Start*'Project Assumptions'!$L$15*((1+Main_Escal)^(D5-BaseYr))+Fuel_Start*'Project Assumptions'!$L$16)/1000)+((Main_Start*1/3)*'Project Assumptions'!$L$15*((1+Main_Escal)^(D5-BaseYr))+Fuel_Start*'Project Assumptions'!$L$16)/1000*D8/12</f>
        <v>1853.0112</v>
      </c>
      <c r="E14" s="425" t="n">
        <f aca="false">IF(E4&gt;ProjectLife+1,0,(Main_Start*'Project Assumptions'!$L$15*((1+Main_Escal)^(E5-BaseYr))+Fuel_Start*'Project Assumptions'!$L$16)/1000)*E7/12+((Main_Start*1/3)*'Project Assumptions'!$L$15*((1+Main_Escal)^(E5-BaseYr))+Fuel_Start*'Project Assumptions'!$L$16)/1000*E8/12</f>
        <v>1908.601536</v>
      </c>
      <c r="F14" s="425" t="n">
        <f aca="false">IF(F4&gt;ProjectLife+1,0,(Main_Start*'Project Assumptions'!$L$15*((1+Main_Escal)^(F5-BaseYr))+Fuel_Start*'Project Assumptions'!$L$16)/1000)*F7/12+((Main_Start*1/3)*'Project Assumptions'!$L$15*((1+Main_Escal)^(F5-BaseYr))+Fuel_Start*'Project Assumptions'!$L$16)/1000*F8/12</f>
        <v>1965.85958208</v>
      </c>
      <c r="G14" s="425" t="n">
        <f aca="false">IF(G4&gt;ProjectLife+1,0,(Main_Start*'Project Assumptions'!$L$15*((1+Main_Escal)^(G5-BaseYr))+Fuel_Start*'Project Assumptions'!$L$16)/1000)*G7/12+((Main_Start*1/3)*'Project Assumptions'!$L$15*((1+Main_Escal)^(G5-BaseYr))+Fuel_Start*'Project Assumptions'!$L$16)/1000*G8/12</f>
        <v>1237.39939249813</v>
      </c>
      <c r="H14" s="425" t="n">
        <f aca="false">IF(H4&gt;ProjectLife+1,0,(Main_Start*'Project Assumptions'!$L$15*((1+Main_Escal)^(H5-BaseYr))+Fuel_Start*'Project Assumptions'!$L$16)/1000)*H7/12+((Main_Start*1/3)*'Project Assumptions'!$L$15*((1+Main_Escal)^(H5-BaseYr))+Fuel_Start*'Project Assumptions'!$L$16)/1000*H8/12</f>
        <v>695.193476876224</v>
      </c>
      <c r="I14" s="425" t="n">
        <f aca="false">IF(I4&gt;ProjectLife+1,0,(Main_Start*'Project Assumptions'!$L$15*((1+Main_Escal)^(I5-BaseYr))+Fuel_Start*'Project Assumptions'!$L$16)/1000)*I7/12+((Main_Start*1/3)*'Project Assumptions'!$L$15*((1+Main_Escal)^(I5-BaseYr))+Fuel_Start*'Project Assumptions'!$L$16)/1000*I8/12</f>
        <v>716.049281182511</v>
      </c>
      <c r="J14" s="425" t="n">
        <f aca="false">IF(J4&gt;ProjectLife+1,0,(Main_Start*'Project Assumptions'!$L$15*((1+Main_Escal)^(J5-BaseYr))+Fuel_Start*'Project Assumptions'!$L$16)/1000)*J7/12+((Main_Start*1/3)*'Project Assumptions'!$L$15*((1+Main_Escal)^(J5-BaseYr))+Fuel_Start*'Project Assumptions'!$L$16)/1000*J8/12</f>
        <v>737.530759617986</v>
      </c>
      <c r="K14" s="425" t="n">
        <f aca="false">IF(K4&gt;ProjectLife+1,0,(Main_Start*'Project Assumptions'!$L$15*((1+Main_Escal)^(K5-BaseYr))+Fuel_Start*'Project Assumptions'!$L$16)/1000)*K7/12+((Main_Start*1/3)*'Project Assumptions'!$L$15*((1+Main_Escal)^(K5-BaseYr))+Fuel_Start*'Project Assumptions'!$L$16)/1000*K8/12</f>
        <v>759.656682406526</v>
      </c>
      <c r="L14" s="425" t="n">
        <f aca="false">IF(L4&gt;ProjectLife+1,0,(Main_Start*'Project Assumptions'!$L$15*((1+Main_Escal)^(L5-BaseYr))+Fuel_Start*'Project Assumptions'!$L$16)/1000)*L7/12+((Main_Start*1/3)*'Project Assumptions'!$L$15*((1+Main_Escal)^(L5-BaseYr))+Fuel_Start*'Project Assumptions'!$L$16)/1000*L8/12</f>
        <v>782.446382878722</v>
      </c>
      <c r="M14" s="425" t="n">
        <f aca="false">IF(M4&gt;ProjectLife+1,0,(Main_Start*'Project Assumptions'!$L$15*((1+Main_Escal)^(M5-BaseYr))+Fuel_Start*'Project Assumptions'!$L$16)/1000)*M7/12+((Main_Start*1/3)*'Project Assumptions'!$L$15*((1+Main_Escal)^(M5-BaseYr))+Fuel_Start*'Project Assumptions'!$L$16)/1000*M8/12</f>
        <v>805.919774365083</v>
      </c>
      <c r="N14" s="425" t="n">
        <f aca="false">IF(N4&gt;ProjectLife+1,0,(Main_Start*'Project Assumptions'!$L$15*((1+Main_Escal)^(N5-BaseYr))+Fuel_Start*'Project Assumptions'!$L$16)/1000)*N7/12+((Main_Start*1/3)*'Project Assumptions'!$L$15*((1+Main_Escal)^(N5-BaseYr))+Fuel_Start*'Project Assumptions'!$L$16)/1000*N8/12</f>
        <v>830.097367596036</v>
      </c>
      <c r="O14" s="425" t="n">
        <f aca="false">IF(O4&gt;ProjectLife+1,0,(Main_Start*'Project Assumptions'!$L$15*((1+Main_Escal)^(O5-BaseYr))+Fuel_Start*'Project Assumptions'!$L$16)/1000)*O7/12+((Main_Start*1/3)*'Project Assumptions'!$L$15*((1+Main_Escal)^(O5-BaseYr))+Fuel_Start*'Project Assumptions'!$L$16)/1000*O8/12</f>
        <v>855.000288623917</v>
      </c>
      <c r="P14" s="425" t="n">
        <f aca="false">IF(P4&gt;ProjectLife+1,0,(Main_Start*'Project Assumptions'!$L$15*((1+Main_Escal)^(P5-BaseYr))+Fuel_Start*'Project Assumptions'!$L$16)/1000)*P7/12+((Main_Start*1/3)*'Project Assumptions'!$L$15*((1+Main_Escal)^(P5-BaseYr))+Fuel_Start*'Project Assumptions'!$L$16)/1000*P8/12</f>
        <v>880.650297282634</v>
      </c>
      <c r="Q14" s="425" t="n">
        <f aca="false">IF(Q4&gt;ProjectLife+1,0,(Main_Start*'Project Assumptions'!$L$15*((1+Main_Escal)^(Q5-BaseYr))+Fuel_Start*'Project Assumptions'!$L$16)/1000)*Q7/12+((Main_Start*1/3)*'Project Assumptions'!$L$15*((1+Main_Escal)^(Q5-BaseYr))+Fuel_Start*'Project Assumptions'!$L$16)/1000*Q8/12</f>
        <v>907.069806201114</v>
      </c>
      <c r="R14" s="425" t="n">
        <f aca="false">IF(R4&gt;ProjectLife+1,0,(Main_Start*'Project Assumptions'!$L$15*((1+Main_Escal)^(R5-BaseYr))+Fuel_Start*'Project Assumptions'!$L$16)/1000)*R7/12+((Main_Start*1/3)*'Project Assumptions'!$L$15*((1+Main_Escal)^(R5-BaseYr))+Fuel_Start*'Project Assumptions'!$L$16)/1000*R8/12</f>
        <v>934.281900387147</v>
      </c>
      <c r="S14" s="425" t="n">
        <f aca="false">IF(S4&gt;ProjectLife+1,0,(Main_Start*'Project Assumptions'!$L$15*((1+Main_Escal)^(S5-BaseYr))+Fuel_Start*'Project Assumptions'!$L$16)/1000)*S7/12+((Main_Start*1/3)*'Project Assumptions'!$L$15*((1+Main_Escal)^(S5-BaseYr))+Fuel_Start*'Project Assumptions'!$L$16)/1000*S8/12</f>
        <v>962.310357398761</v>
      </c>
      <c r="T14" s="425" t="n">
        <f aca="false">IF(T4&gt;ProjectLife+1,0,(Main_Start*'Project Assumptions'!$L$15*((1+Main_Escal)^(T5-BaseYr))+Fuel_Start*'Project Assumptions'!$L$16)/1000)*T7/12+((Main_Start*1/3)*'Project Assumptions'!$L$15*((1+Main_Escal)^(T5-BaseYr))+Fuel_Start*'Project Assumptions'!$L$16)/1000*T8/12</f>
        <v>991.179668120724</v>
      </c>
      <c r="U14" s="425" t="n">
        <f aca="false">IF(U4&gt;ProjectLife+1,0,(Main_Start*'Project Assumptions'!$L$15*((1+Main_Escal)^(U5-BaseYr))+Fuel_Start*'Project Assumptions'!$L$16)/1000)*U7/12+((Main_Start*1/3)*'Project Assumptions'!$L$15*((1+Main_Escal)^(U5-BaseYr))+Fuel_Start*'Project Assumptions'!$L$16)/1000*U8/12</f>
        <v>1020.91505816435</v>
      </c>
      <c r="V14" s="425" t="n">
        <f aca="false">IF(V4&gt;ProjectLife+1,0,(Main_Start*'Project Assumptions'!$L$15*((1+Main_Escal)^(V5-BaseYr))+Fuel_Start*'Project Assumptions'!$L$16)/1000)*V7/12+((Main_Start*1/3)*'Project Assumptions'!$L$15*((1+Main_Escal)^(V5-BaseYr))+Fuel_Start*'Project Assumptions'!$L$16)/1000*V8/12</f>
        <v>1051.54250990928</v>
      </c>
      <c r="W14" s="425" t="n">
        <f aca="false">IF(W4&gt;ProjectLife+1,0,(Main_Start*'Project Assumptions'!$L$15*((1+Main_Escal)^(W5-BaseYr))+Fuel_Start*'Project Assumptions'!$L$16)/1000)*W7/12+((Main_Start*1/3)*'Project Assumptions'!$L$15*((1+Main_Escal)^(W5-BaseYr))+Fuel_Start*'Project Assumptions'!$L$16)/1000*W8/12</f>
        <v>1083.08878520655</v>
      </c>
      <c r="X14" s="425" t="n">
        <f aca="false">IF(X4&gt;ProjectLife+1,0,(Main_Start*'Project Assumptions'!$L$15*((1+Main_Escal)^(X5-BaseYr))+Fuel_Start*'Project Assumptions'!$L$16)/1000)*X7/12+((Main_Start*1/3)*'Project Assumptions'!$L$15*((1+Main_Escal)^(X5-BaseYr))+Fuel_Start*'Project Assumptions'!$L$16)/1000</f>
        <v>1115.58144876275</v>
      </c>
      <c r="Y14" s="425" t="n">
        <f aca="false">IF(Y4&gt;ProjectLife+1,0,(Main_Start*'Project Assumptions'!$L$15*((1+Main_Escal)^(Y5-BaseYr))+Fuel_Start*'Project Assumptions'!$L$16)/1000)*Y7/12+((Main_Start*1/3)*'Project Assumptions'!$L$15*((1+Main_Escal)^(Y5-BaseYr))+Fuel_Start*'Project Assumptions'!$L$16)/1000*Y8/12</f>
        <v>0</v>
      </c>
      <c r="Z14" s="425" t="n">
        <f aca="false">IF(Z4&gt;ProjectLife+1,0,(Main_Start*'Project Assumptions'!$L$15*((1+Main_Escal)^(Z5-BaseYr))+Fuel_Start*'Project Assumptions'!$L$16)/1000)*Z7/12+((Main_Start*1/3)*'Project Assumptions'!$L$15*((1+Main_Escal)^(Z5-BaseYr))+Fuel_Start*'Project Assumptions'!$L$16)/1000*Z8/12</f>
        <v>0</v>
      </c>
      <c r="AA14" s="425" t="n">
        <f aca="false">IF(AA4&gt;ProjectLife+1,0,(Main_Start*'Project Assumptions'!$L$15*((1+Main_Escal)^(AA5-BaseYr))+Fuel_Start*'Project Assumptions'!$L$16)/1000)*AA7/12+((Main_Start*1/3)*'Project Assumptions'!$L$15*((1+Main_Escal)^(AA5-BaseYr))+Fuel_Start*'Project Assumptions'!$L$16)/1000*AA8/12</f>
        <v>0</v>
      </c>
      <c r="AB14" s="426" t="n">
        <f aca="false">IF(AB4&gt;ProjectLife+1,0,(Main_Start*'Project Assumptions'!$L$15*((1+Main_Escal)^(AB5-BaseYr))+Fuel_Start*'Project Assumptions'!$L$16)/1000)*AB7/12+((Main_Start*1/3)*'Project Assumptions'!$L$15*((1+Main_Escal)^(AB5-BaseYr))+Fuel_Start*'Project Assumptions'!$L$16)/1000*AB8/12</f>
        <v>0</v>
      </c>
    </row>
    <row r="15" customFormat="false" ht="12.6" hidden="false" customHeight="true" outlineLevel="0" collapsed="false">
      <c r="B15" s="403" t="s">
        <v>495</v>
      </c>
      <c r="D15" s="434" t="n">
        <f aca="false">Operations!C20*AnnualHours*(Energy_Margin)/1000*D8/12</f>
        <v>0</v>
      </c>
      <c r="E15" s="434" t="n">
        <f aca="false">Operations!D20*AnnualHours*(Energy_Margin)/1000*E8/12</f>
        <v>0</v>
      </c>
      <c r="F15" s="434" t="n">
        <f aca="false">Operations!E20*AnnualHours*(Energy_Margin)/1000*F8/12</f>
        <v>0</v>
      </c>
      <c r="G15" s="434" t="n">
        <f aca="false">Operations!F20*AnnualHours*(Energy_Margin)/1000*G8/12</f>
        <v>5.32941966666667</v>
      </c>
      <c r="H15" s="434" t="n">
        <f aca="false">Operations!G20*AnnualHours*(Energy_Margin)/1000*H8/12</f>
        <v>15.661968</v>
      </c>
      <c r="I15" s="434" t="n">
        <f aca="false">Operations!H20*AnnualHours*(Energy_Margin)/1000*I8/12</f>
        <v>15.661968</v>
      </c>
      <c r="J15" s="434" t="n">
        <f aca="false">Operations!I20*AnnualHours*(Energy_Margin)/1000*J8/12</f>
        <v>15.661968</v>
      </c>
      <c r="K15" s="434" t="n">
        <f aca="false">Operations!J20*AnnualHours*(Energy_Margin)/1000*K8/12</f>
        <v>15.661968</v>
      </c>
      <c r="L15" s="434" t="n">
        <f aca="false">Operations!K20*AnnualHours*(Energy_Margin)/1000*L8/12</f>
        <v>15.661968</v>
      </c>
      <c r="M15" s="434" t="n">
        <f aca="false">Operations!L20*AnnualHours*(Energy_Margin)/1000*M8/12</f>
        <v>15.661968</v>
      </c>
      <c r="N15" s="434" t="n">
        <f aca="false">Operations!M20*AnnualHours*(Energy_Margin)/1000*N8/12</f>
        <v>15.661968</v>
      </c>
      <c r="O15" s="434" t="n">
        <f aca="false">Operations!N20*AnnualHours*(Energy_Margin)/1000*O8/12</f>
        <v>15.661968</v>
      </c>
      <c r="P15" s="434" t="n">
        <f aca="false">Operations!O20*AnnualHours*(Energy_Margin)/1000*P8/12</f>
        <v>15.661968</v>
      </c>
      <c r="Q15" s="434" t="n">
        <f aca="false">Operations!P20*AnnualHours*(Energy_Margin)/1000*Q8/12</f>
        <v>15.661968</v>
      </c>
      <c r="R15" s="434" t="n">
        <f aca="false">Operations!Q20*AnnualHours*(Energy_Margin)/1000*R8/12</f>
        <v>15.661968</v>
      </c>
      <c r="S15" s="434" t="n">
        <f aca="false">Operations!R20*AnnualHours*(Energy_Margin)/1000*S8/12</f>
        <v>15.661968</v>
      </c>
      <c r="T15" s="434" t="n">
        <f aca="false">Operations!S20*AnnualHours*(Energy_Margin)/1000*T8/12</f>
        <v>15.661968</v>
      </c>
      <c r="U15" s="434" t="n">
        <f aca="false">Operations!T20*AnnualHours*(Energy_Margin)/1000*U8/12</f>
        <v>15.661968</v>
      </c>
      <c r="V15" s="434" t="n">
        <f aca="false">Operations!U20*AnnualHours*(Energy_Margin)/1000*V8/12</f>
        <v>15.661968</v>
      </c>
      <c r="W15" s="434" t="n">
        <f aca="false">Operations!V20*AnnualHours*(Energy_Margin)/1000*W8/12</f>
        <v>15.661968</v>
      </c>
      <c r="X15" s="434" t="n">
        <f aca="false">Operations!W20*AnnualHours*(Energy_Margin)/1000*X8/12</f>
        <v>2.71909166666667</v>
      </c>
      <c r="Y15" s="434" t="n">
        <f aca="false">Operations!X20*AnnualHours*(Energy_Margin)/1000*Y8/12</f>
        <v>0</v>
      </c>
      <c r="Z15" s="434" t="n">
        <f aca="false">Operations!Y20*AnnualHours*(Energy_Margin)/1000*Z8/12</f>
        <v>0</v>
      </c>
      <c r="AA15" s="434" t="n">
        <f aca="false">Operations!Z20*AnnualHours*(Energy_Margin)/1000*AA8/12</f>
        <v>0</v>
      </c>
      <c r="AB15" s="428" t="n">
        <f aca="false">Operations!AA20*AnnualHours*(Energy_Margin)/1000*AB8/12</f>
        <v>0</v>
      </c>
    </row>
    <row r="16" customFormat="false" ht="12.6" hidden="false" customHeight="true" outlineLevel="0" collapsed="false">
      <c r="B16" s="403" t="s">
        <v>357</v>
      </c>
      <c r="D16" s="648" t="n">
        <f aca="false">'PPA Assumptions &amp;Summary'!C15</f>
        <v>0</v>
      </c>
      <c r="E16" s="648" t="n">
        <f aca="false">'PPA Assumptions &amp;Summary'!D15</f>
        <v>0</v>
      </c>
      <c r="F16" s="648" t="n">
        <f aca="false">'PPA Assumptions &amp;Summary'!E15</f>
        <v>0</v>
      </c>
      <c r="G16" s="648" t="n">
        <f aca="false">'PPA Assumptions &amp;Summary'!F15</f>
        <v>0</v>
      </c>
      <c r="H16" s="648" t="n">
        <f aca="false">'PPA Assumptions &amp;Summary'!G15</f>
        <v>0</v>
      </c>
      <c r="I16" s="648" t="n">
        <f aca="false">'PPA Assumptions &amp;Summary'!H15</f>
        <v>0</v>
      </c>
      <c r="J16" s="648" t="n">
        <f aca="false">'PPA Assumptions &amp;Summary'!I15</f>
        <v>0</v>
      </c>
      <c r="K16" s="648" t="n">
        <f aca="false">'PPA Assumptions &amp;Summary'!J15</f>
        <v>0</v>
      </c>
      <c r="L16" s="648" t="n">
        <f aca="false">'PPA Assumptions &amp;Summary'!K15</f>
        <v>0</v>
      </c>
      <c r="M16" s="648" t="n">
        <f aca="false">'PPA Assumptions &amp;Summary'!L15</f>
        <v>0</v>
      </c>
      <c r="N16" s="648" t="n">
        <f aca="false">'PPA Assumptions &amp;Summary'!M15</f>
        <v>0</v>
      </c>
      <c r="O16" s="648" t="n">
        <f aca="false">'PPA Assumptions &amp;Summary'!N15</f>
        <v>0</v>
      </c>
      <c r="P16" s="648" t="n">
        <f aca="false">'PPA Assumptions &amp;Summary'!O15</f>
        <v>0</v>
      </c>
      <c r="Q16" s="648" t="n">
        <f aca="false">'PPA Assumptions &amp;Summary'!P15</f>
        <v>0</v>
      </c>
      <c r="R16" s="648" t="n">
        <f aca="false">'PPA Assumptions &amp;Summary'!Q15</f>
        <v>0</v>
      </c>
      <c r="S16" s="648" t="n">
        <f aca="false">'PPA Assumptions &amp;Summary'!R15</f>
        <v>0</v>
      </c>
      <c r="T16" s="648" t="n">
        <f aca="false">'PPA Assumptions &amp;Summary'!S15</f>
        <v>0</v>
      </c>
      <c r="U16" s="648" t="n">
        <f aca="false">'PPA Assumptions &amp;Summary'!T15</f>
        <v>0</v>
      </c>
      <c r="V16" s="648" t="n">
        <f aca="false">'PPA Assumptions &amp;Summary'!U15</f>
        <v>0</v>
      </c>
      <c r="W16" s="648" t="n">
        <f aca="false">'PPA Assumptions &amp;Summary'!V15</f>
        <v>0</v>
      </c>
      <c r="X16" s="648" t="n">
        <f aca="false">'PPA Assumptions &amp;Summary'!W15</f>
        <v>0</v>
      </c>
      <c r="Y16" s="648" t="n">
        <f aca="false">'PPA Assumptions &amp;Summary'!X15</f>
        <v>0</v>
      </c>
      <c r="Z16" s="648" t="n">
        <f aca="false">'PPA Assumptions &amp;Summary'!Y15</f>
        <v>0</v>
      </c>
      <c r="AA16" s="648" t="n">
        <f aca="false">'PPA Assumptions &amp;Summary'!Z15</f>
        <v>0</v>
      </c>
      <c r="AB16" s="649" t="n">
        <f aca="false">'PPA Assumptions &amp;Summary'!AA15</f>
        <v>0</v>
      </c>
    </row>
    <row r="17" customFormat="false" ht="12.6" hidden="false" customHeight="true" outlineLevel="0" collapsed="false">
      <c r="B17" s="403" t="s">
        <v>358</v>
      </c>
      <c r="D17" s="650" t="n">
        <f aca="false">'PPA Assumptions &amp;Summary'!C16</f>
        <v>0</v>
      </c>
      <c r="E17" s="650" t="n">
        <f aca="false">'PPA Assumptions &amp;Summary'!D16</f>
        <v>0</v>
      </c>
      <c r="F17" s="650" t="n">
        <f aca="false">'PPA Assumptions &amp;Summary'!E16</f>
        <v>0</v>
      </c>
      <c r="G17" s="650" t="n">
        <f aca="false">'PPA Assumptions &amp;Summary'!F16</f>
        <v>0</v>
      </c>
      <c r="H17" s="650" t="n">
        <f aca="false">'PPA Assumptions &amp;Summary'!G16</f>
        <v>0</v>
      </c>
      <c r="I17" s="650" t="n">
        <f aca="false">'PPA Assumptions &amp;Summary'!H16</f>
        <v>0</v>
      </c>
      <c r="J17" s="650" t="n">
        <f aca="false">'PPA Assumptions &amp;Summary'!I16</f>
        <v>0</v>
      </c>
      <c r="K17" s="650" t="n">
        <f aca="false">'PPA Assumptions &amp;Summary'!J16</f>
        <v>0</v>
      </c>
      <c r="L17" s="650" t="n">
        <f aca="false">'PPA Assumptions &amp;Summary'!K16</f>
        <v>0</v>
      </c>
      <c r="M17" s="650" t="n">
        <f aca="false">'PPA Assumptions &amp;Summary'!L16</f>
        <v>0</v>
      </c>
      <c r="N17" s="650" t="n">
        <f aca="false">'PPA Assumptions &amp;Summary'!M16</f>
        <v>0</v>
      </c>
      <c r="O17" s="650" t="n">
        <f aca="false">'PPA Assumptions &amp;Summary'!N16</f>
        <v>0</v>
      </c>
      <c r="P17" s="650" t="n">
        <f aca="false">'PPA Assumptions &amp;Summary'!O16</f>
        <v>0</v>
      </c>
      <c r="Q17" s="650" t="n">
        <f aca="false">'PPA Assumptions &amp;Summary'!P16</f>
        <v>0</v>
      </c>
      <c r="R17" s="650" t="n">
        <f aca="false">'PPA Assumptions &amp;Summary'!Q16</f>
        <v>0</v>
      </c>
      <c r="S17" s="650" t="n">
        <f aca="false">'PPA Assumptions &amp;Summary'!R16</f>
        <v>0</v>
      </c>
      <c r="T17" s="650" t="n">
        <f aca="false">'PPA Assumptions &amp;Summary'!S16</f>
        <v>0</v>
      </c>
      <c r="U17" s="650" t="n">
        <f aca="false">'PPA Assumptions &amp;Summary'!T16</f>
        <v>0</v>
      </c>
      <c r="V17" s="650" t="n">
        <f aca="false">'PPA Assumptions &amp;Summary'!U16</f>
        <v>0</v>
      </c>
      <c r="W17" s="650" t="n">
        <f aca="false">'PPA Assumptions &amp;Summary'!V16</f>
        <v>0</v>
      </c>
      <c r="X17" s="650" t="n">
        <f aca="false">'PPA Assumptions &amp;Summary'!W16</f>
        <v>0</v>
      </c>
      <c r="Y17" s="650" t="n">
        <f aca="false">'PPA Assumptions &amp;Summary'!X16</f>
        <v>0</v>
      </c>
      <c r="Z17" s="650" t="n">
        <f aca="false">'PPA Assumptions &amp;Summary'!Y16</f>
        <v>0</v>
      </c>
      <c r="AA17" s="650" t="n">
        <f aca="false">'PPA Assumptions &amp;Summary'!Z16</f>
        <v>0</v>
      </c>
      <c r="AB17" s="651" t="n">
        <f aca="false">'PPA Assumptions &amp;Summary'!AA16</f>
        <v>0</v>
      </c>
    </row>
    <row r="18" customFormat="false" ht="12.6" hidden="false" customHeight="true" outlineLevel="0" collapsed="false">
      <c r="B18" s="652" t="s">
        <v>496</v>
      </c>
      <c r="C18" s="482"/>
      <c r="D18" s="653" t="n">
        <f aca="false">SUM(D11:D17)</f>
        <v>41364.1276</v>
      </c>
      <c r="E18" s="653" t="n">
        <f aca="false">SUM(E11:E17)</f>
        <v>53599.168868</v>
      </c>
      <c r="F18" s="653" t="n">
        <f aca="false">SUM(F11:F17)</f>
        <v>53676.46137404</v>
      </c>
      <c r="G18" s="653" t="n">
        <f aca="false">SUM(G11:G17)</f>
        <v>65143.1014397198</v>
      </c>
      <c r="H18" s="653" t="n">
        <f aca="false">SUM(H11:H17)</f>
        <v>73806.6892850544</v>
      </c>
      <c r="I18" s="653" t="n">
        <f aca="false">SUM(I11:I17)</f>
        <v>75317.217318826</v>
      </c>
      <c r="J18" s="653" t="n">
        <f aca="false">SUM(J11:J17)</f>
        <v>75252.7853412367</v>
      </c>
      <c r="K18" s="653" t="n">
        <f aca="false">SUM(K11:K17)</f>
        <v>75972.2541927211</v>
      </c>
      <c r="L18" s="653" t="n">
        <f aca="false">SUM(L11:L17)</f>
        <v>76688.2738478309</v>
      </c>
      <c r="M18" s="653" t="n">
        <f aca="false">SUM(M11:M17)</f>
        <v>77399.9898328172</v>
      </c>
      <c r="N18" s="653" t="n">
        <f aca="false">SUM(N11:N17)</f>
        <v>78106.4995097831</v>
      </c>
      <c r="O18" s="653" t="n">
        <f aca="false">SUM(O11:O17)</f>
        <v>78806.8499558608</v>
      </c>
      <c r="P18" s="653" t="n">
        <f aca="false">SUM(P11:P17)</f>
        <v>79500.0357584877</v>
      </c>
      <c r="Q18" s="653" t="n">
        <f aca="false">SUM(Q11:Q17)</f>
        <v>80184.9967236554</v>
      </c>
      <c r="R18" s="653" t="n">
        <f aca="false">SUM(R11:R17)</f>
        <v>80860.6154938939</v>
      </c>
      <c r="S18" s="653" t="n">
        <f aca="false">SUM(S11:S17)</f>
        <v>81525.7150726388</v>
      </c>
      <c r="T18" s="653" t="n">
        <f aca="false">SUM(T11:T17)</f>
        <v>82179.0562515073</v>
      </c>
      <c r="U18" s="653" t="n">
        <f aca="false">SUM(U11:U17)</f>
        <v>82819.3349368859</v>
      </c>
      <c r="V18" s="653" t="n">
        <f aca="false">SUM(V11:V17)</f>
        <v>83445.1793721043</v>
      </c>
      <c r="W18" s="653" t="n">
        <f aca="false">SUM(W11:W17)</f>
        <v>82865.4323941846</v>
      </c>
      <c r="X18" s="653" t="n">
        <f aca="false">SUM(X11:X17)</f>
        <v>35526.3023726025</v>
      </c>
      <c r="Y18" s="653" t="n">
        <f aca="false">SUM(Y11:Y17)</f>
        <v>0</v>
      </c>
      <c r="Z18" s="653" t="n">
        <f aca="false">SUM(Z11:Z17)</f>
        <v>0</v>
      </c>
      <c r="AA18" s="653" t="n">
        <f aca="false">SUM(AA11:AA17)</f>
        <v>0</v>
      </c>
      <c r="AB18" s="654" t="n">
        <f aca="false">SUM(AB11:AB17)</f>
        <v>0</v>
      </c>
    </row>
    <row r="19" customFormat="false" ht="12.6" hidden="false" customHeight="true" outlineLevel="0" collapsed="false">
      <c r="B19" s="655"/>
      <c r="C19" s="656" t="s">
        <v>269</v>
      </c>
      <c r="D19" s="657"/>
      <c r="E19" s="657"/>
      <c r="F19" s="657"/>
      <c r="G19" s="657"/>
      <c r="H19" s="657"/>
      <c r="I19" s="657"/>
      <c r="J19" s="657"/>
      <c r="K19" s="657"/>
      <c r="L19" s="657"/>
      <c r="M19" s="657"/>
      <c r="N19" s="657"/>
      <c r="O19" s="657"/>
      <c r="P19" s="657"/>
      <c r="Q19" s="657"/>
      <c r="R19" s="657"/>
      <c r="S19" s="657"/>
      <c r="T19" s="657"/>
      <c r="U19" s="657"/>
      <c r="V19" s="657"/>
      <c r="W19" s="657"/>
      <c r="X19" s="657"/>
      <c r="Y19" s="657"/>
      <c r="Z19" s="657"/>
      <c r="AA19" s="657"/>
      <c r="AB19" s="657"/>
    </row>
    <row r="20" customFormat="false" ht="12.6" hidden="false" customHeight="true" outlineLevel="0" collapsed="false">
      <c r="B20" s="416"/>
      <c r="D20" s="611"/>
      <c r="E20" s="611"/>
      <c r="F20" s="611"/>
      <c r="G20" s="611"/>
      <c r="H20" s="611"/>
      <c r="I20" s="611"/>
      <c r="J20" s="611"/>
      <c r="K20" s="611"/>
      <c r="L20" s="611"/>
      <c r="M20" s="611"/>
      <c r="N20" s="611"/>
      <c r="O20" s="611"/>
      <c r="P20" s="611"/>
      <c r="Q20" s="611"/>
      <c r="R20" s="611"/>
      <c r="S20" s="611"/>
      <c r="T20" s="611"/>
      <c r="U20" s="611"/>
      <c r="V20" s="611"/>
      <c r="W20" s="611"/>
      <c r="X20" s="611"/>
      <c r="Y20" s="611"/>
      <c r="Z20" s="611"/>
      <c r="AA20" s="611"/>
      <c r="AB20" s="611"/>
    </row>
    <row r="21" customFormat="false" ht="12.6" hidden="false" customHeight="true" outlineLevel="0" collapsed="false">
      <c r="B21" s="643" t="s">
        <v>497</v>
      </c>
      <c r="C21" s="477"/>
      <c r="D21" s="658"/>
      <c r="E21" s="658"/>
      <c r="F21" s="658"/>
      <c r="G21" s="658"/>
      <c r="H21" s="658"/>
      <c r="I21" s="658"/>
      <c r="J21" s="658"/>
      <c r="K21" s="658"/>
      <c r="L21" s="658"/>
      <c r="M21" s="658"/>
      <c r="N21" s="658"/>
      <c r="O21" s="658"/>
      <c r="P21" s="658"/>
      <c r="Q21" s="658"/>
      <c r="R21" s="658"/>
      <c r="S21" s="658"/>
      <c r="T21" s="658"/>
      <c r="U21" s="658"/>
      <c r="V21" s="658"/>
      <c r="W21" s="658"/>
      <c r="X21" s="658"/>
      <c r="Y21" s="658"/>
      <c r="Z21" s="658"/>
      <c r="AA21" s="658"/>
      <c r="AB21" s="659"/>
    </row>
    <row r="22" customFormat="false" ht="12.6" hidden="false" customHeight="true" outlineLevel="0" collapsed="false">
      <c r="B22" s="660"/>
      <c r="D22" s="434"/>
      <c r="E22" s="434"/>
      <c r="F22" s="434"/>
      <c r="G22" s="434"/>
      <c r="H22" s="434"/>
      <c r="I22" s="434"/>
      <c r="J22" s="434"/>
      <c r="K22" s="434"/>
      <c r="L22" s="434"/>
      <c r="M22" s="434"/>
      <c r="N22" s="434"/>
      <c r="O22" s="434"/>
      <c r="P22" s="434"/>
      <c r="Q22" s="434"/>
      <c r="R22" s="434"/>
      <c r="S22" s="434"/>
      <c r="T22" s="434"/>
      <c r="U22" s="434"/>
      <c r="V22" s="434"/>
      <c r="W22" s="434"/>
      <c r="X22" s="434"/>
      <c r="Y22" s="434"/>
      <c r="Z22" s="434"/>
      <c r="AA22" s="434"/>
      <c r="AB22" s="428"/>
    </row>
    <row r="23" customFormat="false" ht="12.6" hidden="false" customHeight="true" outlineLevel="0" collapsed="false">
      <c r="B23" s="660" t="s">
        <v>498</v>
      </c>
      <c r="D23" s="434"/>
      <c r="E23" s="434"/>
      <c r="F23" s="434"/>
      <c r="G23" s="434"/>
      <c r="H23" s="434"/>
      <c r="I23" s="434"/>
      <c r="J23" s="434"/>
      <c r="K23" s="434"/>
      <c r="L23" s="434"/>
      <c r="M23" s="434"/>
      <c r="N23" s="434"/>
      <c r="O23" s="434"/>
      <c r="P23" s="434"/>
      <c r="Q23" s="434"/>
      <c r="R23" s="434"/>
      <c r="S23" s="434"/>
      <c r="T23" s="434"/>
      <c r="U23" s="434"/>
      <c r="V23" s="434"/>
      <c r="W23" s="434"/>
      <c r="X23" s="434"/>
      <c r="Y23" s="434"/>
      <c r="Z23" s="434"/>
      <c r="AA23" s="434"/>
      <c r="AB23" s="428"/>
    </row>
    <row r="24" customFormat="false" ht="12.6" hidden="false" customHeight="true" outlineLevel="0" collapsed="false">
      <c r="B24" s="403" t="s">
        <v>499</v>
      </c>
      <c r="D24" s="425" t="n">
        <f aca="false">IF(D4&gt;'Project Assumptions'!$I$15+1,0,Operations!C35)</f>
        <v>21838.752</v>
      </c>
      <c r="E24" s="425" t="n">
        <f aca="false">IF(E4&gt;'Project Assumptions'!$I$15+1,0,Operations!D35)</f>
        <v>21838.752</v>
      </c>
      <c r="F24" s="425" t="n">
        <f aca="false">IF(F4&gt;'Project Assumptions'!$I$15+1,0,Operations!E35)</f>
        <v>21838.752</v>
      </c>
      <c r="G24" s="425" t="n">
        <f aca="false">IF(G4&gt;'Project Assumptions'!$I$15+1,0,Operations!F35)</f>
        <v>22886.8123963375</v>
      </c>
      <c r="H24" s="425" t="n">
        <f aca="false">IF(H4&gt;'Project Assumptions'!$I$15+1,0,Operations!G35)</f>
        <v>23440.092858</v>
      </c>
      <c r="I24" s="425" t="n">
        <f aca="false">IF(I4&gt;'Project Assumptions'!$I$15+1,0,Operations!H35)</f>
        <v>23440.092858</v>
      </c>
      <c r="J24" s="425" t="n">
        <f aca="false">IF(J4&gt;'Project Assumptions'!$I$15+1,0,Operations!I35)</f>
        <v>23440.092858</v>
      </c>
      <c r="K24" s="425" t="n">
        <f aca="false">IF(K4&gt;'Project Assumptions'!$I$15+1,0,Operations!J35)</f>
        <v>23440.092858</v>
      </c>
      <c r="L24" s="425" t="n">
        <f aca="false">IF(L4&gt;'Project Assumptions'!$I$15+1,0,Operations!K35)</f>
        <v>23440.092858</v>
      </c>
      <c r="M24" s="425" t="n">
        <f aca="false">IF(M4&gt;'Project Assumptions'!$I$15+1,0,Operations!L35)</f>
        <v>23440.092858</v>
      </c>
      <c r="N24" s="425" t="n">
        <f aca="false">IF(N4&gt;'Project Assumptions'!$I$15+1,0,Operations!M35)</f>
        <v>23440.092858</v>
      </c>
      <c r="O24" s="425" t="n">
        <f aca="false">IF(O4&gt;'Project Assumptions'!$I$15+1,0,Operations!N35)</f>
        <v>23440.092858</v>
      </c>
      <c r="P24" s="425" t="n">
        <f aca="false">IF(P4&gt;'Project Assumptions'!$I$15+1,0,Operations!O35)</f>
        <v>23440.092858</v>
      </c>
      <c r="Q24" s="425" t="n">
        <f aca="false">IF(Q4&gt;'Project Assumptions'!$I$15+1,0,Operations!P35)</f>
        <v>23440.092858</v>
      </c>
      <c r="R24" s="425" t="n">
        <f aca="false">IF(R4&gt;'Project Assumptions'!$I$15+1,0,Operations!Q35)</f>
        <v>23440.092858</v>
      </c>
      <c r="S24" s="425" t="n">
        <f aca="false">IF(S4&gt;'Project Assumptions'!$I$15+1,0,Operations!R35)</f>
        <v>23440.092858</v>
      </c>
      <c r="T24" s="425" t="n">
        <f aca="false">IF(T4&gt;'Project Assumptions'!$I$15+1,0,Operations!S35)</f>
        <v>23440.092858</v>
      </c>
      <c r="U24" s="425" t="n">
        <f aca="false">IF(U4&gt;'Project Assumptions'!$I$15+1,0,Operations!T35)</f>
        <v>23440.092858</v>
      </c>
      <c r="V24" s="425" t="n">
        <f aca="false">IF(V4&gt;'Project Assumptions'!$I$15+1,0,Operations!U35)</f>
        <v>23440.092858</v>
      </c>
      <c r="W24" s="425" t="n">
        <f aca="false">IF(W4&gt;'Project Assumptions'!$I$15+1,0,Operations!V35)</f>
        <v>23440.092858</v>
      </c>
      <c r="X24" s="425" t="n">
        <f aca="false">IF(X4&gt;'Project Assumptions'!$I$15+1,0,Operations!W35)</f>
        <v>9880.6502533375</v>
      </c>
      <c r="Y24" s="425" t="n">
        <f aca="false">IF(Y4&gt;'Project Assumptions'!$I$15+1,0,Operations!X35)</f>
        <v>0</v>
      </c>
      <c r="Z24" s="425" t="n">
        <f aca="false">IF(Z4&gt;'Project Assumptions'!$I$15+1,0,Operations!Y35)</f>
        <v>0</v>
      </c>
      <c r="AA24" s="425" t="n">
        <f aca="false">IF(AA4&gt;'Project Assumptions'!$I$15+1,0,Operations!Z35)</f>
        <v>0</v>
      </c>
      <c r="AB24" s="426" t="n">
        <f aca="false">IF(AB4&gt;'Project Assumptions'!$I$15+1,0,Operations!AA35)</f>
        <v>0</v>
      </c>
    </row>
    <row r="25" customFormat="false" ht="12.6" hidden="false" customHeight="true" outlineLevel="0" collapsed="false">
      <c r="B25" s="403"/>
      <c r="D25" s="425"/>
      <c r="E25" s="425"/>
      <c r="F25" s="425"/>
      <c r="G25" s="425"/>
      <c r="H25" s="425"/>
      <c r="I25" s="425"/>
      <c r="J25" s="425"/>
      <c r="K25" s="425"/>
      <c r="L25" s="425"/>
      <c r="M25" s="425"/>
      <c r="N25" s="425"/>
      <c r="O25" s="425"/>
      <c r="P25" s="425"/>
      <c r="Q25" s="425"/>
      <c r="R25" s="425"/>
      <c r="S25" s="425"/>
      <c r="T25" s="425"/>
      <c r="U25" s="425"/>
      <c r="V25" s="425"/>
      <c r="W25" s="425"/>
      <c r="X25" s="425"/>
      <c r="Y25" s="425"/>
      <c r="Z25" s="425"/>
      <c r="AA25" s="425"/>
      <c r="AB25" s="426"/>
    </row>
    <row r="26" customFormat="false" ht="12.6" hidden="false" customHeight="true" outlineLevel="0" collapsed="false">
      <c r="A26" s="626" t="n">
        <v>3</v>
      </c>
      <c r="B26" s="661" t="s">
        <v>500</v>
      </c>
      <c r="D26" s="425" t="n">
        <f aca="false">IF(D4&gt;'Project Assumptions'!$I$15+1,0,WaterMWh*(Operations!C25+Operations!C27))*((1+OM_Escal)^(D5-'Project Assumptions'!$N$6))/1000</f>
        <v>61.8</v>
      </c>
      <c r="E26" s="425" t="n">
        <f aca="false">IF(E4&gt;'Project Assumptions'!$I$15+1,0,WaterMWh*(Operations!D25+Operations!D27))*((1+OM_Escal)^(E5-'Project Assumptions'!$N$6))/1000</f>
        <v>63.654</v>
      </c>
      <c r="F26" s="425" t="n">
        <f aca="false">IF(F4&gt;'Project Assumptions'!$I$15+1,0,WaterMWh*(Operations!E25+Operations!E27))*((1+OM_Escal)^(F5-'Project Assumptions'!$N$6))/1000</f>
        <v>65.56362</v>
      </c>
      <c r="G26" s="425" t="n">
        <f aca="false">IF(G4&gt;'Project Assumptions'!$I$15+1,0,WaterMWh*(Operations!F25+Operations!F27))*((1+OM_Escal)^(G5-'Project Assumptions'!$N$6))/1000</f>
        <v>70.7713764547399</v>
      </c>
      <c r="H26" s="425" t="n">
        <f aca="false">IF(H4&gt;'Project Assumptions'!$I$15+1,0,WaterMWh*(Operations!G25+Operations!G27))*((1+OM_Escal)^(H5-'Project Assumptions'!$N$6))/1000</f>
        <v>74.6567165087016</v>
      </c>
      <c r="I26" s="425" t="n">
        <f aca="false">IF(I4&gt;'Project Assumptions'!$I$15+1,0,WaterMWh*(Operations!H25+Operations!H27))*((1+OM_Escal)^(I5-'Project Assumptions'!$N$6))/1000</f>
        <v>76.8964180039626</v>
      </c>
      <c r="J26" s="425" t="n">
        <f aca="false">IF(J4&gt;'Project Assumptions'!$I$15+1,0,WaterMWh*(Operations!I25+Operations!I27))*((1+OM_Escal)^(J5-'Project Assumptions'!$N$6))/1000</f>
        <v>79.2033105440815</v>
      </c>
      <c r="K26" s="425" t="n">
        <f aca="false">IF(K4&gt;'Project Assumptions'!$I$15+1,0,WaterMWh*(Operations!J25+Operations!J27))*((1+OM_Escal)^(K5-'Project Assumptions'!$N$6))/1000</f>
        <v>81.579409860404</v>
      </c>
      <c r="L26" s="425" t="n">
        <f aca="false">IF(L4&gt;'Project Assumptions'!$I$15+1,0,WaterMWh*(Operations!K25+Operations!K27))*((1+OM_Escal)^(L5-'Project Assumptions'!$N$6))/1000</f>
        <v>84.0267921562161</v>
      </c>
      <c r="M26" s="425" t="n">
        <f aca="false">IF(M4&gt;'Project Assumptions'!$I$15+1,0,WaterMWh*(Operations!L25+Operations!L27))*((1+OM_Escal)^(M5-'Project Assumptions'!$N$6))/1000</f>
        <v>86.5475959209026</v>
      </c>
      <c r="N26" s="425" t="n">
        <f aca="false">IF(N4&gt;'Project Assumptions'!$I$15+1,0,WaterMWh*(Operations!M25+Operations!M27))*((1+OM_Escal)^(N5-'Project Assumptions'!$N$6))/1000</f>
        <v>89.1440237985296</v>
      </c>
      <c r="O26" s="425" t="n">
        <f aca="false">IF(O4&gt;'Project Assumptions'!$I$15+1,0,WaterMWh*(Operations!N25+Operations!N27))*((1+OM_Escal)^(O5-'Project Assumptions'!$N$6))/1000</f>
        <v>91.8183445124855</v>
      </c>
      <c r="P26" s="425" t="n">
        <f aca="false">IF(P4&gt;'Project Assumptions'!$I$15+1,0,WaterMWh*(Operations!O25+Operations!O27))*((1+OM_Escal)^(P5-'Project Assumptions'!$N$6))/1000</f>
        <v>94.5728948478601</v>
      </c>
      <c r="Q26" s="425" t="n">
        <f aca="false">IF(Q4&gt;'Project Assumptions'!$I$15+1,0,WaterMWh*(Operations!P25+Operations!P27))*((1+OM_Escal)^(Q5-'Project Assumptions'!$N$6))/1000</f>
        <v>97.4100816932959</v>
      </c>
      <c r="R26" s="425" t="n">
        <f aca="false">IF(R4&gt;'Project Assumptions'!$I$15+1,0,WaterMWh*(Operations!Q25+Operations!Q27))*((1+OM_Escal)^(R5-'Project Assumptions'!$N$6))/1000</f>
        <v>100.332384144095</v>
      </c>
      <c r="S26" s="425" t="n">
        <f aca="false">IF(S4&gt;'Project Assumptions'!$I$15+1,0,WaterMWh*(Operations!R25+Operations!R27))*((1+OM_Escal)^(S5-'Project Assumptions'!$N$6))/1000</f>
        <v>103.342355668418</v>
      </c>
      <c r="T26" s="425" t="n">
        <f aca="false">IF(T4&gt;'Project Assumptions'!$I$15+1,0,WaterMWh*(Operations!S25+Operations!S27))*((1+OM_Escal)^(T5-'Project Assumptions'!$N$6))/1000</f>
        <v>106.44262633847</v>
      </c>
      <c r="U26" s="425" t="n">
        <f aca="false">IF(U4&gt;'Project Assumptions'!$I$15+1,0,WaterMWh*(Operations!T25+Operations!T27))*((1+OM_Escal)^(U5-'Project Assumptions'!$N$6))/1000</f>
        <v>109.635905128624</v>
      </c>
      <c r="V26" s="425" t="n">
        <f aca="false">IF(V4&gt;'Project Assumptions'!$I$15+1,0,WaterMWh*(Operations!U25+Operations!U27))*((1+OM_Escal)^(V5-'Project Assumptions'!$N$6))/1000</f>
        <v>112.924982282483</v>
      </c>
      <c r="W26" s="425" t="n">
        <f aca="false">IF(W4&gt;'Project Assumptions'!$I$15+1,0,WaterMWh*(Operations!V25+Operations!V27))*((1+OM_Escal)^(W5-'Project Assumptions'!$N$6))/1000</f>
        <v>116.312731750958</v>
      </c>
      <c r="X26" s="425" t="n">
        <f aca="false">IF(X4&gt;'Project Assumptions'!$I$15+1,0,WaterMWh*(Operations!W25+Operations!W27))*((1+OM_Escal)^(X5-'Project Assumptions'!$N$6))/1000</f>
        <v>50.4999187625112</v>
      </c>
      <c r="Y26" s="425" t="n">
        <f aca="false">IF(Y4&gt;'Project Assumptions'!$I$15+1,0,WaterMWh*(Operations!X25+Operations!X27))*((1+OM_Escal)^(Y5-'Project Assumptions'!$N$6))/1000</f>
        <v>0</v>
      </c>
      <c r="Z26" s="425" t="n">
        <f aca="false">IF(Z4&gt;'Project Assumptions'!$I$15+1,0,WaterMWh*(Operations!Y25+Operations!Y27))*((1+OM_Escal)^(Z5-'Project Assumptions'!$N$6))/1000</f>
        <v>0</v>
      </c>
      <c r="AA26" s="425" t="n">
        <f aca="false">IF(AA4&gt;'Project Assumptions'!$I$15+1,0,WaterMWh*(Operations!Z25+Operations!Z27))*((1+OM_Escal)^(AA5-'Project Assumptions'!$N$6))/1000</f>
        <v>0</v>
      </c>
      <c r="AB26" s="426" t="n">
        <f aca="false">IF(AB4&gt;'Project Assumptions'!$I$15+1,0,WaterMWh*(Operations!AA25+Operations!AA27))*((1+OM_Escal)^(AB5-'Project Assumptions'!$N$6))/1000</f>
        <v>0</v>
      </c>
    </row>
    <row r="27" customFormat="false" ht="12.6" hidden="false" customHeight="true" outlineLevel="0" collapsed="false">
      <c r="A27" s="626" t="n">
        <v>3</v>
      </c>
      <c r="B27" s="661" t="s">
        <v>501</v>
      </c>
      <c r="D27" s="425" t="n">
        <f aca="false">IF(D4&gt;'Project Assumptions'!$I$15+1,0,FercMWh*(Operations!C25+Operations!C27))*((1+OM_Escal)^(D5-'Project Assumptions'!$N$6))/1000</f>
        <v>37.5744</v>
      </c>
      <c r="E27" s="425" t="n">
        <f aca="false">IF(E4&gt;'Project Assumptions'!$I$15+1,0,FercMWh*(Operations!D25+Operations!D27))*((1+OM_Escal)^(E5-'Project Assumptions'!$N$6))/1000</f>
        <v>38.701632</v>
      </c>
      <c r="F27" s="425" t="n">
        <f aca="false">IF(F4&gt;'Project Assumptions'!$I$15+1,0,FercMWh*(Operations!E25+Operations!E27))*((1+OM_Escal)^(F5-'Project Assumptions'!$N$6))/1000</f>
        <v>39.86268096</v>
      </c>
      <c r="G27" s="425" t="n">
        <f aca="false">IF(G4&gt;'Project Assumptions'!$I$15+1,0,FercMWh*(Operations!F25+Operations!F27))*((1+OM_Escal)^(G5-'Project Assumptions'!$N$6))/1000</f>
        <v>43.0289968844819</v>
      </c>
      <c r="H27" s="425" t="n">
        <f aca="false">IF(H4&gt;'Project Assumptions'!$I$15+1,0,FercMWh*(Operations!G25+Operations!G27))*((1+OM_Escal)^(H5-'Project Assumptions'!$N$6))/1000</f>
        <v>45.3912836372906</v>
      </c>
      <c r="I27" s="425" t="n">
        <f aca="false">IF(I4&gt;'Project Assumptions'!$I$15+1,0,FercMWh*(Operations!H25+Operations!H27))*((1+OM_Escal)^(I5-'Project Assumptions'!$N$6))/1000</f>
        <v>46.7530221464093</v>
      </c>
      <c r="J27" s="425" t="n">
        <f aca="false">IF(J4&gt;'Project Assumptions'!$I$15+1,0,FercMWh*(Operations!I25+Operations!I27))*((1+OM_Escal)^(J5-'Project Assumptions'!$N$6))/1000</f>
        <v>48.1556128108016</v>
      </c>
      <c r="K27" s="425" t="n">
        <f aca="false">IF(K4&gt;'Project Assumptions'!$I$15+1,0,FercMWh*(Operations!J25+Operations!J27))*((1+OM_Escal)^(K5-'Project Assumptions'!$N$6))/1000</f>
        <v>49.6002811951256</v>
      </c>
      <c r="L27" s="425" t="n">
        <f aca="false">IF(L4&gt;'Project Assumptions'!$I$15+1,0,FercMWh*(Operations!K25+Operations!K27))*((1+OM_Escal)^(L5-'Project Assumptions'!$N$6))/1000</f>
        <v>51.0882896309794</v>
      </c>
      <c r="M27" s="425" t="n">
        <f aca="false">IF(M4&gt;'Project Assumptions'!$I$15+1,0,FercMWh*(Operations!L25+Operations!L27))*((1+OM_Escal)^(M5-'Project Assumptions'!$N$6))/1000</f>
        <v>52.6209383199088</v>
      </c>
      <c r="N27" s="425" t="n">
        <f aca="false">IF(N4&gt;'Project Assumptions'!$I$15+1,0,FercMWh*(Operations!M25+Operations!M27))*((1+OM_Escal)^(N5-'Project Assumptions'!$N$6))/1000</f>
        <v>54.199566469506</v>
      </c>
      <c r="O27" s="425" t="n">
        <f aca="false">IF(O4&gt;'Project Assumptions'!$I$15+1,0,FercMWh*(Operations!N25+Operations!N27))*((1+OM_Escal)^(O5-'Project Assumptions'!$N$6))/1000</f>
        <v>55.8255534635912</v>
      </c>
      <c r="P27" s="425" t="n">
        <f aca="false">IF(P4&gt;'Project Assumptions'!$I$15+1,0,FercMWh*(Operations!O25+Operations!O27))*((1+OM_Escal)^(P5-'Project Assumptions'!$N$6))/1000</f>
        <v>57.500320067499</v>
      </c>
      <c r="Q27" s="425" t="n">
        <f aca="false">IF(Q4&gt;'Project Assumptions'!$I$15+1,0,FercMWh*(Operations!P25+Operations!P27))*((1+OM_Escal)^(Q5-'Project Assumptions'!$N$6))/1000</f>
        <v>59.2253296695239</v>
      </c>
      <c r="R27" s="425" t="n">
        <f aca="false">IF(R4&gt;'Project Assumptions'!$I$15+1,0,FercMWh*(Operations!Q25+Operations!Q27))*((1+OM_Escal)^(R5-'Project Assumptions'!$N$6))/1000</f>
        <v>61.0020895596096</v>
      </c>
      <c r="S27" s="425" t="n">
        <f aca="false">IF(S4&gt;'Project Assumptions'!$I$15+1,0,FercMWh*(Operations!R25+Operations!R27))*((1+OM_Escal)^(S5-'Project Assumptions'!$N$6))/1000</f>
        <v>62.8321522463979</v>
      </c>
      <c r="T27" s="425" t="n">
        <f aca="false">IF(T4&gt;'Project Assumptions'!$I$15+1,0,FercMWh*(Operations!S25+Operations!S27))*((1+OM_Escal)^(T5-'Project Assumptions'!$N$6))/1000</f>
        <v>64.7171168137899</v>
      </c>
      <c r="U27" s="425" t="n">
        <f aca="false">IF(U4&gt;'Project Assumptions'!$I$15+1,0,FercMWh*(Operations!T25+Operations!T27))*((1+OM_Escal)^(U5-'Project Assumptions'!$N$6))/1000</f>
        <v>66.6586303182036</v>
      </c>
      <c r="V27" s="425" t="n">
        <f aca="false">IF(V4&gt;'Project Assumptions'!$I$15+1,0,FercMWh*(Operations!U25+Operations!U27))*((1+OM_Escal)^(V5-'Project Assumptions'!$N$6))/1000</f>
        <v>68.6583892277497</v>
      </c>
      <c r="W27" s="425" t="n">
        <f aca="false">IF(W4&gt;'Project Assumptions'!$I$15+1,0,FercMWh*(Operations!V25+Operations!V27))*((1+OM_Escal)^(W5-'Project Assumptions'!$N$6))/1000</f>
        <v>70.7181409045822</v>
      </c>
      <c r="X27" s="425" t="n">
        <f aca="false">IF(X4&gt;'Project Assumptions'!$I$15+1,0,FercMWh*(Operations!W25+Operations!W27))*((1+OM_Escal)^(X5-'Project Assumptions'!$N$6))/1000</f>
        <v>30.7039506076068</v>
      </c>
      <c r="Y27" s="425" t="n">
        <f aca="false">IF(Y4&gt;'Project Assumptions'!$I$15+1,0,FercMWh*(Operations!X25+Operations!X27))*((1+OM_Escal)^(Y5-'Project Assumptions'!$N$6))/1000</f>
        <v>0</v>
      </c>
      <c r="Z27" s="425" t="n">
        <f aca="false">IF(Z4&gt;'Project Assumptions'!$I$15+1,0,FercMWh*(Operations!Y25+Operations!Y27))*((1+OM_Escal)^(Z5-'Project Assumptions'!$N$6))/1000</f>
        <v>0</v>
      </c>
      <c r="AA27" s="425" t="n">
        <f aca="false">IF(AA4&gt;'Project Assumptions'!$I$15+1,0,FercMWh*(Operations!Z25+Operations!Z27))*((1+OM_Escal)^(AA5-'Project Assumptions'!$N$6))/1000</f>
        <v>0</v>
      </c>
      <c r="AB27" s="426" t="n">
        <f aca="false">IF(AB4&gt;'Project Assumptions'!$I$15+1,0,FercMWh*(Operations!AA25+Operations!AA27))*((1+OM_Escal)^(AB5-'Project Assumptions'!$N$6))/1000</f>
        <v>0</v>
      </c>
    </row>
    <row r="28" customFormat="false" ht="12.6" hidden="false" customHeight="true" outlineLevel="0" collapsed="false">
      <c r="A28" s="626" t="n">
        <v>3</v>
      </c>
      <c r="B28" s="661" t="s">
        <v>502</v>
      </c>
      <c r="D28" s="430" t="n">
        <f aca="false">IF(D4&gt;'Project Assumptions'!$I$15+1,0,MainMWh*(Operations!C25+Operations!C27))*((1+OM_Escal)^(D5-'Project Assumptions'!$N$6))/1000</f>
        <v>548.99</v>
      </c>
      <c r="E28" s="430" t="n">
        <f aca="false">IF(E4&gt;'Project Assumptions'!$I$15+1,0,MainMWh*(Operations!D25+Operations!D27))*((1+OM_Escal)^(E5-'Project Assumptions'!$N$6))/1000</f>
        <v>565.4597</v>
      </c>
      <c r="F28" s="430" t="n">
        <f aca="false">IF(F4&gt;'Project Assumptions'!$I$15+1,0,MainMWh*(Operations!E25+Operations!E27))*((1+OM_Escal)^(F5-'Project Assumptions'!$N$6))/1000</f>
        <v>582.423491</v>
      </c>
      <c r="G28" s="430" t="n">
        <f aca="false">IF(G4&gt;'Project Assumptions'!$I$15+1,0,MainMWh*(Operations!F25+Operations!F27))*((1+OM_Escal)^(G5-'Project Assumptions'!$N$6))/1000</f>
        <v>628.685727506273</v>
      </c>
      <c r="H28" s="430" t="n">
        <f aca="false">IF(H4&gt;'Project Assumptions'!$I$15+1,0,MainMWh*(Operations!G25+Operations!G27))*((1+OM_Escal)^(H5-'Project Assumptions'!$N$6))/1000</f>
        <v>663.200498318966</v>
      </c>
      <c r="I28" s="430" t="n">
        <f aca="false">IF(I4&gt;'Project Assumptions'!$I$15+1,0,MainMWh*(Operations!H25+Operations!H27))*((1+OM_Escal)^(I5-'Project Assumptions'!$N$6))/1000</f>
        <v>683.096513268535</v>
      </c>
      <c r="J28" s="430" t="n">
        <f aca="false">IF(J4&gt;'Project Assumptions'!$I$15+1,0,MainMWh*(Operations!I25+Operations!I27))*((1+OM_Escal)^(J5-'Project Assumptions'!$N$6))/1000</f>
        <v>703.589408666591</v>
      </c>
      <c r="K28" s="430" t="n">
        <f aca="false">IF(K4&gt;'Project Assumptions'!$I$15+1,0,MainMWh*(Operations!J25+Operations!J27))*((1+OM_Escal)^(K5-'Project Assumptions'!$N$6))/1000</f>
        <v>724.697090926589</v>
      </c>
      <c r="L28" s="430" t="n">
        <f aca="false">IF(L4&gt;'Project Assumptions'!$I$15+1,0,MainMWh*(Operations!K25+Operations!K27))*((1+OM_Escal)^(L5-'Project Assumptions'!$N$6))/1000</f>
        <v>746.438003654386</v>
      </c>
      <c r="M28" s="430" t="n">
        <f aca="false">IF(M4&gt;'Project Assumptions'!$I$15+1,0,MainMWh*(Operations!L25+Operations!L27))*((1+OM_Escal)^(M5-'Project Assumptions'!$N$6))/1000</f>
        <v>768.831143764018</v>
      </c>
      <c r="N28" s="430" t="n">
        <f aca="false">IF(N4&gt;'Project Assumptions'!$I$15+1,0,MainMWh*(Operations!M25+Operations!M27))*((1+OM_Escal)^(N5-'Project Assumptions'!$N$6))/1000</f>
        <v>791.896078076938</v>
      </c>
      <c r="O28" s="430" t="n">
        <f aca="false">IF(O4&gt;'Project Assumptions'!$I$15+1,0,MainMWh*(Operations!N25+Operations!N27))*((1+OM_Escal)^(O5-'Project Assumptions'!$N$6))/1000</f>
        <v>815.652960419247</v>
      </c>
      <c r="P28" s="430" t="n">
        <f aca="false">IF(P4&gt;'Project Assumptions'!$I$15+1,0,MainMWh*(Operations!O25+Operations!O27))*((1+OM_Escal)^(P5-'Project Assumptions'!$N$6))/1000</f>
        <v>840.122549231824</v>
      </c>
      <c r="Q28" s="430" t="n">
        <f aca="false">IF(Q4&gt;'Project Assumptions'!$I$15+1,0,MainMWh*(Operations!P25+Operations!P27))*((1+OM_Escal)^(Q5-'Project Assumptions'!$N$6))/1000</f>
        <v>865.326225708779</v>
      </c>
      <c r="R28" s="430" t="n">
        <f aca="false">IF(R4&gt;'Project Assumptions'!$I$15+1,0,MainMWh*(Operations!Q25+Operations!Q27))*((1+OM_Escal)^(R5-'Project Assumptions'!$N$6))/1000</f>
        <v>891.286012480042</v>
      </c>
      <c r="S28" s="430" t="n">
        <f aca="false">IF(S4&gt;'Project Assumptions'!$I$15+1,0,MainMWh*(Operations!R25+Operations!R27))*((1+OM_Escal)^(S5-'Project Assumptions'!$N$6))/1000</f>
        <v>918.024592854443</v>
      </c>
      <c r="T28" s="430" t="n">
        <f aca="false">IF(T4&gt;'Project Assumptions'!$I$15+1,0,MainMWh*(Operations!S25+Operations!S27))*((1+OM_Escal)^(T5-'Project Assumptions'!$N$6))/1000</f>
        <v>945.565330640077</v>
      </c>
      <c r="U28" s="430" t="n">
        <f aca="false">IF(U4&gt;'Project Assumptions'!$I$15+1,0,MainMWh*(Operations!T25+Operations!T27))*((1+OM_Escal)^(U5-'Project Assumptions'!$N$6))/1000</f>
        <v>973.932290559279</v>
      </c>
      <c r="V28" s="430" t="n">
        <f aca="false">IF(V4&gt;'Project Assumptions'!$I$15+1,0,MainMWh*(Operations!U25+Operations!U27))*((1+OM_Escal)^(V5-'Project Assumptions'!$N$6))/1000</f>
        <v>1003.15025927606</v>
      </c>
      <c r="W28" s="430" t="n">
        <f aca="false">IF(W4&gt;'Project Assumptions'!$I$15+1,0,MainMWh*(Operations!V25+Operations!V27))*((1+OM_Escal)^(W5-'Project Assumptions'!$N$6))/1000</f>
        <v>1033.24476705434</v>
      </c>
      <c r="X28" s="430" t="n">
        <f aca="false">IF(X4&gt;'Project Assumptions'!$I$15+1,0,MainMWh*(Operations!W25+Operations!W27))*((1+OM_Escal)^(X5-'Project Assumptions'!$N$6))/1000</f>
        <v>448.607611673641</v>
      </c>
      <c r="Y28" s="430" t="n">
        <f aca="false">IF(Y4&gt;'Project Assumptions'!$I$15+1,0,MainMWh*(Operations!X25+Operations!X27))*((1+OM_Escal)^(Y5-'Project Assumptions'!$N$6))/1000</f>
        <v>0</v>
      </c>
      <c r="Z28" s="430" t="n">
        <f aca="false">IF(Z4&gt;'Project Assumptions'!$I$15+1,0,MainMWh*(Operations!Y25+Operations!Y27))*((1+OM_Escal)^(Z5-'Project Assumptions'!$N$6))/1000</f>
        <v>0</v>
      </c>
      <c r="AA28" s="430" t="n">
        <f aca="false">IF(AA4&gt;'Project Assumptions'!$I$15+1,0,MainMWh*(Operations!Z25+Operations!Z27))*((1+OM_Escal)^(AA5-'Project Assumptions'!$N$6))/1000</f>
        <v>0</v>
      </c>
      <c r="AB28" s="662" t="n">
        <f aca="false">IF(AB4&gt;'Project Assumptions'!$I$15+1,0,MainMWh*(Operations!AA25+Operations!AA27))*((1+OM_Escal)^(AB5-'Project Assumptions'!$N$6))/1000</f>
        <v>0</v>
      </c>
    </row>
    <row r="29" customFormat="false" ht="12.6" hidden="false" customHeight="true" outlineLevel="0" collapsed="false">
      <c r="B29" s="660" t="s">
        <v>503</v>
      </c>
      <c r="C29" s="600" t="n">
        <f aca="false">AVERAGE(D29:W29)</f>
        <v>926.718131967303</v>
      </c>
      <c r="D29" s="663" t="n">
        <f aca="false">SUM(D26:D28)</f>
        <v>648.3644</v>
      </c>
      <c r="E29" s="663" t="n">
        <f aca="false">SUM(E26:E28)</f>
        <v>667.815332</v>
      </c>
      <c r="F29" s="663" t="n">
        <f aca="false">SUM(F26:F28)</f>
        <v>687.84979196</v>
      </c>
      <c r="G29" s="663" t="n">
        <f aca="false">SUM(G26:G28)</f>
        <v>742.486100845495</v>
      </c>
      <c r="H29" s="663" t="n">
        <f aca="false">SUM(H26:H28)</f>
        <v>783.248498464958</v>
      </c>
      <c r="I29" s="663" t="n">
        <f aca="false">SUM(I26:I28)</f>
        <v>806.745953418907</v>
      </c>
      <c r="J29" s="663" t="n">
        <f aca="false">SUM(J26:J28)</f>
        <v>830.948332021474</v>
      </c>
      <c r="K29" s="663" t="n">
        <f aca="false">SUM(K26:K28)</f>
        <v>855.876781982118</v>
      </c>
      <c r="L29" s="663" t="n">
        <f aca="false">SUM(L26:L28)</f>
        <v>881.553085441582</v>
      </c>
      <c r="M29" s="663" t="n">
        <f aca="false">SUM(M26:M28)</f>
        <v>907.999678004829</v>
      </c>
      <c r="N29" s="663" t="n">
        <f aca="false">SUM(N26:N28)</f>
        <v>935.239668344974</v>
      </c>
      <c r="O29" s="663" t="n">
        <f aca="false">SUM(O26:O28)</f>
        <v>963.296858395323</v>
      </c>
      <c r="P29" s="663" t="n">
        <f aca="false">SUM(P26:P28)</f>
        <v>992.195764147183</v>
      </c>
      <c r="Q29" s="663" t="n">
        <f aca="false">SUM(Q26:Q28)</f>
        <v>1021.9616370716</v>
      </c>
      <c r="R29" s="663" t="n">
        <f aca="false">SUM(R26:R28)</f>
        <v>1052.62048618375</v>
      </c>
      <c r="S29" s="663" t="n">
        <f aca="false">SUM(S26:S28)</f>
        <v>1084.19910076926</v>
      </c>
      <c r="T29" s="663" t="n">
        <f aca="false">SUM(T26:T28)</f>
        <v>1116.72507379234</v>
      </c>
      <c r="U29" s="663" t="n">
        <f aca="false">SUM(U26:U28)</f>
        <v>1150.22682600611</v>
      </c>
      <c r="V29" s="663" t="n">
        <f aca="false">SUM(V26:V28)</f>
        <v>1184.73363078629</v>
      </c>
      <c r="W29" s="663" t="n">
        <f aca="false">SUM(W26:W28)</f>
        <v>1220.27563970988</v>
      </c>
      <c r="X29" s="663" t="n">
        <f aca="false">SUM(X26:X28)</f>
        <v>529.811481043759</v>
      </c>
      <c r="Y29" s="663" t="n">
        <f aca="false">SUM(Y26:Y28)</f>
        <v>0</v>
      </c>
      <c r="Z29" s="663" t="n">
        <f aca="false">SUM(Z26:Z28)</f>
        <v>0</v>
      </c>
      <c r="AA29" s="663" t="n">
        <f aca="false">SUM(AA26:AA28)</f>
        <v>0</v>
      </c>
      <c r="AB29" s="664" t="n">
        <f aca="false">SUM(AB26:AB28)</f>
        <v>0</v>
      </c>
    </row>
    <row r="30" customFormat="false" ht="12.6" hidden="false" customHeight="true" outlineLevel="0" collapsed="false">
      <c r="B30" s="665"/>
      <c r="D30" s="404"/>
      <c r="E30" s="425"/>
      <c r="F30" s="425"/>
      <c r="G30" s="425"/>
      <c r="H30" s="425"/>
      <c r="I30" s="425"/>
      <c r="J30" s="425"/>
      <c r="K30" s="425"/>
      <c r="L30" s="425"/>
      <c r="M30" s="425"/>
      <c r="N30" s="425"/>
      <c r="O30" s="425"/>
      <c r="P30" s="425"/>
      <c r="Q30" s="425"/>
      <c r="R30" s="425"/>
      <c r="S30" s="425"/>
      <c r="T30" s="425"/>
      <c r="U30" s="425"/>
      <c r="V30" s="425"/>
      <c r="W30" s="425"/>
      <c r="X30" s="425"/>
      <c r="Y30" s="425"/>
      <c r="Z30" s="425"/>
      <c r="AA30" s="425"/>
      <c r="AB30" s="426"/>
    </row>
    <row r="31" customFormat="false" ht="12.6" hidden="false" customHeight="true" outlineLevel="0" collapsed="false">
      <c r="B31" s="666" t="s">
        <v>504</v>
      </c>
      <c r="D31" s="600" t="n">
        <f aca="false">D24+D29</f>
        <v>22487.1164</v>
      </c>
      <c r="E31" s="600" t="n">
        <f aca="false">E24+E29</f>
        <v>22506.567332</v>
      </c>
      <c r="F31" s="600" t="n">
        <f aca="false">F24+F29</f>
        <v>22526.60179196</v>
      </c>
      <c r="G31" s="600" t="n">
        <f aca="false">G24+G29</f>
        <v>23629.298497183</v>
      </c>
      <c r="H31" s="600" t="n">
        <f aca="false">H24+H29</f>
        <v>24223.341356465</v>
      </c>
      <c r="I31" s="600" t="n">
        <f aca="false">I24+I29</f>
        <v>24246.8388114189</v>
      </c>
      <c r="J31" s="600" t="n">
        <f aca="false">J24+J29</f>
        <v>24271.0411900215</v>
      </c>
      <c r="K31" s="600" t="n">
        <f aca="false">K24+K29</f>
        <v>24295.9696399821</v>
      </c>
      <c r="L31" s="600" t="n">
        <f aca="false">L24+L29</f>
        <v>24321.6459434416</v>
      </c>
      <c r="M31" s="600" t="n">
        <f aca="false">M24+M29</f>
        <v>24348.0925360048</v>
      </c>
      <c r="N31" s="600" t="n">
        <f aca="false">N24+N29</f>
        <v>24375.332526345</v>
      </c>
      <c r="O31" s="600" t="n">
        <f aca="false">O24+O29</f>
        <v>24403.3897163953</v>
      </c>
      <c r="P31" s="600" t="n">
        <f aca="false">P24+P29</f>
        <v>24432.2886221472</v>
      </c>
      <c r="Q31" s="600" t="n">
        <f aca="false">Q24+Q29</f>
        <v>24462.0544950716</v>
      </c>
      <c r="R31" s="600" t="n">
        <f aca="false">R24+R29</f>
        <v>24492.7133441838</v>
      </c>
      <c r="S31" s="600" t="n">
        <f aca="false">S24+S29</f>
        <v>24524.2919587693</v>
      </c>
      <c r="T31" s="600" t="n">
        <f aca="false">T24+T29</f>
        <v>24556.8179317923</v>
      </c>
      <c r="U31" s="600" t="n">
        <f aca="false">U24+U29</f>
        <v>24590.3196840061</v>
      </c>
      <c r="V31" s="600" t="n">
        <f aca="false">V24+V29</f>
        <v>24624.8264887863</v>
      </c>
      <c r="W31" s="600" t="n">
        <f aca="false">W24+W29</f>
        <v>24660.3684977099</v>
      </c>
      <c r="X31" s="600" t="n">
        <f aca="false">X24+X29</f>
        <v>10410.4617343813</v>
      </c>
      <c r="Y31" s="600" t="n">
        <f aca="false">Y24+Y29</f>
        <v>0</v>
      </c>
      <c r="Z31" s="600" t="n">
        <f aca="false">Z24+Z29</f>
        <v>0</v>
      </c>
      <c r="AA31" s="600" t="n">
        <f aca="false">AA24+AA29</f>
        <v>0</v>
      </c>
      <c r="AB31" s="667" t="n">
        <f aca="false">AB24+AB29</f>
        <v>0</v>
      </c>
    </row>
    <row r="32" customFormat="false" ht="12.6" hidden="false" customHeight="true" outlineLevel="0" collapsed="false">
      <c r="B32" s="666"/>
      <c r="AB32" s="523"/>
    </row>
    <row r="33" customFormat="false" ht="12.6" hidden="false" customHeight="true" outlineLevel="0" collapsed="false">
      <c r="B33" s="666" t="s">
        <v>505</v>
      </c>
      <c r="AB33" s="523"/>
    </row>
    <row r="34" customFormat="false" ht="12.6" hidden="false" customHeight="true" outlineLevel="0" collapsed="false">
      <c r="A34" s="626" t="n">
        <v>5</v>
      </c>
      <c r="B34" s="403" t="s">
        <v>506</v>
      </c>
      <c r="C34" s="473" t="n">
        <f aca="false">AVERAGE(D34:W34)</f>
        <v>2489.55524381375</v>
      </c>
      <c r="D34" s="425" t="n">
        <f aca="false">IF(D4&gt;ProjectLife+1,0,Main_Start*'Project Assumptions'!$L$15*((1+Main_Escal)^(D5-BaseYr))/1000)</f>
        <v>1853.0112</v>
      </c>
      <c r="E34" s="425" t="n">
        <f aca="false">IF(E4&gt;ProjectLife+1,0,Main_Start*'Project Assumptions'!$L$15*((1+Main_Escal)^(E5-BaseYr))/1000)</f>
        <v>1908.601536</v>
      </c>
      <c r="F34" s="425" t="n">
        <f aca="false">IF(F4&gt;ProjectLife+1,0,Main_Start*'Project Assumptions'!$L$15*((1+Main_Escal)^(F5-BaseYr))/1000)</f>
        <v>1965.85958208</v>
      </c>
      <c r="G34" s="425" t="n">
        <f aca="false">IF(G4&gt;ProjectLife+1,0,Main_Start*'Project Assumptions'!$L$15*((1+Main_Escal)^(G5-BaseYr))/1000)</f>
        <v>2024.8353695424</v>
      </c>
      <c r="H34" s="425" t="n">
        <f aca="false">IF(H4&gt;ProjectLife+1,0,Main_Start*'Project Assumptions'!$L$15*((1+Main_Escal)^(H5-BaseYr))/1000)</f>
        <v>2085.58043062867</v>
      </c>
      <c r="I34" s="425" t="n">
        <f aca="false">IF(I4&gt;ProjectLife+1,0,Main_Start*'Project Assumptions'!$L$15*((1+Main_Escal)^(I5-BaseYr))/1000)</f>
        <v>2148.14784354753</v>
      </c>
      <c r="J34" s="425" t="n">
        <f aca="false">IF(J4&gt;ProjectLife+1,0,Main_Start*'Project Assumptions'!$L$15*((1+Main_Escal)^(J5-BaseYr))/1000)</f>
        <v>2212.59227885396</v>
      </c>
      <c r="K34" s="425" t="n">
        <f aca="false">IF(K4&gt;ProjectLife+1,0,Main_Start*'Project Assumptions'!$L$15*((1+Main_Escal)^(K5-BaseYr))/1000)</f>
        <v>2278.97004721958</v>
      </c>
      <c r="L34" s="425" t="n">
        <f aca="false">IF(L4&gt;ProjectLife+1,0,Main_Start*'Project Assumptions'!$L$15*((1+Main_Escal)^(L5-BaseYr))/1000)</f>
        <v>2347.33914863616</v>
      </c>
      <c r="M34" s="425" t="n">
        <f aca="false">IF(M4&gt;ProjectLife+1,0,Main_Start*'Project Assumptions'!$L$15*((1+Main_Escal)^(M5-BaseYr))/1000)</f>
        <v>2417.75932309525</v>
      </c>
      <c r="N34" s="425" t="n">
        <f aca="false">IF(N4&gt;ProjectLife+1,0,Main_Start*'Project Assumptions'!$L$15*((1+Main_Escal)^(N5-BaseYr))/1000)</f>
        <v>2490.29210278811</v>
      </c>
      <c r="O34" s="425" t="n">
        <f aca="false">IF(O4&gt;ProjectLife+1,0,Main_Start*'Project Assumptions'!$L$15*((1+Main_Escal)^(O5-BaseYr))/1000)</f>
        <v>2565.00086587175</v>
      </c>
      <c r="P34" s="425" t="n">
        <f aca="false">IF(P4&gt;ProjectLife+1,0,Main_Start*'Project Assumptions'!$L$15*((1+Main_Escal)^(P5-BaseYr))/1000)</f>
        <v>2641.9508918479</v>
      </c>
      <c r="Q34" s="425" t="n">
        <f aca="false">IF(Q4&gt;ProjectLife+1,0,Main_Start*'Project Assumptions'!$L$15*((1+Main_Escal)^(Q5-BaseYr))/1000)</f>
        <v>2721.20941860334</v>
      </c>
      <c r="R34" s="425" t="n">
        <f aca="false">IF(R4&gt;ProjectLife+1,0,Main_Start*'Project Assumptions'!$L$15*((1+Main_Escal)^(R5-BaseYr))/1000)</f>
        <v>2802.84570116144</v>
      </c>
      <c r="S34" s="425" t="n">
        <f aca="false">IF(S4&gt;ProjectLife+1,0,Main_Start*'Project Assumptions'!$L$15*((1+Main_Escal)^(S5-BaseYr))/1000)</f>
        <v>2886.93107219628</v>
      </c>
      <c r="T34" s="425" t="n">
        <f aca="false">IF(T4&gt;ProjectLife+1,0,Main_Start*'Project Assumptions'!$L$15*((1+Main_Escal)^(T5-BaseYr))/1000)</f>
        <v>2973.53900436217</v>
      </c>
      <c r="U34" s="425" t="n">
        <f aca="false">IF(U4&gt;ProjectLife+1,0,Main_Start*'Project Assumptions'!$L$15*((1+Main_Escal)^(U5-BaseYr))/1000)</f>
        <v>3062.74517449304</v>
      </c>
      <c r="V34" s="425" t="n">
        <f aca="false">IF(V4&gt;ProjectLife+1,0,Main_Start*'Project Assumptions'!$L$15*((1+Main_Escal)^(V5-BaseYr))/1000)</f>
        <v>3154.62752972783</v>
      </c>
      <c r="W34" s="425" t="n">
        <f aca="false">IF(W4&gt;ProjectLife+1,0,Main_Start*'Project Assumptions'!$L$15*((1+Main_Escal)^(W5-BaseYr))/1000)</f>
        <v>3249.26635561966</v>
      </c>
      <c r="X34" s="425" t="n">
        <f aca="false">IF(X4&gt;ProjectLife+1,0,Main_Start*'Project Assumptions'!$L$15*((1+Main_Escal)^(X5-BaseYr))/1000)</f>
        <v>3346.74434628825</v>
      </c>
      <c r="Y34" s="425" t="n">
        <f aca="false">IF(Y4&gt;ProjectLife+1,0,Main_Start*'Project Assumptions'!$L$15*((1+Main_Escal)^(Y5-BaseYr))/1000)</f>
        <v>0</v>
      </c>
      <c r="Z34" s="425" t="n">
        <f aca="false">IF(Z4&gt;ProjectLife+1,0,Main_Start*'Project Assumptions'!$L$15*((1+Main_Escal)^(Z5-BaseYr))/1000)</f>
        <v>0</v>
      </c>
      <c r="AA34" s="425" t="n">
        <f aca="false">IF(AA4&gt;ProjectLife+1,0,Main_Start*'Project Assumptions'!$L$15*((1+Main_Escal)^(AA5-BaseYr))/1000)</f>
        <v>0</v>
      </c>
      <c r="AB34" s="426" t="n">
        <f aca="false">IF(AB4&gt;ProjectLife+1,0,Main_Start*'Project Assumptions'!$L$15*((1+Main_Escal)^(AB5-BaseYr))/1000)</f>
        <v>0</v>
      </c>
    </row>
    <row r="35" customFormat="false" ht="12.6" hidden="false" customHeight="true" outlineLevel="0" collapsed="false">
      <c r="A35" s="626" t="n">
        <v>4</v>
      </c>
      <c r="B35" s="661" t="s">
        <v>507</v>
      </c>
      <c r="D35" s="430" t="n">
        <f aca="false">IF(D4&gt;ProjectLife+1,0,Fuel_Start*'Project Assumptions'!$L$16/1000)</f>
        <v>0</v>
      </c>
      <c r="E35" s="430" t="n">
        <f aca="false">IF(E4&gt;ProjectLife+1,0,Fuel_Start*'Project Assumptions'!$L$16/1000)</f>
        <v>0</v>
      </c>
      <c r="F35" s="430" t="n">
        <f aca="false">IF(F4&gt;ProjectLife+1,0,Fuel_Start*'Project Assumptions'!$L$16/1000)</f>
        <v>0</v>
      </c>
      <c r="G35" s="430" t="n">
        <f aca="false">IF(G4&gt;ProjectLife+1,0,Fuel_Start*'Project Assumptions'!$L$16/1000)</f>
        <v>0</v>
      </c>
      <c r="H35" s="430" t="n">
        <f aca="false">IF(H4&gt;ProjectLife+1,0,Fuel_Start*'Project Assumptions'!$L$16/1000)</f>
        <v>0</v>
      </c>
      <c r="I35" s="430" t="n">
        <f aca="false">IF(I4&gt;ProjectLife+1,0,Fuel_Start*'Project Assumptions'!$L$16/1000)</f>
        <v>0</v>
      </c>
      <c r="J35" s="430" t="n">
        <f aca="false">IF(J4&gt;ProjectLife+1,0,Fuel_Start*'Project Assumptions'!$L$16/1000)</f>
        <v>0</v>
      </c>
      <c r="K35" s="430" t="n">
        <f aca="false">IF(K4&gt;ProjectLife+1,0,Fuel_Start*'Project Assumptions'!$L$16/1000)</f>
        <v>0</v>
      </c>
      <c r="L35" s="430" t="n">
        <f aca="false">IF(L4&gt;ProjectLife+1,0,Fuel_Start*'Project Assumptions'!$L$16/1000)</f>
        <v>0</v>
      </c>
      <c r="M35" s="430" t="n">
        <f aca="false">IF(M4&gt;ProjectLife+1,0,Fuel_Start*'Project Assumptions'!$L$16/1000)</f>
        <v>0</v>
      </c>
      <c r="N35" s="430" t="n">
        <f aca="false">IF(N4&gt;ProjectLife+1,0,Fuel_Start*'Project Assumptions'!$L$16/1000)</f>
        <v>0</v>
      </c>
      <c r="O35" s="430" t="n">
        <f aca="false">IF(O4&gt;ProjectLife+1,0,Fuel_Start*'Project Assumptions'!$L$16/1000)</f>
        <v>0</v>
      </c>
      <c r="P35" s="430" t="n">
        <f aca="false">IF(P4&gt;ProjectLife+1,0,Fuel_Start*'Project Assumptions'!$L$16/1000)</f>
        <v>0</v>
      </c>
      <c r="Q35" s="430" t="n">
        <f aca="false">IF(Q4&gt;ProjectLife+1,0,Fuel_Start*'Project Assumptions'!$L$16/1000)</f>
        <v>0</v>
      </c>
      <c r="R35" s="430" t="n">
        <f aca="false">IF(R4&gt;ProjectLife+1,0,Fuel_Start*'Project Assumptions'!$L$16/1000)</f>
        <v>0</v>
      </c>
      <c r="S35" s="430" t="n">
        <f aca="false">IF(S4&gt;ProjectLife+1,0,Fuel_Start*'Project Assumptions'!$L$16/1000)</f>
        <v>0</v>
      </c>
      <c r="T35" s="430" t="n">
        <f aca="false">IF(T4&gt;ProjectLife+1,0,Fuel_Start*'Project Assumptions'!$L$16/1000)</f>
        <v>0</v>
      </c>
      <c r="U35" s="430" t="n">
        <f aca="false">IF(U4&gt;ProjectLife+1,0,Fuel_Start*'Project Assumptions'!$L$16/1000)</f>
        <v>0</v>
      </c>
      <c r="V35" s="430" t="n">
        <f aca="false">IF(V4&gt;ProjectLife+1,0,Fuel_Start*'Project Assumptions'!$L$16/1000)</f>
        <v>0</v>
      </c>
      <c r="W35" s="430" t="n">
        <f aca="false">IF(W4&gt;ProjectLife+1,0,Fuel_Start*'Project Assumptions'!$L$16/1000)</f>
        <v>0</v>
      </c>
      <c r="X35" s="430" t="n">
        <f aca="false">IF(X4&gt;ProjectLife+1,0,Fuel_Start*'Project Assumptions'!$L$16/1000)</f>
        <v>0</v>
      </c>
      <c r="Y35" s="430" t="n">
        <f aca="false">IF(Y4&gt;ProjectLife+1,0,Fuel_Start*'Project Assumptions'!$L$16/1000)</f>
        <v>0</v>
      </c>
      <c r="Z35" s="430" t="n">
        <f aca="false">IF(Z4&gt;ProjectLife+1,0,Fuel_Start*'Project Assumptions'!$L$16/1000)</f>
        <v>0</v>
      </c>
      <c r="AA35" s="430" t="n">
        <f aca="false">IF(AA4&gt;ProjectLife+1,0,Fuel_Start*'Project Assumptions'!$L$16/1000)</f>
        <v>0</v>
      </c>
      <c r="AB35" s="662" t="n">
        <f aca="false">IF(AB4&gt;ProjectLife+1,0,Fuel_Start*'Project Assumptions'!$L$16/1000)</f>
        <v>0</v>
      </c>
    </row>
    <row r="36" customFormat="false" ht="12.6" hidden="false" customHeight="true" outlineLevel="0" collapsed="false">
      <c r="B36" s="666" t="s">
        <v>508</v>
      </c>
      <c r="D36" s="600" t="n">
        <f aca="false">SUM(D34:D35)</f>
        <v>1853.0112</v>
      </c>
      <c r="E36" s="600" t="n">
        <f aca="false">SUM(E34:E35)</f>
        <v>1908.601536</v>
      </c>
      <c r="F36" s="600" t="n">
        <f aca="false">SUM(F34:F35)</f>
        <v>1965.85958208</v>
      </c>
      <c r="G36" s="600" t="n">
        <f aca="false">SUM(G34:G35)</f>
        <v>2024.8353695424</v>
      </c>
      <c r="H36" s="600" t="n">
        <f aca="false">SUM(H34:H35)</f>
        <v>2085.58043062867</v>
      </c>
      <c r="I36" s="600" t="n">
        <f aca="false">SUM(I34:I35)</f>
        <v>2148.14784354753</v>
      </c>
      <c r="J36" s="600" t="n">
        <f aca="false">SUM(J34:J35)</f>
        <v>2212.59227885396</v>
      </c>
      <c r="K36" s="600" t="n">
        <f aca="false">SUM(K34:K35)</f>
        <v>2278.97004721958</v>
      </c>
      <c r="L36" s="600" t="n">
        <f aca="false">SUM(L34:L35)</f>
        <v>2347.33914863616</v>
      </c>
      <c r="M36" s="600" t="n">
        <f aca="false">SUM(M34:M35)</f>
        <v>2417.75932309525</v>
      </c>
      <c r="N36" s="600" t="n">
        <f aca="false">SUM(N34:N35)</f>
        <v>2490.29210278811</v>
      </c>
      <c r="O36" s="600" t="n">
        <f aca="false">SUM(O34:O35)</f>
        <v>2565.00086587175</v>
      </c>
      <c r="P36" s="600" t="n">
        <f aca="false">SUM(P34:P35)</f>
        <v>2641.9508918479</v>
      </c>
      <c r="Q36" s="600" t="n">
        <f aca="false">SUM(Q34:Q35)</f>
        <v>2721.20941860334</v>
      </c>
      <c r="R36" s="600" t="n">
        <f aca="false">SUM(R34:R35)</f>
        <v>2802.84570116144</v>
      </c>
      <c r="S36" s="600" t="n">
        <f aca="false">SUM(S34:S35)</f>
        <v>2886.93107219628</v>
      </c>
      <c r="T36" s="600" t="n">
        <f aca="false">SUM(T34:T35)</f>
        <v>2973.53900436217</v>
      </c>
      <c r="U36" s="600" t="n">
        <f aca="false">SUM(U34:U35)</f>
        <v>3062.74517449304</v>
      </c>
      <c r="V36" s="600" t="n">
        <f aca="false">SUM(V34:V35)</f>
        <v>3154.62752972783</v>
      </c>
      <c r="W36" s="600" t="n">
        <f aca="false">SUM(W34:W35)</f>
        <v>3249.26635561966</v>
      </c>
      <c r="X36" s="600" t="n">
        <f aca="false">SUM(X34:X35)</f>
        <v>3346.74434628825</v>
      </c>
      <c r="Y36" s="600" t="n">
        <f aca="false">SUM(Y34:Y35)</f>
        <v>0</v>
      </c>
      <c r="Z36" s="600" t="n">
        <f aca="false">SUM(Z34:Z35)</f>
        <v>0</v>
      </c>
      <c r="AA36" s="600" t="n">
        <f aca="false">SUM(AA34:AA35)</f>
        <v>0</v>
      </c>
      <c r="AB36" s="667" t="n">
        <f aca="false">SUM(AB34:AB35)</f>
        <v>0</v>
      </c>
    </row>
    <row r="37" customFormat="false" ht="12.6" hidden="false" customHeight="true" outlineLevel="0" collapsed="false">
      <c r="B37" s="403"/>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6"/>
    </row>
    <row r="38" customFormat="false" ht="12.6" hidden="false" customHeight="true" outlineLevel="0" collapsed="false">
      <c r="B38" s="660" t="s">
        <v>509</v>
      </c>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6"/>
    </row>
    <row r="39" customFormat="false" ht="12.6" hidden="false" customHeight="true" outlineLevel="0" collapsed="false">
      <c r="A39" s="626" t="n">
        <v>2</v>
      </c>
      <c r="B39" s="403" t="s">
        <v>510</v>
      </c>
      <c r="C39" s="473" t="n">
        <f aca="false">AVERAGE(D39:W39)</f>
        <v>990.44004772134</v>
      </c>
      <c r="D39" s="434" t="n">
        <f aca="false">Labor*((1+OM_Escal)^('Book Income Statement'!D5-'Project Assumptions'!$N$6))*('Book Income Statement'!D6/12)</f>
        <v>436.805833333333</v>
      </c>
      <c r="E39" s="434" t="n">
        <f aca="false">Labor*((1+OM_Escal)^('Book Income Statement'!E5-'Project Assumptions'!$N$6))*('Book Income Statement'!E6/12)</f>
        <v>771.2743</v>
      </c>
      <c r="F39" s="434" t="n">
        <f aca="false">Labor*((1+OM_Escal)^('Book Income Statement'!F5-'Project Assumptions'!$N$6))*('Book Income Statement'!F6/12)</f>
        <v>794.412529</v>
      </c>
      <c r="G39" s="434" t="n">
        <f aca="false">Labor*((1+OM_Escal)^('Book Income Statement'!G5-'Project Assumptions'!$N$6))*('Book Income Statement'!G6/12)</f>
        <v>818.24490487</v>
      </c>
      <c r="H39" s="434" t="n">
        <f aca="false">Labor*((1+OM_Escal)^('Book Income Statement'!H5-'Project Assumptions'!$N$6))*('Book Income Statement'!H6/12)</f>
        <v>842.7922520161</v>
      </c>
      <c r="I39" s="434" t="n">
        <f aca="false">Labor*((1+OM_Escal)^('Book Income Statement'!I5-'Project Assumptions'!$N$6))*('Book Income Statement'!I6/12)</f>
        <v>868.076019576583</v>
      </c>
      <c r="J39" s="434" t="n">
        <f aca="false">Labor*((1+OM_Escal)^('Book Income Statement'!J5-'Project Assumptions'!$N$6))*('Book Income Statement'!J6/12)</f>
        <v>894.118300163881</v>
      </c>
      <c r="K39" s="434" t="n">
        <f aca="false">Labor*((1+OM_Escal)^('Book Income Statement'!K5-'Project Assumptions'!$N$6))*('Book Income Statement'!K6/12)</f>
        <v>920.941849168797</v>
      </c>
      <c r="L39" s="434" t="n">
        <f aca="false">Labor*((1+OM_Escal)^('Book Income Statement'!L5-'Project Assumptions'!$N$6))*('Book Income Statement'!L6/12)</f>
        <v>948.570104643861</v>
      </c>
      <c r="M39" s="434" t="n">
        <f aca="false">Labor*((1+OM_Escal)^('Book Income Statement'!M5-'Project Assumptions'!$N$6))*('Book Income Statement'!M6/12)</f>
        <v>977.027207783177</v>
      </c>
      <c r="N39" s="434" t="n">
        <f aca="false">Labor*((1+OM_Escal)^('Book Income Statement'!N5-'Project Assumptions'!$N$6))*('Book Income Statement'!N6/12)</f>
        <v>1006.33802401667</v>
      </c>
      <c r="O39" s="434" t="n">
        <f aca="false">Labor*((1+OM_Escal)^('Book Income Statement'!O5-'Project Assumptions'!$N$6))*('Book Income Statement'!O6/12)</f>
        <v>1036.52816473717</v>
      </c>
      <c r="P39" s="434" t="n">
        <f aca="false">Labor*((1+OM_Escal)^('Book Income Statement'!P5-'Project Assumptions'!$N$6))*('Book Income Statement'!P6/12)</f>
        <v>1067.62400967929</v>
      </c>
      <c r="Q39" s="434" t="n">
        <f aca="false">Labor*((1+OM_Escal)^('Book Income Statement'!Q5-'Project Assumptions'!$N$6))*('Book Income Statement'!Q6/12)</f>
        <v>1099.65272996967</v>
      </c>
      <c r="R39" s="434" t="n">
        <f aca="false">Labor*((1+OM_Escal)^('Book Income Statement'!R5-'Project Assumptions'!$N$6))*('Book Income Statement'!R6/12)</f>
        <v>1132.64231186876</v>
      </c>
      <c r="S39" s="434" t="n">
        <f aca="false">Labor*((1+OM_Escal)^('Book Income Statement'!S5-'Project Assumptions'!$N$6))*('Book Income Statement'!S6/12)</f>
        <v>1166.62158122482</v>
      </c>
      <c r="T39" s="434" t="n">
        <f aca="false">Labor*((1+OM_Escal)^('Book Income Statement'!T5-'Project Assumptions'!$N$6))*('Book Income Statement'!T6/12)</f>
        <v>1201.62022866156</v>
      </c>
      <c r="U39" s="434" t="n">
        <f aca="false">Labor*((1+OM_Escal)^('Book Income Statement'!U5-'Project Assumptions'!$N$6))*('Book Income Statement'!U6/12)</f>
        <v>1237.66883552141</v>
      </c>
      <c r="V39" s="434" t="n">
        <f aca="false">Labor*((1+OM_Escal)^('Book Income Statement'!V5-'Project Assumptions'!$N$6))*('Book Income Statement'!V6/12)</f>
        <v>1274.79890058705</v>
      </c>
      <c r="W39" s="434" t="n">
        <f aca="false">Labor*((1+OM_Escal)^('Book Income Statement'!W5-'Project Assumptions'!$N$6))*('Book Income Statement'!W6/12)</f>
        <v>1313.04286760466</v>
      </c>
      <c r="X39" s="434" t="n">
        <f aca="false">Labor*((1+OM_Escal)^('Book Income Statement'!X5-'Project Assumptions'!$N$6))*('Book Income Statement'!X6/12)</f>
        <v>563.514230680335</v>
      </c>
      <c r="Y39" s="434" t="n">
        <f aca="false">Labor*((1+OM_Escal)^('Book Income Statement'!Y5-'Project Assumptions'!$N$6))*('Book Income Statement'!Y6/12)</f>
        <v>0</v>
      </c>
      <c r="Z39" s="434" t="n">
        <f aca="false">Labor*((1+OM_Escal)^('Book Income Statement'!Z5-'Project Assumptions'!$N$6))*('Book Income Statement'!Z6/12)</f>
        <v>0</v>
      </c>
      <c r="AA39" s="434" t="n">
        <f aca="false">Labor*((1+OM_Escal)^('Book Income Statement'!AA5-'Project Assumptions'!$N$6))*('Book Income Statement'!AA6/12)</f>
        <v>0</v>
      </c>
      <c r="AB39" s="428" t="n">
        <f aca="false">Labor*((1+OM_Escal)^('Book Income Statement'!AB5-'Project Assumptions'!$N$6))*('Book Income Statement'!AB6/12)</f>
        <v>0</v>
      </c>
    </row>
    <row r="40" customFormat="false" ht="12.6" hidden="false" customHeight="true" outlineLevel="0" collapsed="false">
      <c r="A40" s="626" t="n">
        <v>2</v>
      </c>
      <c r="B40" s="403" t="s">
        <v>511</v>
      </c>
      <c r="C40" s="473" t="n">
        <f aca="false">AVERAGE(D40:W40)</f>
        <v>367.838807269273</v>
      </c>
      <c r="D40" s="434" t="n">
        <f aca="false">Fixed*((1+OM_Escal)^('Book Income Statement'!D5-'Project Assumptions'!$N$6))*('Book Income Statement'!D6/12)</f>
        <v>162.225</v>
      </c>
      <c r="E40" s="434" t="n">
        <f aca="false">Fixed*((1+OM_Escal)^('Book Income Statement'!E5-'Project Assumptions'!$N$6))*('Book Income Statement'!E6/12)</f>
        <v>286.443</v>
      </c>
      <c r="F40" s="434" t="n">
        <f aca="false">Fixed*((1+OM_Escal)^('Book Income Statement'!F5-'Project Assumptions'!$N$6))*('Book Income Statement'!F6/12)</f>
        <v>295.03629</v>
      </c>
      <c r="G40" s="434" t="n">
        <f aca="false">Fixed*((1+OM_Escal)^('Book Income Statement'!G5-'Project Assumptions'!$N$6))*('Book Income Statement'!G6/12)</f>
        <v>303.8873787</v>
      </c>
      <c r="H40" s="434" t="n">
        <f aca="false">Fixed*((1+OM_Escal)^('Book Income Statement'!H5-'Project Assumptions'!$N$6))*('Book Income Statement'!H6/12)</f>
        <v>313.004000061</v>
      </c>
      <c r="I40" s="434" t="n">
        <f aca="false">Fixed*((1+OM_Escal)^('Book Income Statement'!I5-'Project Assumptions'!$N$6))*('Book Income Statement'!I6/12)</f>
        <v>322.39412006283</v>
      </c>
      <c r="J40" s="434" t="n">
        <f aca="false">Fixed*((1+OM_Escal)^('Book Income Statement'!J5-'Project Assumptions'!$N$6))*('Book Income Statement'!J6/12)</f>
        <v>332.065943664715</v>
      </c>
      <c r="K40" s="434" t="n">
        <f aca="false">Fixed*((1+OM_Escal)^('Book Income Statement'!K5-'Project Assumptions'!$N$6))*('Book Income Statement'!K6/12)</f>
        <v>342.027921974656</v>
      </c>
      <c r="L40" s="434" t="n">
        <f aca="false">Fixed*((1+OM_Escal)^('Book Income Statement'!L5-'Project Assumptions'!$N$6))*('Book Income Statement'!L6/12)</f>
        <v>352.288759633896</v>
      </c>
      <c r="M40" s="434" t="n">
        <f aca="false">Fixed*((1+OM_Escal)^('Book Income Statement'!M5-'Project Assumptions'!$N$6))*('Book Income Statement'!M6/12)</f>
        <v>362.857422422913</v>
      </c>
      <c r="N40" s="434" t="n">
        <f aca="false">Fixed*((1+OM_Escal)^('Book Income Statement'!N5-'Project Assumptions'!$N$6))*('Book Income Statement'!N6/12)</f>
        <v>373.7431450956</v>
      </c>
      <c r="O40" s="434" t="n">
        <f aca="false">Fixed*((1+OM_Escal)^('Book Income Statement'!O5-'Project Assumptions'!$N$6))*('Book Income Statement'!O6/12)</f>
        <v>384.955439448468</v>
      </c>
      <c r="P40" s="434" t="n">
        <f aca="false">Fixed*((1+OM_Escal)^('Book Income Statement'!P5-'Project Assumptions'!$N$6))*('Book Income Statement'!P6/12)</f>
        <v>396.504102631923</v>
      </c>
      <c r="Q40" s="434" t="n">
        <f aca="false">Fixed*((1+OM_Escal)^('Book Income Statement'!Q5-'Project Assumptions'!$N$6))*('Book Income Statement'!Q6/12)</f>
        <v>408.39922571088</v>
      </c>
      <c r="R40" s="434" t="n">
        <f aca="false">Fixed*((1+OM_Escal)^('Book Income Statement'!R5-'Project Assumptions'!$N$6))*('Book Income Statement'!R6/12)</f>
        <v>420.651202482207</v>
      </c>
      <c r="S40" s="434" t="n">
        <f aca="false">Fixed*((1+OM_Escal)^('Book Income Statement'!S5-'Project Assumptions'!$N$6))*('Book Income Statement'!S6/12)</f>
        <v>433.270738556673</v>
      </c>
      <c r="T40" s="434" t="n">
        <f aca="false">Fixed*((1+OM_Escal)^('Book Income Statement'!T5-'Project Assumptions'!$N$6))*('Book Income Statement'!T6/12)</f>
        <v>446.268860713373</v>
      </c>
      <c r="U40" s="434" t="n">
        <f aca="false">Fixed*((1+OM_Escal)^('Book Income Statement'!U5-'Project Assumptions'!$N$6))*('Book Income Statement'!U6/12)</f>
        <v>459.656926534774</v>
      </c>
      <c r="V40" s="434" t="n">
        <f aca="false">Fixed*((1+OM_Escal)^('Book Income Statement'!V5-'Project Assumptions'!$N$6))*('Book Income Statement'!V6/12)</f>
        <v>473.446634330817</v>
      </c>
      <c r="W40" s="434" t="n">
        <f aca="false">Fixed*((1+OM_Escal)^('Book Income Statement'!W5-'Project Assumptions'!$N$6))*('Book Income Statement'!W6/12)</f>
        <v>487.650033360742</v>
      </c>
      <c r="X40" s="434" t="n">
        <f aca="false">Fixed*((1+OM_Escal)^('Book Income Statement'!X5-'Project Assumptions'!$N$6))*('Book Income Statement'!X6/12)</f>
        <v>209.283139317318</v>
      </c>
      <c r="Y40" s="434" t="n">
        <f aca="false">Fixed*((1+OM_Escal)^('Book Income Statement'!Y5-'Project Assumptions'!$N$6))*('Book Income Statement'!Y6/12)</f>
        <v>0</v>
      </c>
      <c r="Z40" s="434" t="n">
        <f aca="false">Fixed*((1+OM_Escal)^('Book Income Statement'!Z5-'Project Assumptions'!$N$6))*('Book Income Statement'!Z6/12)</f>
        <v>0</v>
      </c>
      <c r="AA40" s="434" t="n">
        <f aca="false">Fixed*((1+OM_Escal)^('Book Income Statement'!AA5-'Project Assumptions'!$N$6))*('Book Income Statement'!AA6/12)</f>
        <v>0</v>
      </c>
      <c r="AB40" s="428" t="n">
        <f aca="false">Fixed*((1+OM_Escal)^('Book Income Statement'!AB5-'Project Assumptions'!$N$6))*('Book Income Statement'!AB6/12)</f>
        <v>0</v>
      </c>
    </row>
    <row r="41" customFormat="false" ht="12.6" hidden="false" customHeight="true" outlineLevel="0" collapsed="false">
      <c r="A41" s="626" t="n">
        <v>12</v>
      </c>
      <c r="B41" s="403" t="s">
        <v>512</v>
      </c>
      <c r="C41" s="473" t="n">
        <f aca="false">AVERAGE(D41:W41)</f>
        <v>286.615397692834</v>
      </c>
      <c r="D41" s="434" t="n">
        <f aca="false">'Project Assumptions'!$N$22*((1+OM_Escal)^('Book Income Statement'!D5-'Project Assumptions'!$N$6))*(D6)/12</f>
        <v>126.40369088812</v>
      </c>
      <c r="E41" s="434" t="n">
        <f aca="false">'Project Assumptions'!$N$22*((1+OM_Escal)^('Book Income Statement'!E5-'Project Assumptions'!$N$6))*(E6)/12</f>
        <v>223.192802768166</v>
      </c>
      <c r="F41" s="434" t="n">
        <f aca="false">'Project Assumptions'!$N$22*((1+OM_Escal)^('Book Income Statement'!F5-'Project Assumptions'!$N$6))*(F6)/12</f>
        <v>229.888586851211</v>
      </c>
      <c r="G41" s="434" t="n">
        <f aca="false">'Project Assumptions'!$N$22*((1+OM_Escal)^('Book Income Statement'!G5-'Project Assumptions'!$N$6))*(G6)/12</f>
        <v>236.785244456747</v>
      </c>
      <c r="H41" s="434" t="n">
        <f aca="false">'Project Assumptions'!$N$22*((1+OM_Escal)^('Book Income Statement'!H5-'Project Assumptions'!$N$6))*(H6)/12</f>
        <v>243.88880179045</v>
      </c>
      <c r="I41" s="434" t="n">
        <f aca="false">'Project Assumptions'!$N$22*((1+OM_Escal)^('Book Income Statement'!I5-'Project Assumptions'!$N$6))*(I6)/12</f>
        <v>251.205465844163</v>
      </c>
      <c r="J41" s="434" t="n">
        <f aca="false">'Project Assumptions'!$N$22*((1+OM_Escal)^('Book Income Statement'!J5-'Project Assumptions'!$N$6))*(J6)/12</f>
        <v>258.741629819488</v>
      </c>
      <c r="K41" s="434" t="n">
        <f aca="false">'Project Assumptions'!$N$22*((1+OM_Escal)^('Book Income Statement'!K5-'Project Assumptions'!$N$6))*(K6)/12</f>
        <v>266.503878714073</v>
      </c>
      <c r="L41" s="434" t="n">
        <f aca="false">'Project Assumptions'!$N$22*((1+OM_Escal)^('Book Income Statement'!L5-'Project Assumptions'!$N$6))*(L6)/12</f>
        <v>274.498995075495</v>
      </c>
      <c r="M41" s="434" t="n">
        <f aca="false">'Project Assumptions'!$N$22*((1+OM_Escal)^('Book Income Statement'!M5-'Project Assumptions'!$N$6))*(M6)/12</f>
        <v>282.73396492776</v>
      </c>
      <c r="N41" s="434" t="n">
        <f aca="false">'Project Assumptions'!$N$22*((1+OM_Escal)^('Book Income Statement'!N5-'Project Assumptions'!$N$6))*(N6)/12</f>
        <v>291.215983875593</v>
      </c>
      <c r="O41" s="434" t="n">
        <f aca="false">'Project Assumptions'!$N$22*((1+OM_Escal)^('Book Income Statement'!O5-'Project Assumptions'!$N$6))*(O6)/12</f>
        <v>299.952463391861</v>
      </c>
      <c r="P41" s="434" t="n">
        <f aca="false">'Project Assumptions'!$N$22*((1+OM_Escal)^('Book Income Statement'!P5-'Project Assumptions'!$N$6))*(P6)/12</f>
        <v>308.951037293616</v>
      </c>
      <c r="Q41" s="434" t="n">
        <f aca="false">'Project Assumptions'!$N$22*((1+OM_Escal)^('Book Income Statement'!Q5-'Project Assumptions'!$N$6))*(Q6)/12</f>
        <v>318.219568412425</v>
      </c>
      <c r="R41" s="434" t="n">
        <f aca="false">'Project Assumptions'!$N$22*((1+OM_Escal)^('Book Income Statement'!R5-'Project Assumptions'!$N$6))*(R6)/12</f>
        <v>327.766155464798</v>
      </c>
      <c r="S41" s="434" t="n">
        <f aca="false">'Project Assumptions'!$N$22*((1+OM_Escal)^('Book Income Statement'!S5-'Project Assumptions'!$N$6))*(S6)/12</f>
        <v>337.599140128742</v>
      </c>
      <c r="T41" s="434" t="n">
        <f aca="false">'Project Assumptions'!$N$22*((1+OM_Escal)^('Book Income Statement'!T5-'Project Assumptions'!$N$6))*(T6)/12</f>
        <v>347.727114332604</v>
      </c>
      <c r="U41" s="434" t="n">
        <f aca="false">'Project Assumptions'!$N$22*((1+OM_Escal)^('Book Income Statement'!U5-'Project Assumptions'!$N$6))*(U6)/12</f>
        <v>358.158927762582</v>
      </c>
      <c r="V41" s="434" t="n">
        <f aca="false">'Project Assumptions'!$N$22*((1+OM_Escal)^('Book Income Statement'!V5-'Project Assumptions'!$N$6))*(V6)/12</f>
        <v>368.90369559546</v>
      </c>
      <c r="W41" s="434" t="n">
        <f aca="false">'Project Assumptions'!$N$22*((1+OM_Escal)^('Book Income Statement'!W5-'Project Assumptions'!$N$6))*(W6)/12</f>
        <v>379.970806463323</v>
      </c>
      <c r="X41" s="434" t="n">
        <f aca="false">'Project Assumptions'!$N$22*((1+OM_Escal)^('Book Income Statement'!X5-'Project Assumptions'!$N$6))*(X6)/12</f>
        <v>163.07080444051</v>
      </c>
      <c r="Y41" s="434" t="n">
        <f aca="false">'Project Assumptions'!$N$22*((1+OM_Escal)^('Book Income Statement'!Y5-'Project Assumptions'!$N$6))*(Y6)/12</f>
        <v>0</v>
      </c>
      <c r="Z41" s="434" t="n">
        <f aca="false">'Project Assumptions'!$N$22*((1+OM_Escal)^('Book Income Statement'!Z5-'Project Assumptions'!$N$6))*(Z6)/12</f>
        <v>0</v>
      </c>
      <c r="AA41" s="434" t="n">
        <f aca="false">'Project Assumptions'!$N$22*((1+OM_Escal)^('Book Income Statement'!AA5-'Project Assumptions'!$N$6))*(AA6)/12</f>
        <v>0</v>
      </c>
      <c r="AB41" s="428" t="n">
        <f aca="false">'Project Assumptions'!$N$22*((1+OM_Escal)^('Book Income Statement'!AB5-'Project Assumptions'!$N$6))*(AB6)/12</f>
        <v>0</v>
      </c>
    </row>
    <row r="42" customFormat="false" ht="12.6" hidden="false" customHeight="true" outlineLevel="0" collapsed="false">
      <c r="B42" s="403" t="s">
        <v>513</v>
      </c>
      <c r="C42" s="473" t="n">
        <f aca="false">AVERAGE(D42:W42)</f>
        <v>585.03107398843</v>
      </c>
      <c r="D42" s="434" t="n">
        <f aca="false">IF(D4&gt;ProjectLife+1,0,'Project Assumptions'!$N$23*((1+OM_Escal)^(D5-2003))*D8/12)</f>
        <v>0</v>
      </c>
      <c r="E42" s="434" t="n">
        <f aca="false">IF(E4&gt;ProjectLife+1,0,'Project Assumptions'!$N$23*((1+OM_Escal)^(E5-2003))*E8/12)</f>
        <v>0</v>
      </c>
      <c r="F42" s="434" t="n">
        <f aca="false">IF(F4&gt;ProjectLife+1,0,'Project Assumptions'!$N$23*((1+OM_Escal)^(F5-2003))*F8/12)</f>
        <v>0</v>
      </c>
      <c r="G42" s="434" t="n">
        <f aca="false">IF(G4&gt;ProjectLife+1,0,'Project Assumptions'!$N$23*((1+OM_Escal)^(G5-2003))*G8/12)</f>
        <v>319.76518</v>
      </c>
      <c r="H42" s="434" t="n">
        <f aca="false">IF(H4&gt;ProjectLife+1,0,'Project Assumptions'!$N$23*((1+OM_Escal)^(H5-2003))*H8/12)</f>
        <v>564.6139464</v>
      </c>
      <c r="I42" s="434" t="n">
        <f aca="false">IF(I4&gt;ProjectLife+1,0,'Project Assumptions'!$N$23*((1+OM_Escal)^(I5-2003))*I8/12)</f>
        <v>581.552364792</v>
      </c>
      <c r="J42" s="434" t="n">
        <f aca="false">IF(J4&gt;ProjectLife+1,0,'Project Assumptions'!$N$23*((1+OM_Escal)^(J5-2003))*J8/12)</f>
        <v>598.99893573576</v>
      </c>
      <c r="K42" s="434" t="n">
        <f aca="false">IF(K4&gt;ProjectLife+1,0,'Project Assumptions'!$N$23*((1+OM_Escal)^(K5-2003))*K8/12)</f>
        <v>616.968903807833</v>
      </c>
      <c r="L42" s="434" t="n">
        <f aca="false">IF(L4&gt;ProjectLife+1,0,'Project Assumptions'!$N$23*((1+OM_Escal)^(L5-2003))*L8/12)</f>
        <v>635.477970922068</v>
      </c>
      <c r="M42" s="434" t="n">
        <f aca="false">IF(M4&gt;ProjectLife+1,0,'Project Assumptions'!$N$23*((1+OM_Escal)^(M5-2003))*M8/12)</f>
        <v>654.54231004973</v>
      </c>
      <c r="N42" s="434" t="n">
        <f aca="false">IF(N4&gt;ProjectLife+1,0,'Project Assumptions'!$N$23*((1+OM_Escal)^(N5-2003))*N8/12)</f>
        <v>674.178579351222</v>
      </c>
      <c r="O42" s="434" t="n">
        <f aca="false">IF(O4&gt;ProjectLife+1,0,'Project Assumptions'!$N$23*((1+OM_Escal)^(O5-2003))*O8/12)</f>
        <v>694.403936731759</v>
      </c>
      <c r="P42" s="434" t="n">
        <f aca="false">IF(P4&gt;ProjectLife+1,0,'Project Assumptions'!$N$23*((1+OM_Escal)^(P5-2003))*P8/12)</f>
        <v>715.236054833711</v>
      </c>
      <c r="Q42" s="434" t="n">
        <f aca="false">IF(Q4&gt;ProjectLife+1,0,'Project Assumptions'!$N$23*((1+OM_Escal)^(Q5-2003))*Q8/12)</f>
        <v>736.693136478723</v>
      </c>
      <c r="R42" s="434" t="n">
        <f aca="false">IF(R4&gt;ProjectLife+1,0,'Project Assumptions'!$N$23*((1+OM_Escal)^(R5-2003))*R8/12)</f>
        <v>758.793930573084</v>
      </c>
      <c r="S42" s="434" t="n">
        <f aca="false">IF(S4&gt;ProjectLife+1,0,'Project Assumptions'!$N$23*((1+OM_Escal)^(S5-2003))*S8/12)</f>
        <v>781.557748490277</v>
      </c>
      <c r="T42" s="434" t="n">
        <f aca="false">IF(T4&gt;ProjectLife+1,0,'Project Assumptions'!$N$23*((1+OM_Escal)^(T5-2003))*T8/12)</f>
        <v>805.004480944985</v>
      </c>
      <c r="U42" s="434" t="n">
        <f aca="false">IF(U4&gt;ProjectLife+1,0,'Project Assumptions'!$N$23*((1+OM_Escal)^(U5-2003))*U8/12)</f>
        <v>829.154615373335</v>
      </c>
      <c r="V42" s="434" t="n">
        <f aca="false">IF(V4&gt;ProjectLife+1,0,'Project Assumptions'!$N$23*((1+OM_Escal)^(V5-2003))*V8/12)</f>
        <v>854.029253834535</v>
      </c>
      <c r="W42" s="434" t="n">
        <f aca="false">IF(W4&gt;ProjectLife+1,0,'Project Assumptions'!$N$23*((1+OM_Escal)^(W5-2003))*W8/12)</f>
        <v>879.650131449571</v>
      </c>
      <c r="X42" s="434" t="n">
        <f aca="false">IF(X4&gt;ProjectLife+1,0,'Project Assumptions'!$N$23*((1+OM_Escal)^(X5-2003))*X8/12)</f>
        <v>377.516514747108</v>
      </c>
      <c r="Y42" s="434" t="n">
        <f aca="false">IF(Y4&gt;ProjectLife+1,0,'Project Assumptions'!$N$23*((1+OM_Escal)^(Y5-2003))*Y8/12)</f>
        <v>0</v>
      </c>
      <c r="Z42" s="434" t="n">
        <f aca="false">IF(Z4&gt;ProjectLife+1,0,'Project Assumptions'!$N$23*((1+OM_Escal)^(Z5-2003))*Z8/12)</f>
        <v>0</v>
      </c>
      <c r="AA42" s="434" t="n">
        <f aca="false">IF(AA4&gt;ProjectLife+1,0,'Project Assumptions'!$N$23*((1+OM_Escal)^(AA5-2003))*AA8/12)</f>
        <v>0</v>
      </c>
      <c r="AB42" s="428" t="n">
        <f aca="false">IF(AB4&gt;ProjectLife+1,0,'Project Assumptions'!$N$23*((1+OM_Escal)^(AB5-2003))*AB8/12)</f>
        <v>0</v>
      </c>
    </row>
    <row r="43" customFormat="false" ht="12.6" hidden="false" customHeight="true" outlineLevel="0" collapsed="false">
      <c r="A43" s="626" t="n">
        <v>9</v>
      </c>
      <c r="B43" s="403" t="s">
        <v>514</v>
      </c>
      <c r="C43" s="668" t="n">
        <f aca="false">AVERAGE(D43:W43)</f>
        <v>340.59148821229</v>
      </c>
      <c r="D43" s="669" t="n">
        <f aca="false">'Project Assumptions'!$N$24*((1+OM_Escal)^('Book Income Statement'!D5-'Project Assumptions'!$N$6))*D6/12</f>
        <v>150.208333333333</v>
      </c>
      <c r="E43" s="669" t="n">
        <f aca="false">'Project Assumptions'!$N$24*((1+OM_Escal)^('Book Income Statement'!E5-'Project Assumptions'!$N$6))*E6/12</f>
        <v>265.225</v>
      </c>
      <c r="F43" s="669" t="n">
        <f aca="false">'Project Assumptions'!$N$24*((1+OM_Escal)^('Book Income Statement'!F5-'Project Assumptions'!$N$6))*F6/12</f>
        <v>273.18175</v>
      </c>
      <c r="G43" s="669" t="n">
        <f aca="false">'Project Assumptions'!$N$24*((1+OM_Escal)^('Book Income Statement'!G5-'Project Assumptions'!$N$6))*G6/12</f>
        <v>281.3772025</v>
      </c>
      <c r="H43" s="669" t="n">
        <f aca="false">'Project Assumptions'!$N$24*((1+OM_Escal)^('Book Income Statement'!H5-'Project Assumptions'!$N$6))*H6/12</f>
        <v>289.818518575</v>
      </c>
      <c r="I43" s="669" t="n">
        <f aca="false">'Project Assumptions'!$N$24*((1+OM_Escal)^('Book Income Statement'!I5-'Project Assumptions'!$N$6))*I6/12</f>
        <v>298.51307413225</v>
      </c>
      <c r="J43" s="669" t="n">
        <f aca="false">'Project Assumptions'!$N$24*((1+OM_Escal)^('Book Income Statement'!J5-'Project Assumptions'!$N$6))*J6/12</f>
        <v>307.468466356218</v>
      </c>
      <c r="K43" s="669" t="n">
        <f aca="false">'Project Assumptions'!$N$24*((1+OM_Escal)^('Book Income Statement'!K5-'Project Assumptions'!$N$6))*K6/12</f>
        <v>316.692520346904</v>
      </c>
      <c r="L43" s="669" t="n">
        <f aca="false">'Project Assumptions'!$N$24*((1+OM_Escal)^('Book Income Statement'!L5-'Project Assumptions'!$N$6))*L6/12</f>
        <v>326.193295957311</v>
      </c>
      <c r="M43" s="669" t="n">
        <f aca="false">'Project Assumptions'!$N$24*((1+OM_Escal)^('Book Income Statement'!M5-'Project Assumptions'!$N$6))*M6/12</f>
        <v>335.979094836031</v>
      </c>
      <c r="N43" s="669" t="n">
        <f aca="false">'Project Assumptions'!$N$24*((1+OM_Escal)^('Book Income Statement'!N5-'Project Assumptions'!$N$6))*N6/12</f>
        <v>346.058467681112</v>
      </c>
      <c r="O43" s="669" t="n">
        <f aca="false">'Project Assumptions'!$N$24*((1+OM_Escal)^('Book Income Statement'!O5-'Project Assumptions'!$N$6))*O6/12</f>
        <v>356.440221711545</v>
      </c>
      <c r="P43" s="669" t="n">
        <f aca="false">'Project Assumptions'!$N$24*((1+OM_Escal)^('Book Income Statement'!P5-'Project Assumptions'!$N$6))*P6/12</f>
        <v>367.133428362891</v>
      </c>
      <c r="Q43" s="669" t="n">
        <f aca="false">'Project Assumptions'!$N$24*((1+OM_Escal)^('Book Income Statement'!Q5-'Project Assumptions'!$N$6))*Q6/12</f>
        <v>378.147431213778</v>
      </c>
      <c r="R43" s="669" t="n">
        <f aca="false">'Project Assumptions'!$N$24*((1+OM_Escal)^('Book Income Statement'!R5-'Project Assumptions'!$N$6))*R6/12</f>
        <v>389.491854150191</v>
      </c>
      <c r="S43" s="669" t="n">
        <f aca="false">'Project Assumptions'!$N$24*((1+OM_Escal)^('Book Income Statement'!S5-'Project Assumptions'!$N$6))*S6/12</f>
        <v>401.176609774697</v>
      </c>
      <c r="T43" s="669" t="n">
        <f aca="false">'Project Assumptions'!$N$24*((1+OM_Escal)^('Book Income Statement'!T5-'Project Assumptions'!$N$6))*T6/12</f>
        <v>413.211908067938</v>
      </c>
      <c r="U43" s="669" t="n">
        <f aca="false">'Project Assumptions'!$N$24*((1+OM_Escal)^('Book Income Statement'!U5-'Project Assumptions'!$N$6))*U6/12</f>
        <v>425.608265309976</v>
      </c>
      <c r="V43" s="669" t="n">
        <f aca="false">'Project Assumptions'!$N$24*((1+OM_Escal)^('Book Income Statement'!V5-'Project Assumptions'!$N$6))*V6/12</f>
        <v>438.376513269275</v>
      </c>
      <c r="W43" s="669" t="n">
        <f aca="false">'Project Assumptions'!$N$24*((1+OM_Escal)^('Book Income Statement'!W5-'Project Assumptions'!$N$6))*W6/12</f>
        <v>451.527808667354</v>
      </c>
      <c r="X43" s="669" t="n">
        <f aca="false">'Project Assumptions'!$N$24*((1+OM_Escal)^('Book Income Statement'!X5-'Project Assumptions'!$N$6))*X6/12</f>
        <v>193.780684553073</v>
      </c>
      <c r="Y43" s="669" t="n">
        <f aca="false">'Project Assumptions'!$N$24*((1+OM_Escal)^('Book Income Statement'!Y5-'Project Assumptions'!$N$6))*Y6/12</f>
        <v>0</v>
      </c>
      <c r="Z43" s="669" t="n">
        <f aca="false">'Project Assumptions'!$N$24*((1+OM_Escal)^('Book Income Statement'!Z5-'Project Assumptions'!$N$6))*Z6/12</f>
        <v>0</v>
      </c>
      <c r="AA43" s="669" t="n">
        <f aca="false">'Project Assumptions'!$N$24*((1+OM_Escal)^('Book Income Statement'!AA5-'Project Assumptions'!$N$6))*AA6/12</f>
        <v>0</v>
      </c>
      <c r="AB43" s="670" t="n">
        <f aca="false">'Project Assumptions'!$N$24*((1+OM_Escal)^('Book Income Statement'!AB5-'Project Assumptions'!$N$6))*AB6/12</f>
        <v>0</v>
      </c>
    </row>
    <row r="44" customFormat="false" ht="12.6" hidden="false" customHeight="true" outlineLevel="0" collapsed="false">
      <c r="B44" s="660" t="s">
        <v>515</v>
      </c>
      <c r="C44" s="600" t="n">
        <f aca="false">AVERAGE(D44:W44)</f>
        <v>2570.51681488417</v>
      </c>
      <c r="D44" s="663" t="n">
        <f aca="false">SUM(D39:D43)</f>
        <v>875.642857554787</v>
      </c>
      <c r="E44" s="663" t="n">
        <f aca="false">SUM(E39:E43)</f>
        <v>1546.13510276817</v>
      </c>
      <c r="F44" s="663" t="n">
        <f aca="false">SUM(F39:F43)</f>
        <v>1592.51915585121</v>
      </c>
      <c r="G44" s="663" t="n">
        <f aca="false">SUM(G39:G43)</f>
        <v>1960.05991052675</v>
      </c>
      <c r="H44" s="663" t="n">
        <f aca="false">SUM(H39:H43)</f>
        <v>2254.11751884255</v>
      </c>
      <c r="I44" s="663" t="n">
        <f aca="false">SUM(I39:I43)</f>
        <v>2321.74104440783</v>
      </c>
      <c r="J44" s="663" t="n">
        <f aca="false">SUM(J39:J43)</f>
        <v>2391.39327574006</v>
      </c>
      <c r="K44" s="663" t="n">
        <f aca="false">SUM(K39:K43)</f>
        <v>2463.13507401226</v>
      </c>
      <c r="L44" s="663" t="n">
        <f aca="false">SUM(L39:L43)</f>
        <v>2537.02912623263</v>
      </c>
      <c r="M44" s="663" t="n">
        <f aca="false">SUM(M39:M43)</f>
        <v>2613.14000001961</v>
      </c>
      <c r="N44" s="663" t="n">
        <f aca="false">SUM(N39:N43)</f>
        <v>2691.5342000202</v>
      </c>
      <c r="O44" s="663" t="n">
        <f aca="false">SUM(O39:O43)</f>
        <v>2772.2802260208</v>
      </c>
      <c r="P44" s="663" t="n">
        <f aca="false">SUM(P39:P43)</f>
        <v>2855.44863280143</v>
      </c>
      <c r="Q44" s="663" t="n">
        <f aca="false">SUM(Q39:Q43)</f>
        <v>2941.11209178547</v>
      </c>
      <c r="R44" s="663" t="n">
        <f aca="false">SUM(R39:R43)</f>
        <v>3029.34545453904</v>
      </c>
      <c r="S44" s="663" t="n">
        <f aca="false">SUM(S39:S43)</f>
        <v>3120.22581817521</v>
      </c>
      <c r="T44" s="663" t="n">
        <f aca="false">SUM(T39:T43)</f>
        <v>3213.83259272046</v>
      </c>
      <c r="U44" s="663" t="n">
        <f aca="false">SUM(U39:U43)</f>
        <v>3310.24757050208</v>
      </c>
      <c r="V44" s="663" t="n">
        <f aca="false">SUM(V39:V43)</f>
        <v>3409.55499761714</v>
      </c>
      <c r="W44" s="663" t="n">
        <f aca="false">SUM(W39:W43)</f>
        <v>3511.84164754565</v>
      </c>
      <c r="X44" s="663" t="n">
        <f aca="false">SUM(X39:X43)</f>
        <v>1507.16537373834</v>
      </c>
      <c r="Y44" s="663" t="n">
        <f aca="false">SUM(Y39:Y43)</f>
        <v>0</v>
      </c>
      <c r="Z44" s="663" t="n">
        <f aca="false">SUM(Z39:Z43)</f>
        <v>0</v>
      </c>
      <c r="AA44" s="663" t="n">
        <f aca="false">SUM(AA39:AA43)</f>
        <v>0</v>
      </c>
      <c r="AB44" s="664" t="n">
        <f aca="false">SUM(AB39:AB43)</f>
        <v>0</v>
      </c>
    </row>
    <row r="45" customFormat="false" ht="12.6" hidden="false" customHeight="true" outlineLevel="0" collapsed="false">
      <c r="B45" s="403"/>
      <c r="D45" s="671"/>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2"/>
    </row>
    <row r="46" customFormat="false" ht="12.6" hidden="false" customHeight="true" outlineLevel="0" collapsed="false">
      <c r="B46" s="660" t="s">
        <v>516</v>
      </c>
      <c r="D46" s="671"/>
      <c r="E46" s="671"/>
      <c r="F46" s="671"/>
      <c r="G46" s="671"/>
      <c r="H46" s="671"/>
      <c r="I46" s="671"/>
      <c r="J46" s="671"/>
      <c r="K46" s="671"/>
      <c r="L46" s="671"/>
      <c r="M46" s="671"/>
      <c r="N46" s="671"/>
      <c r="O46" s="671"/>
      <c r="P46" s="671"/>
      <c r="Q46" s="671"/>
      <c r="R46" s="671"/>
      <c r="S46" s="671"/>
      <c r="T46" s="671"/>
      <c r="U46" s="671"/>
      <c r="V46" s="671"/>
      <c r="W46" s="671"/>
      <c r="X46" s="671"/>
      <c r="Y46" s="671"/>
      <c r="Z46" s="671"/>
      <c r="AA46" s="671"/>
      <c r="AB46" s="672"/>
    </row>
    <row r="47" customFormat="false" ht="12.6" hidden="false" customHeight="true" outlineLevel="0" collapsed="false">
      <c r="A47" s="626" t="n">
        <v>6</v>
      </c>
      <c r="B47" s="403" t="s">
        <v>517</v>
      </c>
      <c r="C47" s="473" t="n">
        <f aca="false">AVERAGE(D47:W47)</f>
        <v>396.448492279106</v>
      </c>
      <c r="D47" s="434" t="n">
        <f aca="false">'Project Assumptions'!$N$33*((1+OM_Escal)^('Book Income Statement'!D5-'Project Assumptions'!$N$28))*D6/12</f>
        <v>174.8425</v>
      </c>
      <c r="E47" s="434" t="n">
        <f aca="false">'Project Assumptions'!$N$33*((1+OM_Escal)^('Book Income Statement'!E5-'Project Assumptions'!$N$28))*E6/12</f>
        <v>308.7219</v>
      </c>
      <c r="F47" s="434" t="n">
        <f aca="false">'Project Assumptions'!$N$33*((1+OM_Escal)^('Book Income Statement'!F5-'Project Assumptions'!$N$28))*F6/12</f>
        <v>317.983557</v>
      </c>
      <c r="G47" s="434" t="n">
        <f aca="false">'Project Assumptions'!$N$33*((1+OM_Escal)^('Book Income Statement'!G5-'Project Assumptions'!$N$28))*G6/12</f>
        <v>327.52306371</v>
      </c>
      <c r="H47" s="434" t="n">
        <f aca="false">'Project Assumptions'!$N$33*((1+OM_Escal)^('Book Income Statement'!H5-'Project Assumptions'!$N$28))*H6/12</f>
        <v>337.3487556213</v>
      </c>
      <c r="I47" s="434" t="n">
        <f aca="false">'Project Assumptions'!$N$33*((1+OM_Escal)^('Book Income Statement'!I5-'Project Assumptions'!$N$28))*I6/12</f>
        <v>347.469218289939</v>
      </c>
      <c r="J47" s="434" t="n">
        <f aca="false">'Project Assumptions'!$N$33*((1+OM_Escal)^('Book Income Statement'!J5-'Project Assumptions'!$N$28))*J6/12</f>
        <v>357.893294838637</v>
      </c>
      <c r="K47" s="434" t="n">
        <f aca="false">'Project Assumptions'!$N$33*((1+OM_Escal)^('Book Income Statement'!K5-'Project Assumptions'!$N$28))*K6/12</f>
        <v>368.630093683796</v>
      </c>
      <c r="L47" s="434" t="n">
        <f aca="false">'Project Assumptions'!$N$33*((1+OM_Escal)^('Book Income Statement'!L5-'Project Assumptions'!$N$28))*L6/12</f>
        <v>379.68899649431</v>
      </c>
      <c r="M47" s="434" t="n">
        <f aca="false">'Project Assumptions'!$N$33*((1+OM_Escal)^('Book Income Statement'!M5-'Project Assumptions'!$N$28))*M6/12</f>
        <v>391.07966638914</v>
      </c>
      <c r="N47" s="434" t="n">
        <f aca="false">'Project Assumptions'!$N$33*((1+OM_Escal)^('Book Income Statement'!N5-'Project Assumptions'!$N$28))*N6/12</f>
        <v>402.812056380814</v>
      </c>
      <c r="O47" s="434" t="n">
        <f aca="false">'Project Assumptions'!$N$33*((1+OM_Escal)^('Book Income Statement'!O5-'Project Assumptions'!$N$28))*O6/12</f>
        <v>414.896418072238</v>
      </c>
      <c r="P47" s="434" t="n">
        <f aca="false">'Project Assumptions'!$N$33*((1+OM_Escal)^('Book Income Statement'!P5-'Project Assumptions'!$N$28))*P6/12</f>
        <v>427.343310614405</v>
      </c>
      <c r="Q47" s="434" t="n">
        <f aca="false">'Project Assumptions'!$N$33*((1+OM_Escal)^('Book Income Statement'!Q5-'Project Assumptions'!$N$28))*Q6/12</f>
        <v>440.163609932838</v>
      </c>
      <c r="R47" s="434" t="n">
        <f aca="false">'Project Assumptions'!$N$33*((1+OM_Escal)^('Book Income Statement'!R5-'Project Assumptions'!$N$28))*R6/12</f>
        <v>453.368518230823</v>
      </c>
      <c r="S47" s="434" t="n">
        <f aca="false">'Project Assumptions'!$N$33*((1+OM_Escal)^('Book Income Statement'!S5-'Project Assumptions'!$N$28))*S6/12</f>
        <v>466.969573777747</v>
      </c>
      <c r="T47" s="434" t="n">
        <f aca="false">'Project Assumptions'!$N$33*((1+OM_Escal)^('Book Income Statement'!T5-'Project Assumptions'!$N$28))*T6/12</f>
        <v>480.97866099108</v>
      </c>
      <c r="U47" s="434" t="n">
        <f aca="false">'Project Assumptions'!$N$33*((1+OM_Escal)^('Book Income Statement'!U5-'Project Assumptions'!$N$28))*U6/12</f>
        <v>495.408020820812</v>
      </c>
      <c r="V47" s="434" t="n">
        <f aca="false">'Project Assumptions'!$N$33*((1+OM_Escal)^('Book Income Statement'!V5-'Project Assumptions'!$N$28))*V6/12</f>
        <v>510.270261445437</v>
      </c>
      <c r="W47" s="434" t="n">
        <f aca="false">'Project Assumptions'!$N$33*((1+OM_Escal)^('Book Income Statement'!W5-'Project Assumptions'!$N$28))*W6/12</f>
        <v>525.5783692888</v>
      </c>
      <c r="X47" s="434" t="n">
        <f aca="false">'Project Assumptions'!$N$33*((1+OM_Escal)^('Book Income Statement'!X5-'Project Assumptions'!$N$28))*X6/12</f>
        <v>225.560716819777</v>
      </c>
      <c r="Y47" s="434" t="n">
        <f aca="false">'Project Assumptions'!$N$33*((1+OM_Escal)^('Book Income Statement'!Y5-'Project Assumptions'!$N$28))*Y6/12</f>
        <v>0</v>
      </c>
      <c r="Z47" s="434" t="n">
        <f aca="false">'Project Assumptions'!$N$33*((1+OM_Escal)^('Book Income Statement'!Z5-'Project Assumptions'!$N$28))*Z6/12</f>
        <v>0</v>
      </c>
      <c r="AA47" s="434" t="n">
        <f aca="false">'Project Assumptions'!$N$33*((1+OM_Escal)^('Book Income Statement'!AA5-'Project Assumptions'!$N$28))*AA6/12</f>
        <v>0</v>
      </c>
      <c r="AB47" s="428" t="n">
        <f aca="false">'Project Assumptions'!$N$33*((1+OM_Escal)^('Book Income Statement'!AB5-'Project Assumptions'!$N$28))*AB6/12</f>
        <v>0</v>
      </c>
    </row>
    <row r="48" customFormat="false" ht="12.6" hidden="false" customHeight="true" outlineLevel="0" collapsed="false">
      <c r="B48" s="403" t="s">
        <v>518</v>
      </c>
      <c r="C48" s="473" t="n">
        <f aca="false">AVERAGE(D48:W48)</f>
        <v>89.1182840301526</v>
      </c>
      <c r="D48" s="434" t="n">
        <f aca="false">IF(D4&gt;ProjectLife+1,0,'Project Assumptions'!$N$34*(1+OM_Escal)^(('Book Income Statement'!D5-'Project Assumptions'!$N$28)))</f>
        <v>66.332</v>
      </c>
      <c r="E48" s="434" t="n">
        <f aca="false">IF(E4&gt;ProjectLife+1,0,'Project Assumptions'!$N$34*(1+OM_Escal)^(('Book Income Statement'!E5-'Project Assumptions'!$N$28)))</f>
        <v>68.32196</v>
      </c>
      <c r="F48" s="434" t="n">
        <f aca="false">IF(F4&gt;ProjectLife+1,0,'Project Assumptions'!$N$34*(1+OM_Escal)^(('Book Income Statement'!F5-'Project Assumptions'!$N$28)))</f>
        <v>70.3716188</v>
      </c>
      <c r="G48" s="434" t="n">
        <f aca="false">IF(G4&gt;ProjectLife+1,0,'Project Assumptions'!$N$34*(1+OM_Escal)^(('Book Income Statement'!G5-'Project Assumptions'!$N$28)))</f>
        <v>72.482767364</v>
      </c>
      <c r="H48" s="434" t="n">
        <f aca="false">IF(H4&gt;ProjectLife+1,0,'Project Assumptions'!$N$34*(1+OM_Escal)^(('Book Income Statement'!H5-'Project Assumptions'!$N$28)))</f>
        <v>74.65725038492</v>
      </c>
      <c r="I48" s="434" t="n">
        <f aca="false">IF(I4&gt;ProjectLife+1,0,'Project Assumptions'!$N$34*(1+OM_Escal)^(('Book Income Statement'!I5-'Project Assumptions'!$N$28)))</f>
        <v>76.8969678964676</v>
      </c>
      <c r="J48" s="434" t="n">
        <f aca="false">IF(J4&gt;ProjectLife+1,0,'Project Assumptions'!$N$34*(1+OM_Escal)^(('Book Income Statement'!J5-'Project Assumptions'!$N$28)))</f>
        <v>79.2038769333616</v>
      </c>
      <c r="K48" s="434" t="n">
        <f aca="false">IF(K4&gt;ProjectLife+1,0,'Project Assumptions'!$N$34*(1+OM_Escal)^(('Book Income Statement'!K5-'Project Assumptions'!$N$28)))</f>
        <v>81.5799932413625</v>
      </c>
      <c r="L48" s="434" t="n">
        <f aca="false">IF(L4&gt;ProjectLife+1,0,'Project Assumptions'!$N$34*(1+OM_Escal)^(('Book Income Statement'!L5-'Project Assumptions'!$N$28)))</f>
        <v>84.0273930386034</v>
      </c>
      <c r="M48" s="434" t="n">
        <f aca="false">IF(M4&gt;ProjectLife+1,0,'Project Assumptions'!$N$34*(1+OM_Escal)^(('Book Income Statement'!M5-'Project Assumptions'!$N$28)))</f>
        <v>86.5482148297615</v>
      </c>
      <c r="N48" s="434" t="n">
        <f aca="false">IF(N4&gt;ProjectLife+1,0,'Project Assumptions'!$N$34*(1+OM_Escal)^(('Book Income Statement'!N5-'Project Assumptions'!$N$28)))</f>
        <v>89.1446612746543</v>
      </c>
      <c r="O48" s="434" t="n">
        <f aca="false">IF(O4&gt;ProjectLife+1,0,'Project Assumptions'!$N$34*(1+OM_Escal)^(('Book Income Statement'!O5-'Project Assumptions'!$N$28)))</f>
        <v>91.819001112894</v>
      </c>
      <c r="P48" s="434" t="n">
        <f aca="false">IF(P4&gt;ProjectLife+1,0,'Project Assumptions'!$N$34*(1+OM_Escal)^(('Book Income Statement'!P5-'Project Assumptions'!$N$28)))</f>
        <v>94.5735711462808</v>
      </c>
      <c r="Q48" s="434" t="n">
        <f aca="false">IF(Q4&gt;ProjectLife+1,0,'Project Assumptions'!$N$34*(1+OM_Escal)^(('Book Income Statement'!Q5-'Project Assumptions'!$N$28)))</f>
        <v>97.4107782806692</v>
      </c>
      <c r="R48" s="434" t="n">
        <f aca="false">IF(R4&gt;ProjectLife+1,0,'Project Assumptions'!$N$34*(1+OM_Escal)^(('Book Income Statement'!R5-'Project Assumptions'!$N$28)))</f>
        <v>100.333101629089</v>
      </c>
      <c r="S48" s="434" t="n">
        <f aca="false">IF(S4&gt;ProjectLife+1,0,'Project Assumptions'!$N$34*(1+OM_Escal)^(('Book Income Statement'!S5-'Project Assumptions'!$N$28)))</f>
        <v>103.343094677962</v>
      </c>
      <c r="T48" s="434" t="n">
        <f aca="false">IF(T4&gt;ProjectLife+1,0,'Project Assumptions'!$N$34*(1+OM_Escal)^(('Book Income Statement'!T5-'Project Assumptions'!$N$28)))</f>
        <v>106.443387518301</v>
      </c>
      <c r="U48" s="434" t="n">
        <f aca="false">IF(U4&gt;ProjectLife+1,0,'Project Assumptions'!$N$34*(1+OM_Escal)^(('Book Income Statement'!U5-'Project Assumptions'!$N$28)))</f>
        <v>109.63668914385</v>
      </c>
      <c r="V48" s="434" t="n">
        <f aca="false">IF(V4&gt;ProjectLife+1,0,'Project Assumptions'!$N$34*(1+OM_Escal)^(('Book Income Statement'!V5-'Project Assumptions'!$N$28)))</f>
        <v>112.925789818165</v>
      </c>
      <c r="W48" s="434" t="n">
        <f aca="false">IF(W4&gt;ProjectLife+1,0,'Project Assumptions'!$N$34*(1+OM_Escal)^(('Book Income Statement'!W5-'Project Assumptions'!$N$28)))</f>
        <v>116.31356351271</v>
      </c>
      <c r="X48" s="434" t="n">
        <f aca="false">IF(X4&gt;ProjectLife+1,0,'Project Assumptions'!$N$34*(1+OM_Escal)^(('Book Income Statement'!X5-'Project Assumptions'!$N$28)))</f>
        <v>119.802970418092</v>
      </c>
      <c r="Y48" s="434" t="n">
        <f aca="false">IF(Y4&gt;ProjectLife+1,0,'Project Assumptions'!$N$34*(1+OM_Escal)^(('Book Income Statement'!Y5-'Project Assumptions'!$N$28)))</f>
        <v>0</v>
      </c>
      <c r="Z48" s="434" t="n">
        <f aca="false">IF(Z4&gt;ProjectLife+1,0,'Project Assumptions'!$N$34*(1+OM_Escal)^(('Book Income Statement'!Z5-'Project Assumptions'!$N$28)))</f>
        <v>0</v>
      </c>
      <c r="AA48" s="434" t="n">
        <f aca="false">IF(AA4&gt;ProjectLife+1,0,'Project Assumptions'!$N$34*(1+OM_Escal)^(('Book Income Statement'!AA5-'Project Assumptions'!$N$28)))</f>
        <v>0</v>
      </c>
      <c r="AB48" s="428" t="n">
        <f aca="false">IF(AB4&gt;ProjectLife+1,0,'Project Assumptions'!$N$34*(1+OM_Escal)^(('Book Income Statement'!AB5-'Project Assumptions'!$N$28)))</f>
        <v>0</v>
      </c>
    </row>
    <row r="49" customFormat="false" ht="12.6" hidden="false" customHeight="true" outlineLevel="0" collapsed="false">
      <c r="A49" s="626" t="n">
        <v>7</v>
      </c>
      <c r="B49" s="403" t="s">
        <v>519</v>
      </c>
      <c r="C49" s="473" t="n">
        <f aca="false">AVERAGE(D49:W49)</f>
        <v>389.63666251486</v>
      </c>
      <c r="D49" s="434" t="n">
        <f aca="false">'Project Assumptions'!$N$35*(1+OM_Escal)^(('Book Income Statement'!D5-'Project Assumptions'!$N$28))*(D6/12)</f>
        <v>171.838333333333</v>
      </c>
      <c r="E49" s="434" t="n">
        <f aca="false">'Project Assumptions'!$N$35*(1+OM_Escal)^(('Book Income Statement'!E5-'Project Assumptions'!$N$28))*(E6/12)</f>
        <v>303.4174</v>
      </c>
      <c r="F49" s="434" t="n">
        <f aca="false">'Project Assumptions'!$N$35*(1+OM_Escal)^(('Book Income Statement'!F5-'Project Assumptions'!$N$28))*(F6/12)</f>
        <v>312.519922</v>
      </c>
      <c r="G49" s="434" t="n">
        <f aca="false">'Project Assumptions'!$N$35*(1+OM_Escal)^(('Book Income Statement'!G5-'Project Assumptions'!$N$28))*(G6/12)</f>
        <v>321.89551966</v>
      </c>
      <c r="H49" s="434" t="n">
        <f aca="false">'Project Assumptions'!$N$35*(1+OM_Escal)^(('Book Income Statement'!H5-'Project Assumptions'!$N$28))*(H6/12)</f>
        <v>331.5523852498</v>
      </c>
      <c r="I49" s="434" t="n">
        <f aca="false">'Project Assumptions'!$N$35*(1+OM_Escal)^(('Book Income Statement'!I5-'Project Assumptions'!$N$28))*(I6/12)</f>
        <v>341.498956807294</v>
      </c>
      <c r="J49" s="434" t="n">
        <f aca="false">'Project Assumptions'!$N$35*(1+OM_Escal)^(('Book Income Statement'!J5-'Project Assumptions'!$N$28))*(J6/12)</f>
        <v>351.743925511513</v>
      </c>
      <c r="K49" s="434" t="n">
        <f aca="false">'Project Assumptions'!$N$35*(1+OM_Escal)^(('Book Income Statement'!K5-'Project Assumptions'!$N$28))*(K6/12)</f>
        <v>362.296243276858</v>
      </c>
      <c r="L49" s="434" t="n">
        <f aca="false">'Project Assumptions'!$N$35*(1+OM_Escal)^(('Book Income Statement'!L5-'Project Assumptions'!$N$28))*(L6/12)</f>
        <v>373.165130575164</v>
      </c>
      <c r="M49" s="434" t="n">
        <f aca="false">'Project Assumptions'!$N$35*(1+OM_Escal)^(('Book Income Statement'!M5-'Project Assumptions'!$N$28))*(M6/12)</f>
        <v>384.360084492419</v>
      </c>
      <c r="N49" s="434" t="n">
        <f aca="false">'Project Assumptions'!$N$35*(1+OM_Escal)^(('Book Income Statement'!N5-'Project Assumptions'!$N$28))*(N6/12)</f>
        <v>395.890887027192</v>
      </c>
      <c r="O49" s="434" t="n">
        <f aca="false">'Project Assumptions'!$N$35*(1+OM_Escal)^(('Book Income Statement'!O5-'Project Assumptions'!$N$28))*(O6/12)</f>
        <v>407.767613638007</v>
      </c>
      <c r="P49" s="434" t="n">
        <f aca="false">'Project Assumptions'!$N$35*(1+OM_Escal)^(('Book Income Statement'!P5-'Project Assumptions'!$N$28))*(P6/12)</f>
        <v>420.000642047148</v>
      </c>
      <c r="Q49" s="434" t="n">
        <f aca="false">'Project Assumptions'!$N$35*(1+OM_Escal)^(('Book Income Statement'!Q5-'Project Assumptions'!$N$28))*(Q6/12)</f>
        <v>432.600661308562</v>
      </c>
      <c r="R49" s="434" t="n">
        <f aca="false">'Project Assumptions'!$N$35*(1+OM_Escal)^(('Book Income Statement'!R5-'Project Assumptions'!$N$28))*(R6/12)</f>
        <v>445.578681147819</v>
      </c>
      <c r="S49" s="434" t="n">
        <f aca="false">'Project Assumptions'!$N$35*(1+OM_Escal)^(('Book Income Statement'!S5-'Project Assumptions'!$N$28))*(S6/12)</f>
        <v>458.946041582253</v>
      </c>
      <c r="T49" s="434" t="n">
        <f aca="false">'Project Assumptions'!$N$35*(1+OM_Escal)^(('Book Income Statement'!T5-'Project Assumptions'!$N$28))*(T6/12)</f>
        <v>472.714422829721</v>
      </c>
      <c r="U49" s="434" t="n">
        <f aca="false">'Project Assumptions'!$N$35*(1+OM_Escal)^(('Book Income Statement'!U5-'Project Assumptions'!$N$28))*(U6/12)</f>
        <v>486.895855514613</v>
      </c>
      <c r="V49" s="434" t="n">
        <f aca="false">'Project Assumptions'!$N$35*(1+OM_Escal)^(('Book Income Statement'!V5-'Project Assumptions'!$N$28))*(V6/12)</f>
        <v>501.502731180051</v>
      </c>
      <c r="W49" s="434" t="n">
        <f aca="false">'Project Assumptions'!$N$35*(1+OM_Escal)^(('Book Income Statement'!W5-'Project Assumptions'!$N$28))*(W6/12)</f>
        <v>516.547813115453</v>
      </c>
      <c r="X49" s="434" t="n">
        <f aca="false">'Project Assumptions'!$N$35*(1+OM_Escal)^(('Book Income Statement'!X5-'Project Assumptions'!$N$28))*(X6/12)</f>
        <v>221.685103128715</v>
      </c>
      <c r="Y49" s="434" t="n">
        <f aca="false">'Project Assumptions'!$N$35*(1+OM_Escal)^(('Book Income Statement'!Y5-'Project Assumptions'!$N$28))*(Y6/12)</f>
        <v>0</v>
      </c>
      <c r="Z49" s="434" t="n">
        <f aca="false">'Project Assumptions'!$N$35*(1+OM_Escal)^(('Book Income Statement'!Z5-'Project Assumptions'!$N$28))*(Z6/12)</f>
        <v>0</v>
      </c>
      <c r="AA49" s="434" t="n">
        <f aca="false">'Project Assumptions'!$N$35*(1+OM_Escal)^(('Book Income Statement'!AA5-'Project Assumptions'!$N$28))*(AA6/12)</f>
        <v>0</v>
      </c>
      <c r="AB49" s="428" t="n">
        <f aca="false">'Project Assumptions'!$N$35*(1+OM_Escal)^(('Book Income Statement'!AB5-'Project Assumptions'!$N$28))*(AB6/12)</f>
        <v>0</v>
      </c>
    </row>
    <row r="50" customFormat="false" ht="12.6" hidden="false" customHeight="true" outlineLevel="0" collapsed="false">
      <c r="A50" s="626" t="n">
        <v>7</v>
      </c>
      <c r="B50" s="403" t="s">
        <v>520</v>
      </c>
      <c r="C50" s="473" t="n">
        <f aca="false">AVERAGE(D50:W50)</f>
        <v>136.236595284916</v>
      </c>
      <c r="D50" s="434" t="n">
        <f aca="false">'Project Assumptions'!$N$36*((1+OM_Escal)^('Book Income Statement'!D5-'Project Assumptions'!$N$28))*(D6/12)</f>
        <v>60.0833333333333</v>
      </c>
      <c r="E50" s="434" t="n">
        <f aca="false">'Project Assumptions'!$N$36*((1+OM_Escal)^('Book Income Statement'!E5-'Project Assumptions'!$N$28))*(E6/12)</f>
        <v>106.09</v>
      </c>
      <c r="F50" s="434" t="n">
        <f aca="false">'Project Assumptions'!$N$36*((1+OM_Escal)^('Book Income Statement'!F5-'Project Assumptions'!$N$28))*(F6/12)</f>
        <v>109.2727</v>
      </c>
      <c r="G50" s="434" t="n">
        <f aca="false">'Project Assumptions'!$N$36*((1+OM_Escal)^('Book Income Statement'!G5-'Project Assumptions'!$N$28))*(G6/12)</f>
        <v>112.550881</v>
      </c>
      <c r="H50" s="434" t="n">
        <f aca="false">'Project Assumptions'!$N$36*((1+OM_Escal)^('Book Income Statement'!H5-'Project Assumptions'!$N$28))*(H6/12)</f>
        <v>115.92740743</v>
      </c>
      <c r="I50" s="434" t="n">
        <f aca="false">'Project Assumptions'!$N$36*((1+OM_Escal)^('Book Income Statement'!I5-'Project Assumptions'!$N$28))*(I6/12)</f>
        <v>119.4052296529</v>
      </c>
      <c r="J50" s="434" t="n">
        <f aca="false">'Project Assumptions'!$N$36*((1+OM_Escal)^('Book Income Statement'!J5-'Project Assumptions'!$N$28))*(J6/12)</f>
        <v>122.987386542487</v>
      </c>
      <c r="K50" s="434" t="n">
        <f aca="false">'Project Assumptions'!$N$36*((1+OM_Escal)^('Book Income Statement'!K5-'Project Assumptions'!$N$28))*(K6/12)</f>
        <v>126.677008138762</v>
      </c>
      <c r="L50" s="434" t="n">
        <f aca="false">'Project Assumptions'!$N$36*((1+OM_Escal)^('Book Income Statement'!L5-'Project Assumptions'!$N$28))*(L6/12)</f>
        <v>130.477318382925</v>
      </c>
      <c r="M50" s="434" t="n">
        <f aca="false">'Project Assumptions'!$N$36*((1+OM_Escal)^('Book Income Statement'!M5-'Project Assumptions'!$N$28))*(M6/12)</f>
        <v>134.391637934412</v>
      </c>
      <c r="N50" s="434" t="n">
        <f aca="false">'Project Assumptions'!$N$36*((1+OM_Escal)^('Book Income Statement'!N5-'Project Assumptions'!$N$28))*(N6/12)</f>
        <v>138.423387072445</v>
      </c>
      <c r="O50" s="434" t="n">
        <f aca="false">'Project Assumptions'!$N$36*((1+OM_Escal)^('Book Income Statement'!O5-'Project Assumptions'!$N$28))*(O6/12)</f>
        <v>142.576088684618</v>
      </c>
      <c r="P50" s="434" t="n">
        <f aca="false">'Project Assumptions'!$N$36*((1+OM_Escal)^('Book Income Statement'!P5-'Project Assumptions'!$N$28))*(P6/12)</f>
        <v>146.853371345157</v>
      </c>
      <c r="Q50" s="434" t="n">
        <f aca="false">'Project Assumptions'!$N$36*((1+OM_Escal)^('Book Income Statement'!Q5-'Project Assumptions'!$N$28))*(Q6/12)</f>
        <v>151.258972485511</v>
      </c>
      <c r="R50" s="434" t="n">
        <f aca="false">'Project Assumptions'!$N$36*((1+OM_Escal)^('Book Income Statement'!R5-'Project Assumptions'!$N$28))*(R6/12)</f>
        <v>155.796741660077</v>
      </c>
      <c r="S50" s="434" t="n">
        <f aca="false">'Project Assumptions'!$N$36*((1+OM_Escal)^('Book Income Statement'!S5-'Project Assumptions'!$N$28))*(S6/12)</f>
        <v>160.470643909879</v>
      </c>
      <c r="T50" s="434" t="n">
        <f aca="false">'Project Assumptions'!$N$36*((1+OM_Escal)^('Book Income Statement'!T5-'Project Assumptions'!$N$28))*(T6/12)</f>
        <v>165.284763227175</v>
      </c>
      <c r="U50" s="434" t="n">
        <f aca="false">'Project Assumptions'!$N$36*((1+OM_Escal)^('Book Income Statement'!U5-'Project Assumptions'!$N$28))*(U6/12)</f>
        <v>170.24330612399</v>
      </c>
      <c r="V50" s="434" t="n">
        <f aca="false">'Project Assumptions'!$N$36*((1+OM_Escal)^('Book Income Statement'!V5-'Project Assumptions'!$N$28))*(V6/12)</f>
        <v>175.35060530771</v>
      </c>
      <c r="W50" s="434" t="n">
        <f aca="false">'Project Assumptions'!$N$36*((1+OM_Escal)^('Book Income Statement'!W5-'Project Assumptions'!$N$28))*(W6/12)</f>
        <v>180.611123466941</v>
      </c>
      <c r="X50" s="434" t="n">
        <f aca="false">'Project Assumptions'!$N$36*((1+OM_Escal)^('Book Income Statement'!X5-'Project Assumptions'!$N$28))*(X6/12)</f>
        <v>77.512273821229</v>
      </c>
      <c r="Y50" s="434" t="n">
        <f aca="false">'Project Assumptions'!$N$36*((1+OM_Escal)^('Book Income Statement'!Y5-'Project Assumptions'!$N$28))*(Y6/12)</f>
        <v>0</v>
      </c>
      <c r="Z50" s="434" t="n">
        <f aca="false">'Project Assumptions'!$N$36*((1+OM_Escal)^('Book Income Statement'!Z5-'Project Assumptions'!$N$28))*(Z6/12)</f>
        <v>0</v>
      </c>
      <c r="AA50" s="434" t="n">
        <f aca="false">'Project Assumptions'!$N$36*((1+OM_Escal)^('Book Income Statement'!AA5-'Project Assumptions'!$N$28))*(AA6/12)</f>
        <v>0</v>
      </c>
      <c r="AB50" s="428" t="n">
        <f aca="false">'Project Assumptions'!$N$36*((1+OM_Escal)^('Book Income Statement'!AB5-'Project Assumptions'!$N$28))*(AB6/12)</f>
        <v>0</v>
      </c>
    </row>
    <row r="51" customFormat="false" ht="12.6" hidden="false" customHeight="true" outlineLevel="0" collapsed="false">
      <c r="A51" s="626" t="n">
        <v>7</v>
      </c>
      <c r="B51" s="403" t="s">
        <v>521</v>
      </c>
      <c r="C51" s="473" t="n">
        <f aca="false">AVERAGE(D51:W51)</f>
        <v>40.8709785854748</v>
      </c>
      <c r="D51" s="434" t="n">
        <f aca="false">'Project Assumptions'!$N$37*((1+OM_Escal)^('Book Income Statement'!D5-'Project Assumptions'!$N$28))*(D6/12)</f>
        <v>18.025</v>
      </c>
      <c r="E51" s="434" t="n">
        <f aca="false">'Project Assumptions'!$N$37*((1+OM_Escal)^('Book Income Statement'!E5-'Project Assumptions'!$N$28))*(E6/12)</f>
        <v>31.827</v>
      </c>
      <c r="F51" s="434" t="n">
        <f aca="false">'Project Assumptions'!$N$37*((1+OM_Escal)^('Book Income Statement'!F5-'Project Assumptions'!$N$28))*(F6/12)</f>
        <v>32.78181</v>
      </c>
      <c r="G51" s="434" t="n">
        <f aca="false">'Project Assumptions'!$N$37*((1+OM_Escal)^('Book Income Statement'!G5-'Project Assumptions'!$N$28))*(G6/12)</f>
        <v>33.7652643</v>
      </c>
      <c r="H51" s="434" t="n">
        <f aca="false">'Project Assumptions'!$N$37*((1+OM_Escal)^('Book Income Statement'!H5-'Project Assumptions'!$N$28))*(H6/12)</f>
        <v>34.778222229</v>
      </c>
      <c r="I51" s="434" t="n">
        <f aca="false">'Project Assumptions'!$N$37*((1+OM_Escal)^('Book Income Statement'!I5-'Project Assumptions'!$N$28))*(I6/12)</f>
        <v>35.82156889587</v>
      </c>
      <c r="J51" s="434" t="n">
        <f aca="false">'Project Assumptions'!$N$37*((1+OM_Escal)^('Book Income Statement'!J5-'Project Assumptions'!$N$28))*(J6/12)</f>
        <v>36.8962159627461</v>
      </c>
      <c r="K51" s="434" t="n">
        <f aca="false">'Project Assumptions'!$N$37*((1+OM_Escal)^('Book Income Statement'!K5-'Project Assumptions'!$N$28))*(K6/12)</f>
        <v>38.0031024416285</v>
      </c>
      <c r="L51" s="434" t="n">
        <f aca="false">'Project Assumptions'!$N$37*((1+OM_Escal)^('Book Income Statement'!L5-'Project Assumptions'!$N$28))*(L6/12)</f>
        <v>39.1431955148774</v>
      </c>
      <c r="M51" s="434" t="n">
        <f aca="false">'Project Assumptions'!$N$37*((1+OM_Escal)^('Book Income Statement'!M5-'Project Assumptions'!$N$28))*(M6/12)</f>
        <v>40.3174913803237</v>
      </c>
      <c r="N51" s="434" t="n">
        <f aca="false">'Project Assumptions'!$N$37*((1+OM_Escal)^('Book Income Statement'!N5-'Project Assumptions'!$N$28))*(N6/12)</f>
        <v>41.5270161217334</v>
      </c>
      <c r="O51" s="434" t="n">
        <f aca="false">'Project Assumptions'!$N$37*((1+OM_Escal)^('Book Income Statement'!O5-'Project Assumptions'!$N$28))*(O6/12)</f>
        <v>42.7728266053854</v>
      </c>
      <c r="P51" s="434" t="n">
        <f aca="false">'Project Assumptions'!$N$37*((1+OM_Escal)^('Book Income Statement'!P5-'Project Assumptions'!$N$28))*(P6/12)</f>
        <v>44.056011403547</v>
      </c>
      <c r="Q51" s="434" t="n">
        <f aca="false">'Project Assumptions'!$N$37*((1+OM_Escal)^('Book Income Statement'!Q5-'Project Assumptions'!$N$28))*(Q6/12)</f>
        <v>45.3776917456534</v>
      </c>
      <c r="R51" s="434" t="n">
        <f aca="false">'Project Assumptions'!$N$37*((1+OM_Escal)^('Book Income Statement'!R5-'Project Assumptions'!$N$28))*(R6/12)</f>
        <v>46.739022498023</v>
      </c>
      <c r="S51" s="434" t="n">
        <f aca="false">'Project Assumptions'!$N$37*((1+OM_Escal)^('Book Income Statement'!S5-'Project Assumptions'!$N$28))*(S6/12)</f>
        <v>48.1411931729636</v>
      </c>
      <c r="T51" s="434" t="n">
        <f aca="false">'Project Assumptions'!$N$37*((1+OM_Escal)^('Book Income Statement'!T5-'Project Assumptions'!$N$28))*(T6/12)</f>
        <v>49.5854289681526</v>
      </c>
      <c r="U51" s="434" t="n">
        <f aca="false">'Project Assumptions'!$N$37*((1+OM_Escal)^('Book Income Statement'!U5-'Project Assumptions'!$N$28))*(U6/12)</f>
        <v>51.0729918371971</v>
      </c>
      <c r="V51" s="434" t="n">
        <f aca="false">'Project Assumptions'!$N$37*((1+OM_Escal)^('Book Income Statement'!V5-'Project Assumptions'!$N$28))*(V6/12)</f>
        <v>52.605181592313</v>
      </c>
      <c r="W51" s="434" t="n">
        <f aca="false">'Project Assumptions'!$N$37*((1+OM_Escal)^('Book Income Statement'!W5-'Project Assumptions'!$N$28))*(W6/12)</f>
        <v>54.1833370400824</v>
      </c>
      <c r="X51" s="434" t="n">
        <f aca="false">'Project Assumptions'!$N$37*((1+OM_Escal)^('Book Income Statement'!X5-'Project Assumptions'!$N$28))*(X6/12)</f>
        <v>23.2536821463687</v>
      </c>
      <c r="Y51" s="434" t="n">
        <f aca="false">'Project Assumptions'!$N$37*((1+OM_Escal)^('Book Income Statement'!Y5-'Project Assumptions'!$N$28))*(Y6/12)</f>
        <v>0</v>
      </c>
      <c r="Z51" s="434" t="n">
        <f aca="false">'Project Assumptions'!$N$37*((1+OM_Escal)^('Book Income Statement'!Z5-'Project Assumptions'!$N$28))*(Z6/12)</f>
        <v>0</v>
      </c>
      <c r="AA51" s="434" t="n">
        <f aca="false">'Project Assumptions'!$N$37*((1+OM_Escal)^('Book Income Statement'!AA5-'Project Assumptions'!$N$28))*(AA6/12)</f>
        <v>0</v>
      </c>
      <c r="AB51" s="428" t="n">
        <f aca="false">'Project Assumptions'!$N$37*((1+OM_Escal)^('Book Income Statement'!AB5-'Project Assumptions'!$N$28))*(AB6/12)</f>
        <v>0</v>
      </c>
    </row>
    <row r="52" customFormat="false" ht="12.6" hidden="false" customHeight="true" outlineLevel="0" collapsed="false">
      <c r="A52" s="626" t="n">
        <v>7</v>
      </c>
      <c r="B52" s="403" t="s">
        <v>522</v>
      </c>
      <c r="C52" s="473" t="n">
        <f aca="false">AVERAGE(D52:W52)</f>
        <v>102.177446463687</v>
      </c>
      <c r="D52" s="481" t="n">
        <f aca="false">'Project Assumptions'!$N$38*((1+OM_Escal)^('Book Income Statement'!D5-'Project Assumptions'!$N$28))*(D6/12)</f>
        <v>45.0625</v>
      </c>
      <c r="E52" s="481" t="n">
        <f aca="false">'Project Assumptions'!$N$38*((1+OM_Escal)^('Book Income Statement'!E5-'Project Assumptions'!$N$28))*(E6/12)</f>
        <v>79.5675</v>
      </c>
      <c r="F52" s="481" t="n">
        <f aca="false">'Project Assumptions'!$N$38*((1+OM_Escal)^('Book Income Statement'!F5-'Project Assumptions'!$N$28))*(F6/12)</f>
        <v>81.954525</v>
      </c>
      <c r="G52" s="481" t="n">
        <f aca="false">'Project Assumptions'!$N$38*((1+OM_Escal)^('Book Income Statement'!G5-'Project Assumptions'!$N$28))*(G6/12)</f>
        <v>84.41316075</v>
      </c>
      <c r="H52" s="481" t="n">
        <f aca="false">'Project Assumptions'!$N$38*((1+OM_Escal)^('Book Income Statement'!H5-'Project Assumptions'!$N$28))*(H6/12)</f>
        <v>86.9455555725</v>
      </c>
      <c r="I52" s="481" t="n">
        <f aca="false">'Project Assumptions'!$N$38*((1+OM_Escal)^('Book Income Statement'!I5-'Project Assumptions'!$N$28))*(I6/12)</f>
        <v>89.553922239675</v>
      </c>
      <c r="J52" s="481" t="n">
        <f aca="false">'Project Assumptions'!$N$38*((1+OM_Escal)^('Book Income Statement'!J5-'Project Assumptions'!$N$28))*(J6/12)</f>
        <v>92.2405399068653</v>
      </c>
      <c r="K52" s="481" t="n">
        <f aca="false">'Project Assumptions'!$N$38*((1+OM_Escal)^('Book Income Statement'!K5-'Project Assumptions'!$N$28))*(K6/12)</f>
        <v>95.0077561040712</v>
      </c>
      <c r="L52" s="481" t="n">
        <f aca="false">'Project Assumptions'!$N$38*((1+OM_Escal)^('Book Income Statement'!L5-'Project Assumptions'!$N$28))*(L6/12)</f>
        <v>97.8579887871934</v>
      </c>
      <c r="M52" s="481" t="n">
        <f aca="false">'Project Assumptions'!$N$38*((1+OM_Escal)^('Book Income Statement'!M5-'Project Assumptions'!$N$28))*(M6/12)</f>
        <v>100.793728450809</v>
      </c>
      <c r="N52" s="481" t="n">
        <f aca="false">'Project Assumptions'!$N$38*((1+OM_Escal)^('Book Income Statement'!N5-'Project Assumptions'!$N$28))*(N6/12)</f>
        <v>103.817540304333</v>
      </c>
      <c r="O52" s="481" t="n">
        <f aca="false">'Project Assumptions'!$N$38*((1+OM_Escal)^('Book Income Statement'!O5-'Project Assumptions'!$N$28))*(O6/12)</f>
        <v>106.932066513463</v>
      </c>
      <c r="P52" s="481" t="n">
        <f aca="false">'Project Assumptions'!$N$38*((1+OM_Escal)^('Book Income Statement'!P5-'Project Assumptions'!$N$28))*(P6/12)</f>
        <v>110.140028508867</v>
      </c>
      <c r="Q52" s="481" t="n">
        <f aca="false">'Project Assumptions'!$N$38*((1+OM_Escal)^('Book Income Statement'!Q5-'Project Assumptions'!$N$28))*(Q6/12)</f>
        <v>113.444229364133</v>
      </c>
      <c r="R52" s="481" t="n">
        <f aca="false">'Project Assumptions'!$N$38*((1+OM_Escal)^('Book Income Statement'!R5-'Project Assumptions'!$N$28))*(R6/12)</f>
        <v>116.847556245057</v>
      </c>
      <c r="S52" s="481" t="n">
        <f aca="false">'Project Assumptions'!$N$38*((1+OM_Escal)^('Book Income Statement'!S5-'Project Assumptions'!$N$28))*(S6/12)</f>
        <v>120.352982932409</v>
      </c>
      <c r="T52" s="481" t="n">
        <f aca="false">'Project Assumptions'!$N$38*((1+OM_Escal)^('Book Income Statement'!T5-'Project Assumptions'!$N$28))*(T6/12)</f>
        <v>123.963572420381</v>
      </c>
      <c r="U52" s="481" t="n">
        <f aca="false">'Project Assumptions'!$N$38*((1+OM_Escal)^('Book Income Statement'!U5-'Project Assumptions'!$N$28))*(U6/12)</f>
        <v>127.682479592993</v>
      </c>
      <c r="V52" s="481" t="n">
        <f aca="false">'Project Assumptions'!$N$38*((1+OM_Escal)^('Book Income Statement'!V5-'Project Assumptions'!$N$28))*(V6/12)</f>
        <v>131.512953980783</v>
      </c>
      <c r="W52" s="481" t="n">
        <f aca="false">'Project Assumptions'!$N$38*((1+OM_Escal)^('Book Income Statement'!W5-'Project Assumptions'!$N$28))*(W6/12)</f>
        <v>135.458342600206</v>
      </c>
      <c r="X52" s="481" t="n">
        <f aca="false">'Project Assumptions'!$N$38*((1+OM_Escal)^('Book Income Statement'!X5-'Project Assumptions'!$N$28))*(X6/12)</f>
        <v>58.1342053659218</v>
      </c>
      <c r="Y52" s="481" t="n">
        <f aca="false">'Project Assumptions'!$N$38*((1+OM_Escal)^('Book Income Statement'!Y5-'Project Assumptions'!$N$28))*(Y6/12)</f>
        <v>0</v>
      </c>
      <c r="Z52" s="481" t="n">
        <f aca="false">'Project Assumptions'!$N$38*((1+OM_Escal)^('Book Income Statement'!Z5-'Project Assumptions'!$N$28))*(Z6/12)</f>
        <v>0</v>
      </c>
      <c r="AA52" s="481" t="n">
        <f aca="false">'Project Assumptions'!$N$38*((1+OM_Escal)^('Book Income Statement'!AA5-'Project Assumptions'!$N$28))*(AA6/12)</f>
        <v>0</v>
      </c>
      <c r="AB52" s="431" t="n">
        <f aca="false">'Project Assumptions'!$N$38*((1+OM_Escal)^('Book Income Statement'!AB5-'Project Assumptions'!$N$28))*(AB6/12)</f>
        <v>0</v>
      </c>
    </row>
    <row r="53" customFormat="false" ht="12.6" hidden="false" customHeight="true" outlineLevel="0" collapsed="false">
      <c r="B53" s="660" t="s">
        <v>523</v>
      </c>
      <c r="D53" s="673" t="n">
        <f aca="false">SUM(D48:D52)+D47</f>
        <v>536.183666666667</v>
      </c>
      <c r="E53" s="673" t="n">
        <f aca="false">SUM(E48:E52)+E47</f>
        <v>897.94576</v>
      </c>
      <c r="F53" s="673" t="n">
        <f aca="false">SUM(F48:F52)+F47</f>
        <v>924.8841328</v>
      </c>
      <c r="G53" s="673" t="n">
        <f aca="false">SUM(G48:G52)+G47</f>
        <v>952.630656784</v>
      </c>
      <c r="H53" s="673" t="n">
        <f aca="false">SUM(H48:H52)+H47</f>
        <v>981.20957648752</v>
      </c>
      <c r="I53" s="673" t="n">
        <f aca="false">SUM(I48:I52)+I47</f>
        <v>1010.64586378215</v>
      </c>
      <c r="J53" s="673" t="n">
        <f aca="false">SUM(J48:J52)+J47</f>
        <v>1040.96523969561</v>
      </c>
      <c r="K53" s="673" t="n">
        <f aca="false">SUM(K48:K52)+K47</f>
        <v>1072.19419688648</v>
      </c>
      <c r="L53" s="673" t="n">
        <f aca="false">SUM(L48:L52)+L47</f>
        <v>1104.36002279307</v>
      </c>
      <c r="M53" s="673" t="n">
        <f aca="false">SUM(M48:M52)+M47</f>
        <v>1137.49082347687</v>
      </c>
      <c r="N53" s="673" t="n">
        <f aca="false">SUM(N48:N52)+N47</f>
        <v>1171.61554818117</v>
      </c>
      <c r="O53" s="673" t="n">
        <f aca="false">SUM(O48:O52)+O47</f>
        <v>1206.76401462661</v>
      </c>
      <c r="P53" s="673" t="n">
        <f aca="false">SUM(P48:P52)+P47</f>
        <v>1242.9669350654</v>
      </c>
      <c r="Q53" s="673" t="n">
        <f aca="false">SUM(Q48:Q52)+Q47</f>
        <v>1280.25594311737</v>
      </c>
      <c r="R53" s="673" t="n">
        <f aca="false">SUM(R48:R52)+R47</f>
        <v>1318.66362141089</v>
      </c>
      <c r="S53" s="673" t="n">
        <f aca="false">SUM(S48:S52)+S47</f>
        <v>1358.22353005321</v>
      </c>
      <c r="T53" s="673" t="n">
        <f aca="false">SUM(T48:T52)+T47</f>
        <v>1398.97023595481</v>
      </c>
      <c r="U53" s="673" t="n">
        <f aca="false">SUM(U48:U52)+U47</f>
        <v>1440.93934303346</v>
      </c>
      <c r="V53" s="673" t="n">
        <f aca="false">SUM(V48:V52)+V47</f>
        <v>1484.16752332446</v>
      </c>
      <c r="W53" s="673" t="n">
        <f aca="false">SUM(W48:W52)+W47</f>
        <v>1528.69254902419</v>
      </c>
      <c r="X53" s="673" t="n">
        <f aca="false">SUM(X48:X52)+X47</f>
        <v>725.948951700103</v>
      </c>
      <c r="Y53" s="673" t="n">
        <f aca="false">SUM(Y48:Y52)+Y47</f>
        <v>0</v>
      </c>
      <c r="Z53" s="673" t="n">
        <f aca="false">SUM(Z48:Z52)+Z47</f>
        <v>0</v>
      </c>
      <c r="AA53" s="673" t="n">
        <f aca="false">SUM(AA48:AA52)+AA47</f>
        <v>0</v>
      </c>
      <c r="AB53" s="674" t="n">
        <f aca="false">SUM(AB48:AB52)+AB47</f>
        <v>0</v>
      </c>
    </row>
    <row r="54" customFormat="false" ht="12.6" hidden="false" customHeight="true" outlineLevel="0" collapsed="false">
      <c r="B54" s="403"/>
      <c r="D54" s="481"/>
      <c r="E54" s="481"/>
      <c r="F54" s="481"/>
      <c r="G54" s="481"/>
      <c r="H54" s="481"/>
      <c r="I54" s="481"/>
      <c r="J54" s="481"/>
      <c r="K54" s="481"/>
      <c r="L54" s="481"/>
      <c r="M54" s="481"/>
      <c r="N54" s="481"/>
      <c r="O54" s="481"/>
      <c r="P54" s="481"/>
      <c r="Q54" s="481"/>
      <c r="R54" s="481"/>
      <c r="S54" s="481"/>
      <c r="T54" s="481"/>
      <c r="U54" s="481"/>
      <c r="V54" s="481"/>
      <c r="W54" s="481"/>
      <c r="X54" s="481"/>
      <c r="Y54" s="481"/>
      <c r="Z54" s="481"/>
      <c r="AA54" s="481"/>
      <c r="AB54" s="431"/>
    </row>
    <row r="55" customFormat="false" ht="12.6" hidden="false" customHeight="true" outlineLevel="0" collapsed="false">
      <c r="A55" s="626" t="n">
        <v>8</v>
      </c>
      <c r="B55" s="660" t="s">
        <v>524</v>
      </c>
      <c r="C55" s="473" t="n">
        <f aca="false">AVERAGE(D55:W55)</f>
        <v>274.297312476231</v>
      </c>
      <c r="D55" s="663" t="n">
        <f aca="false">IF(D4&gt;'Project Assumptions'!$I$15+1,0,Depreciation!D51)</f>
        <v>349.8690210156</v>
      </c>
      <c r="E55" s="663" t="n">
        <f aca="false">IF(E4&gt;'Project Assumptions'!$I$15+1,0,Depreciation!E51)</f>
        <v>349.8690210156</v>
      </c>
      <c r="F55" s="663" t="n">
        <f aca="false">IF(F4&gt;'Project Assumptions'!$I$15+1,0,Depreciation!F51)</f>
        <v>349.8690210156</v>
      </c>
      <c r="G55" s="663" t="n">
        <f aca="false">IF(G4&gt;'Project Assumptions'!$I$15+1,0,Depreciation!G51)</f>
        <v>349.8690210156</v>
      </c>
      <c r="H55" s="663" t="n">
        <f aca="false">IF(H4&gt;'Project Assumptions'!$I$15+1,0,Depreciation!H51)</f>
        <v>349.8690210156</v>
      </c>
      <c r="I55" s="663" t="n">
        <f aca="false">IF(I4&gt;'Project Assumptions'!$I$15+1,0,Depreciation!I51)</f>
        <v>307.884738493728</v>
      </c>
      <c r="J55" s="663" t="n">
        <f aca="false">IF(J4&gt;'Project Assumptions'!$I$15+1,0,Depreciation!J51)</f>
        <v>307.884738493728</v>
      </c>
      <c r="K55" s="663" t="n">
        <f aca="false">IF(K4&gt;'Project Assumptions'!$I$15+1,0,Depreciation!K51)</f>
        <v>307.884738493728</v>
      </c>
      <c r="L55" s="663" t="n">
        <f aca="false">IF(L4&gt;'Project Assumptions'!$I$15+1,0,Depreciation!L51)</f>
        <v>307.884738493728</v>
      </c>
      <c r="M55" s="663" t="n">
        <f aca="false">IF(M4&gt;'Project Assumptions'!$I$15+1,0,Depreciation!M51)</f>
        <v>265.900455971856</v>
      </c>
      <c r="N55" s="663" t="n">
        <f aca="false">IF(N4&gt;'Project Assumptions'!$I$15+1,0,Depreciation!N51)</f>
        <v>265.900455971856</v>
      </c>
      <c r="O55" s="663" t="n">
        <f aca="false">IF(O4&gt;'Project Assumptions'!$I$15+1,0,Depreciation!O51)</f>
        <v>265.900455971856</v>
      </c>
      <c r="P55" s="663" t="n">
        <f aca="false">IF(P4&gt;'Project Assumptions'!$I$15+1,0,Depreciation!P51)</f>
        <v>265.900455971856</v>
      </c>
      <c r="Q55" s="663" t="n">
        <f aca="false">IF(Q4&gt;'Project Assumptions'!$I$15+1,0,Depreciation!Q51)</f>
        <v>223.916173449984</v>
      </c>
      <c r="R55" s="663" t="n">
        <f aca="false">IF(R4&gt;'Project Assumptions'!$I$15+1,0,Depreciation!R51)</f>
        <v>223.916173449984</v>
      </c>
      <c r="S55" s="663" t="n">
        <f aca="false">IF(S4&gt;'Project Assumptions'!$I$15+1,0,Depreciation!S51)</f>
        <v>223.916173449984</v>
      </c>
      <c r="T55" s="663" t="n">
        <f aca="false">IF(T4&gt;'Project Assumptions'!$I$15+1,0,Depreciation!T51)</f>
        <v>223.916173449984</v>
      </c>
      <c r="U55" s="663" t="n">
        <f aca="false">IF(U4&gt;'Project Assumptions'!$I$15+1,0,Depreciation!U51)</f>
        <v>181.931890928112</v>
      </c>
      <c r="V55" s="663" t="n">
        <f aca="false">IF(V4&gt;'Project Assumptions'!$I$15+1,0,Depreciation!V51)</f>
        <v>181.931890928112</v>
      </c>
      <c r="W55" s="663" t="n">
        <f aca="false">IF(W4&gt;'Project Assumptions'!$I$15+1,0,Depreciation!W51)</f>
        <v>181.931890928112</v>
      </c>
      <c r="X55" s="663" t="n">
        <f aca="false">IF(X4&gt;'Project Assumptions'!$I$15+1,0,Depreciation!X51)</f>
        <v>181.931890928112</v>
      </c>
      <c r="Y55" s="663" t="n">
        <f aca="false">IF(Y4&gt;'Project Assumptions'!$I$15+1,0,Depreciation!Y51)</f>
        <v>0</v>
      </c>
      <c r="Z55" s="663" t="n">
        <f aca="false">IF(Z4&gt;'Project Assumptions'!$I$15+1,0,Depreciation!Z51)</f>
        <v>0</v>
      </c>
      <c r="AA55" s="663" t="n">
        <f aca="false">IF(AA4&gt;'Project Assumptions'!$I$15+1,0,Depreciation!AA51)</f>
        <v>0</v>
      </c>
      <c r="AB55" s="664" t="n">
        <f aca="false">IF(AB4&gt;'Project Assumptions'!$I$15+1,0,Depreciation!AB51)</f>
        <v>0</v>
      </c>
    </row>
    <row r="56" customFormat="false" ht="12.6" hidden="false" customHeight="true" outlineLevel="0" collapsed="false">
      <c r="B56" s="660"/>
      <c r="D56" s="481"/>
      <c r="E56" s="481"/>
      <c r="F56" s="481"/>
      <c r="G56" s="481"/>
      <c r="H56" s="481"/>
      <c r="I56" s="481"/>
      <c r="J56" s="481"/>
      <c r="K56" s="481"/>
      <c r="L56" s="481"/>
      <c r="M56" s="481"/>
      <c r="N56" s="481"/>
      <c r="O56" s="481"/>
      <c r="P56" s="481"/>
      <c r="Q56" s="481"/>
      <c r="R56" s="481"/>
      <c r="S56" s="481"/>
      <c r="T56" s="481"/>
      <c r="U56" s="481"/>
      <c r="V56" s="481"/>
      <c r="W56" s="481"/>
      <c r="X56" s="481"/>
      <c r="Y56" s="481"/>
      <c r="Z56" s="481"/>
      <c r="AA56" s="481"/>
      <c r="AB56" s="431"/>
    </row>
    <row r="57" customFormat="false" ht="12.6" hidden="false" customHeight="true" outlineLevel="0" collapsed="false">
      <c r="B57" s="660" t="s">
        <v>525</v>
      </c>
      <c r="D57" s="481"/>
      <c r="E57" s="481"/>
      <c r="F57" s="481"/>
      <c r="G57" s="481"/>
      <c r="H57" s="481"/>
      <c r="I57" s="481"/>
      <c r="J57" s="481"/>
      <c r="K57" s="481"/>
      <c r="L57" s="481"/>
      <c r="M57" s="481"/>
      <c r="N57" s="481"/>
      <c r="O57" s="481"/>
      <c r="P57" s="481"/>
      <c r="Q57" s="481"/>
      <c r="R57" s="481"/>
      <c r="S57" s="481"/>
      <c r="T57" s="481"/>
      <c r="U57" s="481"/>
      <c r="V57" s="481"/>
      <c r="W57" s="481"/>
      <c r="X57" s="481"/>
      <c r="Y57" s="481"/>
      <c r="Z57" s="481"/>
      <c r="AA57" s="481"/>
      <c r="AB57" s="431"/>
    </row>
    <row r="58" customFormat="false" ht="12.6" hidden="false" customHeight="true" outlineLevel="0" collapsed="false">
      <c r="A58" s="626" t="n">
        <v>8</v>
      </c>
      <c r="B58" s="403" t="s">
        <v>526</v>
      </c>
      <c r="D58" s="434" t="n">
        <f aca="false">'Tax Calculations'!D11</f>
        <v>108.2630445</v>
      </c>
      <c r="E58" s="434" t="n">
        <f aca="false">'Tax Calculations'!E11</f>
        <v>72.175363</v>
      </c>
      <c r="F58" s="434" t="n">
        <f aca="false">'Tax Calculations'!F11</f>
        <v>72.175363</v>
      </c>
      <c r="G58" s="434" t="n">
        <f aca="false">'Tax Calculations'!G11</f>
        <v>72.175363</v>
      </c>
      <c r="H58" s="434" t="n">
        <f aca="false">'Tax Calculations'!H11</f>
        <v>72.175363</v>
      </c>
      <c r="I58" s="434" t="n">
        <f aca="false">'Tax Calculations'!I11</f>
        <v>72.175363</v>
      </c>
      <c r="J58" s="434" t="n">
        <f aca="false">'Tax Calculations'!J11</f>
        <v>72.175363</v>
      </c>
      <c r="K58" s="434" t="n">
        <f aca="false">'Tax Calculations'!K11</f>
        <v>72.175363</v>
      </c>
      <c r="L58" s="434" t="n">
        <f aca="false">'Tax Calculations'!L11</f>
        <v>72.175363</v>
      </c>
      <c r="M58" s="434" t="n">
        <f aca="false">'Tax Calculations'!M11</f>
        <v>72.175363</v>
      </c>
      <c r="N58" s="434" t="n">
        <f aca="false">'Tax Calculations'!N11</f>
        <v>72.175363</v>
      </c>
      <c r="O58" s="434" t="n">
        <f aca="false">'Tax Calculations'!O11</f>
        <v>72.175363</v>
      </c>
      <c r="P58" s="434" t="n">
        <f aca="false">'Tax Calculations'!P11</f>
        <v>72.175363</v>
      </c>
      <c r="Q58" s="434" t="n">
        <f aca="false">'Tax Calculations'!Q11</f>
        <v>72.175363</v>
      </c>
      <c r="R58" s="434" t="n">
        <f aca="false">'Tax Calculations'!R11</f>
        <v>72.175363</v>
      </c>
      <c r="S58" s="434" t="n">
        <f aca="false">'Tax Calculations'!S11</f>
        <v>72.175363</v>
      </c>
      <c r="T58" s="434" t="n">
        <f aca="false">'Tax Calculations'!T11</f>
        <v>72.175363</v>
      </c>
      <c r="U58" s="434" t="n">
        <f aca="false">'Tax Calculations'!U11</f>
        <v>72.175363</v>
      </c>
      <c r="V58" s="434" t="n">
        <f aca="false">'Tax Calculations'!V11</f>
        <v>72.175363</v>
      </c>
      <c r="W58" s="434" t="n">
        <f aca="false">'Tax Calculations'!W11</f>
        <v>72.175363</v>
      </c>
      <c r="X58" s="434" t="n">
        <f aca="false">'Tax Calculations'!X11</f>
        <v>72.175363</v>
      </c>
      <c r="Y58" s="434" t="n">
        <f aca="false">'Tax Calculations'!Y11</f>
        <v>0</v>
      </c>
      <c r="Z58" s="434" t="n">
        <f aca="false">'Tax Calculations'!Z11</f>
        <v>0</v>
      </c>
      <c r="AA58" s="434" t="n">
        <f aca="false">'Tax Calculations'!AA11</f>
        <v>0</v>
      </c>
      <c r="AB58" s="428" t="n">
        <f aca="false">'Tax Calculations'!AB11</f>
        <v>0</v>
      </c>
    </row>
    <row r="59" customFormat="false" ht="12.6" hidden="false" customHeight="true" outlineLevel="0" collapsed="false">
      <c r="A59" s="626" t="n">
        <v>8</v>
      </c>
      <c r="B59" s="403" t="s">
        <v>527</v>
      </c>
      <c r="D59" s="481" t="n">
        <f aca="false">'Tax Calculations'!D17</f>
        <v>0</v>
      </c>
      <c r="E59" s="481" t="n">
        <f aca="false">'Tax Calculations'!E17</f>
        <v>0</v>
      </c>
      <c r="F59" s="481" t="n">
        <f aca="false">'Tax Calculations'!F17</f>
        <v>0</v>
      </c>
      <c r="G59" s="481" t="n">
        <f aca="false">'Tax Calculations'!G17</f>
        <v>0</v>
      </c>
      <c r="H59" s="481" t="n">
        <f aca="false">'Tax Calculations'!H17</f>
        <v>0</v>
      </c>
      <c r="I59" s="481" t="n">
        <f aca="false">'Tax Calculations'!I17</f>
        <v>0</v>
      </c>
      <c r="J59" s="481" t="n">
        <f aca="false">'Tax Calculations'!J17</f>
        <v>0</v>
      </c>
      <c r="K59" s="481" t="n">
        <f aca="false">'Tax Calculations'!K17</f>
        <v>0</v>
      </c>
      <c r="L59" s="481" t="n">
        <f aca="false">'Tax Calculations'!L17</f>
        <v>0</v>
      </c>
      <c r="M59" s="481" t="n">
        <f aca="false">'Tax Calculations'!M17</f>
        <v>0</v>
      </c>
      <c r="N59" s="481" t="n">
        <f aca="false">'Tax Calculations'!N17</f>
        <v>0</v>
      </c>
      <c r="O59" s="481" t="n">
        <f aca="false">'Tax Calculations'!O17</f>
        <v>0</v>
      </c>
      <c r="P59" s="481" t="n">
        <f aca="false">'Tax Calculations'!P17</f>
        <v>0</v>
      </c>
      <c r="Q59" s="481" t="n">
        <f aca="false">'Tax Calculations'!Q17</f>
        <v>0</v>
      </c>
      <c r="R59" s="481" t="n">
        <f aca="false">'Tax Calculations'!R17</f>
        <v>0</v>
      </c>
      <c r="S59" s="481" t="n">
        <f aca="false">'Tax Calculations'!S17</f>
        <v>0</v>
      </c>
      <c r="T59" s="481" t="n">
        <f aca="false">'Tax Calculations'!T17</f>
        <v>0</v>
      </c>
      <c r="U59" s="481" t="n">
        <f aca="false">'Tax Calculations'!U17</f>
        <v>0</v>
      </c>
      <c r="V59" s="481" t="n">
        <f aca="false">'Tax Calculations'!V17</f>
        <v>0</v>
      </c>
      <c r="W59" s="481" t="n">
        <f aca="false">'Tax Calculations'!W17</f>
        <v>0</v>
      </c>
      <c r="X59" s="481" t="n">
        <f aca="false">'Tax Calculations'!X17</f>
        <v>0</v>
      </c>
      <c r="Y59" s="481" t="n">
        <f aca="false">'Tax Calculations'!Y17</f>
        <v>0</v>
      </c>
      <c r="Z59" s="481" t="n">
        <f aca="false">'Tax Calculations'!Z17</f>
        <v>0</v>
      </c>
      <c r="AA59" s="481" t="n">
        <f aca="false">'Tax Calculations'!AA17</f>
        <v>0</v>
      </c>
      <c r="AB59" s="431" t="n">
        <f aca="false">'Tax Calculations'!AB17</f>
        <v>0</v>
      </c>
    </row>
    <row r="60" customFormat="false" ht="12.6" hidden="false" customHeight="true" outlineLevel="0" collapsed="false">
      <c r="B60" s="660" t="s">
        <v>528</v>
      </c>
      <c r="D60" s="673" t="n">
        <f aca="false">SUM(D58:D59)</f>
        <v>108.2630445</v>
      </c>
      <c r="E60" s="673" t="n">
        <f aca="false">SUM(E58:E59)</f>
        <v>72.175363</v>
      </c>
      <c r="F60" s="673" t="n">
        <f aca="false">SUM(F58:F59)</f>
        <v>72.175363</v>
      </c>
      <c r="G60" s="673" t="n">
        <f aca="false">SUM(G58:G59)</f>
        <v>72.175363</v>
      </c>
      <c r="H60" s="673" t="n">
        <f aca="false">SUM(H58:H59)</f>
        <v>72.175363</v>
      </c>
      <c r="I60" s="673" t="n">
        <f aca="false">SUM(I58:I59)</f>
        <v>72.175363</v>
      </c>
      <c r="J60" s="673" t="n">
        <f aca="false">SUM(J58:J59)</f>
        <v>72.175363</v>
      </c>
      <c r="K60" s="673" t="n">
        <f aca="false">SUM(K58:K59)</f>
        <v>72.175363</v>
      </c>
      <c r="L60" s="673" t="n">
        <f aca="false">SUM(L58:L59)</f>
        <v>72.175363</v>
      </c>
      <c r="M60" s="673" t="n">
        <f aca="false">SUM(M58:M59)</f>
        <v>72.175363</v>
      </c>
      <c r="N60" s="673" t="n">
        <f aca="false">SUM(N58:N59)</f>
        <v>72.175363</v>
      </c>
      <c r="O60" s="673" t="n">
        <f aca="false">SUM(O58:O59)</f>
        <v>72.175363</v>
      </c>
      <c r="P60" s="673" t="n">
        <f aca="false">SUM(P58:P59)</f>
        <v>72.175363</v>
      </c>
      <c r="Q60" s="673" t="n">
        <f aca="false">SUM(Q58:Q59)</f>
        <v>72.175363</v>
      </c>
      <c r="R60" s="673" t="n">
        <f aca="false">SUM(R58:R59)</f>
        <v>72.175363</v>
      </c>
      <c r="S60" s="673" t="n">
        <f aca="false">SUM(S58:S59)</f>
        <v>72.175363</v>
      </c>
      <c r="T60" s="673" t="n">
        <f aca="false">SUM(T58:T59)</f>
        <v>72.175363</v>
      </c>
      <c r="U60" s="673" t="n">
        <f aca="false">SUM(U58:U59)</f>
        <v>72.175363</v>
      </c>
      <c r="V60" s="673" t="n">
        <f aca="false">SUM(V58:V59)</f>
        <v>72.175363</v>
      </c>
      <c r="W60" s="673" t="n">
        <f aca="false">SUM(W58:W59)</f>
        <v>72.175363</v>
      </c>
      <c r="X60" s="673" t="n">
        <f aca="false">SUM(X58:X59)</f>
        <v>72.175363</v>
      </c>
      <c r="Y60" s="673" t="n">
        <f aca="false">SUM(Y58:Y59)</f>
        <v>0</v>
      </c>
      <c r="Z60" s="673" t="n">
        <f aca="false">SUM(Z58:Z59)</f>
        <v>0</v>
      </c>
      <c r="AA60" s="673" t="n">
        <f aca="false">SUM(AA58:AA59)</f>
        <v>0</v>
      </c>
      <c r="AB60" s="674" t="n">
        <f aca="false">SUM(AB58:AB59)</f>
        <v>0</v>
      </c>
    </row>
    <row r="61" customFormat="false" ht="12.6" hidden="false" customHeight="true" outlineLevel="0" collapsed="false">
      <c r="B61" s="403"/>
      <c r="D61" s="481"/>
      <c r="E61" s="481"/>
      <c r="F61" s="481"/>
      <c r="G61" s="481"/>
      <c r="H61" s="481"/>
      <c r="I61" s="481"/>
      <c r="J61" s="481"/>
      <c r="K61" s="481"/>
      <c r="L61" s="481"/>
      <c r="M61" s="481"/>
      <c r="N61" s="481"/>
      <c r="O61" s="481"/>
      <c r="P61" s="481"/>
      <c r="Q61" s="481"/>
      <c r="R61" s="481"/>
      <c r="S61" s="481"/>
      <c r="T61" s="481"/>
      <c r="U61" s="481"/>
      <c r="V61" s="481"/>
      <c r="W61" s="481"/>
      <c r="X61" s="481"/>
      <c r="Y61" s="481"/>
      <c r="Z61" s="481"/>
      <c r="AA61" s="481"/>
      <c r="AB61" s="431"/>
    </row>
    <row r="62" customFormat="false" ht="17.25" hidden="false" customHeight="true" outlineLevel="0" collapsed="false">
      <c r="B62" s="652" t="s">
        <v>529</v>
      </c>
      <c r="C62" s="482"/>
      <c r="D62" s="675" t="n">
        <f aca="false">D31+D36+D44+D53+D55+D60</f>
        <v>26210.0861897371</v>
      </c>
      <c r="E62" s="675" t="n">
        <f aca="false">E31+E36+E44+E53+E55+E60</f>
        <v>27281.2941147838</v>
      </c>
      <c r="F62" s="675" t="n">
        <f aca="false">F31+F36+F44+F53+F55+F60</f>
        <v>27431.9090467068</v>
      </c>
      <c r="G62" s="675" t="n">
        <f aca="false">G31+G36+G44+G53+G55+G60</f>
        <v>28988.8688180517</v>
      </c>
      <c r="H62" s="675" t="n">
        <f aca="false">H31+H36+H44+H53+H55+H60</f>
        <v>29966.2932664393</v>
      </c>
      <c r="I62" s="675" t="n">
        <f aca="false">I31+I36+I44+I53+I55+I60</f>
        <v>30107.4336646501</v>
      </c>
      <c r="J62" s="675" t="n">
        <f aca="false">J31+J36+J44+J53+J55+J60</f>
        <v>30296.0520858048</v>
      </c>
      <c r="K62" s="675" t="n">
        <f aca="false">K31+K36+K44+K53+K55+K60</f>
        <v>30490.3290595942</v>
      </c>
      <c r="L62" s="675" t="n">
        <f aca="false">L31+L36+L44+L53+L55+L60</f>
        <v>30690.4343425972</v>
      </c>
      <c r="M62" s="675" t="n">
        <f aca="false">M31+M36+M44+M53+M55+M60</f>
        <v>30854.5585015684</v>
      </c>
      <c r="N62" s="675" t="n">
        <f aca="false">N31+N36+N44+N53+N55+N60</f>
        <v>31066.8501963063</v>
      </c>
      <c r="O62" s="675" t="n">
        <f aca="false">O31+O36+O44+O53+O55+O60</f>
        <v>31285.5106418863</v>
      </c>
      <c r="P62" s="675" t="n">
        <f aca="false">P31+P36+P44+P53+P55+P60</f>
        <v>31510.7309008338</v>
      </c>
      <c r="Q62" s="675" t="n">
        <f aca="false">Q31+Q36+Q44+Q53+Q55+Q60</f>
        <v>31700.7234850278</v>
      </c>
      <c r="R62" s="675" t="n">
        <f aca="false">R31+R36+R44+R53+R55+R60</f>
        <v>31939.6596577451</v>
      </c>
      <c r="S62" s="675" t="n">
        <f aca="false">S31+S36+S44+S53+S55+S60</f>
        <v>32185.763915644</v>
      </c>
      <c r="T62" s="675" t="n">
        <f aca="false">T31+T36+T44+T53+T55+T60</f>
        <v>32439.2513012798</v>
      </c>
      <c r="U62" s="675" t="n">
        <f aca="false">U31+U36+U44+U53+U55+U60</f>
        <v>32658.3590259628</v>
      </c>
      <c r="V62" s="675" t="n">
        <f aca="false">V31+V36+V44+V53+V55+V60</f>
        <v>32927.2837933838</v>
      </c>
      <c r="W62" s="675" t="n">
        <f aca="false">W31+W36+W44+W53+W55+W60</f>
        <v>33204.2763038275</v>
      </c>
      <c r="X62" s="675" t="n">
        <f aca="false">X31+X36+X44+X53+X55+X60</f>
        <v>16244.4276600361</v>
      </c>
      <c r="Y62" s="675" t="n">
        <f aca="false">Y31+Y36+Y44+Y53+Y55+Y60</f>
        <v>0</v>
      </c>
      <c r="Z62" s="675" t="n">
        <f aca="false">Z31+Z36+Z44+Z53+Z55+Z60</f>
        <v>0</v>
      </c>
      <c r="AA62" s="675" t="n">
        <f aca="false">AA31+AA36+AA44+AA53+AA55+AA60</f>
        <v>0</v>
      </c>
      <c r="AB62" s="675" t="n">
        <f aca="false">AB31+AB36+AB44+AB53+AB55+AB60</f>
        <v>0</v>
      </c>
    </row>
    <row r="63" customFormat="false" ht="12.6" hidden="false" customHeight="true" outlineLevel="0" collapsed="false">
      <c r="B63" s="676"/>
      <c r="C63" s="656"/>
      <c r="D63" s="677"/>
      <c r="E63" s="677"/>
      <c r="F63" s="677"/>
      <c r="G63" s="677"/>
      <c r="H63" s="677"/>
      <c r="I63" s="677"/>
      <c r="J63" s="677"/>
      <c r="K63" s="677"/>
      <c r="L63" s="677"/>
      <c r="M63" s="677"/>
      <c r="N63" s="677"/>
      <c r="O63" s="677"/>
      <c r="P63" s="677"/>
      <c r="Q63" s="677"/>
      <c r="R63" s="677"/>
      <c r="S63" s="677"/>
      <c r="T63" s="677"/>
      <c r="U63" s="677"/>
      <c r="V63" s="677"/>
      <c r="W63" s="677"/>
      <c r="X63" s="677"/>
      <c r="Y63" s="677"/>
      <c r="Z63" s="677"/>
      <c r="AA63" s="677"/>
      <c r="AB63" s="677"/>
    </row>
    <row r="64" customFormat="false" ht="12.6" hidden="false" customHeight="true" outlineLevel="0" collapsed="false">
      <c r="B64" s="678"/>
      <c r="D64" s="669"/>
      <c r="E64" s="669"/>
      <c r="F64" s="669"/>
      <c r="G64" s="669"/>
      <c r="H64" s="669"/>
      <c r="I64" s="669"/>
      <c r="J64" s="669"/>
      <c r="K64" s="669"/>
      <c r="L64" s="669"/>
      <c r="M64" s="669"/>
      <c r="N64" s="669"/>
      <c r="O64" s="669"/>
      <c r="P64" s="669"/>
      <c r="Q64" s="669"/>
      <c r="R64" s="669"/>
      <c r="S64" s="669"/>
      <c r="T64" s="669"/>
      <c r="U64" s="669"/>
      <c r="V64" s="669"/>
      <c r="W64" s="669"/>
      <c r="X64" s="669"/>
      <c r="Y64" s="669"/>
      <c r="Z64" s="669"/>
      <c r="AA64" s="669"/>
      <c r="AB64" s="669"/>
    </row>
    <row r="65" customFormat="false" ht="12.6" hidden="false" customHeight="true" outlineLevel="0" collapsed="false">
      <c r="B65" s="643" t="s">
        <v>434</v>
      </c>
      <c r="C65" s="477"/>
      <c r="D65" s="487" t="n">
        <f aca="false">D18-D62</f>
        <v>15154.0414102629</v>
      </c>
      <c r="E65" s="487" t="n">
        <f aca="false">E18-E62</f>
        <v>26317.8747532162</v>
      </c>
      <c r="F65" s="487" t="n">
        <f aca="false">F18-F62</f>
        <v>26244.5523273332</v>
      </c>
      <c r="G65" s="487" t="n">
        <f aca="false">G18-G62</f>
        <v>36154.2326216681</v>
      </c>
      <c r="H65" s="487" t="n">
        <f aca="false">H18-H62</f>
        <v>43840.3960186151</v>
      </c>
      <c r="I65" s="487" t="n">
        <f aca="false">I18-I62</f>
        <v>45209.7836541758</v>
      </c>
      <c r="J65" s="487" t="n">
        <f aca="false">J18-J62</f>
        <v>44956.7332554318</v>
      </c>
      <c r="K65" s="487" t="n">
        <f aca="false">K18-K62</f>
        <v>45481.9251331269</v>
      </c>
      <c r="L65" s="487" t="n">
        <f aca="false">L18-L62</f>
        <v>45997.8395052337</v>
      </c>
      <c r="M65" s="487" t="n">
        <f aca="false">M18-M62</f>
        <v>46545.4313312488</v>
      </c>
      <c r="N65" s="487" t="n">
        <f aca="false">N18-N62</f>
        <v>47039.6493134768</v>
      </c>
      <c r="O65" s="487" t="n">
        <f aca="false">O18-O62</f>
        <v>47521.3393139744</v>
      </c>
      <c r="P65" s="487" t="n">
        <f aca="false">P18-P62</f>
        <v>47989.3048576539</v>
      </c>
      <c r="Q65" s="487" t="n">
        <f aca="false">Q18-Q62</f>
        <v>48484.2732386276</v>
      </c>
      <c r="R65" s="487" t="n">
        <f aca="false">R18-R62</f>
        <v>48920.9558361488</v>
      </c>
      <c r="S65" s="487" t="n">
        <f aca="false">S18-S62</f>
        <v>49339.9511569948</v>
      </c>
      <c r="T65" s="487" t="n">
        <f aca="false">T18-T62</f>
        <v>49739.8049502275</v>
      </c>
      <c r="U65" s="487" t="n">
        <f aca="false">U18-U62</f>
        <v>50160.9759109231</v>
      </c>
      <c r="V65" s="487" t="n">
        <f aca="false">V18-V62</f>
        <v>50517.8955787205</v>
      </c>
      <c r="W65" s="487" t="n">
        <f aca="false">W18-W62</f>
        <v>49661.1560903571</v>
      </c>
      <c r="X65" s="487" t="n">
        <f aca="false">X18-X62</f>
        <v>19281.8747125664</v>
      </c>
      <c r="Y65" s="487" t="n">
        <f aca="false">Y18-Y62</f>
        <v>0</v>
      </c>
      <c r="Z65" s="487" t="n">
        <f aca="false">Z18-Z62</f>
        <v>0</v>
      </c>
      <c r="AA65" s="487" t="n">
        <f aca="false">AA18-AA62</f>
        <v>0</v>
      </c>
      <c r="AB65" s="488" t="n">
        <f aca="false">AB18-AB62</f>
        <v>0</v>
      </c>
    </row>
    <row r="66" customFormat="false" ht="12.6" hidden="false" customHeight="true" outlineLevel="0" collapsed="false">
      <c r="B66" s="403"/>
      <c r="D66" s="404"/>
      <c r="E66" s="404"/>
      <c r="F66" s="404"/>
      <c r="G66" s="404"/>
      <c r="H66" s="404"/>
      <c r="I66" s="404"/>
      <c r="J66" s="404"/>
      <c r="K66" s="404"/>
      <c r="L66" s="404"/>
      <c r="M66" s="404"/>
      <c r="N66" s="404"/>
      <c r="O66" s="404"/>
      <c r="P66" s="404"/>
      <c r="Q66" s="404"/>
      <c r="R66" s="404"/>
      <c r="S66" s="404"/>
      <c r="T66" s="404"/>
      <c r="U66" s="404"/>
      <c r="V66" s="404"/>
      <c r="W66" s="404"/>
      <c r="X66" s="404"/>
      <c r="Y66" s="404"/>
      <c r="Z66" s="404"/>
      <c r="AA66" s="404"/>
      <c r="AB66" s="480"/>
    </row>
    <row r="67" customFormat="false" ht="12.6" hidden="false" customHeight="true" outlineLevel="0" collapsed="false">
      <c r="A67" s="626" t="n">
        <v>11</v>
      </c>
      <c r="B67" s="403" t="s">
        <v>530</v>
      </c>
      <c r="D67" s="425" t="n">
        <f aca="false">Depreciation!D40</f>
        <v>4574.77697833333</v>
      </c>
      <c r="E67" s="425" t="n">
        <f aca="false">IF(E4&gt;'Project Assumptions'!$I$15+1,0,Depreciation!E40)</f>
        <v>7842.47482</v>
      </c>
      <c r="F67" s="425" t="n">
        <f aca="false">IF(F4&gt;'Project Assumptions'!$I$15+1,0,Depreciation!F40)</f>
        <v>7842.47482</v>
      </c>
      <c r="G67" s="425" t="n">
        <f aca="false">IF(G4&gt;'Project Assumptions'!$I$15+1,0,Depreciation!G40)</f>
        <v>7842.47482</v>
      </c>
      <c r="H67" s="425" t="n">
        <f aca="false">IF(H4&gt;'Project Assumptions'!$I$15+1,0,Depreciation!H40)</f>
        <v>7842.47482</v>
      </c>
      <c r="I67" s="425" t="n">
        <f aca="false">IF(I4&gt;'Project Assumptions'!$I$15+1,0,Depreciation!I40)</f>
        <v>7662.34253666667</v>
      </c>
      <c r="J67" s="425" t="n">
        <f aca="false">IF(J4&gt;'Project Assumptions'!$I$15+1,0,Depreciation!J40)</f>
        <v>7533.67662</v>
      </c>
      <c r="K67" s="425" t="n">
        <f aca="false">IF(K4&gt;'Project Assumptions'!$I$15+1,0,Depreciation!K40)</f>
        <v>7533.67662</v>
      </c>
      <c r="L67" s="425" t="n">
        <f aca="false">IF(L4&gt;'Project Assumptions'!$I$15+1,0,Depreciation!L40)</f>
        <v>7533.67662</v>
      </c>
      <c r="M67" s="425" t="n">
        <f aca="false">IF(M4&gt;'Project Assumptions'!$I$15+1,0,Depreciation!M40)</f>
        <v>7533.67662</v>
      </c>
      <c r="N67" s="425" t="n">
        <f aca="false">IF(N4&gt;'Project Assumptions'!$I$15+1,0,Depreciation!N40)</f>
        <v>7533.67662</v>
      </c>
      <c r="O67" s="425" t="n">
        <f aca="false">IF(O4&gt;'Project Assumptions'!$I$15+1,0,Depreciation!O40)</f>
        <v>7533.67662</v>
      </c>
      <c r="P67" s="425" t="n">
        <f aca="false">IF(P4&gt;'Project Assumptions'!$I$15+1,0,Depreciation!P40)</f>
        <v>7533.67662</v>
      </c>
      <c r="Q67" s="425" t="n">
        <f aca="false">IF(Q4&gt;'Project Assumptions'!$I$15+1,0,Depreciation!Q40)</f>
        <v>7533.67662</v>
      </c>
      <c r="R67" s="425" t="n">
        <f aca="false">IF(R4&gt;'Project Assumptions'!$I$15+1,0,Depreciation!R40)</f>
        <v>7533.67662</v>
      </c>
      <c r="S67" s="425" t="n">
        <f aca="false">IF(S4&gt;'Project Assumptions'!$I$15+1,0,Depreciation!S40)</f>
        <v>7533.67662</v>
      </c>
      <c r="T67" s="425" t="n">
        <f aca="false">IF(T4&gt;'Project Assumptions'!$I$15+1,0,Depreciation!T40)</f>
        <v>7533.67662</v>
      </c>
      <c r="U67" s="425" t="n">
        <f aca="false">IF(U4&gt;'Project Assumptions'!$I$15+1,0,Depreciation!U40)</f>
        <v>7533.67662</v>
      </c>
      <c r="V67" s="425" t="n">
        <f aca="false">IF(V4&gt;'Project Assumptions'!$I$15+1,0,Depreciation!V40)</f>
        <v>7533.67662</v>
      </c>
      <c r="W67" s="425" t="n">
        <f aca="false">IF(W4&gt;'Project Assumptions'!$I$15+1,0,Depreciation!W40)</f>
        <v>7533.67662</v>
      </c>
      <c r="X67" s="425" t="n">
        <f aca="false">IF(X4&gt;'Project Assumptions'!$I$15+1,0,Depreciation!X40)</f>
        <v>7533.67662</v>
      </c>
      <c r="Y67" s="425" t="n">
        <f aca="false">IF(Y4&gt;'Project Assumptions'!$I$15+1,0,Depreciation!Y40)</f>
        <v>0</v>
      </c>
      <c r="Z67" s="425" t="n">
        <f aca="false">IF(Z4&gt;'Project Assumptions'!$I$15+1,0,Depreciation!Z40)</f>
        <v>0</v>
      </c>
      <c r="AA67" s="425" t="n">
        <f aca="false">IF(AA4&gt;'Project Assumptions'!$I$15+1,0,Depreciation!AA40)</f>
        <v>0</v>
      </c>
      <c r="AB67" s="426" t="n">
        <f aca="false">IF(AB4&gt;'Project Assumptions'!$I$15+1,0,Depreciation!AB40)</f>
        <v>0</v>
      </c>
    </row>
    <row r="68" customFormat="false" ht="12.6" hidden="false" customHeight="true" outlineLevel="0" collapsed="false">
      <c r="B68" s="403" t="s">
        <v>531</v>
      </c>
      <c r="D68" s="679" t="n">
        <f aca="false">'Project Assumptions'!C37+'Project Assumptions'!C40</f>
        <v>576.426</v>
      </c>
      <c r="E68" s="430" t="n">
        <v>0</v>
      </c>
      <c r="F68" s="430" t="n">
        <v>0</v>
      </c>
      <c r="G68" s="430" t="n">
        <v>0</v>
      </c>
      <c r="H68" s="430" t="n">
        <v>0</v>
      </c>
      <c r="I68" s="430" t="n">
        <v>0</v>
      </c>
      <c r="J68" s="430" t="n">
        <v>0</v>
      </c>
      <c r="K68" s="430" t="n">
        <v>0</v>
      </c>
      <c r="L68" s="430" t="n">
        <v>0</v>
      </c>
      <c r="M68" s="430" t="n">
        <v>0</v>
      </c>
      <c r="N68" s="430" t="n">
        <v>0</v>
      </c>
      <c r="O68" s="430" t="n">
        <v>0</v>
      </c>
      <c r="P68" s="430" t="n">
        <v>0</v>
      </c>
      <c r="Q68" s="430" t="n">
        <v>0</v>
      </c>
      <c r="R68" s="430" t="n">
        <v>0</v>
      </c>
      <c r="S68" s="430" t="n">
        <v>0</v>
      </c>
      <c r="T68" s="430" t="n">
        <v>0</v>
      </c>
      <c r="U68" s="430" t="n">
        <v>0</v>
      </c>
      <c r="V68" s="430" t="n">
        <v>0</v>
      </c>
      <c r="W68" s="430" t="n">
        <v>0</v>
      </c>
      <c r="X68" s="430" t="n">
        <v>0</v>
      </c>
      <c r="Y68" s="430" t="n">
        <v>0</v>
      </c>
      <c r="Z68" s="430" t="n">
        <v>0</v>
      </c>
      <c r="AA68" s="430" t="n">
        <v>0</v>
      </c>
      <c r="AB68" s="430" t="n">
        <v>0</v>
      </c>
    </row>
    <row r="69" customFormat="false" ht="12.6" hidden="false" customHeight="true" outlineLevel="0" collapsed="false">
      <c r="B69" s="660" t="s">
        <v>532</v>
      </c>
      <c r="D69" s="425" t="n">
        <f aca="false">D65-D67-D68</f>
        <v>10002.8384319296</v>
      </c>
      <c r="E69" s="425" t="n">
        <f aca="false">IF(E4&gt;'Project Assumptions'!$I$15+1,0,E65-E67)</f>
        <v>18475.3999332162</v>
      </c>
      <c r="F69" s="425" t="n">
        <f aca="false">IF(F4&gt;'Project Assumptions'!$I$15+1,0,F65-F67)</f>
        <v>18402.0775073332</v>
      </c>
      <c r="G69" s="425" t="n">
        <f aca="false">IF(G4&gt;'Project Assumptions'!$I$15+1,0,G65-G67)</f>
        <v>28311.7578016681</v>
      </c>
      <c r="H69" s="425" t="n">
        <f aca="false">IF(H4&gt;'Project Assumptions'!$I$15+1,0,H65-H67)</f>
        <v>35997.9211986151</v>
      </c>
      <c r="I69" s="425" t="n">
        <f aca="false">IF(I4&gt;'Project Assumptions'!$I$15+1,0,I65-I67)</f>
        <v>37547.4411175092</v>
      </c>
      <c r="J69" s="425" t="n">
        <f aca="false">IF(J4&gt;'Project Assumptions'!$I$15+1,0,J65-J67)</f>
        <v>37423.0566354318</v>
      </c>
      <c r="K69" s="425" t="n">
        <f aca="false">IF(K4&gt;'Project Assumptions'!$I$15+1,0,K65-K67)</f>
        <v>37948.2485131269</v>
      </c>
      <c r="L69" s="425" t="n">
        <f aca="false">IF(L4&gt;'Project Assumptions'!$I$15+1,0,L65-L67)</f>
        <v>38464.1628852337</v>
      </c>
      <c r="M69" s="425" t="n">
        <f aca="false">IF(M4&gt;'Project Assumptions'!$I$15+1,0,M65-M67)</f>
        <v>39011.7547112488</v>
      </c>
      <c r="N69" s="425" t="n">
        <f aca="false">IF(N4&gt;'Project Assumptions'!$I$15+1,0,N65-N67)</f>
        <v>39505.9726934768</v>
      </c>
      <c r="O69" s="425" t="n">
        <f aca="false">IF(O4&gt;'Project Assumptions'!$I$15+1,0,O65-O67)</f>
        <v>39987.6626939744</v>
      </c>
      <c r="P69" s="425" t="n">
        <f aca="false">IF(P4&gt;'Project Assumptions'!$I$15+1,0,P65-P67)</f>
        <v>40455.6282376539</v>
      </c>
      <c r="Q69" s="425" t="n">
        <f aca="false">IF(Q4&gt;'Project Assumptions'!$I$15+1,0,Q65-Q67)</f>
        <v>40950.5966186276</v>
      </c>
      <c r="R69" s="425" t="n">
        <f aca="false">IF(R4&gt;'Project Assumptions'!$I$15+1,0,R65-R67)</f>
        <v>41387.2792161488</v>
      </c>
      <c r="S69" s="425" t="n">
        <f aca="false">IF(S4&gt;'Project Assumptions'!$I$15+1,0,S65-S67)</f>
        <v>41806.2745369948</v>
      </c>
      <c r="T69" s="425" t="n">
        <f aca="false">IF(T4&gt;'Project Assumptions'!$I$15+1,0,T65-T67)</f>
        <v>42206.1283302275</v>
      </c>
      <c r="U69" s="425" t="n">
        <f aca="false">IF(U4&gt;'Project Assumptions'!$I$15+1,0,U65-U67)</f>
        <v>42627.2992909231</v>
      </c>
      <c r="V69" s="425" t="n">
        <f aca="false">IF(V4&gt;'Project Assumptions'!$I$15+1,0,V65-V67)</f>
        <v>42984.2189587205</v>
      </c>
      <c r="W69" s="425" t="n">
        <f aca="false">IF(W4&gt;'Project Assumptions'!$I$15+1,0,W65-W67)</f>
        <v>42127.4794703571</v>
      </c>
      <c r="X69" s="425" t="n">
        <f aca="false">IF(X4&gt;'Project Assumptions'!$I$15+1,0,X65-X67)</f>
        <v>11748.1980925664</v>
      </c>
      <c r="Y69" s="425" t="n">
        <f aca="false">IF(Y4&gt;'Project Assumptions'!$I$15+1,0,Y65-Y67)</f>
        <v>0</v>
      </c>
      <c r="Z69" s="425" t="n">
        <f aca="false">IF(Z4&gt;'Project Assumptions'!$I$15+1,0,Z65-Z67)</f>
        <v>0</v>
      </c>
      <c r="AA69" s="425" t="n">
        <f aca="false">IF(AA4&gt;'Project Assumptions'!$I$15+1,0,AA65-AA67)</f>
        <v>0</v>
      </c>
      <c r="AB69" s="426" t="n">
        <f aca="false">IF(AB4&gt;'Project Assumptions'!$I$15+1,0,AB65-AB67)</f>
        <v>0</v>
      </c>
    </row>
    <row r="70" customFormat="false" ht="12.6" hidden="false" customHeight="true" outlineLevel="0" collapsed="false">
      <c r="B70" s="665"/>
      <c r="AB70" s="523"/>
    </row>
    <row r="71" customFormat="false" ht="12.6" hidden="false" customHeight="true" outlineLevel="0" collapsed="false">
      <c r="B71" s="403" t="s">
        <v>533</v>
      </c>
      <c r="D71" s="425" t="n">
        <f aca="false">'Debt Amortization'!E$52</f>
        <v>14192.0851</v>
      </c>
      <c r="E71" s="425" t="n">
        <f aca="false">'Debt Amortization'!F$52</f>
        <v>13694.519375</v>
      </c>
      <c r="F71" s="425" t="n">
        <f aca="false">'Debt Amortization'!G$52</f>
        <v>13196.95365</v>
      </c>
      <c r="G71" s="425" t="n">
        <f aca="false">'Debt Amortization'!H$52</f>
        <v>12493.446075</v>
      </c>
      <c r="H71" s="425" t="n">
        <f aca="false">'Debt Amortization'!I$52</f>
        <v>11583.99665</v>
      </c>
      <c r="I71" s="425" t="n">
        <f aca="false">'Debt Amortization'!J$52</f>
        <v>11010.453246</v>
      </c>
      <c r="J71" s="425" t="n">
        <f aca="false">'Debt Amortization'!K$52</f>
        <v>10436.909842</v>
      </c>
      <c r="K71" s="425" t="n">
        <f aca="false">'Debt Amortization'!L$52</f>
        <v>9782.536586</v>
      </c>
      <c r="L71" s="425" t="n">
        <f aca="false">'Debt Amortization'!M$52</f>
        <v>9128.16333</v>
      </c>
      <c r="M71" s="425" t="n">
        <f aca="false">'Debt Amortization'!N$52</f>
        <v>8061.906374</v>
      </c>
      <c r="N71" s="425" t="n">
        <f aca="false">'Debt Amortization'!O$52</f>
        <v>6708.877716</v>
      </c>
      <c r="O71" s="425" t="n">
        <f aca="false">'Debt Amortization'!P$52</f>
        <v>6385.558308</v>
      </c>
      <c r="P71" s="425" t="n">
        <f aca="false">'Debt Amortization'!Q$52</f>
        <v>5981.409048</v>
      </c>
      <c r="Q71" s="425" t="n">
        <f aca="false">'Debt Amortization'!R$52</f>
        <v>5577.259788</v>
      </c>
      <c r="R71" s="425" t="n">
        <f aca="false">'Debt Amortization'!S$52</f>
        <v>5173.110528</v>
      </c>
      <c r="S71" s="425" t="n">
        <f aca="false">'Debt Amortization'!T$52</f>
        <v>4768.961268</v>
      </c>
      <c r="T71" s="425" t="n">
        <f aca="false">'Debt Amortization'!U$52</f>
        <v>4364.812008</v>
      </c>
      <c r="U71" s="425" t="n">
        <f aca="false">'Debt Amortization'!V$52</f>
        <v>3556.513488</v>
      </c>
      <c r="V71" s="425" t="n">
        <f aca="false">'Debt Amortization'!W$52</f>
        <v>2586.555264</v>
      </c>
      <c r="W71" s="425" t="n">
        <f aca="false">'Debt Amortization'!X$52</f>
        <v>1374.107484</v>
      </c>
      <c r="X71" s="425" t="n">
        <f aca="false">'Debt Amortization'!Y$52</f>
        <v>0</v>
      </c>
      <c r="Y71" s="425" t="n">
        <f aca="false">'Debt Amortization'!Z$52</f>
        <v>0</v>
      </c>
      <c r="Z71" s="425" t="n">
        <f aca="false">'Debt Amortization'!AA$52</f>
        <v>0</v>
      </c>
      <c r="AA71" s="425" t="n">
        <f aca="false">'Debt Amortization'!AB$52</f>
        <v>0</v>
      </c>
      <c r="AB71" s="425" t="n">
        <f aca="false">'Debt Amortization'!AC$52</f>
        <v>0</v>
      </c>
      <c r="AC71" s="404"/>
    </row>
    <row r="72" customFormat="false" ht="12.6" hidden="false" customHeight="true" outlineLevel="0" collapsed="false">
      <c r="A72" s="626" t="n">
        <v>10</v>
      </c>
      <c r="B72" s="403" t="s">
        <v>534</v>
      </c>
      <c r="D72" s="434" t="n">
        <f aca="false">0.05*0.25*D65</f>
        <v>189.425517628287</v>
      </c>
      <c r="E72" s="434" t="n">
        <f aca="false">0.05*0.25*E65</f>
        <v>328.973434415203</v>
      </c>
      <c r="F72" s="434" t="n">
        <f aca="false">0.05*0.25*F65</f>
        <v>328.056904091665</v>
      </c>
      <c r="G72" s="434" t="n">
        <f aca="false">0.05*0.25*G65</f>
        <v>451.927907770851</v>
      </c>
      <c r="H72" s="434" t="n">
        <f aca="false">0.05*0.25*H65</f>
        <v>548.004950232688</v>
      </c>
      <c r="I72" s="434" t="n">
        <f aca="false">0.05*0.25*I65</f>
        <v>565.122295677198</v>
      </c>
      <c r="J72" s="434" t="n">
        <f aca="false">0.05*0.25*J65</f>
        <v>561.959165692898</v>
      </c>
      <c r="K72" s="434" t="n">
        <f aca="false">0.05*0.25*K65</f>
        <v>568.524064164087</v>
      </c>
      <c r="L72" s="434" t="n">
        <f aca="false">0.05*0.25*L65</f>
        <v>574.972993815421</v>
      </c>
      <c r="M72" s="434" t="n">
        <f aca="false">0.05*0.25*M65</f>
        <v>581.81789164061</v>
      </c>
      <c r="N72" s="434" t="n">
        <f aca="false">0.05*0.25*N65</f>
        <v>587.99561641846</v>
      </c>
      <c r="O72" s="434" t="n">
        <f aca="false">0.05*0.25*O65</f>
        <v>594.01674142468</v>
      </c>
      <c r="P72" s="434" t="n">
        <f aca="false">0.05*0.25*P65</f>
        <v>599.866310720674</v>
      </c>
      <c r="Q72" s="434" t="n">
        <f aca="false">0.05*0.25*Q65</f>
        <v>606.053415482845</v>
      </c>
      <c r="R72" s="434" t="n">
        <f aca="false">0.05*0.25*R65</f>
        <v>611.51194795186</v>
      </c>
      <c r="S72" s="434" t="n">
        <f aca="false">0.05*0.25*S65</f>
        <v>616.749389462435</v>
      </c>
      <c r="T72" s="434" t="n">
        <f aca="false">0.05*0.25*T65</f>
        <v>621.747561877844</v>
      </c>
      <c r="U72" s="434" t="n">
        <f aca="false">0.05*0.25*U65</f>
        <v>627.012198886539</v>
      </c>
      <c r="V72" s="434" t="n">
        <f aca="false">0.05*0.25*V65</f>
        <v>631.473694734006</v>
      </c>
      <c r="W72" s="434" t="n">
        <f aca="false">0.05*0.25*W65</f>
        <v>620.764451129464</v>
      </c>
      <c r="X72" s="434" t="n">
        <f aca="false">0.05*0.25*X65</f>
        <v>241.02343390708</v>
      </c>
      <c r="Y72" s="434" t="n">
        <f aca="false">0.05*0.25*Y65</f>
        <v>0</v>
      </c>
      <c r="Z72" s="434" t="n">
        <f aca="false">0.05*0.25*Z65</f>
        <v>0</v>
      </c>
      <c r="AA72" s="434" t="n">
        <f aca="false">0.05*0.25*AA65</f>
        <v>0</v>
      </c>
      <c r="AB72" s="428" t="n">
        <f aca="false">0.05*0.25*AB65</f>
        <v>0</v>
      </c>
    </row>
    <row r="73" customFormat="false" ht="12.6" hidden="false" customHeight="true" outlineLevel="0" collapsed="false">
      <c r="B73" s="403" t="s">
        <v>535</v>
      </c>
      <c r="D73" s="481" t="n">
        <f aca="false">D71-D72</f>
        <v>14002.6595823717</v>
      </c>
      <c r="E73" s="481" t="n">
        <f aca="false">E71-E72</f>
        <v>13365.5459405848</v>
      </c>
      <c r="F73" s="481" t="n">
        <f aca="false">F71-F72</f>
        <v>12868.8967459083</v>
      </c>
      <c r="G73" s="481" t="n">
        <f aca="false">G71-G72</f>
        <v>12041.5181672292</v>
      </c>
      <c r="H73" s="481" t="n">
        <f aca="false">H71-H72</f>
        <v>11035.9916997673</v>
      </c>
      <c r="I73" s="481" t="n">
        <f aca="false">I71-I72</f>
        <v>10445.3309503228</v>
      </c>
      <c r="J73" s="481" t="n">
        <f aca="false">J71-J72</f>
        <v>9874.9506763071</v>
      </c>
      <c r="K73" s="481" t="n">
        <f aca="false">K71-K72</f>
        <v>9214.01252183591</v>
      </c>
      <c r="L73" s="481" t="n">
        <f aca="false">L71-L72</f>
        <v>8553.19033618458</v>
      </c>
      <c r="M73" s="481" t="n">
        <f aca="false">M71-M72</f>
        <v>7480.08848235939</v>
      </c>
      <c r="N73" s="481" t="n">
        <f aca="false">N71-N72</f>
        <v>6120.88209958154</v>
      </c>
      <c r="O73" s="481" t="n">
        <f aca="false">O71-O72</f>
        <v>5791.54156657532</v>
      </c>
      <c r="P73" s="481" t="n">
        <f aca="false">P71-P72</f>
        <v>5381.54273727933</v>
      </c>
      <c r="Q73" s="481" t="n">
        <f aca="false">Q71-Q72</f>
        <v>4971.20637251716</v>
      </c>
      <c r="R73" s="481" t="n">
        <f aca="false">R71-R72</f>
        <v>4561.59858004814</v>
      </c>
      <c r="S73" s="481" t="n">
        <f aca="false">S71-S72</f>
        <v>4152.21187853757</v>
      </c>
      <c r="T73" s="481" t="n">
        <f aca="false">T71-T72</f>
        <v>3743.06444612216</v>
      </c>
      <c r="U73" s="481" t="n">
        <f aca="false">U71-U72</f>
        <v>2929.50128911346</v>
      </c>
      <c r="V73" s="481" t="n">
        <f aca="false">V71-V72</f>
        <v>1955.081569266</v>
      </c>
      <c r="W73" s="481" t="n">
        <f aca="false">W71-W72</f>
        <v>753.343032870538</v>
      </c>
      <c r="X73" s="481" t="n">
        <f aca="false">X71-X72</f>
        <v>-241.02343390708</v>
      </c>
      <c r="Y73" s="481" t="n">
        <f aca="false">Y71-Y72</f>
        <v>0</v>
      </c>
      <c r="Z73" s="481" t="n">
        <f aca="false">Z71-Z72</f>
        <v>0</v>
      </c>
      <c r="AA73" s="481" t="n">
        <f aca="false">AA71-AA72</f>
        <v>0</v>
      </c>
      <c r="AB73" s="431" t="n">
        <f aca="false">AB71-AB72</f>
        <v>0</v>
      </c>
    </row>
    <row r="74" customFormat="false" ht="12.6" hidden="false" customHeight="true" outlineLevel="0" collapsed="false">
      <c r="B74" s="660" t="s">
        <v>536</v>
      </c>
      <c r="D74" s="425" t="n">
        <f aca="false">D69-D73</f>
        <v>-3999.82115044211</v>
      </c>
      <c r="E74" s="425" t="n">
        <f aca="false">IF(E4&gt;'Project Assumptions'!$I$15+1,0,E69-E73)</f>
        <v>5109.85399263144</v>
      </c>
      <c r="F74" s="425" t="n">
        <f aca="false">IF(F4&gt;'Project Assumptions'!$I$15+1,0,F69-F73)</f>
        <v>5533.18076142484</v>
      </c>
      <c r="G74" s="425" t="n">
        <f aca="false">IF(G4&gt;'Project Assumptions'!$I$15+1,0,G69-G73)</f>
        <v>16270.2396344389</v>
      </c>
      <c r="H74" s="425" t="n">
        <f aca="false">IF(H4&gt;'Project Assumptions'!$I$15+1,0,H69-H73)</f>
        <v>24961.9294988477</v>
      </c>
      <c r="I74" s="425" t="n">
        <f aca="false">IF(I4&gt;'Project Assumptions'!$I$15+1,0,I69-I73)</f>
        <v>27102.1101671864</v>
      </c>
      <c r="J74" s="425" t="n">
        <f aca="false">IF(J4&gt;'Project Assumptions'!$I$15+1,0,J69-J73)</f>
        <v>27548.1059591247</v>
      </c>
      <c r="K74" s="425" t="n">
        <f aca="false">IF(K4&gt;'Project Assumptions'!$I$15+1,0,K69-K73)</f>
        <v>28734.235991291</v>
      </c>
      <c r="L74" s="425" t="n">
        <f aca="false">IF(L4&gt;'Project Assumptions'!$I$15+1,0,L69-L73)</f>
        <v>29910.9725490491</v>
      </c>
      <c r="M74" s="425" t="n">
        <f aca="false">IF(M4&gt;'Project Assumptions'!$I$15+1,0,M69-M73)</f>
        <v>31531.6662288894</v>
      </c>
      <c r="N74" s="425" t="n">
        <f aca="false">IF(N4&gt;'Project Assumptions'!$I$15+1,0,N69-N73)</f>
        <v>33385.0905938952</v>
      </c>
      <c r="O74" s="425" t="n">
        <f aca="false">IF(O4&gt;'Project Assumptions'!$I$15+1,0,O69-O73)</f>
        <v>34196.1211273991</v>
      </c>
      <c r="P74" s="425" t="n">
        <f aca="false">IF(P4&gt;'Project Assumptions'!$I$15+1,0,P69-P73)</f>
        <v>35074.0855003746</v>
      </c>
      <c r="Q74" s="425" t="n">
        <f aca="false">IF(Q4&gt;'Project Assumptions'!$I$15+1,0,Q69-Q73)</f>
        <v>35979.3902461105</v>
      </c>
      <c r="R74" s="425" t="n">
        <f aca="false">IF(R4&gt;'Project Assumptions'!$I$15+1,0,R69-R73)</f>
        <v>36825.6806361006</v>
      </c>
      <c r="S74" s="425" t="n">
        <f aca="false">IF(S4&gt;'Project Assumptions'!$I$15+1,0,S69-S73)</f>
        <v>37654.0626584573</v>
      </c>
      <c r="T74" s="425" t="n">
        <f aca="false">IF(T4&gt;'Project Assumptions'!$I$15+1,0,T69-T73)</f>
        <v>38463.0638841054</v>
      </c>
      <c r="U74" s="425" t="n">
        <f aca="false">IF(U4&gt;'Project Assumptions'!$I$15+1,0,U69-U73)</f>
        <v>39697.7980018097</v>
      </c>
      <c r="V74" s="425" t="n">
        <f aca="false">IF(V4&gt;'Project Assumptions'!$I$15+1,0,V69-V73)</f>
        <v>41029.1373894545</v>
      </c>
      <c r="W74" s="425" t="n">
        <f aca="false">IF(W4&gt;'Project Assumptions'!$I$15+1,0,W69-W73)</f>
        <v>41374.1364374866</v>
      </c>
      <c r="X74" s="425" t="n">
        <f aca="false">IF(X4&gt;'Project Assumptions'!$I$15+1,0,X69-X73)</f>
        <v>11989.2215264735</v>
      </c>
      <c r="Y74" s="425" t="n">
        <f aca="false">IF(Y4&gt;'Project Assumptions'!$I$15+1,0,Y69-Y73)</f>
        <v>0</v>
      </c>
      <c r="Z74" s="425" t="n">
        <f aca="false">IF(Z4&gt;'Project Assumptions'!$I$15+1,0,Z69-Z73)</f>
        <v>0</v>
      </c>
      <c r="AA74" s="425" t="n">
        <f aca="false">IF(AA4&gt;'Project Assumptions'!$I$15+1,0,AA69-AA73)</f>
        <v>0</v>
      </c>
      <c r="AB74" s="426" t="n">
        <f aca="false">IF(AB4&gt;'Project Assumptions'!$I$15+1,0,AB69-AB73)</f>
        <v>0</v>
      </c>
    </row>
    <row r="75" customFormat="false" ht="12.6" hidden="false" customHeight="true" outlineLevel="0" collapsed="false">
      <c r="B75" s="403"/>
      <c r="D75" s="404"/>
      <c r="E75" s="404"/>
      <c r="F75" s="404"/>
      <c r="G75" s="404"/>
      <c r="H75" s="404"/>
      <c r="I75" s="404"/>
      <c r="J75" s="404"/>
      <c r="K75" s="404"/>
      <c r="L75" s="404"/>
      <c r="M75" s="404"/>
      <c r="N75" s="404"/>
      <c r="O75" s="404"/>
      <c r="P75" s="404"/>
      <c r="Q75" s="404"/>
      <c r="R75" s="404"/>
      <c r="S75" s="404"/>
      <c r="T75" s="404"/>
      <c r="U75" s="404"/>
      <c r="V75" s="404"/>
      <c r="W75" s="404"/>
      <c r="X75" s="404"/>
      <c r="Y75" s="404"/>
      <c r="Z75" s="404"/>
      <c r="AA75" s="404"/>
      <c r="AB75" s="480"/>
    </row>
    <row r="76" customFormat="false" ht="12.6" hidden="false" customHeight="true" outlineLevel="0" collapsed="false">
      <c r="B76" s="403" t="s">
        <v>537</v>
      </c>
      <c r="D76" s="481" t="n">
        <f aca="false">D74*'Project Assumptions'!$N$65</f>
        <v>-1586.60905574587</v>
      </c>
      <c r="E76" s="481" t="n">
        <f aca="false">IF(E4&gt;'Project Assumptions'!$I$15+1,0,E74*'Project Assumptions'!$N$65)</f>
        <v>2026.92578325711</v>
      </c>
      <c r="F76" s="481" t="n">
        <f aca="false">IF(F4&gt;'Project Assumptions'!$I$15+1,0,F74*'Project Assumptions'!$N$65)</f>
        <v>2194.84681263439</v>
      </c>
      <c r="G76" s="481" t="n">
        <f aca="false">IF(G4&gt;'Project Assumptions'!$I$15+1,0,G74*'Project Assumptions'!$N$65)</f>
        <v>6453.91595579289</v>
      </c>
      <c r="H76" s="481" t="n">
        <f aca="false">IF(H4&gt;'Project Assumptions'!$I$15+1,0,H74*'Project Assumptions'!$N$65)</f>
        <v>9901.64857430793</v>
      </c>
      <c r="I76" s="481" t="n">
        <f aca="false">IF(I4&gt;'Project Assumptions'!$I$15+1,0,I74*'Project Assumptions'!$N$65)</f>
        <v>10750.5940400178</v>
      </c>
      <c r="J76" s="481" t="n">
        <f aca="false">IF(J4&gt;'Project Assumptions'!$I$15+1,0,J74*'Project Assumptions'!$N$65)</f>
        <v>10927.507190806</v>
      </c>
      <c r="K76" s="481" t="n">
        <f aca="false">IF(K4&gt;'Project Assumptions'!$I$15+1,0,K74*'Project Assumptions'!$N$65)</f>
        <v>11398.0093906654</v>
      </c>
      <c r="L76" s="481" t="n">
        <f aca="false">IF(L4&gt;'Project Assumptions'!$I$15+1,0,L74*'Project Assumptions'!$N$65)</f>
        <v>11864.7854810313</v>
      </c>
      <c r="M76" s="481" t="n">
        <f aca="false">IF(M4&gt;'Project Assumptions'!$I$15+1,0,M74*'Project Assumptions'!$N$65)</f>
        <v>12507.6660430136</v>
      </c>
      <c r="N76" s="481" t="n">
        <f aca="false">IF(N4&gt;'Project Assumptions'!$I$15+1,0,N74*'Project Assumptions'!$N$65)</f>
        <v>13242.8638858804</v>
      </c>
      <c r="O76" s="481" t="n">
        <f aca="false">IF(O4&gt;'Project Assumptions'!$I$15+1,0,O74*'Project Assumptions'!$N$65)</f>
        <v>13564.5753676054</v>
      </c>
      <c r="P76" s="481" t="n">
        <f aca="false">IF(P4&gt;'Project Assumptions'!$I$15+1,0,P74*'Project Assumptions'!$N$65)</f>
        <v>13912.8374954336</v>
      </c>
      <c r="Q76" s="481" t="n">
        <f aca="false">IF(Q4&gt;'Project Assumptions'!$I$15+1,0,Q74*'Project Assumptions'!$N$65)</f>
        <v>14271.9447289246</v>
      </c>
      <c r="R76" s="481" t="n">
        <f aca="false">IF(R4&gt;'Project Assumptions'!$I$15+1,0,R74*'Project Assumptions'!$N$65)</f>
        <v>14607.642737922</v>
      </c>
      <c r="S76" s="481" t="n">
        <f aca="false">IF(S4&gt;'Project Assumptions'!$I$15+1,0,S74*'Project Assumptions'!$N$65)</f>
        <v>14936.2370347302</v>
      </c>
      <c r="T76" s="481" t="n">
        <f aca="false">IF(T4&gt;'Project Assumptions'!$I$15+1,0,T74*'Project Assumptions'!$N$65)</f>
        <v>15257.1435509081</v>
      </c>
      <c r="U76" s="481" t="n">
        <f aca="false">IF(U4&gt;'Project Assumptions'!$I$15+1,0,U74*'Project Assumptions'!$N$65)</f>
        <v>15746.9255333778</v>
      </c>
      <c r="V76" s="481" t="n">
        <f aca="false">IF(V4&gt;'Project Assumptions'!$I$15+1,0,V74*'Project Assumptions'!$N$65)</f>
        <v>16275.0279282749</v>
      </c>
      <c r="W76" s="481" t="n">
        <f aca="false">IF(W4&gt;'Project Assumptions'!$I$15+1,0,W74*'Project Assumptions'!$N$65)</f>
        <v>16411.8787006578</v>
      </c>
      <c r="X76" s="481" t="n">
        <f aca="false">IF(X4&gt;'Project Assumptions'!$I$15+1,0,X74*'Project Assumptions'!$N$65)</f>
        <v>4755.76450290623</v>
      </c>
      <c r="Y76" s="481" t="n">
        <f aca="false">IF(Y4&gt;'Project Assumptions'!$I$15+1,0,Y74*'Project Assumptions'!$N$65)</f>
        <v>0</v>
      </c>
      <c r="Z76" s="481" t="n">
        <f aca="false">IF(Z4&gt;'Project Assumptions'!$I$15+1,0,Z74*'Project Assumptions'!$N$65)</f>
        <v>0</v>
      </c>
      <c r="AA76" s="481" t="n">
        <f aca="false">IF(AA4&gt;'Project Assumptions'!$I$15+1,0,AA74*'Project Assumptions'!$N$65)</f>
        <v>0</v>
      </c>
      <c r="AB76" s="431" t="n">
        <f aca="false">IF(AB4&gt;'Project Assumptions'!$I$15+1,0,AB74*'Project Assumptions'!$N$65)</f>
        <v>0</v>
      </c>
    </row>
    <row r="77" customFormat="false" ht="12.6" hidden="false" customHeight="true" outlineLevel="0" collapsed="false">
      <c r="B77" s="652" t="s">
        <v>9</v>
      </c>
      <c r="C77" s="482"/>
      <c r="D77" s="680" t="n">
        <f aca="false">D74-D76</f>
        <v>-2413.21209469624</v>
      </c>
      <c r="E77" s="680" t="n">
        <f aca="false">IF(E4&gt;'Project Assumptions'!$I$15+1,0,E74-E76)</f>
        <v>3082.92820937433</v>
      </c>
      <c r="F77" s="680" t="n">
        <f aca="false">IF(F4&gt;'Project Assumptions'!$I$15+1,0,F74-F76)</f>
        <v>3338.33394879045</v>
      </c>
      <c r="G77" s="680" t="n">
        <f aca="false">IF(G4&gt;'Project Assumptions'!$I$15+1,0,G74-G76)</f>
        <v>9816.32367864604</v>
      </c>
      <c r="H77" s="680" t="n">
        <f aca="false">IF(H4&gt;'Project Assumptions'!$I$15+1,0,H74-H76)</f>
        <v>15060.2809245398</v>
      </c>
      <c r="I77" s="680" t="n">
        <f aca="false">IF(I4&gt;'Project Assumptions'!$I$15+1,0,I74-I76)</f>
        <v>16351.5161271686</v>
      </c>
      <c r="J77" s="680" t="n">
        <f aca="false">IF(J4&gt;'Project Assumptions'!$I$15+1,0,J74-J76)</f>
        <v>16620.5987683187</v>
      </c>
      <c r="K77" s="680" t="n">
        <f aca="false">IF(K4&gt;'Project Assumptions'!$I$15+1,0,K74-K76)</f>
        <v>17336.2266006256</v>
      </c>
      <c r="L77" s="680" t="n">
        <f aca="false">IF(L4&gt;'Project Assumptions'!$I$15+1,0,L74-L76)</f>
        <v>18046.1870680178</v>
      </c>
      <c r="M77" s="680" t="n">
        <f aca="false">IF(M4&gt;'Project Assumptions'!$I$15+1,0,M74-M76)</f>
        <v>19024.0001858759</v>
      </c>
      <c r="N77" s="680" t="n">
        <f aca="false">IF(N4&gt;'Project Assumptions'!$I$15+1,0,N74-N76)</f>
        <v>20142.2267080148</v>
      </c>
      <c r="O77" s="680" t="n">
        <f aca="false">IF(O4&gt;'Project Assumptions'!$I$15+1,0,O74-O76)</f>
        <v>20631.5457597937</v>
      </c>
      <c r="P77" s="680" t="n">
        <f aca="false">IF(P4&gt;'Project Assumptions'!$I$15+1,0,P74-P76)</f>
        <v>21161.248004941</v>
      </c>
      <c r="Q77" s="680" t="n">
        <f aca="false">IF(Q4&gt;'Project Assumptions'!$I$15+1,0,Q74-Q76)</f>
        <v>21707.4455171858</v>
      </c>
      <c r="R77" s="680" t="n">
        <f aca="false">IF(R4&gt;'Project Assumptions'!$I$15+1,0,R74-R76)</f>
        <v>22218.0378981786</v>
      </c>
      <c r="S77" s="680" t="n">
        <f aca="false">IF(S4&gt;'Project Assumptions'!$I$15+1,0,S74-S76)</f>
        <v>22717.825623727</v>
      </c>
      <c r="T77" s="680" t="n">
        <f aca="false">IF(T4&gt;'Project Assumptions'!$I$15+1,0,T74-T76)</f>
        <v>23205.9203331973</v>
      </c>
      <c r="U77" s="680" t="n">
        <f aca="false">IF(U4&gt;'Project Assumptions'!$I$15+1,0,U74-U76)</f>
        <v>23950.8724684318</v>
      </c>
      <c r="V77" s="680" t="n">
        <f aca="false">IF(V4&gt;'Project Assumptions'!$I$15+1,0,V74-V76)</f>
        <v>24754.1094611796</v>
      </c>
      <c r="W77" s="680" t="n">
        <f aca="false">IF(W4&gt;'Project Assumptions'!$I$15+1,0,W74-W76)</f>
        <v>24962.2577368288</v>
      </c>
      <c r="X77" s="680" t="n">
        <f aca="false">IF(X4&gt;'Project Assumptions'!$I$15+1,0,X74-X76)</f>
        <v>7233.45702356724</v>
      </c>
      <c r="Y77" s="680" t="n">
        <f aca="false">IF(Y4&gt;'Project Assumptions'!$I$15+1,0,Y74-Y76)</f>
        <v>0</v>
      </c>
      <c r="Z77" s="680" t="n">
        <f aca="false">IF(Z4&gt;'Project Assumptions'!$I$15+1,0,Z74-Z76)</f>
        <v>0</v>
      </c>
      <c r="AA77" s="680" t="n">
        <f aca="false">IF(AA4&gt;'Project Assumptions'!$I$15+1,0,AA74-AA76)</f>
        <v>0</v>
      </c>
      <c r="AB77" s="681" t="n">
        <f aca="false">IF(AB4&gt;'Project Assumptions'!$I$15+1,0,AB74-AB76)</f>
        <v>0</v>
      </c>
    </row>
    <row r="78" customFormat="false" ht="12.6" hidden="false" customHeight="true" outlineLevel="0" collapsed="false">
      <c r="B78" s="600"/>
      <c r="C78" s="474"/>
      <c r="D78" s="404"/>
      <c r="E78" s="404"/>
      <c r="F78" s="404"/>
      <c r="G78" s="404"/>
      <c r="H78" s="404"/>
      <c r="I78" s="404"/>
      <c r="J78" s="404"/>
      <c r="K78" s="404"/>
      <c r="L78" s="404"/>
      <c r="M78" s="404"/>
      <c r="N78" s="404"/>
      <c r="O78" s="404"/>
      <c r="P78" s="404"/>
      <c r="Q78" s="404"/>
      <c r="R78" s="404"/>
      <c r="S78" s="404"/>
      <c r="T78" s="404"/>
      <c r="U78" s="404"/>
      <c r="V78" s="404"/>
      <c r="W78" s="404"/>
      <c r="X78" s="404"/>
      <c r="Y78" s="404"/>
      <c r="Z78" s="404"/>
      <c r="AA78" s="404"/>
      <c r="AB78" s="404"/>
    </row>
    <row r="79" customFormat="false" ht="12.6" hidden="false" customHeight="true" outlineLevel="0" collapsed="false">
      <c r="B79" s="600" t="s">
        <v>538</v>
      </c>
      <c r="C79" s="473" t="n">
        <f aca="false">NPV('Project Assumptions'!$I$56,'Book Income Statement'!D79:F79)</f>
        <v>9520.52744441341</v>
      </c>
      <c r="D79" s="434" t="n">
        <v>0</v>
      </c>
      <c r="E79" s="434" t="n">
        <v>0</v>
      </c>
      <c r="F79" s="434" t="n">
        <f aca="false">F74+F67</f>
        <v>13375.6555814248</v>
      </c>
      <c r="G79" s="434"/>
      <c r="H79" s="434"/>
      <c r="I79" s="434"/>
      <c r="J79" s="434"/>
      <c r="K79" s="434"/>
      <c r="L79" s="434"/>
      <c r="M79" s="434"/>
      <c r="N79" s="434"/>
      <c r="O79" s="434"/>
      <c r="P79" s="434"/>
      <c r="Q79" s="434"/>
      <c r="R79" s="434"/>
      <c r="S79" s="434"/>
      <c r="T79" s="434"/>
      <c r="U79" s="434"/>
      <c r="V79" s="434"/>
      <c r="W79" s="434"/>
      <c r="X79" s="434"/>
      <c r="Y79" s="434"/>
      <c r="Z79" s="434"/>
      <c r="AA79" s="434"/>
      <c r="AB79" s="434"/>
    </row>
    <row r="80" customFormat="false" ht="12.6" hidden="false" customHeight="true" outlineLevel="0" collapsed="false">
      <c r="B80" s="416" t="s">
        <v>539</v>
      </c>
      <c r="C80" s="473" t="n">
        <f aca="false">NPV('Project Assumptions'!$I$56,'Book Income Statement'!D80:F80)</f>
        <v>2376.16016535399</v>
      </c>
      <c r="D80" s="473" t="n">
        <v>0</v>
      </c>
      <c r="E80" s="473" t="n">
        <v>0</v>
      </c>
      <c r="F80" s="434" t="n">
        <f aca="false">F77</f>
        <v>3338.33394879045</v>
      </c>
    </row>
    <row r="81" customFormat="false" ht="13.15" hidden="false" customHeight="true" outlineLevel="0" collapsed="false">
      <c r="B81" s="416"/>
      <c r="D81" s="434"/>
      <c r="E81" s="434"/>
      <c r="F81" s="434"/>
      <c r="G81" s="434"/>
      <c r="H81" s="434"/>
      <c r="I81" s="434"/>
      <c r="J81" s="434"/>
      <c r="K81" s="434"/>
      <c r="L81" s="434"/>
      <c r="M81" s="434"/>
      <c r="N81" s="434"/>
      <c r="O81" s="434"/>
      <c r="P81" s="434"/>
      <c r="Q81" s="434"/>
      <c r="R81" s="434"/>
      <c r="S81" s="434"/>
      <c r="T81" s="434"/>
      <c r="U81" s="434"/>
      <c r="V81" s="434"/>
      <c r="W81" s="434"/>
      <c r="X81" s="434"/>
      <c r="Y81" s="434"/>
      <c r="Z81" s="434"/>
      <c r="AA81" s="434"/>
      <c r="AB81" s="434"/>
    </row>
    <row r="82" customFormat="false" ht="12.6" hidden="false" customHeight="true" outlineLevel="0" collapsed="false">
      <c r="A82" s="0"/>
      <c r="B82" s="357"/>
      <c r="C82" s="357"/>
      <c r="D82" s="357"/>
      <c r="E82" s="357"/>
      <c r="F82" s="357"/>
      <c r="G82" s="357"/>
      <c r="H82" s="357"/>
      <c r="I82" s="357"/>
      <c r="J82" s="357"/>
      <c r="K82" s="357"/>
      <c r="L82" s="357"/>
      <c r="M82" s="357"/>
      <c r="N82" s="357"/>
      <c r="O82" s="357"/>
      <c r="P82" s="357"/>
      <c r="Q82" s="357"/>
      <c r="R82" s="357"/>
      <c r="S82" s="357"/>
      <c r="T82" s="357"/>
      <c r="U82" s="357"/>
      <c r="V82" s="357"/>
      <c r="W82" s="357"/>
      <c r="X82" s="357"/>
      <c r="Y82" s="357"/>
      <c r="Z82" s="357"/>
      <c r="AA82" s="357"/>
      <c r="AB82" s="357"/>
      <c r="AC82" s="357"/>
      <c r="AD82" s="357"/>
      <c r="AF82" s="357"/>
      <c r="AG82" s="357"/>
      <c r="AH82" s="357"/>
      <c r="AI82" s="357"/>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row>
    <row r="83" customFormat="false" ht="12.6" hidden="false" customHeight="true" outlineLevel="0" collapsed="false">
      <c r="B83" s="600"/>
      <c r="C83" s="474"/>
      <c r="D83" s="404"/>
      <c r="E83" s="404"/>
      <c r="F83" s="404"/>
      <c r="G83" s="404"/>
      <c r="H83" s="404"/>
      <c r="I83" s="404"/>
      <c r="J83" s="404"/>
      <c r="K83" s="404"/>
      <c r="L83" s="404"/>
      <c r="M83" s="404"/>
      <c r="N83" s="404"/>
      <c r="O83" s="404"/>
      <c r="P83" s="404"/>
      <c r="Q83" s="404"/>
      <c r="R83" s="404"/>
      <c r="S83" s="404"/>
      <c r="T83" s="404"/>
      <c r="U83" s="404"/>
      <c r="V83" s="404"/>
      <c r="W83" s="404"/>
      <c r="X83" s="404"/>
      <c r="Y83" s="404"/>
      <c r="Z83" s="404"/>
      <c r="AA83" s="404"/>
      <c r="AB83" s="404"/>
    </row>
    <row r="84" customFormat="false" ht="12.6" hidden="false" customHeight="true" outlineLevel="0" collapsed="false">
      <c r="B84" s="678"/>
      <c r="D84" s="671"/>
      <c r="E84" s="671"/>
      <c r="F84" s="671"/>
      <c r="G84" s="671"/>
      <c r="H84" s="671"/>
      <c r="I84" s="671"/>
      <c r="J84" s="671"/>
      <c r="K84" s="671"/>
      <c r="L84" s="671"/>
      <c r="M84" s="671"/>
      <c r="N84" s="671"/>
      <c r="O84" s="671"/>
      <c r="P84" s="671"/>
      <c r="Q84" s="671"/>
      <c r="R84" s="671"/>
      <c r="S84" s="671"/>
      <c r="T84" s="671"/>
      <c r="U84" s="671"/>
      <c r="V84" s="671"/>
      <c r="W84" s="671"/>
      <c r="X84" s="671"/>
      <c r="Y84" s="671"/>
      <c r="Z84" s="671"/>
      <c r="AA84" s="671"/>
      <c r="AB84" s="671"/>
    </row>
    <row r="85" customFormat="false" ht="12.6" hidden="false" customHeight="true" outlineLevel="0" collapsed="false">
      <c r="B85" s="416"/>
      <c r="D85" s="434"/>
      <c r="E85" s="434"/>
      <c r="F85" s="434"/>
      <c r="G85" s="434"/>
      <c r="H85" s="434"/>
      <c r="I85" s="434"/>
      <c r="J85" s="434"/>
      <c r="K85" s="434"/>
      <c r="L85" s="434"/>
      <c r="M85" s="434"/>
      <c r="N85" s="434"/>
      <c r="O85" s="434"/>
      <c r="P85" s="434"/>
      <c r="Q85" s="434"/>
      <c r="R85" s="434"/>
      <c r="S85" s="434"/>
      <c r="T85" s="434"/>
      <c r="U85" s="434"/>
      <c r="V85" s="434"/>
      <c r="W85" s="434"/>
      <c r="X85" s="434"/>
      <c r="Y85" s="434"/>
      <c r="Z85" s="434"/>
      <c r="AA85" s="434"/>
      <c r="AB85" s="434"/>
    </row>
    <row r="86" customFormat="false" ht="12.6" hidden="false" customHeight="true" outlineLevel="0" collapsed="false">
      <c r="B86" s="416"/>
      <c r="D86" s="481"/>
      <c r="E86" s="481"/>
      <c r="F86" s="481"/>
      <c r="G86" s="481"/>
      <c r="H86" s="481"/>
      <c r="I86" s="481"/>
      <c r="J86" s="481"/>
      <c r="K86" s="481"/>
      <c r="L86" s="481"/>
      <c r="M86" s="481"/>
      <c r="N86" s="481"/>
      <c r="O86" s="481"/>
      <c r="P86" s="481"/>
      <c r="Q86" s="481"/>
      <c r="R86" s="481"/>
      <c r="S86" s="481"/>
      <c r="T86" s="481"/>
      <c r="U86" s="481"/>
      <c r="V86" s="481"/>
      <c r="W86" s="481"/>
      <c r="X86" s="481"/>
      <c r="Y86" s="481"/>
      <c r="Z86" s="481"/>
      <c r="AA86" s="481"/>
      <c r="AB86" s="481"/>
    </row>
    <row r="87" customFormat="false" ht="12.6" hidden="false" customHeight="true" outlineLevel="0" collapsed="false">
      <c r="B87" s="416"/>
      <c r="D87" s="434"/>
      <c r="E87" s="434"/>
      <c r="F87" s="434"/>
      <c r="G87" s="434"/>
      <c r="H87" s="434"/>
      <c r="I87" s="434"/>
      <c r="J87" s="434"/>
      <c r="K87" s="434"/>
      <c r="L87" s="434"/>
      <c r="M87" s="434"/>
      <c r="N87" s="434"/>
      <c r="O87" s="434"/>
      <c r="P87" s="434"/>
      <c r="Q87" s="434"/>
      <c r="R87" s="434"/>
      <c r="S87" s="434"/>
      <c r="T87" s="434"/>
      <c r="U87" s="434"/>
      <c r="V87" s="434"/>
      <c r="W87" s="434"/>
      <c r="X87" s="434"/>
      <c r="Y87" s="434"/>
      <c r="Z87" s="434"/>
      <c r="AA87" s="434"/>
      <c r="AB87" s="434"/>
    </row>
    <row r="88" customFormat="false" ht="12.6" hidden="false" customHeight="true" outlineLevel="0" collapsed="false">
      <c r="A88" s="0"/>
      <c r="B88" s="357"/>
      <c r="C88" s="357"/>
      <c r="D88" s="357"/>
      <c r="E88" s="357"/>
      <c r="F88" s="357"/>
      <c r="G88" s="357"/>
      <c r="H88" s="357"/>
      <c r="I88" s="357"/>
      <c r="J88" s="357"/>
      <c r="K88" s="357"/>
      <c r="L88" s="357"/>
      <c r="M88" s="357"/>
      <c r="N88" s="357"/>
      <c r="O88" s="357"/>
      <c r="P88" s="357"/>
      <c r="Q88" s="357"/>
      <c r="R88" s="357"/>
      <c r="S88" s="357"/>
      <c r="T88" s="357"/>
      <c r="U88" s="357"/>
      <c r="V88" s="357"/>
      <c r="W88" s="357"/>
      <c r="X88" s="357"/>
      <c r="Y88" s="357"/>
      <c r="Z88" s="357"/>
      <c r="AA88" s="357"/>
      <c r="AB88" s="357"/>
      <c r="AC88" s="357"/>
      <c r="AD88" s="357"/>
      <c r="AF88" s="357"/>
      <c r="AG88" s="357"/>
      <c r="AH88" s="357"/>
      <c r="AI88" s="357"/>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row>
    <row r="89" customFormat="false" ht="12.6" hidden="false" customHeight="true" outlineLevel="0" collapsed="false">
      <c r="B89" s="416"/>
      <c r="D89" s="682"/>
      <c r="E89" s="481"/>
      <c r="F89" s="481"/>
      <c r="G89" s="481"/>
      <c r="H89" s="481"/>
      <c r="I89" s="481"/>
      <c r="J89" s="481"/>
      <c r="K89" s="481"/>
      <c r="L89" s="481"/>
      <c r="M89" s="481"/>
      <c r="N89" s="481"/>
      <c r="O89" s="481"/>
      <c r="P89" s="481"/>
      <c r="Q89" s="481"/>
      <c r="R89" s="481"/>
      <c r="S89" s="481"/>
      <c r="T89" s="481"/>
      <c r="U89" s="481"/>
      <c r="V89" s="481"/>
      <c r="W89" s="481"/>
      <c r="X89" s="481"/>
      <c r="Y89" s="481"/>
      <c r="Z89" s="481"/>
      <c r="AA89" s="481"/>
      <c r="AB89" s="481"/>
    </row>
    <row r="90" customFormat="false" ht="12.6" hidden="false" customHeight="true" outlineLevel="0" collapsed="false">
      <c r="A90" s="0"/>
      <c r="B90" s="357"/>
      <c r="C90" s="357"/>
      <c r="D90" s="357"/>
      <c r="E90" s="357"/>
      <c r="F90" s="357"/>
      <c r="G90" s="357"/>
      <c r="H90" s="357"/>
      <c r="I90" s="357"/>
      <c r="J90" s="357"/>
      <c r="K90" s="357"/>
      <c r="L90" s="357"/>
      <c r="M90" s="357"/>
      <c r="N90" s="357"/>
      <c r="O90" s="357"/>
      <c r="P90" s="357"/>
      <c r="Q90" s="357"/>
      <c r="R90" s="357"/>
      <c r="S90" s="357"/>
      <c r="T90" s="357"/>
      <c r="U90" s="357"/>
      <c r="V90" s="357"/>
      <c r="W90" s="357"/>
      <c r="X90" s="357"/>
      <c r="Y90" s="357"/>
      <c r="Z90" s="357"/>
      <c r="AA90" s="357"/>
      <c r="AB90" s="357"/>
      <c r="AC90" s="357"/>
      <c r="AD90" s="357"/>
      <c r="AF90" s="357"/>
      <c r="AG90" s="357"/>
      <c r="AH90" s="357"/>
      <c r="AI90" s="357"/>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row>
    <row r="91" customFormat="false" ht="12.6" hidden="false" customHeight="true" outlineLevel="0" collapsed="false">
      <c r="A91" s="0"/>
      <c r="B91" s="357"/>
      <c r="C91" s="357"/>
      <c r="D91" s="357"/>
      <c r="E91" s="357"/>
      <c r="F91" s="357"/>
      <c r="G91" s="357"/>
      <c r="H91" s="357"/>
      <c r="I91" s="357"/>
      <c r="J91" s="357"/>
      <c r="K91" s="357"/>
      <c r="L91" s="357"/>
      <c r="M91" s="357"/>
      <c r="N91" s="357"/>
      <c r="O91" s="357"/>
      <c r="P91" s="357"/>
      <c r="Q91" s="357"/>
      <c r="R91" s="357"/>
      <c r="S91" s="357"/>
      <c r="T91" s="357"/>
      <c r="U91" s="357"/>
      <c r="V91" s="357"/>
      <c r="W91" s="357"/>
      <c r="X91" s="357"/>
      <c r="Y91" s="357"/>
      <c r="Z91" s="357"/>
      <c r="AA91" s="357"/>
      <c r="AB91" s="357"/>
      <c r="AC91" s="357"/>
      <c r="AD91" s="357"/>
      <c r="AF91" s="357"/>
      <c r="AG91" s="357"/>
      <c r="AH91" s="357"/>
      <c r="AI91" s="357"/>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row>
    <row r="92" customFormat="false" ht="12.6" hidden="false" customHeight="true" outlineLevel="0" collapsed="false">
      <c r="A92" s="0"/>
      <c r="B92" s="357"/>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7"/>
      <c r="AF92" s="357"/>
      <c r="AG92" s="357"/>
      <c r="AH92" s="357"/>
      <c r="AI92" s="357"/>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row>
    <row r="93" customFormat="false" ht="12.6" hidden="false" customHeight="true" outlineLevel="0" collapsed="false">
      <c r="A93" s="0"/>
      <c r="B93" s="357"/>
      <c r="C93" s="357"/>
      <c r="D93" s="357"/>
      <c r="E93" s="357"/>
      <c r="F93" s="357"/>
      <c r="G93" s="357"/>
      <c r="H93" s="357"/>
      <c r="I93" s="357"/>
      <c r="J93" s="357"/>
      <c r="K93" s="357"/>
      <c r="L93" s="357"/>
      <c r="M93" s="357"/>
      <c r="N93" s="357"/>
      <c r="O93" s="357"/>
      <c r="P93" s="357"/>
      <c r="Q93" s="357"/>
      <c r="R93" s="357"/>
      <c r="S93" s="357"/>
      <c r="T93" s="357"/>
      <c r="U93" s="357"/>
      <c r="V93" s="357"/>
      <c r="W93" s="357"/>
      <c r="X93" s="357"/>
      <c r="Y93" s="357"/>
      <c r="Z93" s="357"/>
      <c r="AA93" s="357"/>
      <c r="AB93" s="357"/>
      <c r="AC93" s="357"/>
      <c r="AD93" s="357"/>
      <c r="AF93" s="357"/>
      <c r="AG93" s="357"/>
      <c r="AH93" s="357"/>
      <c r="AI93" s="357"/>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row>
    <row r="94" customFormat="false" ht="12.6" hidden="false" customHeight="true" outlineLevel="0" collapsed="false">
      <c r="B94" s="600"/>
      <c r="C94" s="474"/>
      <c r="D94" s="683"/>
      <c r="E94" s="683"/>
      <c r="F94" s="683"/>
      <c r="G94" s="683"/>
      <c r="H94" s="683"/>
      <c r="I94" s="683"/>
      <c r="J94" s="683"/>
      <c r="K94" s="683"/>
      <c r="L94" s="683"/>
      <c r="M94" s="683"/>
      <c r="N94" s="683"/>
      <c r="O94" s="683"/>
      <c r="P94" s="683"/>
      <c r="Q94" s="683"/>
      <c r="R94" s="683"/>
      <c r="S94" s="683"/>
      <c r="T94" s="683"/>
      <c r="U94" s="683"/>
      <c r="V94" s="683"/>
      <c r="W94" s="683"/>
      <c r="X94" s="683"/>
      <c r="Y94" s="683"/>
      <c r="Z94" s="683"/>
      <c r="AA94" s="683"/>
      <c r="AB94" s="683"/>
    </row>
    <row r="95" customFormat="false" ht="12.6" hidden="false" customHeight="true" outlineLevel="0" collapsed="false">
      <c r="A95" s="0"/>
      <c r="B95" s="357"/>
      <c r="C95" s="357"/>
      <c r="D95" s="357"/>
      <c r="E95" s="357"/>
      <c r="F95" s="357"/>
      <c r="G95" s="357"/>
      <c r="H95" s="357"/>
      <c r="I95" s="357"/>
      <c r="J95" s="357"/>
      <c r="K95" s="357"/>
      <c r="L95" s="357"/>
      <c r="M95" s="357"/>
      <c r="N95" s="357"/>
      <c r="O95" s="357"/>
      <c r="P95" s="357"/>
      <c r="Q95" s="357"/>
      <c r="R95" s="357"/>
      <c r="S95" s="357"/>
      <c r="T95" s="357"/>
      <c r="U95" s="357"/>
      <c r="V95" s="357"/>
      <c r="W95" s="357"/>
      <c r="X95" s="357"/>
      <c r="Y95" s="357"/>
      <c r="Z95" s="357"/>
      <c r="AA95" s="357"/>
      <c r="AB95" s="357"/>
      <c r="AC95" s="357"/>
      <c r="AD95" s="357"/>
      <c r="AF95" s="357"/>
      <c r="AG95" s="357"/>
      <c r="AH95" s="357"/>
      <c r="AI95" s="357"/>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row>
    <row r="96" customFormat="false" ht="12.6" hidden="false" customHeight="true" outlineLevel="0" collapsed="false">
      <c r="A96" s="0"/>
      <c r="B96" s="357"/>
      <c r="C96" s="357"/>
      <c r="D96" s="357"/>
      <c r="E96" s="357"/>
      <c r="F96" s="357"/>
      <c r="G96" s="357"/>
      <c r="H96" s="357"/>
      <c r="I96" s="357"/>
      <c r="J96" s="357"/>
      <c r="K96" s="357"/>
      <c r="L96" s="357"/>
      <c r="M96" s="357"/>
      <c r="N96" s="357"/>
      <c r="O96" s="357"/>
      <c r="P96" s="357"/>
      <c r="Q96" s="357"/>
      <c r="R96" s="357"/>
      <c r="S96" s="357"/>
      <c r="T96" s="357"/>
      <c r="U96" s="357"/>
      <c r="V96" s="357"/>
      <c r="W96" s="357"/>
      <c r="X96" s="357"/>
      <c r="Y96" s="357"/>
      <c r="Z96" s="357"/>
      <c r="AA96" s="357"/>
      <c r="AB96" s="357"/>
      <c r="AC96" s="357"/>
      <c r="AD96" s="357"/>
      <c r="AF96" s="357"/>
      <c r="AG96" s="357"/>
      <c r="AH96" s="357"/>
      <c r="AI96" s="357"/>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row>
    <row r="97" customFormat="false" ht="12.6" hidden="false" customHeight="true" outlineLevel="0" collapsed="false">
      <c r="A97" s="0"/>
      <c r="B97" s="357"/>
      <c r="C97" s="357"/>
      <c r="D97" s="357"/>
      <c r="E97" s="357"/>
      <c r="F97" s="357"/>
      <c r="G97" s="357"/>
      <c r="H97" s="357"/>
      <c r="I97" s="357"/>
      <c r="J97" s="357"/>
      <c r="K97" s="357"/>
      <c r="L97" s="357"/>
      <c r="M97" s="357"/>
      <c r="N97" s="357"/>
      <c r="O97" s="357"/>
      <c r="P97" s="357"/>
      <c r="Q97" s="357"/>
      <c r="R97" s="357"/>
      <c r="S97" s="357"/>
      <c r="T97" s="357"/>
      <c r="U97" s="357"/>
      <c r="V97" s="357"/>
      <c r="W97" s="357"/>
      <c r="X97" s="357"/>
      <c r="Y97" s="357"/>
      <c r="Z97" s="357"/>
      <c r="AA97" s="357"/>
      <c r="AB97" s="357"/>
      <c r="AC97" s="357"/>
      <c r="AD97" s="357"/>
      <c r="AF97" s="357"/>
      <c r="AG97" s="357"/>
      <c r="AH97" s="357"/>
      <c r="AI97" s="357"/>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row>
    <row r="98" customFormat="false" ht="12.6" hidden="false" customHeight="true" outlineLevel="0" collapsed="false">
      <c r="A98" s="0"/>
      <c r="B98" s="357"/>
      <c r="C98" s="357"/>
      <c r="D98" s="357"/>
      <c r="E98" s="357"/>
      <c r="F98" s="357"/>
      <c r="G98" s="357"/>
      <c r="H98" s="357"/>
      <c r="I98" s="357"/>
      <c r="J98" s="357"/>
      <c r="K98" s="357"/>
      <c r="L98" s="357"/>
      <c r="M98" s="357"/>
      <c r="N98" s="357"/>
      <c r="O98" s="357"/>
      <c r="P98" s="357"/>
      <c r="Q98" s="357"/>
      <c r="R98" s="357"/>
      <c r="S98" s="357"/>
      <c r="T98" s="357"/>
      <c r="U98" s="357"/>
      <c r="V98" s="357"/>
      <c r="W98" s="357"/>
      <c r="X98" s="357"/>
      <c r="Y98" s="357"/>
      <c r="Z98" s="357"/>
      <c r="AA98" s="357"/>
      <c r="AB98" s="357"/>
      <c r="AC98" s="357"/>
      <c r="AD98" s="357"/>
      <c r="AF98" s="357"/>
      <c r="AG98" s="357"/>
      <c r="AH98" s="357"/>
      <c r="AI98" s="357"/>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row>
    <row r="99" customFormat="false" ht="12.6" hidden="false" customHeight="true" outlineLevel="0" collapsed="false">
      <c r="A99" s="0"/>
      <c r="B99" s="357"/>
      <c r="C99" s="357"/>
      <c r="D99" s="357"/>
      <c r="E99" s="357"/>
      <c r="F99" s="357"/>
      <c r="G99" s="357"/>
      <c r="H99" s="357"/>
      <c r="I99" s="357"/>
      <c r="J99" s="357"/>
      <c r="K99" s="357"/>
      <c r="L99" s="357"/>
      <c r="M99" s="357"/>
      <c r="N99" s="357"/>
      <c r="O99" s="357"/>
      <c r="P99" s="357"/>
      <c r="Q99" s="357"/>
      <c r="R99" s="357"/>
      <c r="S99" s="357"/>
      <c r="T99" s="357"/>
      <c r="U99" s="357"/>
      <c r="V99" s="357"/>
      <c r="W99" s="357"/>
      <c r="X99" s="357"/>
      <c r="Y99" s="357"/>
      <c r="Z99" s="357"/>
      <c r="AA99" s="357"/>
      <c r="AB99" s="357"/>
      <c r="AC99" s="357"/>
      <c r="AD99" s="357"/>
      <c r="AF99" s="357"/>
      <c r="AG99" s="357"/>
      <c r="AH99" s="357"/>
      <c r="AI99" s="357"/>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row>
    <row r="100" customFormat="false" ht="12.6" hidden="false" customHeight="true" outlineLevel="0" collapsed="false">
      <c r="A100" s="0"/>
      <c r="B100" s="357"/>
      <c r="C100" s="357"/>
      <c r="D100" s="357"/>
      <c r="E100" s="357"/>
      <c r="F100" s="357"/>
      <c r="G100" s="357"/>
      <c r="H100" s="357"/>
      <c r="I100" s="357"/>
      <c r="J100" s="357"/>
      <c r="K100" s="357"/>
      <c r="L100" s="357"/>
      <c r="M100" s="357"/>
      <c r="N100" s="357"/>
      <c r="O100" s="357"/>
      <c r="P100" s="357"/>
      <c r="Q100" s="357"/>
      <c r="R100" s="357"/>
      <c r="S100" s="357"/>
      <c r="T100" s="357"/>
      <c r="U100" s="357"/>
      <c r="V100" s="357"/>
      <c r="W100" s="357"/>
      <c r="X100" s="357"/>
      <c r="Y100" s="357"/>
      <c r="Z100" s="357"/>
      <c r="AA100" s="357"/>
      <c r="AB100" s="357"/>
      <c r="AC100" s="357"/>
      <c r="AD100" s="357"/>
      <c r="AF100" s="357"/>
      <c r="AG100" s="357"/>
      <c r="AH100" s="357"/>
      <c r="AI100" s="357"/>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row>
    <row r="101" customFormat="false" ht="12.6" hidden="false" customHeight="true" outlineLevel="0" collapsed="false">
      <c r="A101" s="0"/>
      <c r="B101" s="357"/>
      <c r="C101" s="357"/>
      <c r="D101" s="357"/>
      <c r="E101" s="357"/>
      <c r="F101" s="357"/>
      <c r="G101" s="357"/>
      <c r="H101" s="357"/>
      <c r="I101" s="357"/>
      <c r="J101" s="357"/>
      <c r="K101" s="357"/>
      <c r="L101" s="357"/>
      <c r="M101" s="357"/>
      <c r="N101" s="357"/>
      <c r="O101" s="357"/>
      <c r="P101" s="357"/>
      <c r="Q101" s="357"/>
      <c r="R101" s="357"/>
      <c r="S101" s="357"/>
      <c r="T101" s="357"/>
      <c r="U101" s="357"/>
      <c r="V101" s="357"/>
      <c r="W101" s="357"/>
      <c r="X101" s="357"/>
      <c r="Y101" s="357"/>
      <c r="Z101" s="357"/>
      <c r="AA101" s="357"/>
      <c r="AB101" s="357"/>
      <c r="AC101" s="357"/>
      <c r="AD101" s="357"/>
      <c r="AF101" s="357"/>
      <c r="AG101" s="357"/>
      <c r="AH101" s="357"/>
      <c r="AI101" s="357"/>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row>
    <row r="102" customFormat="false" ht="12.6" hidden="false" customHeight="true" outlineLevel="0" collapsed="false">
      <c r="A102" s="0"/>
      <c r="B102" s="357"/>
      <c r="C102" s="357"/>
      <c r="D102" s="357"/>
      <c r="E102" s="357"/>
      <c r="F102" s="357"/>
      <c r="G102" s="357"/>
      <c r="H102" s="357"/>
      <c r="I102" s="357"/>
      <c r="J102" s="357"/>
      <c r="K102" s="357"/>
      <c r="L102" s="357"/>
      <c r="M102" s="357"/>
      <c r="N102" s="357"/>
      <c r="O102" s="357"/>
      <c r="P102" s="357"/>
      <c r="Q102" s="357"/>
      <c r="R102" s="357"/>
      <c r="S102" s="357"/>
      <c r="T102" s="357"/>
      <c r="U102" s="357"/>
      <c r="V102" s="357"/>
      <c r="W102" s="357"/>
      <c r="X102" s="357"/>
      <c r="Y102" s="357"/>
      <c r="Z102" s="357"/>
      <c r="AA102" s="357"/>
      <c r="AB102" s="357"/>
      <c r="AC102" s="357"/>
      <c r="AD102" s="357"/>
      <c r="AF102" s="357"/>
      <c r="AG102" s="357"/>
      <c r="AH102" s="357"/>
      <c r="AI102" s="357"/>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row>
    <row r="103" customFormat="false" ht="12.6" hidden="false" customHeight="true" outlineLevel="0" collapsed="false">
      <c r="A103" s="0"/>
      <c r="B103" s="357"/>
      <c r="C103" s="357"/>
      <c r="D103" s="357"/>
      <c r="E103" s="357"/>
      <c r="F103" s="357"/>
      <c r="G103" s="357"/>
      <c r="H103" s="357"/>
      <c r="I103" s="357"/>
      <c r="J103" s="357"/>
      <c r="K103" s="357"/>
      <c r="L103" s="357"/>
      <c r="M103" s="357"/>
      <c r="N103" s="357"/>
      <c r="O103" s="357"/>
      <c r="P103" s="357"/>
      <c r="Q103" s="357"/>
      <c r="R103" s="357"/>
      <c r="S103" s="357"/>
      <c r="T103" s="357"/>
      <c r="U103" s="357"/>
      <c r="V103" s="357"/>
      <c r="W103" s="357"/>
      <c r="X103" s="357"/>
      <c r="Y103" s="357"/>
      <c r="Z103" s="357"/>
      <c r="AA103" s="357"/>
      <c r="AB103" s="357"/>
      <c r="AC103" s="357"/>
      <c r="AD103" s="357"/>
      <c r="AF103" s="357"/>
      <c r="AG103" s="357"/>
      <c r="AH103" s="357"/>
      <c r="AI103" s="357"/>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row>
    <row r="104" customFormat="false" ht="12.6" hidden="false" customHeight="true" outlineLevel="0" collapsed="false">
      <c r="A104" s="0"/>
      <c r="B104" s="357"/>
      <c r="C104" s="357"/>
      <c r="D104" s="357"/>
      <c r="E104" s="357"/>
      <c r="F104" s="357"/>
      <c r="G104" s="357"/>
      <c r="H104" s="357"/>
      <c r="I104" s="357"/>
      <c r="J104" s="357"/>
      <c r="K104" s="357"/>
      <c r="L104" s="357"/>
      <c r="M104" s="357"/>
      <c r="N104" s="357"/>
      <c r="O104" s="357"/>
      <c r="P104" s="357"/>
      <c r="Q104" s="357"/>
      <c r="R104" s="357"/>
      <c r="S104" s="357"/>
      <c r="T104" s="357"/>
      <c r="U104" s="357"/>
      <c r="V104" s="357"/>
      <c r="W104" s="357"/>
      <c r="X104" s="357"/>
      <c r="Y104" s="357"/>
      <c r="Z104" s="357"/>
      <c r="AA104" s="357"/>
      <c r="AB104" s="357"/>
      <c r="AC104" s="357"/>
      <c r="AD104" s="357"/>
      <c r="AF104" s="357"/>
      <c r="AG104" s="357"/>
      <c r="AH104" s="357"/>
      <c r="AI104" s="357"/>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row>
    <row r="105" customFormat="false" ht="12.6" hidden="false" customHeight="true" outlineLevel="0" collapsed="false">
      <c r="B105" s="678"/>
      <c r="D105" s="684"/>
      <c r="E105" s="684"/>
      <c r="F105" s="684"/>
      <c r="G105" s="684"/>
      <c r="H105" s="684"/>
      <c r="I105" s="684"/>
      <c r="J105" s="684"/>
      <c r="K105" s="684"/>
      <c r="L105" s="684"/>
      <c r="M105" s="684"/>
      <c r="N105" s="684"/>
      <c r="O105" s="684"/>
      <c r="P105" s="684"/>
      <c r="Q105" s="684"/>
      <c r="R105" s="684"/>
      <c r="S105" s="684"/>
      <c r="T105" s="684"/>
      <c r="U105" s="684"/>
      <c r="V105" s="684"/>
      <c r="W105" s="684"/>
      <c r="X105" s="684"/>
      <c r="Y105" s="684"/>
      <c r="Z105" s="684"/>
      <c r="AA105" s="684"/>
      <c r="AB105" s="684"/>
    </row>
    <row r="106" customFormat="false" ht="12.6" hidden="false" customHeight="true" outlineLevel="0" collapsed="false">
      <c r="B106" s="678"/>
      <c r="D106" s="684"/>
      <c r="E106" s="684"/>
      <c r="F106" s="684"/>
      <c r="G106" s="684"/>
      <c r="H106" s="684"/>
      <c r="I106" s="684"/>
      <c r="J106" s="684"/>
      <c r="K106" s="684"/>
      <c r="L106" s="684"/>
      <c r="M106" s="434"/>
      <c r="N106" s="434"/>
      <c r="O106" s="434"/>
      <c r="P106" s="434"/>
      <c r="Q106" s="434"/>
      <c r="R106" s="434"/>
      <c r="S106" s="434"/>
      <c r="T106" s="434"/>
      <c r="U106" s="434"/>
      <c r="V106" s="434"/>
      <c r="W106" s="434"/>
      <c r="X106" s="434"/>
      <c r="Y106" s="434"/>
      <c r="Z106" s="434"/>
      <c r="AA106" s="434"/>
      <c r="AB106" s="434"/>
    </row>
    <row r="107" customFormat="false" ht="12.6" hidden="false" customHeight="true" outlineLevel="0" collapsed="false">
      <c r="B107" s="678"/>
      <c r="D107" s="684"/>
      <c r="E107" s="684"/>
      <c r="F107" s="684"/>
      <c r="G107" s="684"/>
      <c r="H107" s="684"/>
      <c r="I107" s="684"/>
      <c r="J107" s="684"/>
      <c r="K107" s="684"/>
      <c r="L107" s="684"/>
      <c r="M107" s="434"/>
      <c r="N107" s="434"/>
      <c r="O107" s="434"/>
      <c r="P107" s="434"/>
      <c r="Q107" s="434"/>
      <c r="R107" s="434"/>
      <c r="S107" s="434"/>
      <c r="T107" s="434"/>
      <c r="U107" s="434"/>
      <c r="V107" s="434"/>
      <c r="W107" s="434"/>
      <c r="X107" s="434"/>
      <c r="Y107" s="434"/>
      <c r="Z107" s="434"/>
      <c r="AA107" s="434"/>
      <c r="AB107" s="434"/>
    </row>
    <row r="108" customFormat="false" ht="12.6" hidden="false" customHeight="true" outlineLevel="0" collapsed="false">
      <c r="B108" s="678"/>
      <c r="D108" s="434"/>
      <c r="E108" s="434"/>
      <c r="F108" s="434"/>
      <c r="G108" s="434"/>
      <c r="H108" s="434"/>
      <c r="I108" s="434"/>
      <c r="J108" s="434"/>
      <c r="K108" s="434"/>
      <c r="L108" s="434"/>
      <c r="M108" s="434"/>
      <c r="N108" s="434"/>
      <c r="O108" s="434"/>
      <c r="P108" s="434"/>
      <c r="Q108" s="434"/>
      <c r="R108" s="434"/>
      <c r="S108" s="434"/>
      <c r="T108" s="434"/>
      <c r="U108" s="434"/>
      <c r="V108" s="434"/>
      <c r="W108" s="434"/>
      <c r="X108" s="434"/>
      <c r="Y108" s="434"/>
      <c r="Z108" s="434"/>
      <c r="AA108" s="434"/>
      <c r="AB108" s="434"/>
    </row>
    <row r="109" customFormat="false" ht="12.6" hidden="false" customHeight="true" outlineLevel="0" collapsed="false">
      <c r="B109" s="678"/>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row>
    <row r="110" customFormat="false" ht="12.6" hidden="false" customHeight="true" outlineLevel="0" collapsed="false">
      <c r="A110" s="0"/>
      <c r="B110" s="357"/>
      <c r="C110" s="357"/>
      <c r="D110" s="357"/>
      <c r="E110" s="357"/>
      <c r="F110" s="357"/>
      <c r="G110" s="357"/>
      <c r="H110" s="357"/>
      <c r="I110" s="357"/>
      <c r="J110" s="357"/>
      <c r="K110" s="357"/>
      <c r="L110" s="357"/>
      <c r="M110" s="357"/>
      <c r="N110" s="357"/>
      <c r="O110" s="357"/>
      <c r="P110" s="357"/>
      <c r="Q110" s="357"/>
      <c r="R110" s="357"/>
      <c r="S110" s="357"/>
      <c r="T110" s="357"/>
      <c r="U110" s="357"/>
      <c r="V110" s="357"/>
      <c r="W110" s="357"/>
      <c r="X110" s="357"/>
      <c r="Y110" s="357"/>
      <c r="Z110" s="357"/>
      <c r="AA110" s="357"/>
      <c r="AB110" s="357"/>
      <c r="AC110" s="357"/>
      <c r="AD110" s="357"/>
      <c r="AF110" s="357"/>
      <c r="AG110" s="357"/>
      <c r="AH110" s="357"/>
      <c r="AI110" s="357"/>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row>
    <row r="111" customFormat="false" ht="12.6" hidden="false" customHeight="true" outlineLevel="0" collapsed="false">
      <c r="A111" s="0"/>
      <c r="B111" s="357"/>
      <c r="C111" s="357"/>
      <c r="D111" s="357"/>
      <c r="E111" s="357"/>
      <c r="F111" s="357"/>
      <c r="G111" s="357"/>
      <c r="H111" s="357"/>
      <c r="I111" s="357"/>
      <c r="J111" s="357"/>
      <c r="K111" s="357"/>
      <c r="L111" s="357"/>
      <c r="M111" s="357"/>
      <c r="N111" s="357"/>
      <c r="O111" s="357"/>
      <c r="P111" s="357"/>
      <c r="Q111" s="357"/>
      <c r="R111" s="357"/>
      <c r="S111" s="357"/>
      <c r="T111" s="357"/>
      <c r="U111" s="357"/>
      <c r="V111" s="357"/>
      <c r="W111" s="357"/>
      <c r="X111" s="357"/>
      <c r="Y111" s="357"/>
      <c r="Z111" s="357"/>
      <c r="AA111" s="357"/>
      <c r="AB111" s="357"/>
      <c r="AC111" s="357"/>
      <c r="AD111" s="357"/>
      <c r="AF111" s="357"/>
      <c r="AG111" s="357"/>
      <c r="AH111" s="357"/>
      <c r="AI111" s="357"/>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row>
    <row r="112" customFormat="false" ht="12.6" hidden="false" customHeight="true" outlineLevel="0" collapsed="false">
      <c r="A112" s="0"/>
      <c r="B112" s="357"/>
      <c r="C112" s="357"/>
      <c r="D112" s="357"/>
      <c r="E112" s="357"/>
      <c r="F112" s="357"/>
      <c r="G112" s="357"/>
      <c r="H112" s="357"/>
      <c r="I112" s="357"/>
      <c r="J112" s="357"/>
      <c r="K112" s="357"/>
      <c r="L112" s="357"/>
      <c r="M112" s="357"/>
      <c r="N112" s="357"/>
      <c r="O112" s="357"/>
      <c r="P112" s="357"/>
      <c r="Q112" s="357"/>
      <c r="R112" s="357"/>
      <c r="S112" s="357"/>
      <c r="T112" s="357"/>
      <c r="U112" s="357"/>
      <c r="V112" s="357"/>
      <c r="W112" s="357"/>
      <c r="X112" s="357"/>
      <c r="Y112" s="357"/>
      <c r="Z112" s="357"/>
      <c r="AA112" s="357"/>
      <c r="AB112" s="357"/>
      <c r="AC112" s="357"/>
      <c r="AD112" s="357"/>
      <c r="AF112" s="357"/>
      <c r="AG112" s="357"/>
      <c r="AH112" s="357"/>
      <c r="AI112" s="357"/>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row>
    <row r="113" customFormat="false" ht="12.6" hidden="false" customHeight="true" outlineLevel="0" collapsed="false">
      <c r="B113" s="678"/>
      <c r="D113" s="685"/>
      <c r="E113" s="685"/>
      <c r="F113" s="685"/>
      <c r="G113" s="685"/>
      <c r="H113" s="685"/>
      <c r="I113" s="685"/>
      <c r="J113" s="685"/>
      <c r="K113" s="685"/>
      <c r="L113" s="685"/>
      <c r="M113" s="685"/>
      <c r="N113" s="685"/>
      <c r="O113" s="685"/>
      <c r="P113" s="685"/>
      <c r="Q113" s="685"/>
      <c r="R113" s="685"/>
      <c r="S113" s="685"/>
      <c r="T113" s="685"/>
      <c r="U113" s="685"/>
      <c r="V113" s="685"/>
      <c r="W113" s="685"/>
      <c r="X113" s="685"/>
      <c r="Y113" s="685"/>
      <c r="Z113" s="685"/>
      <c r="AA113" s="685"/>
      <c r="AB113" s="685"/>
    </row>
    <row r="114" customFormat="false" ht="12.6" hidden="false" customHeight="true" outlineLevel="0" collapsed="false">
      <c r="B114" s="678"/>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row>
    <row r="125" customFormat="false" ht="12.6" hidden="false" customHeight="true" outlineLevel="0" collapsed="false">
      <c r="A125" s="0"/>
      <c r="B125" s="357"/>
      <c r="C125" s="357"/>
      <c r="D125" s="357"/>
      <c r="E125" s="357"/>
      <c r="F125" s="357"/>
      <c r="G125" s="357"/>
      <c r="H125" s="357"/>
      <c r="I125" s="357"/>
      <c r="J125" s="357"/>
      <c r="K125" s="357"/>
      <c r="L125" s="357"/>
      <c r="M125" s="357"/>
      <c r="N125" s="357"/>
      <c r="O125" s="357"/>
      <c r="P125" s="357"/>
      <c r="Q125" s="357"/>
      <c r="R125" s="357"/>
      <c r="S125" s="357"/>
      <c r="T125" s="357"/>
      <c r="U125" s="357"/>
      <c r="V125" s="357"/>
      <c r="W125" s="357"/>
      <c r="X125" s="357"/>
      <c r="Y125" s="357"/>
      <c r="Z125" s="357"/>
      <c r="AA125" s="357"/>
      <c r="AB125" s="357"/>
      <c r="AC125" s="357"/>
      <c r="AD125" s="357"/>
      <c r="AF125" s="357"/>
      <c r="AG125" s="357"/>
      <c r="AH125" s="357"/>
      <c r="AI125" s="357"/>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row>
    <row r="126" customFormat="false" ht="12.6" hidden="false" customHeight="true" outlineLevel="0" collapsed="false">
      <c r="A126" s="0"/>
      <c r="B126" s="357"/>
      <c r="C126" s="357"/>
      <c r="D126" s="357"/>
      <c r="E126" s="357"/>
      <c r="F126" s="357"/>
      <c r="G126" s="357"/>
      <c r="H126" s="357"/>
      <c r="I126" s="357"/>
      <c r="J126" s="357"/>
      <c r="K126" s="357"/>
      <c r="L126" s="357"/>
      <c r="M126" s="357"/>
      <c r="N126" s="357"/>
      <c r="O126" s="357"/>
      <c r="P126" s="357"/>
      <c r="Q126" s="357"/>
      <c r="R126" s="357"/>
      <c r="S126" s="357"/>
      <c r="T126" s="357"/>
      <c r="U126" s="357"/>
      <c r="V126" s="357"/>
      <c r="W126" s="357"/>
      <c r="X126" s="357"/>
      <c r="Y126" s="357"/>
      <c r="Z126" s="357"/>
      <c r="AA126" s="357"/>
      <c r="AB126" s="357"/>
      <c r="AC126" s="357"/>
      <c r="AD126" s="357"/>
      <c r="AF126" s="357"/>
      <c r="AG126" s="357"/>
      <c r="AH126" s="357"/>
      <c r="AI126" s="357"/>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row>
    <row r="127" customFormat="false" ht="12.6" hidden="false" customHeight="true" outlineLevel="0" collapsed="false">
      <c r="A127" s="0"/>
      <c r="B127" s="357"/>
      <c r="C127" s="357"/>
      <c r="D127" s="357"/>
      <c r="E127" s="357"/>
      <c r="F127" s="357"/>
      <c r="G127" s="357"/>
      <c r="H127" s="357"/>
      <c r="I127" s="357"/>
      <c r="J127" s="357"/>
      <c r="K127" s="357"/>
      <c r="L127" s="357"/>
      <c r="M127" s="357"/>
      <c r="N127" s="357"/>
      <c r="O127" s="357"/>
      <c r="P127" s="357"/>
      <c r="Q127" s="357"/>
      <c r="R127" s="357"/>
      <c r="S127" s="357"/>
      <c r="T127" s="357"/>
      <c r="U127" s="357"/>
      <c r="V127" s="357"/>
      <c r="W127" s="357"/>
      <c r="X127" s="357"/>
      <c r="Y127" s="357"/>
      <c r="Z127" s="357"/>
      <c r="AA127" s="357"/>
      <c r="AB127" s="357"/>
      <c r="AC127" s="357"/>
      <c r="AD127" s="357"/>
      <c r="AF127" s="357"/>
      <c r="AG127" s="357"/>
      <c r="AH127" s="357"/>
      <c r="AI127" s="357"/>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row>
    <row r="128" customFormat="false" ht="12.6" hidden="false" customHeight="true" outlineLevel="0" collapsed="false">
      <c r="A128" s="0"/>
      <c r="B128" s="357"/>
      <c r="C128" s="357"/>
      <c r="D128" s="357"/>
      <c r="E128" s="357"/>
      <c r="F128" s="357"/>
      <c r="G128" s="357"/>
      <c r="H128" s="357"/>
      <c r="I128" s="357"/>
      <c r="J128" s="357"/>
      <c r="K128" s="357"/>
      <c r="L128" s="357"/>
      <c r="M128" s="357"/>
      <c r="N128" s="357"/>
      <c r="O128" s="357"/>
      <c r="P128" s="357"/>
      <c r="Q128" s="357"/>
      <c r="R128" s="357"/>
      <c r="S128" s="357"/>
      <c r="T128" s="357"/>
      <c r="U128" s="357"/>
      <c r="V128" s="357"/>
      <c r="W128" s="357"/>
      <c r="X128" s="357"/>
      <c r="Y128" s="357"/>
      <c r="Z128" s="357"/>
      <c r="AA128" s="357"/>
      <c r="AB128" s="357"/>
      <c r="AC128" s="357"/>
      <c r="AD128" s="357"/>
      <c r="AF128" s="357"/>
      <c r="AG128" s="357"/>
      <c r="AH128" s="357"/>
      <c r="AI128" s="357"/>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c r="IW128" s="0"/>
    </row>
    <row r="129" customFormat="false" ht="12.6" hidden="false" customHeight="true" outlineLevel="0" collapsed="false">
      <c r="A129" s="0"/>
      <c r="B129" s="357"/>
      <c r="C129" s="357"/>
      <c r="D129" s="357"/>
      <c r="E129" s="357"/>
      <c r="F129" s="357"/>
      <c r="G129" s="357"/>
      <c r="H129" s="357"/>
      <c r="I129" s="357"/>
      <c r="J129" s="357"/>
      <c r="K129" s="357"/>
      <c r="L129" s="357"/>
      <c r="M129" s="357"/>
      <c r="N129" s="357"/>
      <c r="O129" s="357"/>
      <c r="P129" s="357"/>
      <c r="Q129" s="357"/>
      <c r="R129" s="357"/>
      <c r="S129" s="357"/>
      <c r="T129" s="357"/>
      <c r="U129" s="357"/>
      <c r="V129" s="357"/>
      <c r="W129" s="357"/>
      <c r="X129" s="357"/>
      <c r="Y129" s="357"/>
      <c r="Z129" s="357"/>
      <c r="AA129" s="357"/>
      <c r="AB129" s="357"/>
      <c r="AC129" s="357"/>
      <c r="AD129" s="357"/>
      <c r="AF129" s="357"/>
      <c r="AG129" s="357"/>
      <c r="AH129" s="357"/>
      <c r="AI129" s="357"/>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row>
    <row r="130" customFormat="false" ht="12.6" hidden="false" customHeight="true" outlineLevel="0" collapsed="false">
      <c r="A130" s="0"/>
      <c r="B130" s="357"/>
      <c r="C130" s="357"/>
      <c r="D130" s="357"/>
      <c r="E130" s="357"/>
      <c r="F130" s="357"/>
      <c r="G130" s="357"/>
      <c r="H130" s="357"/>
      <c r="I130" s="357"/>
      <c r="J130" s="357"/>
      <c r="K130" s="357"/>
      <c r="L130" s="357"/>
      <c r="M130" s="357"/>
      <c r="N130" s="357"/>
      <c r="O130" s="357"/>
      <c r="P130" s="357"/>
      <c r="Q130" s="357"/>
      <c r="R130" s="357"/>
      <c r="S130" s="357"/>
      <c r="T130" s="357"/>
      <c r="U130" s="357"/>
      <c r="V130" s="357"/>
      <c r="W130" s="357"/>
      <c r="X130" s="357"/>
      <c r="Y130" s="357"/>
      <c r="Z130" s="357"/>
      <c r="AA130" s="357"/>
      <c r="AB130" s="357"/>
      <c r="AC130" s="357"/>
      <c r="AD130" s="357"/>
      <c r="AF130" s="357"/>
      <c r="AG130" s="357"/>
      <c r="AH130" s="357"/>
      <c r="AI130" s="357"/>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row>
    <row r="131" customFormat="false" ht="12.6" hidden="false" customHeight="true" outlineLevel="0" collapsed="false">
      <c r="A131" s="0"/>
      <c r="B131" s="357"/>
      <c r="C131" s="357"/>
      <c r="D131" s="357"/>
      <c r="E131" s="357"/>
      <c r="F131" s="357"/>
      <c r="G131" s="357"/>
      <c r="H131" s="357"/>
      <c r="I131" s="357"/>
      <c r="J131" s="357"/>
      <c r="K131" s="357"/>
      <c r="L131" s="357"/>
      <c r="M131" s="357"/>
      <c r="N131" s="357"/>
      <c r="O131" s="357"/>
      <c r="P131" s="357"/>
      <c r="Q131" s="357"/>
      <c r="R131" s="357"/>
      <c r="S131" s="357"/>
      <c r="T131" s="357"/>
      <c r="U131" s="357"/>
      <c r="V131" s="357"/>
      <c r="W131" s="357"/>
      <c r="X131" s="357"/>
      <c r="Y131" s="357"/>
      <c r="Z131" s="357"/>
      <c r="AA131" s="357"/>
      <c r="AB131" s="357"/>
      <c r="AC131" s="357"/>
      <c r="AD131" s="357"/>
      <c r="AF131" s="357"/>
      <c r="AG131" s="357"/>
      <c r="AH131" s="357"/>
      <c r="AI131" s="357"/>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row>
    <row r="132" customFormat="false" ht="12.6" hidden="false" customHeight="true" outlineLevel="0" collapsed="false">
      <c r="A132" s="0"/>
      <c r="B132" s="357"/>
      <c r="C132" s="357"/>
      <c r="D132" s="357"/>
      <c r="E132" s="357"/>
      <c r="F132" s="357"/>
      <c r="G132" s="357"/>
      <c r="H132" s="357"/>
      <c r="I132" s="357"/>
      <c r="J132" s="357"/>
      <c r="K132" s="357"/>
      <c r="L132" s="357"/>
      <c r="M132" s="357"/>
      <c r="N132" s="357"/>
      <c r="O132" s="357"/>
      <c r="P132" s="357"/>
      <c r="Q132" s="357"/>
      <c r="R132" s="357"/>
      <c r="S132" s="357"/>
      <c r="T132" s="357"/>
      <c r="U132" s="357"/>
      <c r="V132" s="357"/>
      <c r="W132" s="357"/>
      <c r="X132" s="357"/>
      <c r="Y132" s="357"/>
      <c r="Z132" s="357"/>
      <c r="AA132" s="357"/>
      <c r="AB132" s="357"/>
      <c r="AC132" s="357"/>
      <c r="AD132" s="357"/>
      <c r="AF132" s="357"/>
      <c r="AG132" s="357"/>
      <c r="AH132" s="357"/>
      <c r="AI132" s="357"/>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row>
    <row r="133" customFormat="false" ht="12.6" hidden="false" customHeight="true" outlineLevel="0" collapsed="false">
      <c r="A133" s="0"/>
      <c r="B133" s="357"/>
      <c r="C133" s="357"/>
      <c r="D133" s="357"/>
      <c r="E133" s="357"/>
      <c r="F133" s="357"/>
      <c r="G133" s="357"/>
      <c r="H133" s="357"/>
      <c r="I133" s="357"/>
      <c r="J133" s="357"/>
      <c r="K133" s="357"/>
      <c r="L133" s="357"/>
      <c r="M133" s="357"/>
      <c r="N133" s="357"/>
      <c r="O133" s="357"/>
      <c r="P133" s="357"/>
      <c r="Q133" s="357"/>
      <c r="R133" s="357"/>
      <c r="S133" s="357"/>
      <c r="T133" s="357"/>
      <c r="U133" s="357"/>
      <c r="V133" s="357"/>
      <c r="W133" s="357"/>
      <c r="X133" s="357"/>
      <c r="Y133" s="357"/>
      <c r="Z133" s="357"/>
      <c r="AA133" s="357"/>
      <c r="AB133" s="357"/>
      <c r="AC133" s="357"/>
      <c r="AD133" s="357"/>
      <c r="AF133" s="357"/>
      <c r="AG133" s="357"/>
      <c r="AH133" s="357"/>
      <c r="AI133" s="357"/>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row>
    <row r="134" customFormat="false" ht="12.6" hidden="false" customHeight="true" outlineLevel="0" collapsed="false">
      <c r="A134" s="0"/>
      <c r="B134" s="357"/>
      <c r="C134" s="357"/>
      <c r="D134" s="357"/>
      <c r="E134" s="357"/>
      <c r="F134" s="357"/>
      <c r="G134" s="357"/>
      <c r="H134" s="357"/>
      <c r="I134" s="357"/>
      <c r="J134" s="357"/>
      <c r="K134" s="357"/>
      <c r="L134" s="357"/>
      <c r="M134" s="357"/>
      <c r="N134" s="357"/>
      <c r="O134" s="357"/>
      <c r="P134" s="357"/>
      <c r="Q134" s="357"/>
      <c r="R134" s="357"/>
      <c r="S134" s="357"/>
      <c r="T134" s="357"/>
      <c r="U134" s="357"/>
      <c r="V134" s="357"/>
      <c r="W134" s="357"/>
      <c r="X134" s="357"/>
      <c r="Y134" s="357"/>
      <c r="Z134" s="357"/>
      <c r="AA134" s="357"/>
      <c r="AB134" s="357"/>
      <c r="AC134" s="357"/>
      <c r="AD134" s="357"/>
      <c r="AF134" s="357"/>
      <c r="AG134" s="357"/>
      <c r="AH134" s="357"/>
      <c r="AI134" s="357"/>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row>
    <row r="135" customFormat="false" ht="12.6" hidden="false" customHeight="true" outlineLevel="0" collapsed="false">
      <c r="A135" s="0"/>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F135" s="357"/>
      <c r="AG135" s="357"/>
      <c r="AH135" s="357"/>
      <c r="AI135" s="357"/>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row>
    <row r="136" customFormat="false" ht="12.6" hidden="false" customHeight="true" outlineLevel="0" collapsed="false">
      <c r="A136" s="0"/>
      <c r="B136" s="357"/>
      <c r="C136" s="357"/>
      <c r="D136" s="357"/>
      <c r="E136" s="357"/>
      <c r="F136" s="357"/>
      <c r="G136" s="357"/>
      <c r="H136" s="357"/>
      <c r="I136" s="357"/>
      <c r="J136" s="357"/>
      <c r="K136" s="357"/>
      <c r="L136" s="357"/>
      <c r="M136" s="357"/>
      <c r="N136" s="357"/>
      <c r="O136" s="357"/>
      <c r="P136" s="357"/>
      <c r="Q136" s="357"/>
      <c r="R136" s="357"/>
      <c r="S136" s="357"/>
      <c r="T136" s="357"/>
      <c r="U136" s="357"/>
      <c r="V136" s="357"/>
      <c r="W136" s="357"/>
      <c r="X136" s="357"/>
      <c r="Y136" s="357"/>
      <c r="Z136" s="357"/>
      <c r="AA136" s="357"/>
      <c r="AB136" s="357"/>
      <c r="AC136" s="357"/>
      <c r="AD136" s="357"/>
      <c r="AF136" s="357"/>
      <c r="AG136" s="357"/>
      <c r="AH136" s="357"/>
      <c r="AI136" s="357"/>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row>
    <row r="137" customFormat="false" ht="12.6" hidden="false" customHeight="true" outlineLevel="0" collapsed="false">
      <c r="A137" s="0"/>
      <c r="B137" s="357"/>
      <c r="C137" s="357"/>
      <c r="D137" s="357"/>
      <c r="E137" s="357"/>
      <c r="F137" s="357"/>
      <c r="G137" s="357"/>
      <c r="H137" s="357"/>
      <c r="I137" s="357"/>
      <c r="J137" s="357"/>
      <c r="K137" s="357"/>
      <c r="L137" s="357"/>
      <c r="M137" s="357"/>
      <c r="N137" s="357"/>
      <c r="O137" s="357"/>
      <c r="P137" s="357"/>
      <c r="Q137" s="357"/>
      <c r="R137" s="357"/>
      <c r="S137" s="357"/>
      <c r="T137" s="357"/>
      <c r="U137" s="357"/>
      <c r="V137" s="357"/>
      <c r="W137" s="357"/>
      <c r="X137" s="357"/>
      <c r="Y137" s="357"/>
      <c r="Z137" s="357"/>
      <c r="AA137" s="357"/>
      <c r="AB137" s="357"/>
      <c r="AC137" s="357"/>
      <c r="AD137" s="357"/>
      <c r="AF137" s="357"/>
      <c r="AG137" s="357"/>
      <c r="AH137" s="357"/>
      <c r="AI137" s="357"/>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row>
    <row r="138" customFormat="false" ht="12.6" hidden="false" customHeight="true" outlineLevel="0" collapsed="false">
      <c r="A138" s="0"/>
      <c r="B138" s="357"/>
      <c r="C138" s="357"/>
      <c r="D138" s="357"/>
      <c r="E138" s="357"/>
      <c r="F138" s="357"/>
      <c r="G138" s="357"/>
      <c r="H138" s="357"/>
      <c r="I138" s="357"/>
      <c r="J138" s="357"/>
      <c r="K138" s="357"/>
      <c r="L138" s="357"/>
      <c r="M138" s="357"/>
      <c r="N138" s="357"/>
      <c r="O138" s="357"/>
      <c r="P138" s="357"/>
      <c r="Q138" s="357"/>
      <c r="R138" s="357"/>
      <c r="S138" s="357"/>
      <c r="T138" s="357"/>
      <c r="U138" s="357"/>
      <c r="V138" s="357"/>
      <c r="W138" s="357"/>
      <c r="X138" s="357"/>
      <c r="Y138" s="357"/>
      <c r="Z138" s="357"/>
      <c r="AA138" s="357"/>
      <c r="AB138" s="357"/>
      <c r="AC138" s="357"/>
      <c r="AD138" s="357"/>
      <c r="AF138" s="357"/>
      <c r="AG138" s="357"/>
      <c r="AH138" s="357"/>
      <c r="AI138" s="357"/>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row>
    <row r="139" customFormat="false" ht="12.6" hidden="false" customHeight="true" outlineLevel="0" collapsed="false">
      <c r="A139" s="0"/>
      <c r="B139" s="357"/>
      <c r="C139" s="357"/>
      <c r="D139" s="357"/>
      <c r="E139" s="357"/>
      <c r="F139" s="357"/>
      <c r="G139" s="357"/>
      <c r="H139" s="357"/>
      <c r="I139" s="357"/>
      <c r="J139" s="357"/>
      <c r="K139" s="357"/>
      <c r="L139" s="357"/>
      <c r="M139" s="357"/>
      <c r="N139" s="357"/>
      <c r="O139" s="357"/>
      <c r="P139" s="357"/>
      <c r="Q139" s="357"/>
      <c r="R139" s="357"/>
      <c r="S139" s="357"/>
      <c r="T139" s="357"/>
      <c r="U139" s="357"/>
      <c r="V139" s="357"/>
      <c r="W139" s="357"/>
      <c r="X139" s="357"/>
      <c r="Y139" s="357"/>
      <c r="Z139" s="357"/>
      <c r="AA139" s="357"/>
      <c r="AB139" s="357"/>
      <c r="AC139" s="357"/>
      <c r="AD139" s="357"/>
      <c r="AF139" s="357"/>
      <c r="AG139" s="357"/>
      <c r="AH139" s="357"/>
      <c r="AI139" s="357"/>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row>
    <row r="140" customFormat="false" ht="12.6" hidden="false" customHeight="true" outlineLevel="0" collapsed="false">
      <c r="A140" s="0"/>
      <c r="B140" s="357"/>
      <c r="C140" s="357"/>
      <c r="D140" s="357"/>
      <c r="E140" s="357"/>
      <c r="F140" s="357"/>
      <c r="G140" s="357"/>
      <c r="H140" s="357"/>
      <c r="I140" s="357"/>
      <c r="J140" s="357"/>
      <c r="K140" s="357"/>
      <c r="L140" s="357"/>
      <c r="M140" s="357"/>
      <c r="N140" s="357"/>
      <c r="O140" s="357"/>
      <c r="P140" s="357"/>
      <c r="Q140" s="357"/>
      <c r="R140" s="357"/>
      <c r="S140" s="357"/>
      <c r="T140" s="357"/>
      <c r="U140" s="357"/>
      <c r="V140" s="357"/>
      <c r="W140" s="357"/>
      <c r="X140" s="357"/>
      <c r="Y140" s="357"/>
      <c r="Z140" s="357"/>
      <c r="AA140" s="357"/>
      <c r="AB140" s="357"/>
      <c r="AC140" s="357"/>
      <c r="AD140" s="357"/>
      <c r="AF140" s="357"/>
      <c r="AG140" s="357"/>
      <c r="AH140" s="357"/>
      <c r="AI140" s="357"/>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row>
    <row r="141" customFormat="false" ht="12.6" hidden="false" customHeight="true" outlineLevel="0" collapsed="false">
      <c r="A141" s="0"/>
      <c r="B141" s="357"/>
      <c r="C141" s="357"/>
      <c r="D141" s="357"/>
      <c r="E141" s="357"/>
      <c r="F141" s="357"/>
      <c r="G141" s="357"/>
      <c r="H141" s="357"/>
      <c r="I141" s="357"/>
      <c r="J141" s="357"/>
      <c r="K141" s="357"/>
      <c r="L141" s="357"/>
      <c r="M141" s="357"/>
      <c r="N141" s="357"/>
      <c r="O141" s="357"/>
      <c r="P141" s="357"/>
      <c r="Q141" s="357"/>
      <c r="R141" s="357"/>
      <c r="S141" s="357"/>
      <c r="T141" s="357"/>
      <c r="U141" s="357"/>
      <c r="V141" s="357"/>
      <c r="W141" s="357"/>
      <c r="X141" s="357"/>
      <c r="Y141" s="357"/>
      <c r="Z141" s="357"/>
      <c r="AA141" s="357"/>
      <c r="AB141" s="357"/>
      <c r="AC141" s="357"/>
      <c r="AD141" s="357"/>
      <c r="AF141" s="357"/>
      <c r="AG141" s="357"/>
      <c r="AH141" s="357"/>
      <c r="AI141" s="357"/>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row>
    <row r="142" customFormat="false" ht="12.6" hidden="false" customHeight="true" outlineLevel="0" collapsed="false">
      <c r="A142" s="0"/>
      <c r="B142" s="357"/>
      <c r="C142" s="357"/>
      <c r="D142" s="357"/>
      <c r="E142" s="357"/>
      <c r="F142" s="357"/>
      <c r="G142" s="357"/>
      <c r="H142" s="357"/>
      <c r="I142" s="357"/>
      <c r="J142" s="357"/>
      <c r="K142" s="357"/>
      <c r="L142" s="357"/>
      <c r="M142" s="357"/>
      <c r="N142" s="357"/>
      <c r="O142" s="357"/>
      <c r="P142" s="357"/>
      <c r="Q142" s="357"/>
      <c r="R142" s="357"/>
      <c r="S142" s="357"/>
      <c r="T142" s="357"/>
      <c r="U142" s="357"/>
      <c r="V142" s="357"/>
      <c r="W142" s="357"/>
      <c r="X142" s="357"/>
      <c r="Y142" s="357"/>
      <c r="Z142" s="357"/>
      <c r="AA142" s="357"/>
      <c r="AB142" s="357"/>
      <c r="AC142" s="357"/>
      <c r="AD142" s="357"/>
      <c r="AF142" s="357"/>
      <c r="AG142" s="357"/>
      <c r="AH142" s="357"/>
      <c r="AI142" s="357"/>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c r="IW142" s="0"/>
    </row>
    <row r="143" customFormat="false" ht="12.6" hidden="false" customHeight="true" outlineLevel="0" collapsed="false">
      <c r="A143" s="0"/>
      <c r="B143" s="357"/>
      <c r="C143" s="357"/>
      <c r="D143" s="357"/>
      <c r="E143" s="357"/>
      <c r="F143" s="357"/>
      <c r="G143" s="357"/>
      <c r="H143" s="357"/>
      <c r="I143" s="357"/>
      <c r="J143" s="357"/>
      <c r="K143" s="357"/>
      <c r="L143" s="357"/>
      <c r="M143" s="357"/>
      <c r="N143" s="357"/>
      <c r="O143" s="357"/>
      <c r="P143" s="357"/>
      <c r="Q143" s="357"/>
      <c r="R143" s="357"/>
      <c r="S143" s="357"/>
      <c r="T143" s="357"/>
      <c r="U143" s="357"/>
      <c r="V143" s="357"/>
      <c r="W143" s="357"/>
      <c r="X143" s="357"/>
      <c r="Y143" s="357"/>
      <c r="Z143" s="357"/>
      <c r="AA143" s="357"/>
      <c r="AB143" s="357"/>
      <c r="AC143" s="357"/>
      <c r="AD143" s="357"/>
      <c r="AF143" s="357"/>
      <c r="AG143" s="357"/>
      <c r="AH143" s="357"/>
      <c r="AI143" s="357"/>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c r="IW143" s="0"/>
    </row>
    <row r="144" customFormat="false" ht="12.6" hidden="false" customHeight="true" outlineLevel="0" collapsed="false">
      <c r="A144" s="0"/>
      <c r="B144" s="357"/>
      <c r="C144" s="357"/>
      <c r="D144" s="357"/>
      <c r="E144" s="357"/>
      <c r="F144" s="357"/>
      <c r="G144" s="357"/>
      <c r="H144" s="357"/>
      <c r="I144" s="357"/>
      <c r="J144" s="357"/>
      <c r="K144" s="357"/>
      <c r="L144" s="357"/>
      <c r="M144" s="357"/>
      <c r="N144" s="357"/>
      <c r="O144" s="357"/>
      <c r="P144" s="357"/>
      <c r="Q144" s="357"/>
      <c r="R144" s="357"/>
      <c r="S144" s="357"/>
      <c r="T144" s="357"/>
      <c r="U144" s="357"/>
      <c r="V144" s="357"/>
      <c r="W144" s="357"/>
      <c r="X144" s="357"/>
      <c r="Y144" s="357"/>
      <c r="Z144" s="357"/>
      <c r="AA144" s="357"/>
      <c r="AB144" s="357"/>
      <c r="AC144" s="357"/>
      <c r="AD144" s="357"/>
      <c r="AF144" s="357"/>
      <c r="AG144" s="357"/>
      <c r="AH144" s="357"/>
      <c r="AI144" s="357"/>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row>
    <row r="145" customFormat="false" ht="12.6" hidden="false" customHeight="true" outlineLevel="0" collapsed="false">
      <c r="A145" s="0"/>
      <c r="B145" s="357"/>
      <c r="C145" s="357"/>
      <c r="D145" s="357"/>
      <c r="E145" s="357"/>
      <c r="F145" s="357"/>
      <c r="G145" s="357"/>
      <c r="H145" s="357"/>
      <c r="I145" s="357"/>
      <c r="J145" s="357"/>
      <c r="K145" s="357"/>
      <c r="L145" s="357"/>
      <c r="M145" s="357"/>
      <c r="N145" s="357"/>
      <c r="O145" s="357"/>
      <c r="P145" s="357"/>
      <c r="Q145" s="357"/>
      <c r="R145" s="357"/>
      <c r="S145" s="357"/>
      <c r="T145" s="357"/>
      <c r="U145" s="357"/>
      <c r="V145" s="357"/>
      <c r="W145" s="357"/>
      <c r="X145" s="357"/>
      <c r="Y145" s="357"/>
      <c r="Z145" s="357"/>
      <c r="AA145" s="357"/>
      <c r="AB145" s="357"/>
      <c r="AC145" s="357"/>
      <c r="AD145" s="357"/>
      <c r="AF145" s="357"/>
      <c r="AG145" s="357"/>
      <c r="AH145" s="357"/>
      <c r="AI145" s="357"/>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c r="IW145" s="0"/>
    </row>
    <row r="146" customFormat="false" ht="12.6" hidden="false" customHeight="true" outlineLevel="0" collapsed="false">
      <c r="A146" s="0"/>
      <c r="B146" s="357"/>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F146" s="357"/>
      <c r="AG146" s="357"/>
      <c r="AH146" s="357"/>
      <c r="AI146" s="357"/>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c r="IW146" s="0"/>
    </row>
    <row r="147" customFormat="false" ht="12.6" hidden="false" customHeight="true" outlineLevel="0" collapsed="false">
      <c r="A147" s="0"/>
      <c r="B147" s="357"/>
      <c r="C147" s="357"/>
      <c r="D147" s="357"/>
      <c r="E147" s="357"/>
      <c r="F147" s="357"/>
      <c r="G147" s="357"/>
      <c r="H147" s="357"/>
      <c r="I147" s="357"/>
      <c r="J147" s="357"/>
      <c r="K147" s="357"/>
      <c r="L147" s="357"/>
      <c r="M147" s="357"/>
      <c r="N147" s="357"/>
      <c r="O147" s="357"/>
      <c r="P147" s="357"/>
      <c r="Q147" s="357"/>
      <c r="R147" s="357"/>
      <c r="S147" s="357"/>
      <c r="T147" s="357"/>
      <c r="U147" s="357"/>
      <c r="V147" s="357"/>
      <c r="W147" s="357"/>
      <c r="X147" s="357"/>
      <c r="Y147" s="357"/>
      <c r="Z147" s="357"/>
      <c r="AA147" s="357"/>
      <c r="AB147" s="357"/>
      <c r="AC147" s="357"/>
      <c r="AD147" s="357"/>
      <c r="AF147" s="357"/>
      <c r="AG147" s="357"/>
      <c r="AH147" s="357"/>
      <c r="AI147" s="357"/>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row>
    <row r="148" customFormat="false" ht="12.6" hidden="false" customHeight="true" outlineLevel="0" collapsed="false">
      <c r="A148" s="0"/>
      <c r="B148" s="357"/>
      <c r="C148" s="357"/>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F148" s="357"/>
      <c r="AG148" s="357"/>
      <c r="AH148" s="357"/>
      <c r="AI148" s="357"/>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row>
    <row r="149" customFormat="false" ht="12.6" hidden="false" customHeight="true" outlineLevel="0" collapsed="false">
      <c r="A149" s="0"/>
      <c r="B149" s="357"/>
      <c r="C149" s="357"/>
      <c r="D149" s="357"/>
      <c r="E149" s="357"/>
      <c r="F149" s="357"/>
      <c r="G149" s="357"/>
      <c r="H149" s="357"/>
      <c r="I149" s="357"/>
      <c r="J149" s="357"/>
      <c r="K149" s="357"/>
      <c r="L149" s="357"/>
      <c r="M149" s="357"/>
      <c r="N149" s="357"/>
      <c r="O149" s="357"/>
      <c r="P149" s="357"/>
      <c r="Q149" s="357"/>
      <c r="R149" s="357"/>
      <c r="S149" s="357"/>
      <c r="T149" s="357"/>
      <c r="U149" s="357"/>
      <c r="V149" s="357"/>
      <c r="W149" s="357"/>
      <c r="X149" s="357"/>
      <c r="Y149" s="357"/>
      <c r="Z149" s="357"/>
      <c r="AA149" s="357"/>
      <c r="AB149" s="357"/>
      <c r="AC149" s="357"/>
      <c r="AD149" s="357"/>
      <c r="AF149" s="357"/>
      <c r="AG149" s="357"/>
      <c r="AH149" s="357"/>
      <c r="AI149" s="357"/>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c r="IW149" s="0"/>
    </row>
    <row r="150" customFormat="false" ht="12.6" hidden="false" customHeight="true" outlineLevel="0" collapsed="false">
      <c r="A150" s="0"/>
      <c r="B150" s="357"/>
      <c r="C150" s="357"/>
      <c r="D150" s="357"/>
      <c r="E150" s="357"/>
      <c r="F150" s="357"/>
      <c r="G150" s="357"/>
      <c r="H150" s="357"/>
      <c r="I150" s="357"/>
      <c r="J150" s="357"/>
      <c r="K150" s="357"/>
      <c r="L150" s="357"/>
      <c r="M150" s="357"/>
      <c r="N150" s="357"/>
      <c r="O150" s="357"/>
      <c r="P150" s="357"/>
      <c r="Q150" s="357"/>
      <c r="R150" s="357"/>
      <c r="S150" s="357"/>
      <c r="T150" s="357"/>
      <c r="U150" s="357"/>
      <c r="V150" s="357"/>
      <c r="W150" s="357"/>
      <c r="X150" s="357"/>
      <c r="Y150" s="357"/>
      <c r="Z150" s="357"/>
      <c r="AA150" s="357"/>
      <c r="AB150" s="357"/>
      <c r="AC150" s="357"/>
      <c r="AD150" s="357"/>
      <c r="AF150" s="357"/>
      <c r="AG150" s="357"/>
      <c r="AH150" s="357"/>
      <c r="AI150" s="357"/>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c r="IW150" s="0"/>
    </row>
    <row r="244" customFormat="false" ht="12.6" hidden="false" customHeight="true" outlineLevel="0" collapsed="false">
      <c r="D244" s="404"/>
      <c r="E244" s="404"/>
      <c r="F244" s="404"/>
      <c r="G244" s="404"/>
      <c r="H244" s="404"/>
      <c r="I244" s="404"/>
      <c r="J244" s="404"/>
      <c r="K244" s="404"/>
      <c r="L244" s="404"/>
      <c r="M244" s="404"/>
      <c r="N244" s="404"/>
      <c r="O244" s="404"/>
      <c r="P244" s="404"/>
      <c r="Q244" s="404"/>
      <c r="R244" s="404"/>
      <c r="S244" s="404"/>
      <c r="T244" s="404"/>
      <c r="U244" s="404"/>
      <c r="V244" s="404"/>
      <c r="W244" s="404"/>
      <c r="X244" s="404"/>
      <c r="Y244" s="404"/>
      <c r="Z244" s="404"/>
      <c r="AA244" s="404"/>
      <c r="AB244" s="404" t="n">
        <v>0</v>
      </c>
    </row>
    <row r="245" customFormat="false" ht="12.6" hidden="false" customHeight="true" outlineLevel="0" collapsed="false">
      <c r="D245" s="404"/>
      <c r="E245" s="404"/>
      <c r="F245" s="404"/>
      <c r="G245" s="404"/>
      <c r="H245" s="404"/>
      <c r="I245" s="404"/>
      <c r="J245" s="404"/>
      <c r="K245" s="404"/>
      <c r="L245" s="404"/>
      <c r="M245" s="404"/>
      <c r="N245" s="404"/>
      <c r="O245" s="404"/>
      <c r="P245" s="404"/>
      <c r="Q245" s="404"/>
      <c r="R245" s="404"/>
      <c r="S245" s="404"/>
      <c r="T245" s="404"/>
      <c r="U245" s="404"/>
      <c r="V245" s="404"/>
      <c r="W245" s="404"/>
      <c r="X245" s="404"/>
      <c r="Y245" s="404"/>
      <c r="Z245" s="404"/>
      <c r="AA245" s="404"/>
      <c r="AB245" s="404" t="n">
        <v>0</v>
      </c>
    </row>
    <row r="246" customFormat="false" ht="12.6" hidden="false" customHeight="true" outlineLevel="0" collapsed="false">
      <c r="D246" s="404"/>
      <c r="E246" s="404"/>
      <c r="F246" s="404"/>
      <c r="G246" s="404"/>
      <c r="H246" s="404"/>
      <c r="I246" s="404"/>
      <c r="J246" s="404"/>
      <c r="K246" s="404"/>
      <c r="L246" s="404"/>
      <c r="M246" s="404"/>
      <c r="N246" s="404"/>
      <c r="O246" s="404"/>
      <c r="P246" s="404"/>
      <c r="Q246" s="404"/>
      <c r="R246" s="404"/>
      <c r="S246" s="404"/>
      <c r="T246" s="404"/>
      <c r="U246" s="404"/>
      <c r="V246" s="404"/>
      <c r="W246" s="404"/>
      <c r="X246" s="404"/>
      <c r="Y246" s="404"/>
      <c r="Z246" s="404"/>
      <c r="AA246" s="404"/>
      <c r="AB246" s="404" t="n">
        <v>0</v>
      </c>
    </row>
    <row r="247" customFormat="false" ht="12.6" hidden="false" customHeight="true" outlineLevel="0" collapsed="false">
      <c r="D247" s="404"/>
      <c r="E247" s="404"/>
      <c r="F247" s="404"/>
      <c r="G247" s="404"/>
      <c r="H247" s="404"/>
      <c r="I247" s="404"/>
      <c r="J247" s="404"/>
      <c r="K247" s="404"/>
      <c r="L247" s="404"/>
      <c r="M247" s="404"/>
      <c r="N247" s="404"/>
      <c r="O247" s="404"/>
      <c r="P247" s="404"/>
      <c r="Q247" s="404"/>
      <c r="R247" s="404"/>
      <c r="S247" s="404"/>
      <c r="T247" s="404"/>
      <c r="U247" s="404"/>
      <c r="V247" s="404"/>
      <c r="W247" s="404"/>
      <c r="X247" s="404"/>
      <c r="Y247" s="404"/>
      <c r="Z247" s="404"/>
      <c r="AA247" s="404"/>
      <c r="AB247" s="404" t="n">
        <v>0</v>
      </c>
    </row>
    <row r="248" customFormat="false" ht="12.6" hidden="false" customHeight="true" outlineLevel="0" collapsed="false">
      <c r="D248" s="404"/>
      <c r="E248" s="404"/>
      <c r="F248" s="404"/>
      <c r="G248" s="404"/>
      <c r="H248" s="404"/>
      <c r="I248" s="404"/>
      <c r="J248" s="404"/>
      <c r="K248" s="404"/>
      <c r="L248" s="404"/>
      <c r="M248" s="404"/>
      <c r="N248" s="404"/>
      <c r="O248" s="404"/>
      <c r="P248" s="404"/>
      <c r="Q248" s="404"/>
      <c r="R248" s="404"/>
      <c r="S248" s="404"/>
      <c r="T248" s="404"/>
      <c r="U248" s="404"/>
      <c r="V248" s="404"/>
      <c r="W248" s="404"/>
      <c r="X248" s="404"/>
      <c r="Y248" s="404"/>
      <c r="Z248" s="404"/>
      <c r="AA248" s="404"/>
      <c r="AB248" s="404" t="n">
        <v>0</v>
      </c>
    </row>
    <row r="249" customFormat="false" ht="12.6" hidden="false" customHeight="true" outlineLevel="0" collapsed="false">
      <c r="D249" s="404"/>
      <c r="E249" s="404"/>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t="n">
        <v>0</v>
      </c>
    </row>
    <row r="250" customFormat="false" ht="12.6" hidden="false" customHeight="true" outlineLevel="0" collapsed="false">
      <c r="D250" s="404"/>
      <c r="E250" s="404"/>
      <c r="F250" s="404"/>
      <c r="G250" s="404"/>
      <c r="H250" s="404"/>
      <c r="I250" s="404"/>
      <c r="J250" s="404"/>
      <c r="K250" s="404"/>
      <c r="L250" s="404"/>
      <c r="M250" s="404"/>
      <c r="N250" s="404"/>
      <c r="O250" s="404"/>
      <c r="P250" s="404"/>
      <c r="Q250" s="404"/>
      <c r="R250" s="404"/>
      <c r="S250" s="404"/>
      <c r="T250" s="404"/>
      <c r="U250" s="404"/>
      <c r="V250" s="404"/>
      <c r="W250" s="404"/>
      <c r="X250" s="404"/>
      <c r="Y250" s="404"/>
      <c r="Z250" s="404"/>
      <c r="AA250" s="404"/>
      <c r="AB250" s="404" t="n">
        <v>0</v>
      </c>
    </row>
    <row r="251" customFormat="false" ht="12.6" hidden="false" customHeight="true" outlineLevel="0" collapsed="false">
      <c r="D251" s="404"/>
      <c r="E251" s="404"/>
      <c r="F251" s="404"/>
      <c r="G251" s="404"/>
      <c r="H251" s="404"/>
      <c r="I251" s="404"/>
      <c r="J251" s="404"/>
      <c r="K251" s="404"/>
      <c r="L251" s="404"/>
      <c r="M251" s="404"/>
      <c r="N251" s="404"/>
      <c r="O251" s="404"/>
      <c r="P251" s="404"/>
      <c r="Q251" s="404"/>
      <c r="R251" s="404"/>
      <c r="S251" s="404"/>
      <c r="T251" s="404"/>
      <c r="U251" s="404"/>
      <c r="V251" s="404"/>
      <c r="W251" s="404"/>
      <c r="X251" s="404"/>
      <c r="Y251" s="404"/>
      <c r="Z251" s="404"/>
      <c r="AA251" s="404"/>
      <c r="AB251" s="404" t="n">
        <v>0</v>
      </c>
    </row>
    <row r="252" customFormat="false" ht="12.6" hidden="false" customHeight="true" outlineLevel="0" collapsed="false">
      <c r="D252" s="404"/>
      <c r="E252" s="404"/>
      <c r="F252" s="404"/>
      <c r="G252" s="404"/>
      <c r="H252" s="404"/>
      <c r="I252" s="404"/>
      <c r="J252" s="404"/>
      <c r="K252" s="404"/>
      <c r="L252" s="404"/>
      <c r="M252" s="404"/>
      <c r="N252" s="404"/>
      <c r="O252" s="404"/>
      <c r="P252" s="404"/>
      <c r="Q252" s="404"/>
      <c r="R252" s="404"/>
      <c r="S252" s="404"/>
      <c r="T252" s="404"/>
      <c r="U252" s="404"/>
      <c r="V252" s="404"/>
      <c r="W252" s="404"/>
      <c r="X252" s="404"/>
      <c r="Y252" s="404"/>
      <c r="Z252" s="404"/>
      <c r="AA252" s="404"/>
      <c r="AB252" s="404" t="n">
        <v>0</v>
      </c>
    </row>
    <row r="253" customFormat="false" ht="12.6" hidden="false" customHeight="true" outlineLevel="0" collapsed="false">
      <c r="D253" s="404"/>
      <c r="E253" s="404"/>
      <c r="F253" s="404"/>
      <c r="G253" s="404"/>
      <c r="H253" s="404"/>
      <c r="I253" s="404"/>
      <c r="J253" s="404"/>
      <c r="K253" s="404"/>
      <c r="L253" s="404"/>
      <c r="M253" s="404"/>
      <c r="N253" s="404"/>
      <c r="O253" s="404"/>
      <c r="P253" s="404"/>
      <c r="Q253" s="404"/>
      <c r="R253" s="404"/>
      <c r="S253" s="404"/>
      <c r="T253" s="404"/>
      <c r="U253" s="404"/>
      <c r="V253" s="404"/>
      <c r="W253" s="404"/>
      <c r="X253" s="404"/>
      <c r="Y253" s="404"/>
      <c r="Z253" s="404"/>
      <c r="AA253" s="404"/>
      <c r="AB253" s="404" t="n">
        <v>0</v>
      </c>
    </row>
    <row r="254" customFormat="false" ht="12.6" hidden="false" customHeight="true" outlineLevel="0" collapsed="false">
      <c r="D254" s="404"/>
      <c r="E254" s="404"/>
      <c r="F254" s="404"/>
      <c r="G254" s="404"/>
      <c r="H254" s="404"/>
      <c r="I254" s="404"/>
      <c r="J254" s="404"/>
      <c r="K254" s="404"/>
      <c r="L254" s="404"/>
      <c r="M254" s="404"/>
      <c r="N254" s="404"/>
      <c r="O254" s="404"/>
      <c r="P254" s="404"/>
      <c r="Q254" s="404"/>
      <c r="R254" s="404"/>
      <c r="S254" s="404"/>
      <c r="T254" s="404"/>
      <c r="U254" s="404"/>
      <c r="V254" s="404"/>
      <c r="W254" s="404"/>
      <c r="X254" s="404"/>
      <c r="Y254" s="404"/>
      <c r="Z254" s="404"/>
      <c r="AA254" s="404"/>
      <c r="AB254" s="404" t="n">
        <v>0</v>
      </c>
    </row>
    <row r="255" customFormat="false" ht="12.6" hidden="false" customHeight="true" outlineLevel="0" collapsed="false">
      <c r="D255" s="404"/>
      <c r="E255" s="404"/>
      <c r="F255" s="404"/>
      <c r="G255" s="404"/>
      <c r="H255" s="404"/>
      <c r="I255" s="404"/>
      <c r="J255" s="404"/>
      <c r="K255" s="404"/>
      <c r="L255" s="404"/>
      <c r="M255" s="404"/>
      <c r="N255" s="404"/>
      <c r="O255" s="404"/>
      <c r="P255" s="404"/>
      <c r="Q255" s="404"/>
      <c r="R255" s="404"/>
      <c r="S255" s="404"/>
      <c r="T255" s="404"/>
      <c r="U255" s="404"/>
      <c r="V255" s="404"/>
      <c r="W255" s="404"/>
      <c r="X255" s="404"/>
      <c r="Y255" s="404"/>
      <c r="Z255" s="404"/>
      <c r="AA255" s="404"/>
      <c r="AB255" s="404" t="n">
        <v>0</v>
      </c>
    </row>
    <row r="256" customFormat="false" ht="12.6" hidden="false" customHeight="true" outlineLevel="0" collapsed="false">
      <c r="D256" s="404"/>
      <c r="E256" s="404"/>
      <c r="F256" s="404"/>
      <c r="G256" s="404"/>
      <c r="H256" s="404"/>
      <c r="I256" s="404"/>
      <c r="J256" s="404"/>
      <c r="K256" s="404"/>
      <c r="L256" s="404"/>
      <c r="M256" s="404"/>
      <c r="N256" s="404"/>
      <c r="O256" s="404"/>
      <c r="P256" s="404"/>
      <c r="Q256" s="404"/>
      <c r="R256" s="404"/>
      <c r="S256" s="404"/>
      <c r="T256" s="404"/>
      <c r="U256" s="404"/>
      <c r="V256" s="404"/>
      <c r="W256" s="404"/>
      <c r="X256" s="404"/>
      <c r="Y256" s="404"/>
      <c r="Z256" s="404"/>
      <c r="AA256" s="404"/>
      <c r="AB256" s="404" t="n">
        <v>0</v>
      </c>
    </row>
    <row r="257" customFormat="false" ht="12.6" hidden="false" customHeight="true" outlineLevel="0" collapsed="false">
      <c r="D257" s="404"/>
      <c r="E257" s="404"/>
      <c r="F257" s="404"/>
      <c r="G257" s="404"/>
      <c r="H257" s="404"/>
      <c r="I257" s="404"/>
      <c r="J257" s="404"/>
      <c r="K257" s="404"/>
      <c r="L257" s="404"/>
      <c r="M257" s="404"/>
      <c r="N257" s="404"/>
      <c r="O257" s="404"/>
      <c r="P257" s="404"/>
      <c r="Q257" s="404"/>
      <c r="R257" s="404"/>
      <c r="S257" s="404"/>
      <c r="T257" s="404"/>
      <c r="U257" s="404"/>
      <c r="V257" s="404"/>
      <c r="W257" s="404"/>
      <c r="X257" s="404"/>
      <c r="Y257" s="404"/>
      <c r="Z257" s="404"/>
      <c r="AA257" s="404"/>
      <c r="AB257" s="404" t="n">
        <v>0</v>
      </c>
    </row>
    <row r="258" customFormat="false" ht="12.6" hidden="false" customHeight="true" outlineLevel="0" collapsed="false">
      <c r="D258" s="404"/>
      <c r="E258" s="404"/>
      <c r="F258" s="404"/>
      <c r="G258" s="404"/>
      <c r="H258" s="404"/>
      <c r="I258" s="404"/>
      <c r="J258" s="404"/>
      <c r="K258" s="404"/>
      <c r="L258" s="404"/>
      <c r="M258" s="404"/>
      <c r="N258" s="404"/>
      <c r="O258" s="404"/>
      <c r="P258" s="404"/>
      <c r="Q258" s="404"/>
      <c r="R258" s="404"/>
      <c r="S258" s="404"/>
      <c r="T258" s="404"/>
      <c r="U258" s="404"/>
      <c r="V258" s="404"/>
      <c r="W258" s="404"/>
      <c r="X258" s="404"/>
      <c r="Y258" s="404"/>
      <c r="Z258" s="404"/>
      <c r="AA258" s="404"/>
      <c r="AB258" s="404" t="n">
        <v>0</v>
      </c>
    </row>
    <row r="259" customFormat="false" ht="12.6" hidden="false" customHeight="true" outlineLevel="0" collapsed="false">
      <c r="A259" s="0"/>
      <c r="B259" s="357"/>
      <c r="C259" s="357"/>
      <c r="D259" s="357"/>
      <c r="E259" s="357"/>
      <c r="F259" s="357"/>
      <c r="G259" s="357"/>
      <c r="H259" s="357"/>
      <c r="I259" s="357"/>
      <c r="J259" s="357"/>
      <c r="K259" s="357"/>
      <c r="L259" s="357"/>
      <c r="M259" s="357"/>
      <c r="N259" s="357"/>
      <c r="O259" s="357"/>
      <c r="P259" s="357"/>
      <c r="Q259" s="357"/>
      <c r="R259" s="357"/>
      <c r="S259" s="357"/>
      <c r="T259" s="357"/>
      <c r="U259" s="357"/>
      <c r="V259" s="357"/>
      <c r="W259" s="357"/>
      <c r="X259" s="357"/>
      <c r="Y259" s="357"/>
      <c r="Z259" s="357"/>
      <c r="AA259" s="357"/>
      <c r="AB259" s="357"/>
      <c r="AC259" s="357"/>
      <c r="AD259" s="357"/>
      <c r="AF259" s="357"/>
      <c r="AG259" s="357"/>
      <c r="AH259" s="357"/>
      <c r="AI259" s="357"/>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c r="IW259" s="0"/>
    </row>
    <row r="260" customFormat="false" ht="12.6" hidden="false" customHeight="true" outlineLevel="0" collapsed="false">
      <c r="A260" s="0"/>
      <c r="B260" s="357"/>
      <c r="C260" s="357"/>
      <c r="D260" s="357"/>
      <c r="E260" s="357"/>
      <c r="F260" s="357"/>
      <c r="G260" s="357"/>
      <c r="H260" s="357"/>
      <c r="I260" s="357"/>
      <c r="J260" s="357"/>
      <c r="K260" s="357"/>
      <c r="L260" s="357"/>
      <c r="M260" s="357"/>
      <c r="N260" s="357"/>
      <c r="O260" s="357"/>
      <c r="P260" s="357"/>
      <c r="Q260" s="357"/>
      <c r="R260" s="357"/>
      <c r="S260" s="357"/>
      <c r="T260" s="357"/>
      <c r="U260" s="357"/>
      <c r="V260" s="357"/>
      <c r="W260" s="357"/>
      <c r="X260" s="357"/>
      <c r="Y260" s="357"/>
      <c r="Z260" s="357"/>
      <c r="AA260" s="357"/>
      <c r="AB260" s="357"/>
      <c r="AC260" s="357"/>
      <c r="AD260" s="357"/>
      <c r="AF260" s="357"/>
      <c r="AG260" s="357"/>
      <c r="AH260" s="357"/>
      <c r="AI260" s="357"/>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c r="IW260" s="0"/>
    </row>
    <row r="261" customFormat="false" ht="12.6" hidden="false" customHeight="true" outlineLevel="0" collapsed="false">
      <c r="D261" s="404"/>
      <c r="E261" s="404"/>
      <c r="F261" s="404"/>
      <c r="G261" s="404"/>
      <c r="H261" s="404"/>
      <c r="I261" s="404"/>
      <c r="J261" s="404"/>
      <c r="K261" s="404"/>
      <c r="L261" s="404"/>
      <c r="M261" s="404"/>
      <c r="N261" s="404"/>
      <c r="O261" s="404"/>
      <c r="P261" s="404"/>
      <c r="Q261" s="404"/>
      <c r="R261" s="404"/>
      <c r="S261" s="404"/>
      <c r="T261" s="404"/>
      <c r="U261" s="404"/>
      <c r="V261" s="404"/>
      <c r="W261" s="404"/>
      <c r="X261" s="404"/>
      <c r="Y261" s="404"/>
      <c r="Z261" s="404"/>
      <c r="AA261" s="404"/>
      <c r="AB261" s="404" t="n">
        <v>0</v>
      </c>
    </row>
    <row r="262" customFormat="false" ht="12.6" hidden="false" customHeight="true" outlineLevel="0" collapsed="false">
      <c r="D262" s="404"/>
      <c r="E262" s="404"/>
      <c r="F262" s="404"/>
      <c r="G262" s="404"/>
      <c r="H262" s="404"/>
      <c r="I262" s="404"/>
      <c r="J262" s="404"/>
      <c r="K262" s="404"/>
      <c r="L262" s="404"/>
      <c r="M262" s="404"/>
      <c r="N262" s="404"/>
      <c r="O262" s="404"/>
      <c r="P262" s="404"/>
      <c r="Q262" s="404"/>
      <c r="R262" s="404"/>
      <c r="S262" s="404"/>
      <c r="T262" s="404"/>
      <c r="U262" s="404"/>
      <c r="V262" s="404"/>
      <c r="W262" s="404"/>
      <c r="X262" s="404"/>
      <c r="Y262" s="404"/>
      <c r="Z262" s="404"/>
      <c r="AA262" s="404"/>
      <c r="AB262" s="404"/>
    </row>
    <row r="263" customFormat="false" ht="12.6" hidden="false" customHeight="true" outlineLevel="0" collapsed="false">
      <c r="D263" s="404"/>
      <c r="E263" s="404"/>
      <c r="F263" s="404"/>
      <c r="G263" s="404"/>
      <c r="H263" s="404"/>
      <c r="I263" s="404"/>
      <c r="J263" s="404"/>
      <c r="K263" s="404"/>
      <c r="L263" s="404"/>
      <c r="M263" s="404"/>
      <c r="N263" s="404"/>
      <c r="O263" s="404"/>
      <c r="P263" s="404"/>
      <c r="Q263" s="404"/>
      <c r="R263" s="404"/>
      <c r="S263" s="404"/>
      <c r="T263" s="404"/>
      <c r="U263" s="404"/>
      <c r="V263" s="404"/>
      <c r="W263" s="404"/>
      <c r="X263" s="404"/>
      <c r="Y263" s="404"/>
      <c r="Z263" s="404"/>
      <c r="AA263" s="404"/>
      <c r="AB263" s="404"/>
    </row>
    <row r="264" customFormat="false" ht="12.6" hidden="false" customHeight="true" outlineLevel="0" collapsed="false">
      <c r="D264" s="404"/>
      <c r="E264" s="404"/>
      <c r="F264" s="404"/>
      <c r="G264" s="404"/>
      <c r="H264" s="404"/>
      <c r="I264" s="404"/>
      <c r="J264" s="404"/>
      <c r="K264" s="404"/>
      <c r="L264" s="404"/>
      <c r="M264" s="404"/>
      <c r="N264" s="404"/>
      <c r="O264" s="404"/>
      <c r="P264" s="404"/>
      <c r="Q264" s="404"/>
      <c r="R264" s="404"/>
      <c r="S264" s="404"/>
      <c r="T264" s="404"/>
      <c r="U264" s="404"/>
      <c r="V264" s="404"/>
      <c r="W264" s="404"/>
      <c r="X264" s="404"/>
      <c r="Y264" s="404"/>
      <c r="Z264" s="404"/>
      <c r="AA264" s="404"/>
      <c r="AB264" s="404"/>
    </row>
    <row r="265" customFormat="false" ht="12.6" hidden="false" customHeight="true" outlineLevel="0" collapsed="false">
      <c r="D265" s="404"/>
      <c r="E265" s="404"/>
      <c r="F265" s="404"/>
      <c r="G265" s="404"/>
      <c r="H265" s="404"/>
      <c r="I265" s="404"/>
      <c r="J265" s="404"/>
      <c r="K265" s="404"/>
      <c r="L265" s="404"/>
      <c r="M265" s="404"/>
      <c r="N265" s="404"/>
      <c r="O265" s="404"/>
      <c r="P265" s="404"/>
      <c r="Q265" s="404"/>
      <c r="R265" s="404"/>
      <c r="S265" s="404"/>
      <c r="T265" s="404"/>
      <c r="U265" s="404"/>
      <c r="V265" s="404"/>
      <c r="W265" s="404"/>
      <c r="X265" s="404"/>
      <c r="Y265" s="404"/>
      <c r="Z265" s="404"/>
      <c r="AA265" s="404"/>
      <c r="AB265" s="404"/>
    </row>
    <row r="266" customFormat="false" ht="12.6" hidden="false" customHeight="true" outlineLevel="0" collapsed="false">
      <c r="D266" s="404"/>
      <c r="E266" s="404"/>
      <c r="F266" s="404"/>
      <c r="G266" s="404"/>
      <c r="H266" s="404"/>
      <c r="I266" s="404"/>
      <c r="J266" s="404"/>
      <c r="K266" s="404"/>
      <c r="L266" s="404"/>
      <c r="M266" s="404"/>
      <c r="N266" s="404"/>
      <c r="O266" s="404"/>
      <c r="P266" s="404"/>
      <c r="Q266" s="404"/>
      <c r="R266" s="404"/>
      <c r="S266" s="404"/>
      <c r="T266" s="404"/>
      <c r="U266" s="404"/>
      <c r="V266" s="404"/>
      <c r="W266" s="404"/>
      <c r="X266" s="404"/>
      <c r="Y266" s="404"/>
      <c r="Z266" s="404"/>
      <c r="AA266" s="404"/>
      <c r="AB266" s="404"/>
    </row>
    <row r="267" customFormat="false" ht="12.6" hidden="false" customHeight="true" outlineLevel="0" collapsed="false">
      <c r="D267" s="404"/>
      <c r="E267" s="404"/>
      <c r="F267" s="404"/>
      <c r="G267" s="404"/>
      <c r="H267" s="404"/>
      <c r="I267" s="404"/>
      <c r="J267" s="404"/>
      <c r="K267" s="404"/>
      <c r="L267" s="404"/>
      <c r="M267" s="404"/>
      <c r="N267" s="404"/>
      <c r="O267" s="404"/>
      <c r="P267" s="404"/>
      <c r="Q267" s="404"/>
      <c r="R267" s="404"/>
      <c r="S267" s="404"/>
      <c r="T267" s="404"/>
      <c r="U267" s="404"/>
      <c r="V267" s="404"/>
      <c r="W267" s="404"/>
      <c r="X267" s="404"/>
      <c r="Y267" s="404"/>
      <c r="Z267" s="404"/>
      <c r="AA267" s="404"/>
      <c r="AB267" s="404"/>
    </row>
    <row r="268" customFormat="false" ht="12.6" hidden="false" customHeight="true" outlineLevel="0" collapsed="false">
      <c r="D268" s="404"/>
      <c r="E268" s="404"/>
      <c r="F268" s="404"/>
      <c r="G268" s="404"/>
      <c r="H268" s="404"/>
      <c r="I268" s="404"/>
      <c r="J268" s="404"/>
      <c r="K268" s="404"/>
      <c r="L268" s="404"/>
      <c r="M268" s="404"/>
      <c r="N268" s="404"/>
      <c r="O268" s="404"/>
      <c r="P268" s="404"/>
      <c r="Q268" s="404"/>
      <c r="R268" s="404"/>
      <c r="S268" s="404"/>
      <c r="T268" s="404"/>
      <c r="U268" s="404"/>
      <c r="V268" s="404"/>
      <c r="W268" s="404"/>
      <c r="X268" s="404"/>
      <c r="Y268" s="404"/>
      <c r="Z268" s="404"/>
      <c r="AA268" s="404"/>
      <c r="AB268" s="404"/>
    </row>
    <row r="269" customFormat="false" ht="12.6" hidden="false" customHeight="true" outlineLevel="0" collapsed="false">
      <c r="D269" s="404"/>
      <c r="E269" s="404"/>
      <c r="F269" s="404"/>
      <c r="G269" s="404"/>
      <c r="H269" s="404"/>
      <c r="I269" s="404"/>
      <c r="J269" s="404"/>
      <c r="K269" s="404"/>
      <c r="L269" s="404"/>
      <c r="M269" s="404"/>
      <c r="N269" s="404"/>
      <c r="O269" s="404"/>
      <c r="P269" s="404"/>
      <c r="Q269" s="404"/>
      <c r="R269" s="404"/>
      <c r="S269" s="404"/>
      <c r="T269" s="404"/>
      <c r="U269" s="404"/>
      <c r="V269" s="404"/>
      <c r="W269" s="404"/>
      <c r="X269" s="404"/>
      <c r="Y269" s="404"/>
      <c r="Z269" s="404"/>
      <c r="AA269" s="404"/>
      <c r="AB269" s="404"/>
    </row>
    <row r="270" customFormat="false" ht="12.6" hidden="false" customHeight="true" outlineLevel="0" collapsed="false">
      <c r="D270" s="404"/>
      <c r="E270" s="404"/>
      <c r="F270" s="404"/>
      <c r="G270" s="404"/>
      <c r="H270" s="404"/>
      <c r="I270" s="404"/>
      <c r="J270" s="404"/>
      <c r="K270" s="404"/>
      <c r="L270" s="404"/>
      <c r="M270" s="404"/>
      <c r="N270" s="404"/>
      <c r="O270" s="404"/>
      <c r="P270" s="404"/>
      <c r="Q270" s="404"/>
      <c r="R270" s="404"/>
      <c r="S270" s="404"/>
      <c r="T270" s="404"/>
      <c r="U270" s="404"/>
      <c r="V270" s="404"/>
      <c r="W270" s="404"/>
      <c r="X270" s="404"/>
      <c r="Y270" s="404"/>
      <c r="Z270" s="404"/>
      <c r="AA270" s="404"/>
      <c r="AB270" s="404"/>
    </row>
    <row r="271" customFormat="false" ht="12.6" hidden="false" customHeight="true" outlineLevel="0" collapsed="false">
      <c r="D271" s="404"/>
      <c r="E271" s="404"/>
      <c r="F271" s="404"/>
      <c r="G271" s="404"/>
      <c r="H271" s="404"/>
      <c r="I271" s="404"/>
      <c r="J271" s="404"/>
      <c r="K271" s="404"/>
      <c r="L271" s="404"/>
      <c r="M271" s="404"/>
      <c r="N271" s="404"/>
      <c r="O271" s="404"/>
      <c r="P271" s="404"/>
      <c r="Q271" s="404"/>
      <c r="R271" s="404"/>
      <c r="S271" s="404"/>
      <c r="T271" s="404"/>
      <c r="U271" s="404"/>
      <c r="V271" s="404"/>
      <c r="W271" s="404"/>
      <c r="X271" s="404"/>
      <c r="Y271" s="404"/>
      <c r="Z271" s="404"/>
      <c r="AA271" s="404"/>
      <c r="AB271" s="404"/>
    </row>
    <row r="272" customFormat="false" ht="12.6" hidden="false" customHeight="true" outlineLevel="0" collapsed="false">
      <c r="D272" s="404"/>
      <c r="E272" s="404"/>
      <c r="F272" s="404"/>
      <c r="G272" s="404"/>
      <c r="H272" s="404"/>
      <c r="I272" s="404"/>
      <c r="J272" s="404"/>
      <c r="K272" s="404"/>
      <c r="L272" s="404"/>
      <c r="M272" s="404"/>
      <c r="N272" s="404"/>
      <c r="O272" s="404"/>
      <c r="P272" s="404"/>
      <c r="Q272" s="404"/>
      <c r="R272" s="404"/>
      <c r="S272" s="404"/>
      <c r="T272" s="404"/>
      <c r="U272" s="404"/>
      <c r="V272" s="404"/>
      <c r="W272" s="404"/>
      <c r="X272" s="404"/>
      <c r="Y272" s="404"/>
      <c r="Z272" s="404"/>
      <c r="AA272" s="404"/>
      <c r="AB272" s="404"/>
    </row>
    <row r="273" customFormat="false" ht="12.6" hidden="false" customHeight="true" outlineLevel="0" collapsed="false">
      <c r="D273" s="404"/>
      <c r="E273" s="404"/>
      <c r="F273" s="404"/>
      <c r="G273" s="404"/>
      <c r="H273" s="404"/>
      <c r="I273" s="404"/>
      <c r="J273" s="404"/>
      <c r="K273" s="404"/>
      <c r="L273" s="404"/>
      <c r="M273" s="404"/>
      <c r="N273" s="404"/>
      <c r="O273" s="404"/>
      <c r="P273" s="404"/>
      <c r="Q273" s="404"/>
      <c r="R273" s="404"/>
      <c r="S273" s="404"/>
      <c r="T273" s="404"/>
      <c r="U273" s="404"/>
      <c r="V273" s="404"/>
      <c r="W273" s="404"/>
      <c r="X273" s="404"/>
      <c r="Y273" s="404"/>
      <c r="Z273" s="404"/>
      <c r="AA273" s="404"/>
      <c r="AB273" s="404"/>
    </row>
    <row r="274" customFormat="false" ht="12.6" hidden="false" customHeight="true" outlineLevel="0" collapsed="false">
      <c r="D274" s="404"/>
      <c r="E274" s="404"/>
      <c r="F274" s="404"/>
      <c r="G274" s="404"/>
      <c r="H274" s="404"/>
      <c r="I274" s="404"/>
      <c r="J274" s="404"/>
      <c r="K274" s="404"/>
      <c r="L274" s="404"/>
      <c r="M274" s="404"/>
      <c r="N274" s="404"/>
      <c r="O274" s="404"/>
      <c r="P274" s="404"/>
      <c r="Q274" s="404"/>
      <c r="R274" s="404"/>
      <c r="S274" s="404"/>
      <c r="T274" s="404"/>
      <c r="U274" s="404"/>
      <c r="V274" s="404"/>
      <c r="W274" s="404"/>
      <c r="X274" s="404"/>
      <c r="Y274" s="404"/>
      <c r="Z274" s="404"/>
      <c r="AA274" s="404"/>
      <c r="AB274" s="404"/>
    </row>
    <row r="275" customFormat="false" ht="12.6" hidden="false" customHeight="true" outlineLevel="0" collapsed="false">
      <c r="D275" s="404"/>
      <c r="E275" s="404"/>
      <c r="F275" s="404"/>
      <c r="G275" s="404"/>
      <c r="H275" s="404"/>
      <c r="I275" s="404"/>
      <c r="J275" s="404"/>
      <c r="K275" s="404"/>
      <c r="L275" s="404"/>
      <c r="M275" s="404"/>
      <c r="N275" s="404"/>
      <c r="O275" s="404"/>
      <c r="P275" s="404"/>
      <c r="Q275" s="404"/>
      <c r="R275" s="404"/>
      <c r="S275" s="404"/>
      <c r="T275" s="404"/>
      <c r="U275" s="404"/>
      <c r="V275" s="404"/>
      <c r="W275" s="404"/>
      <c r="X275" s="404"/>
      <c r="Y275" s="404"/>
      <c r="Z275" s="404"/>
      <c r="AA275" s="404"/>
      <c r="AB275" s="404"/>
    </row>
    <row r="276" customFormat="false" ht="12.6" hidden="false" customHeight="true" outlineLevel="0" collapsed="false">
      <c r="D276" s="404"/>
      <c r="E276" s="404"/>
      <c r="F276" s="404"/>
      <c r="G276" s="404"/>
      <c r="H276" s="404"/>
      <c r="I276" s="404"/>
      <c r="J276" s="404"/>
      <c r="K276" s="404"/>
      <c r="L276" s="404"/>
      <c r="M276" s="404"/>
      <c r="N276" s="404"/>
      <c r="O276" s="404"/>
      <c r="P276" s="404"/>
      <c r="Q276" s="404"/>
      <c r="R276" s="404"/>
      <c r="S276" s="404"/>
      <c r="T276" s="404"/>
      <c r="U276" s="404"/>
      <c r="V276" s="404"/>
      <c r="W276" s="404"/>
      <c r="X276" s="404"/>
      <c r="Y276" s="404"/>
      <c r="Z276" s="404"/>
      <c r="AA276" s="404"/>
      <c r="AB276" s="404"/>
    </row>
    <row r="277" customFormat="false" ht="12.6" hidden="false" customHeight="true" outlineLevel="0" collapsed="false">
      <c r="D277" s="404"/>
      <c r="E277" s="404"/>
      <c r="F277" s="404"/>
      <c r="G277" s="404"/>
      <c r="H277" s="404"/>
      <c r="I277" s="404"/>
      <c r="J277" s="404"/>
      <c r="K277" s="404"/>
      <c r="L277" s="404"/>
      <c r="M277" s="404"/>
      <c r="N277" s="404"/>
      <c r="O277" s="404"/>
      <c r="P277" s="404"/>
      <c r="Q277" s="404"/>
      <c r="R277" s="404"/>
      <c r="S277" s="404"/>
      <c r="T277" s="404"/>
      <c r="U277" s="404"/>
      <c r="V277" s="404"/>
      <c r="W277" s="404"/>
      <c r="X277" s="404"/>
      <c r="Y277" s="404"/>
      <c r="Z277" s="404"/>
      <c r="AA277" s="404"/>
      <c r="AB277" s="404"/>
    </row>
    <row r="278" customFormat="false" ht="12.6" hidden="false" customHeight="true" outlineLevel="0" collapsed="false">
      <c r="D278" s="404"/>
      <c r="E278" s="404"/>
      <c r="F278" s="404"/>
      <c r="G278" s="404"/>
      <c r="H278" s="404"/>
      <c r="I278" s="404"/>
      <c r="J278" s="404"/>
      <c r="K278" s="404"/>
      <c r="L278" s="404"/>
      <c r="M278" s="404"/>
      <c r="N278" s="404"/>
      <c r="O278" s="404"/>
      <c r="P278" s="404"/>
      <c r="Q278" s="404"/>
      <c r="R278" s="404"/>
      <c r="S278" s="404"/>
      <c r="T278" s="404"/>
      <c r="U278" s="404"/>
      <c r="V278" s="404"/>
      <c r="W278" s="404"/>
      <c r="X278" s="404"/>
      <c r="Y278" s="404"/>
      <c r="Z278" s="404"/>
      <c r="AA278" s="404"/>
      <c r="AB278" s="404"/>
    </row>
    <row r="279" customFormat="false" ht="12.6" hidden="false" customHeight="true" outlineLevel="0" collapsed="false">
      <c r="D279" s="404"/>
      <c r="E279" s="404"/>
      <c r="F279" s="404"/>
      <c r="G279" s="404"/>
      <c r="H279" s="404"/>
      <c r="I279" s="404"/>
      <c r="J279" s="404"/>
      <c r="K279" s="404"/>
      <c r="L279" s="404"/>
      <c r="M279" s="404"/>
      <c r="N279" s="404"/>
      <c r="O279" s="404"/>
      <c r="P279" s="404"/>
      <c r="Q279" s="404"/>
      <c r="R279" s="404"/>
      <c r="S279" s="404"/>
      <c r="T279" s="404"/>
      <c r="U279" s="404"/>
      <c r="V279" s="404"/>
      <c r="W279" s="404"/>
      <c r="X279" s="404"/>
      <c r="Y279" s="404"/>
      <c r="Z279" s="404"/>
      <c r="AA279" s="404"/>
      <c r="AB279" s="404"/>
    </row>
    <row r="280" customFormat="false" ht="12.6" hidden="false" customHeight="true" outlineLevel="0" collapsed="false">
      <c r="D280" s="404"/>
      <c r="E280" s="404"/>
      <c r="F280" s="404"/>
      <c r="G280" s="404"/>
      <c r="H280" s="404"/>
      <c r="I280" s="404"/>
      <c r="J280" s="404"/>
      <c r="K280" s="404"/>
      <c r="L280" s="404"/>
      <c r="M280" s="404"/>
      <c r="N280" s="404"/>
      <c r="O280" s="404"/>
      <c r="P280" s="404"/>
      <c r="Q280" s="404"/>
      <c r="R280" s="404"/>
      <c r="S280" s="404"/>
      <c r="T280" s="404"/>
      <c r="U280" s="404"/>
      <c r="V280" s="404"/>
      <c r="W280" s="404"/>
      <c r="X280" s="404"/>
      <c r="Y280" s="404"/>
      <c r="Z280" s="404"/>
      <c r="AA280" s="404"/>
      <c r="AB280" s="404"/>
    </row>
    <row r="281" customFormat="false" ht="12.6" hidden="false" customHeight="true" outlineLevel="0" collapsed="false">
      <c r="D281" s="404"/>
      <c r="E281" s="404"/>
      <c r="F281" s="404"/>
      <c r="G281" s="404"/>
      <c r="H281" s="404"/>
      <c r="I281" s="404"/>
      <c r="J281" s="404"/>
      <c r="K281" s="404"/>
      <c r="L281" s="404"/>
      <c r="M281" s="404"/>
      <c r="N281" s="404"/>
      <c r="O281" s="404"/>
      <c r="P281" s="404"/>
      <c r="Q281" s="404"/>
      <c r="R281" s="404"/>
      <c r="S281" s="404"/>
      <c r="T281" s="404"/>
      <c r="U281" s="404"/>
      <c r="V281" s="404"/>
      <c r="W281" s="404"/>
      <c r="X281" s="404"/>
      <c r="Y281" s="404"/>
      <c r="Z281" s="404"/>
      <c r="AA281" s="404"/>
      <c r="AB281" s="404"/>
    </row>
    <row r="282" customFormat="false" ht="12.6" hidden="false" customHeight="true" outlineLevel="0" collapsed="false">
      <c r="D282" s="404"/>
      <c r="E282" s="404"/>
      <c r="F282" s="404"/>
      <c r="G282" s="404"/>
      <c r="H282" s="404"/>
      <c r="I282" s="404"/>
      <c r="J282" s="404"/>
      <c r="K282" s="404"/>
      <c r="L282" s="404"/>
      <c r="M282" s="404"/>
      <c r="N282" s="404"/>
      <c r="O282" s="404"/>
      <c r="P282" s="404"/>
      <c r="Q282" s="404"/>
      <c r="R282" s="404"/>
      <c r="S282" s="404"/>
      <c r="T282" s="404"/>
      <c r="U282" s="404"/>
      <c r="V282" s="404"/>
      <c r="W282" s="404"/>
      <c r="X282" s="404"/>
      <c r="Y282" s="404"/>
      <c r="Z282" s="404"/>
      <c r="AA282" s="404"/>
      <c r="AB282" s="404"/>
    </row>
    <row r="283" customFormat="false" ht="12.6" hidden="false" customHeight="true" outlineLevel="0" collapsed="false">
      <c r="D283" s="404"/>
      <c r="E283" s="404"/>
      <c r="F283" s="404"/>
      <c r="G283" s="404"/>
      <c r="H283" s="404"/>
      <c r="I283" s="404"/>
      <c r="J283" s="404"/>
      <c r="K283" s="404"/>
      <c r="L283" s="404"/>
      <c r="M283" s="404"/>
      <c r="N283" s="404"/>
      <c r="O283" s="404"/>
      <c r="P283" s="404"/>
      <c r="Q283" s="404"/>
      <c r="R283" s="404"/>
      <c r="S283" s="404"/>
      <c r="T283" s="404"/>
      <c r="U283" s="404"/>
      <c r="V283" s="404"/>
      <c r="W283" s="404"/>
      <c r="X283" s="404"/>
      <c r="Y283" s="404"/>
      <c r="Z283" s="404"/>
      <c r="AA283" s="404"/>
      <c r="AB283" s="404"/>
    </row>
    <row r="284" customFormat="false" ht="12.6" hidden="false" customHeight="true" outlineLevel="0" collapsed="false">
      <c r="D284" s="404"/>
      <c r="E284" s="404"/>
      <c r="F284" s="404"/>
      <c r="G284" s="404"/>
      <c r="H284" s="404"/>
      <c r="I284" s="404"/>
      <c r="J284" s="404"/>
      <c r="K284" s="404"/>
      <c r="L284" s="404"/>
      <c r="M284" s="404"/>
      <c r="N284" s="404"/>
      <c r="O284" s="404"/>
      <c r="P284" s="404"/>
      <c r="Q284" s="404"/>
      <c r="R284" s="404"/>
      <c r="S284" s="404"/>
      <c r="T284" s="404"/>
      <c r="U284" s="404"/>
      <c r="V284" s="404"/>
      <c r="W284" s="404"/>
      <c r="X284" s="404"/>
      <c r="Y284" s="404"/>
      <c r="Z284" s="404"/>
      <c r="AA284" s="404"/>
      <c r="AB284" s="404"/>
    </row>
    <row r="285" customFormat="false" ht="12.6" hidden="false" customHeight="true" outlineLevel="0" collapsed="false">
      <c r="D285" s="404"/>
      <c r="E285" s="404"/>
      <c r="F285" s="404"/>
      <c r="G285" s="404"/>
      <c r="H285" s="404"/>
      <c r="I285" s="404"/>
      <c r="J285" s="404"/>
      <c r="K285" s="404"/>
      <c r="L285" s="404"/>
      <c r="M285" s="404"/>
      <c r="N285" s="404"/>
      <c r="O285" s="404"/>
      <c r="P285" s="404"/>
      <c r="Q285" s="404"/>
      <c r="R285" s="404"/>
      <c r="S285" s="404"/>
      <c r="T285" s="404"/>
      <c r="U285" s="404"/>
      <c r="V285" s="404"/>
      <c r="W285" s="404"/>
      <c r="X285" s="404"/>
      <c r="Y285" s="404"/>
      <c r="Z285" s="404"/>
      <c r="AA285" s="404"/>
      <c r="AB285" s="404"/>
    </row>
    <row r="286" customFormat="false" ht="12.6" hidden="false" customHeight="true" outlineLevel="0" collapsed="false">
      <c r="D286" s="404"/>
      <c r="E286" s="404"/>
      <c r="F286" s="404"/>
      <c r="G286" s="404"/>
      <c r="H286" s="404"/>
      <c r="I286" s="404"/>
      <c r="J286" s="404"/>
      <c r="K286" s="404"/>
      <c r="L286" s="404"/>
      <c r="M286" s="404"/>
      <c r="N286" s="404"/>
      <c r="O286" s="404"/>
      <c r="P286" s="404"/>
      <c r="Q286" s="404"/>
      <c r="R286" s="404"/>
      <c r="S286" s="404"/>
      <c r="T286" s="404"/>
      <c r="U286" s="404"/>
      <c r="V286" s="404"/>
      <c r="W286" s="404"/>
      <c r="X286" s="404"/>
      <c r="Y286" s="404"/>
      <c r="Z286" s="404"/>
      <c r="AA286" s="404"/>
      <c r="AB286" s="404"/>
    </row>
    <row r="287" customFormat="false" ht="12.6" hidden="false" customHeight="true" outlineLevel="0" collapsed="false">
      <c r="D287" s="404"/>
      <c r="E287" s="404"/>
      <c r="F287" s="404"/>
      <c r="G287" s="404"/>
      <c r="H287" s="404"/>
      <c r="I287" s="404"/>
      <c r="J287" s="404"/>
      <c r="K287" s="404"/>
      <c r="L287" s="404"/>
      <c r="M287" s="404"/>
      <c r="N287" s="404"/>
      <c r="O287" s="404"/>
      <c r="P287" s="404"/>
      <c r="Q287" s="404"/>
      <c r="R287" s="404"/>
      <c r="S287" s="404"/>
      <c r="T287" s="404"/>
      <c r="U287" s="404"/>
      <c r="V287" s="404"/>
      <c r="W287" s="404"/>
      <c r="X287" s="404"/>
      <c r="Y287" s="404"/>
      <c r="Z287" s="404"/>
      <c r="AA287" s="404"/>
      <c r="AB287" s="404"/>
    </row>
    <row r="288" customFormat="false" ht="12.6" hidden="false" customHeight="true" outlineLevel="0" collapsed="false">
      <c r="D288" s="404"/>
      <c r="E288" s="404"/>
      <c r="F288" s="404"/>
      <c r="G288" s="404"/>
      <c r="H288" s="404"/>
      <c r="I288" s="404"/>
      <c r="J288" s="404"/>
      <c r="K288" s="404"/>
      <c r="L288" s="404"/>
      <c r="M288" s="404"/>
      <c r="N288" s="404"/>
      <c r="O288" s="404"/>
      <c r="P288" s="404"/>
      <c r="Q288" s="404"/>
      <c r="R288" s="404"/>
      <c r="S288" s="404"/>
      <c r="T288" s="404"/>
      <c r="U288" s="404"/>
      <c r="V288" s="404"/>
      <c r="W288" s="404"/>
      <c r="X288" s="404"/>
      <c r="Y288" s="404"/>
      <c r="Z288" s="404"/>
      <c r="AA288" s="404"/>
      <c r="AB288" s="404"/>
    </row>
    <row r="289" customFormat="false" ht="12.6" hidden="false" customHeight="true" outlineLevel="0" collapsed="false">
      <c r="D289" s="404"/>
      <c r="E289" s="404"/>
      <c r="F289" s="404"/>
      <c r="G289" s="404"/>
      <c r="H289" s="404"/>
      <c r="I289" s="404"/>
      <c r="J289" s="404"/>
      <c r="K289" s="404"/>
      <c r="L289" s="404"/>
      <c r="M289" s="404"/>
      <c r="N289" s="404"/>
      <c r="O289" s="404"/>
      <c r="P289" s="404"/>
      <c r="Q289" s="404"/>
      <c r="R289" s="404"/>
      <c r="S289" s="404"/>
      <c r="T289" s="404"/>
      <c r="U289" s="404"/>
      <c r="V289" s="404"/>
      <c r="W289" s="404"/>
      <c r="X289" s="404"/>
      <c r="Y289" s="404"/>
      <c r="Z289" s="404"/>
      <c r="AA289" s="404"/>
      <c r="AB289" s="404"/>
    </row>
    <row r="290" customFormat="false" ht="12.6" hidden="false" customHeight="true" outlineLevel="0" collapsed="false">
      <c r="D290" s="404"/>
      <c r="E290" s="404"/>
      <c r="F290" s="404"/>
      <c r="G290" s="404"/>
      <c r="H290" s="404"/>
      <c r="I290" s="404"/>
      <c r="J290" s="404"/>
      <c r="K290" s="404"/>
      <c r="L290" s="404"/>
      <c r="M290" s="404"/>
      <c r="N290" s="404"/>
      <c r="O290" s="404"/>
      <c r="P290" s="404"/>
      <c r="Q290" s="404"/>
      <c r="R290" s="404"/>
      <c r="S290" s="404"/>
      <c r="T290" s="404"/>
      <c r="U290" s="404"/>
      <c r="V290" s="404"/>
      <c r="W290" s="404"/>
      <c r="X290" s="404"/>
      <c r="Y290" s="404"/>
      <c r="Z290" s="404"/>
      <c r="AA290" s="404"/>
      <c r="AB290" s="404"/>
    </row>
    <row r="291" customFormat="false" ht="12.6" hidden="false" customHeight="true" outlineLevel="0" collapsed="false">
      <c r="D291" s="404"/>
      <c r="E291" s="404"/>
      <c r="F291" s="404"/>
      <c r="G291" s="404"/>
      <c r="H291" s="404"/>
      <c r="I291" s="404"/>
      <c r="J291" s="404"/>
      <c r="K291" s="404"/>
      <c r="L291" s="404"/>
      <c r="M291" s="404"/>
      <c r="N291" s="404"/>
      <c r="O291" s="404"/>
      <c r="P291" s="404"/>
      <c r="Q291" s="404"/>
      <c r="R291" s="404"/>
      <c r="S291" s="404"/>
      <c r="T291" s="404"/>
      <c r="U291" s="404"/>
      <c r="V291" s="404"/>
      <c r="W291" s="404"/>
      <c r="X291" s="404"/>
      <c r="Y291" s="404"/>
      <c r="Z291" s="404"/>
      <c r="AA291" s="404"/>
      <c r="AB291" s="404"/>
    </row>
    <row r="292" customFormat="false" ht="12.6" hidden="false" customHeight="true" outlineLevel="0" collapsed="false">
      <c r="D292" s="404"/>
      <c r="E292" s="404"/>
      <c r="F292" s="404"/>
      <c r="G292" s="404"/>
      <c r="H292" s="404"/>
      <c r="I292" s="404"/>
      <c r="J292" s="404"/>
      <c r="K292" s="404"/>
      <c r="L292" s="404"/>
      <c r="M292" s="404"/>
      <c r="N292" s="404"/>
      <c r="O292" s="404"/>
      <c r="P292" s="404"/>
      <c r="Q292" s="404"/>
      <c r="R292" s="404"/>
      <c r="S292" s="404"/>
      <c r="T292" s="404"/>
      <c r="U292" s="404"/>
      <c r="V292" s="404"/>
      <c r="W292" s="404"/>
      <c r="X292" s="404"/>
      <c r="Y292" s="404"/>
      <c r="Z292" s="404"/>
      <c r="AA292" s="404"/>
      <c r="AB292" s="404"/>
    </row>
    <row r="293" customFormat="false" ht="12.6" hidden="false" customHeight="true" outlineLevel="0" collapsed="false">
      <c r="D293" s="404"/>
      <c r="E293" s="404"/>
      <c r="F293" s="404"/>
      <c r="G293" s="404"/>
      <c r="H293" s="404"/>
      <c r="I293" s="404"/>
      <c r="J293" s="404"/>
      <c r="K293" s="404"/>
      <c r="L293" s="404"/>
      <c r="M293" s="404"/>
      <c r="N293" s="404"/>
      <c r="O293" s="404"/>
      <c r="P293" s="404"/>
      <c r="Q293" s="404"/>
      <c r="R293" s="404"/>
      <c r="S293" s="404"/>
      <c r="T293" s="404"/>
      <c r="U293" s="404"/>
      <c r="V293" s="404"/>
      <c r="W293" s="404"/>
      <c r="X293" s="404"/>
      <c r="Y293" s="404"/>
      <c r="Z293" s="404"/>
      <c r="AA293" s="404"/>
      <c r="AB293" s="404"/>
    </row>
    <row r="294" customFormat="false" ht="12.6" hidden="false" customHeight="true" outlineLevel="0" collapsed="false">
      <c r="D294" s="404"/>
      <c r="E294" s="404"/>
      <c r="F294" s="404"/>
      <c r="G294" s="404"/>
      <c r="H294" s="404"/>
      <c r="I294" s="404"/>
      <c r="J294" s="404"/>
      <c r="K294" s="404"/>
      <c r="L294" s="404"/>
      <c r="M294" s="404"/>
      <c r="N294" s="404"/>
      <c r="O294" s="404"/>
      <c r="P294" s="404"/>
      <c r="Q294" s="404"/>
      <c r="R294" s="404"/>
      <c r="S294" s="404"/>
      <c r="T294" s="404"/>
      <c r="U294" s="404"/>
      <c r="V294" s="404"/>
      <c r="W294" s="404"/>
      <c r="X294" s="404"/>
      <c r="Y294" s="404"/>
      <c r="Z294" s="404"/>
      <c r="AA294" s="404"/>
      <c r="AB294" s="404"/>
    </row>
    <row r="295" customFormat="false" ht="12.6" hidden="false" customHeight="true" outlineLevel="0" collapsed="false">
      <c r="D295" s="404"/>
      <c r="E295" s="404"/>
      <c r="F295" s="404"/>
      <c r="G295" s="404"/>
      <c r="H295" s="404"/>
      <c r="I295" s="404"/>
      <c r="J295" s="404"/>
      <c r="K295" s="404"/>
      <c r="L295" s="404"/>
      <c r="M295" s="404"/>
      <c r="N295" s="404"/>
      <c r="O295" s="404"/>
      <c r="P295" s="404"/>
      <c r="Q295" s="404"/>
      <c r="R295" s="404"/>
      <c r="S295" s="404"/>
      <c r="T295" s="404"/>
      <c r="U295" s="404"/>
      <c r="V295" s="404"/>
      <c r="W295" s="404"/>
      <c r="X295" s="404"/>
      <c r="Y295" s="404"/>
      <c r="Z295" s="404"/>
      <c r="AA295" s="404"/>
      <c r="AB295" s="404"/>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1997-11-12T23:08:26Z</dcterms:created>
  <dc:creator>ECT</dc:creator>
  <dc:description/>
  <dc:language>en-US</dc:language>
  <cp:lastModifiedBy>Ben Rogers</cp:lastModifiedBy>
  <cp:lastPrinted>2000-01-04T14:24:05Z</cp:lastPrinted>
  <cp:revision>0</cp:revision>
  <dc:subject/>
  <dc:title/>
</cp:coreProperties>
</file>