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vmlDrawing2.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drawings/vmlDrawing6.vml" ContentType="application/vnd.openxmlformats-officedocument.vmlDrawing"/>
  <Override PartName="/xl/drawings/vmlDrawing7.vml" ContentType="application/vnd.openxmlformats-officedocument.vmlDrawing"/>
  <Override PartName="/xl/theme/theme1.xml" ContentType="application/vnd.openxmlformats-officedocument.theme+xml"/>
  <Override PartName="/xl/comments5.xml" ContentType="application/vnd.openxmlformats-officedocument.spreadsheetml.comments+xml"/>
  <Override PartName="/xl/comments15.xml" ContentType="application/vnd.openxmlformats-officedocument.spreadsheetml.comments+xml"/>
  <Override PartName="/xl/worksheets/_rels/sheet15.xml.rels" ContentType="application/vnd.openxmlformats-package.relationships+xml"/>
  <Override PartName="/xl/worksheets/_rels/sheet4.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6.xml.rels" ContentType="application/vnd.openxmlformats-package.relationships+xml"/>
  <Override PartName="/xl/worksheets/_rels/sheet13.xml.rels" ContentType="application/vnd.openxmlformats-package.relationships+xml"/>
  <Override PartName="/xl/worksheets/_rels/sheet5.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4.xml" ContentType="application/vnd.openxmlformats-officedocument.spreadsheetml.externalLink+xml"/>
  <Override PartName="/xl/comments6.xml" ContentType="application/vnd.openxmlformats-officedocument.spreadsheetml.comments+xml"/>
  <Override PartName="/xl/styles.xml" ContentType="application/vnd.openxmlformats-officedocument.spreadsheetml.styles+xml"/>
  <Override PartName="/xl/sharedStrings.xml" ContentType="application/vnd.openxmlformats-officedocument.spreadsheetml.sharedStrings+xml"/>
  <Override PartName="/xl/ctrlProps/ctrlProps2.xml" ContentType="application/vnd.ms-excel.controlproperties+xml"/>
  <Override PartName="/xl/comments10.xml" ContentType="application/vnd.openxmlformats-officedocument.spreadsheetml.comments+xml"/>
  <Override PartName="/xl/workbook.xml" ContentType="application/vnd.openxmlformats-officedocument.spreadsheetml.sheet.main+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1" activeTab="1"/>
  </bookViews>
  <sheets>
    <sheet name="monci" sheetId="1" state="hidden" r:id="rId3"/>
    <sheet name="Tracking sheet" sheetId="2" state="visible" r:id="rId4"/>
    <sheet name="Value" sheetId="3" state="visible" r:id="rId5"/>
    <sheet name="Project Assumtions" sheetId="4" state="visible" r:id="rId6"/>
    <sheet name="PPA Assumptions &amp;Summary" sheetId="5" state="visible" r:id="rId7"/>
    <sheet name="Operations" sheetId="6" state="visible" r:id="rId8"/>
    <sheet name="Debt Amortization" sheetId="7" state="visible" r:id="rId9"/>
    <sheet name="Returns Summary" sheetId="8" state="visible" r:id="rId10"/>
    <sheet name="Book Income Statement" sheetId="9" state="visible" r:id="rId11"/>
    <sheet name="Cash Flow Statement" sheetId="10" state="visible" r:id="rId12"/>
    <sheet name="BS" sheetId="11" state="visible" r:id="rId13"/>
    <sheet name="Tax Calculations" sheetId="12" state="visible" r:id="rId14"/>
    <sheet name="Depreciation" sheetId="13" state="visible" r:id="rId15"/>
    <sheet name="Interest During Construction" sheetId="14" state="visible" r:id="rId16"/>
    <sheet name="Maintenance Reserves" sheetId="15" state="visible" r:id="rId17"/>
  </sheets>
  <externalReferences>
    <externalReference r:id="rId18"/>
    <externalReference r:id="rId19"/>
    <externalReference r:id="rId20"/>
    <externalReference r:id="rId21"/>
  </externalReferences>
  <definedNames>
    <definedName function="false" hidden="false" localSheetId="8" name="_xlnm.Print_Area" vbProcedure="false">'Book Income Statement'!$B$1:$X$81</definedName>
    <definedName function="false" hidden="false" localSheetId="8" name="_xlnm.Print_Titles" vbProcedure="false">'Book Income Statement'!$B:$C</definedName>
    <definedName function="false" hidden="false" localSheetId="9" name="_xlnm.Print_Area" vbProcedure="false">'Cash Flow Statement'!$A$1:$X$36</definedName>
    <definedName function="false" hidden="false" localSheetId="9" name="_xlnm.Print_Titles" vbProcedure="false">'Cash Flow Statement'!$A:$C</definedName>
    <definedName function="false" hidden="false" localSheetId="6" name="_xlnm.Print_Area" vbProcedure="false">'Debt Amortization'!$A$1:$Y$59</definedName>
    <definedName function="false" hidden="false" localSheetId="6" name="_xlnm.Print_Titles" vbProcedure="false">'Debt Amortization'!$A:$C</definedName>
    <definedName function="false" hidden="false" localSheetId="12" name="_xlnm.Print_Area" vbProcedure="false">Depreciation!$A$1:$W$111</definedName>
    <definedName function="false" hidden="false" localSheetId="12" name="_xlnm.Print_Titles" vbProcedure="false">Depreciation!$A:$B</definedName>
    <definedName function="false" hidden="false" localSheetId="14" name="_xlnm.Print_Area" vbProcedure="false">'Maintenance Reserves'!$A$1:$X$16</definedName>
    <definedName function="false" hidden="false" localSheetId="14" name="_xlnm.Print_Titles" vbProcedure="false">'Maintenance Reserves'!$A:$B</definedName>
    <definedName function="false" hidden="false" localSheetId="5" name="_xlnm.Print_Area" vbProcedure="false">Operations!$A$1:$W$47</definedName>
    <definedName function="false" hidden="false" localSheetId="5" name="_xlnm.Print_Titles" vbProcedure="false">Operations!$A:$B</definedName>
    <definedName function="false" hidden="false" localSheetId="4" name="_xlnm.Print_Area" vbProcedure="false">'PPA Assumptions &amp;Summary'!$A$1:$V$81</definedName>
    <definedName function="false" hidden="false" localSheetId="4" name="_xlnm.Print_Titles" vbProcedure="false">'PPA Assumptions &amp;Summary'!$A:$B</definedName>
    <definedName function="false" hidden="false" localSheetId="3" name="_xlnm.Print_Area" vbProcedure="false">'Project Assumtions'!$A$2:$U$77</definedName>
    <definedName function="false" hidden="false" localSheetId="3" name="_xlnm.Print_Titles" vbProcedure="false">'Project Assumtions'!$1:$4</definedName>
    <definedName function="false" hidden="false" localSheetId="7" name="_xlnm.Print_Area" vbProcedure="false">'Returns Summary'!$A$1:$W$42</definedName>
    <definedName function="false" hidden="false" localSheetId="7" name="_xlnm.Print_Titles" vbProcedure="false">'Returns Summary'!$A:$B</definedName>
    <definedName function="false" hidden="false" localSheetId="11" name="_xlnm.Print_Area" vbProcedure="false">'Tax Calculations'!$A$1:$W$55</definedName>
    <definedName function="false" hidden="false" localSheetId="11" name="_xlnm.Print_Titles" vbProcedure="false">'Tax Calculations'!$A:$C</definedName>
    <definedName function="false" hidden="false" localSheetId="1" name="_xlnm.Print_Area" vbProcedure="false">'Tracking sheet'!$A$1:$G$241</definedName>
    <definedName function="false" hidden="false" localSheetId="1" name="_xlnm.Print_Titles" vbProcedure="false">'Tracking sheet'!$1:$3</definedName>
    <definedName function="false" hidden="false" name="AnnualHours" vbProcedure="false">'Project Assumtions'!$G$14</definedName>
    <definedName function="false" hidden="false" name="AssessedValueMultiplier" vbProcedure="false">'Project Assumtions'!$U$6</definedName>
    <definedName function="false" hidden="false" name="BI" vbProcedure="false">'Book Income Statement'!$B$1:$AB$81</definedName>
    <definedName function="false" hidden="false" name="BusnIInsr" vbProcedure="false">'Project Assumtions'!$N$32</definedName>
    <definedName function="false" hidden="false" name="Cap_Factor_Energy" vbProcedure="false">'Project Assumtions'!$I$23</definedName>
    <definedName function="false" hidden="false" name="CF" vbProcedure="false">'Cash Flow Statement'!$A$1:$AB$36</definedName>
    <definedName function="false" hidden="false" name="CityTaxRate" vbProcedure="false">'Project Assumtions'!$U$12</definedName>
    <definedName function="false" hidden="false" name="CountyMillageTaxRate" vbProcedure="false">'Project Assumtions'!$U$10</definedName>
    <definedName function="false" hidden="false" name="Debt" vbProcedure="false">'Debt Amortization'!$A$1:$AC$59</definedName>
    <definedName function="false" hidden="false" name="DebtTerm" vbProcedure="false">'Project Assumtions'!$I$39</definedName>
    <definedName function="false" hidden="false" name="Deg_Rate" vbProcedure="false">'Project Assumtions'!$F$11</definedName>
    <definedName function="false" hidden="false" name="Deprec" vbProcedure="false">Depreciation!$A$1:$AB$64</definedName>
    <definedName function="false" hidden="false" name="Ebitda" vbProcedure="false">'Book Income Statement'!$B$63:$AB$63</definedName>
    <definedName function="false" hidden="false" name="Energy_Margin" vbProcedure="false">'Project Assumtions'!$F$23</definedName>
    <definedName function="false" hidden="false" name="FercMWh" vbProcedure="false">'Project Assumtions'!$N$9</definedName>
    <definedName function="false" hidden="false" name="Fixed" vbProcedure="false">'Project Assumtions'!$N$22</definedName>
    <definedName function="false" hidden="false" name="FracYr1" vbProcedure="false">'Project Assumtions'!$I$16</definedName>
    <definedName function="false" hidden="false" name="Fuel_Start" vbProcedure="false">'Project Assumtions'!$N$16</definedName>
    <definedName function="false" hidden="false" name="Grace1" vbProcedure="false">'[2]Project Assumptions'!$F$40</definedName>
    <definedName function="false" hidden="false" name="Grace2" vbProcedure="false">'[2]Project Assumptions'!$G$40</definedName>
    <definedName function="false" hidden="false" name="Grace3" vbProcedure="false">'[2]Project Assumptions'!$H$40</definedName>
    <definedName function="false" hidden="false" name="HeatRate" vbProcedure="false">'Project Assumtions'!$I$12</definedName>
    <definedName function="false" hidden="false" name="idc" vbProcedure="false">'Interest During Construction'!$A$1:$I$57</definedName>
    <definedName function="false" hidden="false" name="inf_rate" vbProcedure="false">'Maintenance Reserves'!$G$3</definedName>
    <definedName function="false" hidden="false" name="Int1" vbProcedure="false">'Project Assumtions'!$F$40</definedName>
    <definedName function="false" hidden="false" name="Int2" vbProcedure="false">'Project Assumtions'!$G$40</definedName>
    <definedName function="false" hidden="false" name="Int3" vbProcedure="false">'Project Assumtions'!$H$40</definedName>
    <definedName function="false" hidden="false" name="InterestExpense" vbProcedure="false">'Debt Amortization'!$D$88:$AC$88</definedName>
    <definedName function="false" hidden="false" name="ISO_NetMW" vbProcedure="false">'Project Assumtions'!$I$9</definedName>
    <definedName function="false" hidden="false" name="Labor" vbProcedure="false">'Project Assumtions'!$N$21</definedName>
    <definedName function="false" hidden="false" name="LiabInsr" vbProcedure="false">'Project Assumtions'!$N$31</definedName>
    <definedName function="false" hidden="false" name="MAIN" vbProcedure="false">'Maintenance Reserves'!$A$1:$AB$44</definedName>
    <definedName function="false" hidden="false" name="MainMWh" vbProcedure="false">'Project Assumtions'!$N$10</definedName>
    <definedName function="false" hidden="false" name="Maint_Accrual" vbProcedure="false">#REF!</definedName>
    <definedName function="false" hidden="false" name="Main_Escal" vbProcedure="false">'Project Assumtions'!$P$15</definedName>
    <definedName function="false" hidden="false" name="Main_Start" vbProcedure="false">'Project Assumtions'!$N$15</definedName>
    <definedName function="false" hidden="false" name="Main_Table" vbProcedure="false">'Maintenance Reserves'!$E$19:$J$44</definedName>
    <definedName function="false" hidden="false" name="NetMW" vbProcedure="false">'Project Assumtions'!$I$10</definedName>
    <definedName function="false" hidden="false" name="OM_Escal" vbProcedure="false">'Project Assumtions'!$N$42</definedName>
    <definedName function="false" hidden="false" name="Opcostescalation" vbProcedure="false">'Project Assumtions'!$N$43</definedName>
    <definedName function="false" hidden="false" name="OpMachInsr" vbProcedure="false">'Project Assumtions'!$N$33</definedName>
    <definedName function="false" hidden="false" name="ops" vbProcedure="false">Operations!$A$1:$W$47</definedName>
    <definedName function="false" hidden="false" name="Perc_Draw" vbProcedure="false">'Project Assumtions'!$U$13</definedName>
    <definedName function="false" hidden="false" name="ppa" vbProcedure="false">'PPA Assumptions &amp;Summary'!$A$1:$AA$86</definedName>
    <definedName function="false" hidden="false" name="PPACAPACITY" vbProcedure="false">'Project Assumtions'!$I$27</definedName>
    <definedName function="false" hidden="false" name="PPAHours" vbProcedure="false">'Project Assumtions'!$I$28</definedName>
    <definedName function="false" hidden="false" name="PPATerm" vbProcedure="false">'Project Assumtions'!$I$26</definedName>
    <definedName function="false" hidden="false" name="PPA_Price" vbProcedure="false">'Project Assumtions'!$I$29</definedName>
    <definedName function="false" hidden="false" name="principal" vbProcedure="false">'Debt Amortization'!$D$89:$AC$89</definedName>
    <definedName function="false" hidden="false" name="Principal1" vbProcedure="false">'Project Assumtions'!$F$38</definedName>
    <definedName function="false" hidden="false" name="Principal2" vbProcedure="false">'Project Assumtions'!$G$38</definedName>
    <definedName function="false" hidden="false" name="Principal3" vbProcedure="false">'Project Assumtions'!$H$38</definedName>
    <definedName function="false" hidden="false" name="ProjectLife" vbProcedure="false">'Project Assumtions'!$I$15</definedName>
    <definedName function="false" hidden="false" name="Pro_Ass" vbProcedure="false">'Project Assumtions'!$A$1:$U$72</definedName>
    <definedName function="false" hidden="false" name="Returns" vbProcedure="false">'Returns Summary'!$A$1:$AA$42</definedName>
    <definedName function="false" hidden="false" name="s" vbProcedure="false">'Tracking sheet'!$A$6:$X$12</definedName>
    <definedName function="false" hidden="false" name="SchoolMillageTaxRate" vbProcedure="false">'Project Assumtions'!$U$7</definedName>
    <definedName function="false" hidden="false" name="StartDate" vbProcedure="false">'Project Assumtions'!$G$16</definedName>
    <definedName function="false" hidden="false" name="StartMWh" vbProcedure="false">#REF!</definedName>
    <definedName function="false" hidden="false" name="Tax" vbProcedure="false">'Tax Calculations'!$A$1:$AB$64</definedName>
    <definedName function="false" hidden="false" name="Term1" vbProcedure="false">'Project Assumtions'!$F$39</definedName>
    <definedName function="false" hidden="false" name="Term2" vbProcedure="false">'Project Assumtions'!$G$39</definedName>
    <definedName function="false" hidden="false" name="Term3" vbProcedure="false">'Project Assumtions'!$H$39</definedName>
    <definedName function="false" hidden="false" name="TVA_hours" vbProcedure="false">'Project Assumtions'!$I$14</definedName>
    <definedName function="false" hidden="false" name="Variable" vbProcedure="false">'Project Assumtions'!$L$10</definedName>
    <definedName function="false" hidden="false" name="VariableMwh" vbProcedure="false">'Project Assumtions'!$N$11</definedName>
    <definedName function="false" hidden="false" name="VEP" vbProcedure="false">'Project Assumtions'!$F$21</definedName>
    <definedName function="false" hidden="false" name="VEP_ESCAL" vbProcedure="false">'Project Assumtions'!$I$21</definedName>
    <definedName function="false" hidden="false" name="WaterMWh" vbProcedure="false">'Project Assumtions'!$N$8</definedName>
    <definedName function="false" hidden="false" name="WaterTreatmentVar" vbProcedure="false">'Project Assumtions'!$L$8</definedName>
    <definedName function="false" hidden="false" name="wrn_test1_" vbProcedure="false">{"Income Statement",#N/A,FALSE,"CFMODEL";"Balance Sheet",#N/A,FALSE,"CFMODEL"}</definedName>
    <definedName function="false" hidden="false" name="wrn_test2_" vbProcedure="false">{"SourcesUses",#N/A,TRUE,"CFMODEL";"TransOverview",#N/A,TRUE,"CFMODEL"}</definedName>
    <definedName function="false" hidden="false" name="wrn_test3_" vbProcedure="false">{"SourcesUses",#N/A,TRUE,#N/A;"TransOverview",#N/A,TRUE,"CFMODEL"}</definedName>
    <definedName function="false" hidden="false" name="wrn_test4_" vbProcedure="false">{"SourcesUses",#N/A,TRUE,"FundsFlow";"TransOverview",#N/A,TRUE,"FundsFlow"}</definedName>
    <definedName function="false" hidden="false" localSheetId="3" name="solver_adj" vbProcedure="false">'Project Assumtions'!$I$29</definedName>
    <definedName function="false" hidden="false" localSheetId="3" name="solver_cvg" vbProcedure="false">0.001</definedName>
    <definedName function="false" hidden="false" localSheetId="3" name="solver_drv" vbProcedure="false">1</definedName>
    <definedName function="false" hidden="false" localSheetId="3" name="solver_est" vbProcedure="false">1</definedName>
    <definedName function="false" hidden="false" localSheetId="3" name="solver_itr" vbProcedure="false">100</definedName>
    <definedName function="false" hidden="false" localSheetId="3" name="solver_lin" vbProcedure="false">2</definedName>
    <definedName function="false" hidden="false" localSheetId="3" name="solver_neg" vbProcedure="false">2</definedName>
    <definedName function="false" hidden="false" localSheetId="3" name="solver_num" vbProcedure="false">0</definedName>
    <definedName function="false" hidden="false" localSheetId="3" name="solver_nwt" vbProcedure="false">1</definedName>
    <definedName function="false" hidden="false" localSheetId="3" name="solver_opt" vbProcedure="false">'Project Assumtions'!$I$60</definedName>
    <definedName function="false" hidden="false" localSheetId="3" name="solver_pre" vbProcedure="false">0.000001</definedName>
    <definedName function="false" hidden="false" localSheetId="3" name="solver_scl" vbProcedure="false">2</definedName>
    <definedName function="false" hidden="false" localSheetId="3" name="solver_sho" vbProcedure="false">2</definedName>
    <definedName function="false" hidden="false" localSheetId="3" name="solver_tim" vbProcedure="false">100</definedName>
    <definedName function="false" hidden="false" localSheetId="3" name="solver_tol" vbProcedure="false">0.05</definedName>
    <definedName function="false" hidden="false" localSheetId="3" name="solver_typ" vbProcedure="false">3</definedName>
    <definedName function="false" hidden="false" localSheetId="3" name="solver_val" vbProcedure="false">0.12</definedName>
    <definedName function="false" hidden="false" localSheetId="3" name="Z_9D7575BF_255B_11D2_8267_00A0D1027254__wvu_PrintArea" vbProcedure="false">'Project Assumtions'!$A$1:$N$62</definedName>
    <definedName function="false" hidden="false" localSheetId="6" name="wrn_test1_" vbProcedure="false">{"Income Statement",#N/A,FALSE,"CFMODEL";"Balance Sheet",#N/A,FALSE,"CFMODEL"}</definedName>
    <definedName function="false" hidden="false" localSheetId="6" name="wrn_test2_" vbProcedure="false">{"SourcesUses",#N/A,TRUE,"CFMODEL";"TransOverview",#N/A,TRUE,"CFMODEL"}</definedName>
    <definedName function="false" hidden="false" localSheetId="6" name="wrn_test3_" vbProcedure="false">{"SourcesUses",#N/A,TRUE,#N/A;"TransOverview",#N/A,TRUE,"CFMODEL"}</definedName>
    <definedName function="false" hidden="false" localSheetId="6" name="wrn_test4_" vbProcedure="false">{"SourcesUses",#N/A,TRUE,"FundsFlow";"TransOverview",#N/A,TRUE,"FundsFlow"}</definedName>
    <definedName function="false" hidden="false" localSheetId="6" name="Z_9D7575BF_255B_11D2_8267_00A0D1027254__wvu_PrintTitles" vbProcedure="false">'Debt Amortization'!$A:$B</definedName>
    <definedName function="false" hidden="false" localSheetId="7" name="wrn_test1_" vbProcedure="false">{"Income Statement",#N/A,FALSE,"CFMODEL";"Balance Sheet",#N/A,FALSE,"CFMODEL"}</definedName>
    <definedName function="false" hidden="false" localSheetId="7" name="wrn_test2_" vbProcedure="false">{"SourcesUses",#N/A,TRUE,"CFMODEL";"TransOverview",#N/A,TRUE,"CFMODEL"}</definedName>
    <definedName function="false" hidden="false" localSheetId="7" name="wrn_test3_" vbProcedure="false">{"SourcesUses",#N/A,TRUE,#N/A;"TransOverview",#N/A,TRUE,"CFMODEL"}</definedName>
    <definedName function="false" hidden="false" localSheetId="7" name="wrn_test4_" vbProcedure="false">{"SourcesUses",#N/A,TRUE,"FundsFlow";"TransOverview",#N/A,TRUE,"FundsFlow"}</definedName>
    <definedName function="false" hidden="false" localSheetId="7" name="Z_9D7575BF_255B_11D2_8267_00A0D1027254__wvu_PrintArea" vbProcedure="false">'Returns Summary'!$C$1:$AA$37</definedName>
    <definedName function="false" hidden="false" localSheetId="8" name="Z_9D7575BF_255B_11D2_8267_00A0D1027254__wvu_PrintArea" vbProcedure="false">'Book Income Statement'!$B$1:$AB$81</definedName>
    <definedName function="false" hidden="false" localSheetId="8" name="Z_9D7575BF_255B_11D2_8267_00A0D1027254__wvu_Rows" vbProcedure="false">'Book Income Statement'!$5:$8,#REF!</definedName>
    <definedName function="false" hidden="false" localSheetId="9" name="Z_9D7575BF_255B_11D2_8267_00A0D1027254__wvu_PrintArea" vbProcedure="false">'Cash Flow Statement'!$D$1:$AB$36</definedName>
    <definedName function="false" hidden="false" localSheetId="13" name="Z_87D5054C_0AAC_11D2_824B_00A0D1027254__wvu_PrintArea" vbProcedure="false">'Interest During Construction'!$A$2:$I$63</definedName>
    <definedName function="false" hidden="false" localSheetId="14" name="wrn_test1_" vbProcedure="false">{"Income Statement",#N/A,FALSE,"CFMODEL";"Balance Sheet",#N/A,FALSE,"CFMODEL"}</definedName>
    <definedName function="false" hidden="false" localSheetId="14" name="wrn_test2_" vbProcedure="false">{"SourcesUses",#N/A,TRUE,"CFMODEL";"TransOverview",#N/A,TRUE,"CFMODEL"}</definedName>
    <definedName function="false" hidden="false" localSheetId="14" name="wrn_test3_" vbProcedure="false">{"SourcesUses",#N/A,TRUE,#N/A;"TransOverview",#N/A,TRUE,"CFMODEL"}</definedName>
    <definedName function="false" hidden="false" localSheetId="14" name="wrn_test4_" vbProcedure="false">{"SourcesUses",#N/A,TRUE,"FundsFlow";"TransOverview",#N/A,TRUE,"FundsFlow"}</definedName>
    <definedName function="false" hidden="false" localSheetId="14" name="Z_14FB3146_3CEF_11D2_B9CE_0060080D6A65__wvu_PrintArea" vbProcedure="false">'Maintenance Reserves'!$C$1:$AB$34</definedName>
    <definedName function="false" hidden="false" localSheetId="14" name="Z_14FB3146_3CEF_11D2_B9CE_0060080D6A65__wvu_PrintTitles" vbProcedure="false">'Maintenance Reserves'!$A:$B</definedName>
    <definedName function="false" hidden="false" localSheetId="14" name="Z_14FB3146_3CEF_11D2_B9CE_0060080D6A65__wvu_Rows" vbProcedure="false">'Maintenance Reserves'!$15:$15,'Maintenance Reserves'!$27:$34</definedName>
    <definedName function="false" hidden="false" localSheetId="14" name="Z_9D7575BF_255B_11D2_8267_00A0D1027254__wvu_PrintArea" vbProcedure="false">'Maintenance Reserves'!$C$1:$AB$34</definedName>
    <definedName function="false" hidden="false" localSheetId="14" name="Z_9D7575BF_255B_11D2_8267_00A0D1027254__wvu_PrintTitles" vbProcedure="false">'Maintenance Reserves'!$A:$B</definedName>
    <definedName function="false" hidden="false" localSheetId="14" name="Z_9D7575BF_255B_11D2_8267_00A0D1027254__wvu_Rows" vbProcedure="false">'Maintenance Reserves'!$15:$15,'Maintenance Reserves'!$27:$34</definedName>
  </definedNames>
  <calcPr iterateCount="100" refMode="A1" iterate="false" iterateDelta="0.001"/>
  <extLst>
    <ext xmlns:loext="http://schemas.libreoffice.org/" uri="{7626C862-2A13-11E5-B345-FEFF819CDC9F}">
      <loext:extCalcPr stringRefSyntax="CalcA1"/>
    </ext>
  </extLst>
</workbook>
</file>

<file path=xl/comments1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0" authorId="0">
      <text>
        <r>
          <rPr>
            <b val="true"/>
            <sz val="8"/>
            <color rgb="FF000000"/>
            <rFont val="Tahoma"/>
            <family val="0"/>
          </rPr>
          <t xml:space="preserve">Sheetal J Bajoria x3-5692:
</t>
        </r>
        <r>
          <rPr>
            <sz val="8"/>
            <color rgb="FF000000"/>
            <rFont val="Tahoma"/>
            <family val="0"/>
          </rPr>
          <t xml:space="preserve">CHANGED FORMULA</t>
        </r>
      </text>
      <mc:AlternateContent>
        <mc:Choice Requires="v2">
          <commentPr autoFill="true" autoScale="false" colHidden="false" locked="false" rowHidden="false" textHAlign="justify" textVAlign="top">
            <anchor moveWithCells="false" sizeWithCells="false">
              <xdr:from>
                <xdr:col>1</xdr:col>
                <xdr:colOff>16</xdr:colOff>
                <xdr:row>18</xdr:row>
                <xdr:rowOff>5</xdr:rowOff>
              </xdr:from>
              <xdr:to>
                <xdr:col>2</xdr:col>
                <xdr:colOff>42</xdr:colOff>
                <xdr:row>22</xdr:row>
                <xdr:rowOff>15</xdr:rowOff>
              </xdr:to>
            </anchor>
          </commentPr>
        </mc:Choice>
        <mc:Fallback/>
      </mc:AlternateContent>
    </comment>
    <comment ref="D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4</xdr:col>
                <xdr:colOff>16</xdr:colOff>
                <xdr:row>12</xdr:row>
                <xdr:rowOff>4</xdr:rowOff>
              </xdr:from>
              <xdr:to>
                <xdr:col>6</xdr:col>
                <xdr:colOff>13</xdr:colOff>
                <xdr:row>16</xdr:row>
                <xdr:rowOff>15</xdr:rowOff>
              </xdr:to>
            </anchor>
          </commentPr>
        </mc:Choice>
        <mc:Fallback/>
      </mc:AlternateContent>
    </comment>
    <comment ref="D20" authorId="0">
      <text>
        <r>
          <rPr>
            <b val="true"/>
            <sz val="8"/>
            <color rgb="FF000000"/>
            <rFont val="Tahoma"/>
            <family val="0"/>
          </rPr>
          <t xml:space="preserve">Sheetal J Bajoria x3-5692:
</t>
        </r>
        <r>
          <rPr>
            <sz val="8"/>
            <color rgb="FF000000"/>
            <rFont val="Tahoma"/>
            <family val="0"/>
          </rPr>
          <t xml:space="preserve">chca</t>
        </r>
      </text>
      <mc:AlternateContent>
        <mc:Choice Requires="v2">
          <commentPr autoFill="true" autoScale="false" colHidden="false" locked="false" rowHidden="false" textHAlign="justify" textVAlign="top">
            <anchor moveWithCells="false" sizeWithCells="false">
              <xdr:from>
                <xdr:col>4</xdr:col>
                <xdr:colOff>16</xdr:colOff>
                <xdr:row>18</xdr:row>
                <xdr:rowOff>5</xdr:rowOff>
              </xdr:from>
              <xdr:to>
                <xdr:col>6</xdr:col>
                <xdr:colOff>14</xdr:colOff>
                <xdr:row>22</xdr:row>
                <xdr:rowOff>15</xdr:rowOff>
              </xdr:to>
            </anchor>
          </commentPr>
        </mc:Choice>
        <mc:Fallback/>
      </mc:AlternateContent>
    </comment>
    <comment ref="E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5</xdr:col>
                <xdr:colOff>16</xdr:colOff>
                <xdr:row>12</xdr:row>
                <xdr:rowOff>4</xdr:rowOff>
              </xdr:from>
              <xdr:to>
                <xdr:col>7</xdr:col>
                <xdr:colOff>13</xdr:colOff>
                <xdr:row>16</xdr:row>
                <xdr:rowOff>15</xdr:rowOff>
              </xdr:to>
            </anchor>
          </commentPr>
        </mc:Choice>
        <mc:Fallback/>
      </mc:AlternateContent>
    </comment>
    <comment ref="F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6</xdr:col>
                <xdr:colOff>16</xdr:colOff>
                <xdr:row>12</xdr:row>
                <xdr:rowOff>4</xdr:rowOff>
              </xdr:from>
              <xdr:to>
                <xdr:col>8</xdr:col>
                <xdr:colOff>13</xdr:colOff>
                <xdr:row>16</xdr:row>
                <xdr:rowOff>15</xdr:rowOff>
              </xdr:to>
            </anchor>
          </commentPr>
        </mc:Choice>
        <mc:Fallback/>
      </mc:AlternateContent>
    </comment>
    <comment ref="G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7</xdr:col>
                <xdr:colOff>16</xdr:colOff>
                <xdr:row>12</xdr:row>
                <xdr:rowOff>4</xdr:rowOff>
              </xdr:from>
              <xdr:to>
                <xdr:col>9</xdr:col>
                <xdr:colOff>13</xdr:colOff>
                <xdr:row>16</xdr:row>
                <xdr:rowOff>15</xdr:rowOff>
              </xdr:to>
            </anchor>
          </commentPr>
        </mc:Choice>
        <mc:Fallback/>
      </mc:AlternateContent>
    </comment>
    <comment ref="H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8</xdr:col>
                <xdr:colOff>16</xdr:colOff>
                <xdr:row>12</xdr:row>
                <xdr:rowOff>4</xdr:rowOff>
              </xdr:from>
              <xdr:to>
                <xdr:col>10</xdr:col>
                <xdr:colOff>13</xdr:colOff>
                <xdr:row>16</xdr:row>
                <xdr:rowOff>15</xdr:rowOff>
              </xdr:to>
            </anchor>
          </commentPr>
        </mc:Choice>
        <mc:Fallback/>
      </mc:AlternateContent>
    </comment>
    <comment ref="I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9</xdr:col>
                <xdr:colOff>16</xdr:colOff>
                <xdr:row>12</xdr:row>
                <xdr:rowOff>4</xdr:rowOff>
              </xdr:from>
              <xdr:to>
                <xdr:col>11</xdr:col>
                <xdr:colOff>13</xdr:colOff>
                <xdr:row>16</xdr:row>
                <xdr:rowOff>15</xdr:rowOff>
              </xdr:to>
            </anchor>
          </commentPr>
        </mc:Choice>
        <mc:Fallback/>
      </mc:AlternateContent>
    </comment>
    <comment ref="J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10</xdr:col>
                <xdr:colOff>16</xdr:colOff>
                <xdr:row>12</xdr:row>
                <xdr:rowOff>4</xdr:rowOff>
              </xdr:from>
              <xdr:to>
                <xdr:col>12</xdr:col>
                <xdr:colOff>13</xdr:colOff>
                <xdr:row>16</xdr:row>
                <xdr:rowOff>15</xdr:rowOff>
              </xdr:to>
            </anchor>
          </commentPr>
        </mc:Choice>
        <mc:Fallback/>
      </mc:AlternateContent>
    </comment>
    <comment ref="K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11</xdr:col>
                <xdr:colOff>16</xdr:colOff>
                <xdr:row>12</xdr:row>
                <xdr:rowOff>4</xdr:rowOff>
              </xdr:from>
              <xdr:to>
                <xdr:col>13</xdr:col>
                <xdr:colOff>13</xdr:colOff>
                <xdr:row>16</xdr:row>
                <xdr:rowOff>15</xdr:rowOff>
              </xdr:to>
            </anchor>
          </commentPr>
        </mc:Choice>
        <mc:Fallback/>
      </mc:AlternateContent>
    </comment>
    <comment ref="L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12</xdr:col>
                <xdr:colOff>16</xdr:colOff>
                <xdr:row>12</xdr:row>
                <xdr:rowOff>4</xdr:rowOff>
              </xdr:from>
              <xdr:to>
                <xdr:col>14</xdr:col>
                <xdr:colOff>13</xdr:colOff>
                <xdr:row>16</xdr:row>
                <xdr:rowOff>15</xdr:rowOff>
              </xdr:to>
            </anchor>
          </commentPr>
        </mc:Choice>
        <mc:Fallback/>
      </mc:AlternateContent>
    </comment>
    <comment ref="M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13</xdr:col>
                <xdr:colOff>16</xdr:colOff>
                <xdr:row>12</xdr:row>
                <xdr:rowOff>4</xdr:rowOff>
              </xdr:from>
              <xdr:to>
                <xdr:col>15</xdr:col>
                <xdr:colOff>13</xdr:colOff>
                <xdr:row>16</xdr:row>
                <xdr:rowOff>15</xdr:rowOff>
              </xdr:to>
            </anchor>
          </commentPr>
        </mc:Choice>
        <mc:Fallback/>
      </mc:AlternateContent>
    </comment>
    <comment ref="N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14</xdr:col>
                <xdr:colOff>16</xdr:colOff>
                <xdr:row>12</xdr:row>
                <xdr:rowOff>4</xdr:rowOff>
              </xdr:from>
              <xdr:to>
                <xdr:col>16</xdr:col>
                <xdr:colOff>13</xdr:colOff>
                <xdr:row>16</xdr:row>
                <xdr:rowOff>15</xdr:rowOff>
              </xdr:to>
            </anchor>
          </commentPr>
        </mc:Choice>
        <mc:Fallback/>
      </mc:AlternateContent>
    </comment>
    <comment ref="O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15</xdr:col>
                <xdr:colOff>16</xdr:colOff>
                <xdr:row>12</xdr:row>
                <xdr:rowOff>4</xdr:rowOff>
              </xdr:from>
              <xdr:to>
                <xdr:col>17</xdr:col>
                <xdr:colOff>13</xdr:colOff>
                <xdr:row>16</xdr:row>
                <xdr:rowOff>15</xdr:rowOff>
              </xdr:to>
            </anchor>
          </commentPr>
        </mc:Choice>
        <mc:Fallback/>
      </mc:AlternateContent>
    </comment>
    <comment ref="P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16</xdr:col>
                <xdr:colOff>16</xdr:colOff>
                <xdr:row>12</xdr:row>
                <xdr:rowOff>4</xdr:rowOff>
              </xdr:from>
              <xdr:to>
                <xdr:col>18</xdr:col>
                <xdr:colOff>13</xdr:colOff>
                <xdr:row>16</xdr:row>
                <xdr:rowOff>15</xdr:rowOff>
              </xdr:to>
            </anchor>
          </commentPr>
        </mc:Choice>
        <mc:Fallback/>
      </mc:AlternateContent>
    </comment>
    <comment ref="Q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17</xdr:col>
                <xdr:colOff>16</xdr:colOff>
                <xdr:row>12</xdr:row>
                <xdr:rowOff>4</xdr:rowOff>
              </xdr:from>
              <xdr:to>
                <xdr:col>19</xdr:col>
                <xdr:colOff>13</xdr:colOff>
                <xdr:row>16</xdr:row>
                <xdr:rowOff>15</xdr:rowOff>
              </xdr:to>
            </anchor>
          </commentPr>
        </mc:Choice>
        <mc:Fallback/>
      </mc:AlternateContent>
    </comment>
    <comment ref="R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18</xdr:col>
                <xdr:colOff>16</xdr:colOff>
                <xdr:row>12</xdr:row>
                <xdr:rowOff>4</xdr:rowOff>
              </xdr:from>
              <xdr:to>
                <xdr:col>20</xdr:col>
                <xdr:colOff>13</xdr:colOff>
                <xdr:row>16</xdr:row>
                <xdr:rowOff>15</xdr:rowOff>
              </xdr:to>
            </anchor>
          </commentPr>
        </mc:Choice>
        <mc:Fallback/>
      </mc:AlternateContent>
    </comment>
    <comment ref="S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19</xdr:col>
                <xdr:colOff>16</xdr:colOff>
                <xdr:row>12</xdr:row>
                <xdr:rowOff>4</xdr:rowOff>
              </xdr:from>
              <xdr:to>
                <xdr:col>21</xdr:col>
                <xdr:colOff>13</xdr:colOff>
                <xdr:row>16</xdr:row>
                <xdr:rowOff>15</xdr:rowOff>
              </xdr:to>
            </anchor>
          </commentPr>
        </mc:Choice>
        <mc:Fallback/>
      </mc:AlternateContent>
    </comment>
    <comment ref="T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20</xdr:col>
                <xdr:colOff>16</xdr:colOff>
                <xdr:row>12</xdr:row>
                <xdr:rowOff>4</xdr:rowOff>
              </xdr:from>
              <xdr:to>
                <xdr:col>22</xdr:col>
                <xdr:colOff>13</xdr:colOff>
                <xdr:row>16</xdr:row>
                <xdr:rowOff>15</xdr:rowOff>
              </xdr:to>
            </anchor>
          </commentPr>
        </mc:Choice>
        <mc:Fallback/>
      </mc:AlternateContent>
    </comment>
    <comment ref="U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21</xdr:col>
                <xdr:colOff>16</xdr:colOff>
                <xdr:row>12</xdr:row>
                <xdr:rowOff>4</xdr:rowOff>
              </xdr:from>
              <xdr:to>
                <xdr:col>23</xdr:col>
                <xdr:colOff>13</xdr:colOff>
                <xdr:row>16</xdr:row>
                <xdr:rowOff>15</xdr:rowOff>
              </xdr:to>
            </anchor>
          </commentPr>
        </mc:Choice>
        <mc:Fallback/>
      </mc:AlternateContent>
    </comment>
    <comment ref="V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22</xdr:col>
                <xdr:colOff>16</xdr:colOff>
                <xdr:row>12</xdr:row>
                <xdr:rowOff>4</xdr:rowOff>
              </xdr:from>
              <xdr:to>
                <xdr:col>24</xdr:col>
                <xdr:colOff>13</xdr:colOff>
                <xdr:row>16</xdr:row>
                <xdr:rowOff>15</xdr:rowOff>
              </xdr:to>
            </anchor>
          </commentPr>
        </mc:Choice>
        <mc:Fallback/>
      </mc:AlternateContent>
    </comment>
    <comment ref="W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23</xdr:col>
                <xdr:colOff>16</xdr:colOff>
                <xdr:row>12</xdr:row>
                <xdr:rowOff>4</xdr:rowOff>
              </xdr:from>
              <xdr:to>
                <xdr:col>27</xdr:col>
                <xdr:colOff>13</xdr:colOff>
                <xdr:row>16</xdr:row>
                <xdr:rowOff>15</xdr:rowOff>
              </xdr:to>
            </anchor>
          </commentPr>
        </mc:Choice>
        <mc:Fallback/>
      </mc:AlternateContent>
    </comment>
    <comment ref="X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24</xdr:col>
                <xdr:colOff>16</xdr:colOff>
                <xdr:row>12</xdr:row>
                <xdr:rowOff>4</xdr:rowOff>
              </xdr:from>
              <xdr:to>
                <xdr:col>28</xdr:col>
                <xdr:colOff>13</xdr:colOff>
                <xdr:row>16</xdr:row>
                <xdr:rowOff>15</xdr:rowOff>
              </xdr:to>
            </anchor>
          </commentPr>
        </mc:Choice>
        <mc:Fallback/>
      </mc:AlternateContent>
    </comment>
    <comment ref="Y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27</xdr:col>
                <xdr:colOff>16</xdr:colOff>
                <xdr:row>12</xdr:row>
                <xdr:rowOff>4</xdr:rowOff>
              </xdr:from>
              <xdr:to>
                <xdr:col>29</xdr:col>
                <xdr:colOff>13</xdr:colOff>
                <xdr:row>16</xdr:row>
                <xdr:rowOff>15</xdr:rowOff>
              </xdr:to>
            </anchor>
          </commentPr>
        </mc:Choice>
        <mc:Fallback/>
      </mc:AlternateContent>
    </comment>
    <comment ref="Z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true" locked="false" rowHidden="false" textHAlign="justify" textVAlign="top">
            <anchor moveWithCells="false" sizeWithCells="false">
              <xdr:from>
                <xdr:col>28</xdr:col>
                <xdr:colOff>16</xdr:colOff>
                <xdr:row>12</xdr:row>
                <xdr:rowOff>4</xdr:rowOff>
              </xdr:from>
              <xdr:to>
                <xdr:col>30</xdr:col>
                <xdr:colOff>13</xdr:colOff>
                <xdr:row>16</xdr:row>
                <xdr:rowOff>15</xdr:rowOff>
              </xdr:to>
            </anchor>
          </commentPr>
        </mc:Choice>
        <mc:Fallback/>
      </mc:AlternateContent>
    </comment>
    <comment ref="AA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true" locked="false" rowHidden="false" textHAlign="justify" textVAlign="top">
            <anchor moveWithCells="false" sizeWithCells="false">
              <xdr:from>
                <xdr:col>29</xdr:col>
                <xdr:colOff>16</xdr:colOff>
                <xdr:row>12</xdr:row>
                <xdr:rowOff>4</xdr:rowOff>
              </xdr:from>
              <xdr:to>
                <xdr:col>31</xdr:col>
                <xdr:colOff>13</xdr:colOff>
                <xdr:row>16</xdr:row>
                <xdr:rowOff>15</xdr:rowOff>
              </xdr:to>
            </anchor>
          </commentPr>
        </mc:Choice>
        <mc:Fallback/>
      </mc:AlternateContent>
    </comment>
    <comment ref="AB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30</xdr:col>
                <xdr:colOff>16</xdr:colOff>
                <xdr:row>12</xdr:row>
                <xdr:rowOff>4</xdr:rowOff>
              </xdr:from>
              <xdr:to>
                <xdr:col>32</xdr:col>
                <xdr:colOff>13</xdr:colOff>
                <xdr:row>16</xdr:row>
                <xdr:rowOff>15</xdr:rowOff>
              </xdr:to>
            </anchor>
          </commentPr>
        </mc:Choice>
        <mc:Fallback/>
      </mc:AlternateContent>
    </comment>
    <comment ref="AC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31</xdr:col>
                <xdr:colOff>16</xdr:colOff>
                <xdr:row>12</xdr:row>
                <xdr:rowOff>4</xdr:rowOff>
              </xdr:from>
              <xdr:to>
                <xdr:col>33</xdr:col>
                <xdr:colOff>13</xdr:colOff>
                <xdr:row>16</xdr:row>
                <xdr:rowOff>15</xdr:rowOff>
              </xdr:to>
            </anchor>
          </commentPr>
        </mc:Choice>
        <mc:Fallback/>
      </mc:AlternateContent>
    </comment>
    <comment ref="AD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32</xdr:col>
                <xdr:colOff>16</xdr:colOff>
                <xdr:row>12</xdr:row>
                <xdr:rowOff>4</xdr:rowOff>
              </xdr:from>
              <xdr:to>
                <xdr:col>34</xdr:col>
                <xdr:colOff>13</xdr:colOff>
                <xdr:row>16</xdr:row>
                <xdr:rowOff>15</xdr:rowOff>
              </xdr:to>
            </anchor>
          </commentPr>
        </mc:Choice>
        <mc:Fallback/>
      </mc:AlternateContent>
    </comment>
    <comment ref="AE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33</xdr:col>
                <xdr:colOff>16</xdr:colOff>
                <xdr:row>12</xdr:row>
                <xdr:rowOff>4</xdr:rowOff>
              </xdr:from>
              <xdr:to>
                <xdr:col>35</xdr:col>
                <xdr:colOff>13</xdr:colOff>
                <xdr:row>16</xdr:row>
                <xdr:rowOff>15</xdr:rowOff>
              </xdr:to>
            </anchor>
          </commentPr>
        </mc:Choice>
        <mc:Fallback/>
      </mc:AlternateContent>
    </comment>
    <comment ref="AF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34</xdr:col>
                <xdr:colOff>16</xdr:colOff>
                <xdr:row>12</xdr:row>
                <xdr:rowOff>4</xdr:rowOff>
              </xdr:from>
              <xdr:to>
                <xdr:col>36</xdr:col>
                <xdr:colOff>13</xdr:colOff>
                <xdr:row>16</xdr:row>
                <xdr:rowOff>15</xdr:rowOff>
              </xdr:to>
            </anchor>
          </commentPr>
        </mc:Choice>
        <mc:Fallback/>
      </mc:AlternateContent>
    </comment>
    <comment ref="AG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35</xdr:col>
                <xdr:colOff>16</xdr:colOff>
                <xdr:row>12</xdr:row>
                <xdr:rowOff>4</xdr:rowOff>
              </xdr:from>
              <xdr:to>
                <xdr:col>37</xdr:col>
                <xdr:colOff>13</xdr:colOff>
                <xdr:row>16</xdr:row>
                <xdr:rowOff>15</xdr:rowOff>
              </xdr:to>
            </anchor>
          </commentPr>
        </mc:Choice>
        <mc:Fallback/>
      </mc:AlternateContent>
    </comment>
  </commentList>
</comments>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3" authorId="0">
      <text>
        <r>
          <rPr>
            <b val="true"/>
            <sz val="8"/>
            <color rgb="FF000000"/>
            <rFont val="Tahoma"/>
            <family val="0"/>
          </rPr>
          <t xml:space="preserve">Sheetal J Bajoria x3-5692:
</t>
        </r>
        <r>
          <rPr>
            <sz val="8"/>
            <color rgb="FF000000"/>
            <rFont val="Tahoma"/>
            <family val="0"/>
          </rPr>
          <t xml:space="preserve">
CHANGED FROM GROSS RECEIPTS ON TOTAL REVENUE.</t>
        </r>
      </text>
      <mc:AlternateContent>
        <mc:Choice Requires="v2">
          <commentPr autoFill="true" autoScale="false" colHidden="false" locked="false" rowHidden="false" textHAlign="justify" textVAlign="top">
            <anchor moveWithCells="false" sizeWithCells="false">
              <xdr:from>
                <xdr:col>1</xdr:col>
                <xdr:colOff>20</xdr:colOff>
                <xdr:row>15</xdr:row>
                <xdr:rowOff>2</xdr:rowOff>
              </xdr:from>
              <xdr:to>
                <xdr:col>2</xdr:col>
                <xdr:colOff>46</xdr:colOff>
                <xdr:row>20</xdr:row>
                <xdr:rowOff>5</xdr:rowOff>
              </xdr:to>
            </anchor>
          </commentPr>
        </mc:Choice>
        <mc:Fallback/>
      </mc:AlternateContent>
    </comment>
  </commentList>
</comments>
</file>

<file path=xl/comments1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34" authorId="0">
      <text>
        <r>
          <rPr>
            <b val="true"/>
            <sz val="8"/>
            <color rgb="FF000000"/>
            <rFont val="Tahoma"/>
            <family val="0"/>
          </rPr>
          <t xml:space="preserve">bgarret:
</t>
        </r>
        <r>
          <rPr>
            <sz val="8"/>
            <color rgb="FF000000"/>
            <rFont val="Tahoma"/>
            <family val="0"/>
          </rPr>
          <t xml:space="preserve">should vary with term of debt.
</t>
        </r>
      </text>
      <mc:AlternateContent>
        <mc:Choice Requires="v2">
          <commentPr autoFill="true" autoScale="false" colHidden="false" locked="false" rowHidden="false" textHAlign="justify" textVAlign="top">
            <anchor moveWithCells="false" sizeWithCells="false">
              <xdr:from>
                <xdr:col>1</xdr:col>
                <xdr:colOff>59</xdr:colOff>
                <xdr:row>32</xdr:row>
                <xdr:rowOff>5</xdr:rowOff>
              </xdr:from>
              <xdr:to>
                <xdr:col>2</xdr:col>
                <xdr:colOff>69</xdr:colOff>
                <xdr:row>36</xdr:row>
                <xdr:rowOff>15</xdr:rowOff>
              </xdr:to>
            </anchor>
          </commentPr>
        </mc:Choice>
        <mc:Fallback/>
      </mc:AlternateContent>
    </comment>
    <comment ref="D49" authorId="0">
      <text>
        <r>
          <rPr>
            <b val="true"/>
            <sz val="8"/>
            <color rgb="FF000000"/>
            <rFont val="Tahoma"/>
            <family val="0"/>
          </rPr>
          <t xml:space="preserve">This is a CWIP rate as this appraisal will be done on 12/99 or mid construction.  Warren Scheck</t>
        </r>
      </text>
      <mc:AlternateContent>
        <mc:Choice Requires="v2">
          <commentPr autoFill="true" autoScale="false" colHidden="false" locked="false" rowHidden="false" textHAlign="justify" textVAlign="top">
            <anchor moveWithCells="false" sizeWithCells="false">
              <xdr:from>
                <xdr:col>3</xdr:col>
                <xdr:colOff>61</xdr:colOff>
                <xdr:row>47</xdr:row>
                <xdr:rowOff>5</xdr:rowOff>
              </xdr:from>
              <xdr:to>
                <xdr:col>5</xdr:col>
                <xdr:colOff>58</xdr:colOff>
                <xdr:row>52</xdr:row>
                <xdr:rowOff>3</xdr:rowOff>
              </xdr:to>
            </anchor>
          </commentPr>
        </mc:Choice>
        <mc:Fallback/>
      </mc:AlternateContent>
    </comment>
    <comment ref="E49" authorId="0">
      <text>
        <r>
          <rPr>
            <b val="true"/>
            <sz val="8"/>
            <color rgb="FF000000"/>
            <rFont val="Tahoma"/>
            <family val="0"/>
          </rPr>
          <t xml:space="preserve">Utilities are given the same consideration under the POOL schedules for the 1st year only.  Warren Schick</t>
        </r>
      </text>
      <mc:AlternateContent>
        <mc:Choice Requires="v2">
          <commentPr autoFill="true" autoScale="false" colHidden="false" locked="false" rowHidden="false" textHAlign="justify" textVAlign="top">
            <anchor moveWithCells="false" sizeWithCells="false">
              <xdr:from>
                <xdr:col>5</xdr:col>
                <xdr:colOff>16</xdr:colOff>
                <xdr:row>47</xdr:row>
                <xdr:rowOff>5</xdr:rowOff>
              </xdr:from>
              <xdr:to>
                <xdr:col>7</xdr:col>
                <xdr:colOff>13</xdr:colOff>
                <xdr:row>52</xdr:row>
                <xdr:rowOff>3</xdr:rowOff>
              </xdr:to>
            </anchor>
          </commentPr>
        </mc:Choice>
        <mc:Fallback/>
      </mc:AlternateContent>
    </comment>
  </commentList>
</comments>
</file>

<file path=xl/comments1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2" authorId="0">
      <text>
        <r>
          <rPr>
            <b val="true"/>
            <sz val="8"/>
            <color rgb="FF000000"/>
            <rFont val="Tahoma"/>
            <family val="0"/>
          </rPr>
          <t xml:space="preserve">Estimated Maintenance Cost:
</t>
        </r>
        <r>
          <rPr>
            <sz val="8"/>
            <color rgb="FF000000"/>
            <rFont val="Tahoma"/>
            <family val="2"/>
          </rPr>
          <t xml:space="preserve">
This comes directly from the vender recommended repair and replace schedules provided by the OEC</t>
        </r>
      </text>
      <mc:AlternateContent>
        <mc:Choice Requires="v2">
          <commentPr autoFill="true" autoScale="false" colHidden="false" locked="false" rowHidden="false" textHAlign="justify" textVAlign="top">
            <anchor moveWithCells="false" sizeWithCells="false">
              <xdr:from>
                <xdr:col>1</xdr:col>
                <xdr:colOff>16</xdr:colOff>
                <xdr:row>10</xdr:row>
                <xdr:rowOff>5</xdr:rowOff>
              </xdr:from>
              <xdr:to>
                <xdr:col>3</xdr:col>
                <xdr:colOff>37</xdr:colOff>
                <xdr:row>16</xdr:row>
                <xdr:rowOff>6</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3" authorId="0">
      <text>
        <r>
          <rPr>
            <b val="true"/>
            <sz val="8"/>
            <color rgb="FF000000"/>
            <rFont val="Tahoma"/>
            <family val="0"/>
          </rPr>
          <t xml:space="preserve">Uses of Funds:
</t>
        </r>
        <r>
          <rPr>
            <sz val="8"/>
            <color rgb="FF000000"/>
            <rFont val="Tahoma"/>
            <family val="2"/>
          </rPr>
          <t xml:space="preserve">
All cost figures come from the Control Budget put together by the Accounting Dept.</t>
        </r>
      </text>
      <mc:AlternateContent>
        <mc:Choice Requires="v2">
          <commentPr autoFill="true" autoScale="false" colHidden="false" locked="false" rowHidden="false" textHAlign="justify" textVAlign="top">
            <anchor moveWithCells="false" sizeWithCells="false">
              <xdr:from>
                <xdr:col>1</xdr:col>
                <xdr:colOff>16</xdr:colOff>
                <xdr:row>11</xdr:row>
                <xdr:rowOff>6</xdr:rowOff>
              </xdr:from>
              <xdr:to>
                <xdr:col>2</xdr:col>
                <xdr:colOff>80</xdr:colOff>
                <xdr:row>14</xdr:row>
                <xdr:rowOff>12</xdr:rowOff>
              </xdr:to>
            </anchor>
          </commentPr>
        </mc:Choice>
        <mc:Fallback/>
      </mc:AlternateContent>
    </comment>
    <comment ref="B53" authorId="0">
      <text>
        <r>
          <rPr>
            <b val="true"/>
            <sz val="8"/>
            <color rgb="FF000000"/>
            <rFont val="Tahoma"/>
            <family val="0"/>
          </rPr>
          <t xml:space="preserve">IDC Rate:
Neil S-C: 2/16/99
</t>
        </r>
        <r>
          <rPr>
            <sz val="8"/>
            <color rgb="FF000000"/>
            <rFont val="Tahoma"/>
            <family val="2"/>
          </rPr>
          <t xml:space="preserve">
Enron Capital &amp; Trade Resources confirmation memo to Rodney Malcom for Swap Transaction Deal No. M140023</t>
        </r>
      </text>
      <mc:AlternateContent>
        <mc:Choice Requires="v2">
          <commentPr autoFill="true" autoScale="false" colHidden="false" locked="false" rowHidden="false" textHAlign="justify" textVAlign="top">
            <anchor moveWithCells="false" sizeWithCells="false">
              <xdr:from>
                <xdr:col>2</xdr:col>
                <xdr:colOff>9</xdr:colOff>
                <xdr:row>49</xdr:row>
                <xdr:rowOff>12</xdr:rowOff>
              </xdr:from>
              <xdr:to>
                <xdr:col>4</xdr:col>
                <xdr:colOff>15</xdr:colOff>
                <xdr:row>53</xdr:row>
                <xdr:rowOff>8</xdr:rowOff>
              </xdr:to>
            </anchor>
          </commentPr>
        </mc:Choice>
        <mc:Fallback/>
      </mc:AlternateContent>
    </comment>
    <comment ref="C28" authorId="0">
      <text>
        <r>
          <rPr>
            <b val="true"/>
            <sz val="8"/>
            <color rgb="FF000000"/>
            <rFont val="Tahoma"/>
            <family val="2"/>
          </rPr>
          <t xml:space="preserve">SALES OF USE TAX ON EQUIPMENT
Neil S-C; 3/31/99
</t>
        </r>
        <r>
          <rPr>
            <sz val="8"/>
            <color rgb="FF000000"/>
            <rFont val="Tahoma"/>
            <family val="2"/>
          </rPr>
          <t xml:space="preserve">
The Basis for this tax is all construction and non-manufacturing equipment.  We are assuming that Transformers are non-manufacturing and are abourt 5.8M
Sheetal J Bajoria x3-5692: Jan 29,99
Verified as per Capital Control Budget from Tammy Sheppard, Revision#11: 13,896
</t>
        </r>
      </text>
      <mc:AlternateContent>
        <mc:Choice Requires="v2">
          <commentPr autoFill="true" autoScale="false" colHidden="false" locked="false" rowHidden="false" textHAlign="justify" textVAlign="top">
            <anchor moveWithCells="false" sizeWithCells="false">
              <xdr:from>
                <xdr:col>2</xdr:col>
                <xdr:colOff>86</xdr:colOff>
                <xdr:row>19</xdr:row>
                <xdr:rowOff>15</xdr:rowOff>
              </xdr:from>
              <xdr:to>
                <xdr:col>6</xdr:col>
                <xdr:colOff>31</xdr:colOff>
                <xdr:row>28</xdr:row>
                <xdr:rowOff>6</xdr:rowOff>
              </xdr:to>
            </anchor>
          </commentPr>
        </mc:Choice>
        <mc:Fallback/>
      </mc:AlternateContent>
    </comment>
    <comment ref="C40" authorId="0">
      <text>
        <r>
          <rPr>
            <b val="true"/>
            <sz val="8"/>
            <color rgb="FF000000"/>
            <rFont val="Tahoma"/>
            <family val="0"/>
          </rPr>
          <t xml:space="preserve">Total Expensed Cost:
</t>
        </r>
        <r>
          <rPr>
            <sz val="8"/>
            <color rgb="FF000000"/>
            <rFont val="Tahoma"/>
            <family val="2"/>
          </rPr>
          <t xml:space="preserve">
This is not capitalized but expensed in the first year.</t>
        </r>
      </text>
      <mc:AlternateContent>
        <mc:Choice Requires="v2">
          <commentPr autoFill="true" autoScale="false" colHidden="false" locked="false" rowHidden="false" textHAlign="justify" textVAlign="top">
            <anchor moveWithCells="false" sizeWithCells="false">
              <xdr:from>
                <xdr:col>3</xdr:col>
                <xdr:colOff>16</xdr:colOff>
                <xdr:row>38</xdr:row>
                <xdr:rowOff>8</xdr:rowOff>
              </xdr:from>
              <xdr:to>
                <xdr:col>4</xdr:col>
                <xdr:colOff>108</xdr:colOff>
                <xdr:row>42</xdr:row>
                <xdr:rowOff>14</xdr:rowOff>
              </xdr:to>
            </anchor>
          </commentPr>
        </mc:Choice>
        <mc:Fallback/>
      </mc:AlternateContent>
    </comment>
    <comment ref="C41" authorId="0">
      <text>
        <r>
          <rPr>
            <b val="true"/>
            <sz val="8"/>
            <color rgb="FF000000"/>
            <rFont val="Tahoma"/>
            <family val="0"/>
          </rPr>
          <t xml:space="preserve">Petersburg Expenses:
</t>
        </r>
        <r>
          <rPr>
            <sz val="8"/>
            <color rgb="FF000000"/>
            <rFont val="Tahoma"/>
            <family val="2"/>
          </rPr>
          <t xml:space="preserve">
These are not capitalized and are expensed in the first day.</t>
        </r>
      </text>
      <mc:AlternateContent>
        <mc:Choice Requires="v2">
          <commentPr autoFill="true" autoScale="false" colHidden="false" locked="false" rowHidden="false" textHAlign="justify" textVAlign="top">
            <anchor moveWithCells="false" sizeWithCells="false">
              <xdr:from>
                <xdr:col>3</xdr:col>
                <xdr:colOff>16</xdr:colOff>
                <xdr:row>39</xdr:row>
                <xdr:rowOff>6</xdr:rowOff>
              </xdr:from>
              <xdr:to>
                <xdr:col>4</xdr:col>
                <xdr:colOff>108</xdr:colOff>
                <xdr:row>43</xdr:row>
                <xdr:rowOff>14</xdr:rowOff>
              </xdr:to>
            </anchor>
          </commentPr>
        </mc:Choice>
        <mc:Fallback/>
      </mc:AlternateContent>
    </comment>
    <comment ref="C53" authorId="0">
      <text>
        <r>
          <rPr>
            <b val="true"/>
            <sz val="8"/>
            <color rgb="FF000000"/>
            <rFont val="Tahoma"/>
            <family val="0"/>
          </rPr>
          <t xml:space="preserve">IDC:
</t>
        </r>
        <r>
          <rPr>
            <sz val="8"/>
            <color rgb="FF000000"/>
            <rFont val="Tahoma"/>
            <family val="2"/>
          </rPr>
          <t xml:space="preserve">
The IDC is not calculated by this model though the model has the capability.  This comes directly from the control budgets and is a sum total of the Interest SWAP, IDC, and Commitment Fee</t>
        </r>
      </text>
      <mc:AlternateContent>
        <mc:Choice Requires="v2">
          <commentPr autoFill="true" autoScale="false" colHidden="false" locked="false" rowHidden="false" textHAlign="justify" textVAlign="top">
            <anchor moveWithCells="false" sizeWithCells="false">
              <xdr:from>
                <xdr:col>3</xdr:col>
                <xdr:colOff>16</xdr:colOff>
                <xdr:row>51</xdr:row>
                <xdr:rowOff>6</xdr:rowOff>
              </xdr:from>
              <xdr:to>
                <xdr:col>5</xdr:col>
                <xdr:colOff>34</xdr:colOff>
                <xdr:row>58</xdr:row>
                <xdr:rowOff>9</xdr:rowOff>
              </xdr:to>
            </anchor>
          </commentPr>
        </mc:Choice>
        <mc:Fallback/>
      </mc:AlternateContent>
    </comment>
    <comment ref="C60" authorId="0">
      <text>
        <r>
          <rPr>
            <b val="true"/>
            <sz val="8"/>
            <color rgb="FF000000"/>
            <rFont val="Tahoma"/>
            <family val="0"/>
          </rPr>
          <t xml:space="preserve">nsainsb:
</t>
        </r>
      </text>
      <mc:AlternateContent>
        <mc:Choice Requires="v2">
          <commentPr autoFill="true" autoScale="false" colHidden="false" locked="false" rowHidden="false" textHAlign="justify" textVAlign="top">
            <anchor moveWithCells="false" sizeWithCells="false">
              <xdr:from>
                <xdr:col>3</xdr:col>
                <xdr:colOff>16</xdr:colOff>
                <xdr:row>58</xdr:row>
                <xdr:rowOff>6</xdr:rowOff>
              </xdr:from>
              <xdr:to>
                <xdr:col>4</xdr:col>
                <xdr:colOff>108</xdr:colOff>
                <xdr:row>62</xdr:row>
                <xdr:rowOff>9</xdr:rowOff>
              </xdr:to>
            </anchor>
          </commentPr>
        </mc:Choice>
        <mc:Fallback/>
      </mc:AlternateContent>
    </comment>
    <comment ref="F38" authorId="0">
      <text>
        <r>
          <rPr>
            <b val="true"/>
            <sz val="8"/>
            <color rgb="FF000000"/>
            <rFont val="Tahoma"/>
            <family val="0"/>
          </rPr>
          <t xml:space="preserve">Tranche A:
</t>
        </r>
        <r>
          <rPr>
            <sz val="8"/>
            <color rgb="FF000000"/>
            <rFont val="Tahoma"/>
            <family val="2"/>
          </rPr>
          <t xml:space="preserve">
Used only for the Alternative Structure and is 16.2% of total debt based on the portfolio bond indenture.</t>
        </r>
      </text>
      <mc:AlternateContent>
        <mc:Choice Requires="v2">
          <commentPr autoFill="true" autoScale="false" colHidden="false" locked="false" rowHidden="false" textHAlign="justify" textVAlign="top">
            <anchor moveWithCells="false" sizeWithCells="false">
              <xdr:from>
                <xdr:col>6</xdr:col>
                <xdr:colOff>16</xdr:colOff>
                <xdr:row>36</xdr:row>
                <xdr:rowOff>6</xdr:rowOff>
              </xdr:from>
              <xdr:to>
                <xdr:col>7</xdr:col>
                <xdr:colOff>63</xdr:colOff>
                <xdr:row>40</xdr:row>
                <xdr:rowOff>12</xdr:rowOff>
              </xdr:to>
            </anchor>
          </commentPr>
        </mc:Choice>
        <mc:Fallback/>
      </mc:AlternateContent>
    </comment>
    <comment ref="G14" authorId="0">
      <text>
        <r>
          <rPr>
            <b val="true"/>
            <sz val="8"/>
            <color rgb="FF000000"/>
            <rFont val="Tahoma"/>
            <family val="0"/>
          </rPr>
          <t xml:space="preserve">ANNUAL PEAK OPERATING HOURS
Sheetal J Bajoria x3-5692:
</t>
        </r>
        <r>
          <rPr>
            <sz val="8"/>
            <color rgb="FF000000"/>
            <rFont val="Tahoma"/>
            <family val="0"/>
          </rPr>
          <t xml:space="preserve">Based on document EE&amp;CC, Mike Nanny 12/22/98.  PROBABLY WILL BE MUCH LOWER THAN THIS. PROBABLY IN RANGE OF 750-1200. Unless the permits are changed.
Does not affect NPV</t>
        </r>
      </text>
      <mc:AlternateContent>
        <mc:Choice Requires="v2">
          <commentPr autoFill="true" autoScale="false" colHidden="false" locked="false" rowHidden="false" textHAlign="justify" textVAlign="top">
            <anchor moveWithCells="false" sizeWithCells="false">
              <xdr:from>
                <xdr:col>7</xdr:col>
                <xdr:colOff>58</xdr:colOff>
                <xdr:row>11</xdr:row>
                <xdr:rowOff>11</xdr:rowOff>
              </xdr:from>
              <xdr:to>
                <xdr:col>10</xdr:col>
                <xdr:colOff>59</xdr:colOff>
                <xdr:row>19</xdr:row>
                <xdr:rowOff>11</xdr:rowOff>
              </xdr:to>
            </anchor>
          </commentPr>
        </mc:Choice>
        <mc:Fallback/>
      </mc:AlternateContent>
    </comment>
    <comment ref="G38" authorId="0">
      <text>
        <r>
          <rPr>
            <b val="true"/>
            <sz val="8"/>
            <color rgb="FF000000"/>
            <rFont val="Tahoma"/>
            <family val="0"/>
          </rPr>
          <t xml:space="preserve">Tranche B:
</t>
        </r>
        <r>
          <rPr>
            <sz val="8"/>
            <color rgb="FF000000"/>
            <rFont val="Tahoma"/>
            <family val="2"/>
          </rPr>
          <t xml:space="preserve">
Used only for the Alternative Debt and is 30% of cost based on the portfolio structure in the consolidated model.</t>
        </r>
      </text>
      <mc:AlternateContent>
        <mc:Choice Requires="v2">
          <commentPr autoFill="true" autoScale="false" colHidden="false" locked="false" rowHidden="false" textHAlign="justify" textVAlign="top">
            <anchor moveWithCells="false" sizeWithCells="false">
              <xdr:from>
                <xdr:col>7</xdr:col>
                <xdr:colOff>16</xdr:colOff>
                <xdr:row>36</xdr:row>
                <xdr:rowOff>6</xdr:rowOff>
              </xdr:from>
              <xdr:to>
                <xdr:col>8</xdr:col>
                <xdr:colOff>59</xdr:colOff>
                <xdr:row>40</xdr:row>
                <xdr:rowOff>12</xdr:rowOff>
              </xdr:to>
            </anchor>
          </commentPr>
        </mc:Choice>
        <mc:Fallback/>
      </mc:AlternateContent>
    </comment>
    <comment ref="H7" authorId="0">
      <text>
        <r>
          <rPr>
            <b val="true"/>
            <u val="single"/>
            <sz val="8"/>
            <color rgb="FF000000"/>
            <rFont val="Tahoma"/>
            <family val="2"/>
          </rPr>
          <t xml:space="preserve">TYPE OF TURBINE
</t>
        </r>
        <r>
          <rPr>
            <sz val="8"/>
            <color rgb="FF000000"/>
            <rFont val="Tahoma"/>
            <family val="2"/>
          </rPr>
          <t xml:space="preserve">Sheetal: feb 2, changed to GT 501 D5A and D5
</t>
        </r>
        <r>
          <rPr>
            <b val="true"/>
            <sz val="8"/>
            <color rgb="FF000000"/>
            <rFont val="Tahoma"/>
            <family val="0"/>
          </rPr>
          <t xml:space="preserve">
Bryan Garrett:
</t>
        </r>
        <r>
          <rPr>
            <sz val="8"/>
            <color rgb="FF000000"/>
            <rFont val="Tahoma"/>
            <family val="0"/>
          </rPr>
          <t xml:space="preserve">These are the machines that were previously slated for installation at the Fulton site.</t>
        </r>
      </text>
      <mc:AlternateContent>
        <mc:Choice Requires="v2">
          <commentPr autoFill="true" autoScale="false" colHidden="false" locked="false" rowHidden="false" textHAlign="justify" textVAlign="top">
            <anchor moveWithCells="false" sizeWithCells="false">
              <xdr:from>
                <xdr:col>8</xdr:col>
                <xdr:colOff>16</xdr:colOff>
                <xdr:row>5</xdr:row>
                <xdr:rowOff>4</xdr:rowOff>
              </xdr:from>
              <xdr:to>
                <xdr:col>10</xdr:col>
                <xdr:colOff>55</xdr:colOff>
                <xdr:row>12</xdr:row>
                <xdr:rowOff>20</xdr:rowOff>
              </xdr:to>
            </anchor>
          </commentPr>
        </mc:Choice>
        <mc:Fallback/>
      </mc:AlternateContent>
    </comment>
    <comment ref="H38" authorId="0">
      <text>
        <r>
          <rPr>
            <b val="true"/>
            <sz val="8"/>
            <color rgb="FF000000"/>
            <rFont val="Tahoma"/>
            <family val="0"/>
          </rPr>
          <t xml:space="preserve">Tranche C:
</t>
        </r>
        <r>
          <rPr>
            <sz val="8"/>
            <color rgb="FF000000"/>
            <rFont val="Tahoma"/>
            <family val="2"/>
          </rPr>
          <t xml:space="preserve">
Used only for the Alternative Structure and assumes 54.2% of total debt based on portfolio.  See consolidated model.</t>
        </r>
      </text>
      <mc:AlternateContent>
        <mc:Choice Requires="v2">
          <commentPr autoFill="true" autoScale="false" colHidden="false" locked="false" rowHidden="false" textHAlign="justify" textVAlign="top">
            <anchor moveWithCells="false" sizeWithCells="false">
              <xdr:from>
                <xdr:col>8</xdr:col>
                <xdr:colOff>16</xdr:colOff>
                <xdr:row>36</xdr:row>
                <xdr:rowOff>6</xdr:rowOff>
              </xdr:from>
              <xdr:to>
                <xdr:col>10</xdr:col>
                <xdr:colOff>23</xdr:colOff>
                <xdr:row>40</xdr:row>
                <xdr:rowOff>12</xdr:rowOff>
              </xdr:to>
            </anchor>
          </commentPr>
        </mc:Choice>
        <mc:Fallback/>
      </mc:AlternateContent>
    </comment>
    <comment ref="I7" authorId="0">
      <text>
        <r>
          <rPr>
            <b val="true"/>
            <u val="single"/>
            <sz val="8"/>
            <color rgb="FF000000"/>
            <rFont val="Tahoma"/>
            <family val="2"/>
          </rPr>
          <t xml:space="preserve">TYPE OF TURBINE
</t>
        </r>
        <r>
          <rPr>
            <sz val="8"/>
            <color rgb="FF000000"/>
            <rFont val="Tahoma"/>
            <family val="2"/>
          </rPr>
          <t xml:space="preserve">
Sheetal: feb 2, 99changed to GT 501 D5A and D5
</t>
        </r>
        <r>
          <rPr>
            <b val="true"/>
            <sz val="8"/>
            <color rgb="FF000000"/>
            <rFont val="Tahoma"/>
            <family val="0"/>
          </rPr>
          <t xml:space="preserve">
Bryan Garrett:
</t>
        </r>
        <r>
          <rPr>
            <sz val="8"/>
            <color rgb="FF000000"/>
            <rFont val="Tahoma"/>
            <family val="0"/>
          </rPr>
          <t xml:space="preserve">These are the machines that were previously slated for installation at the Fulton site.</t>
        </r>
      </text>
      <mc:AlternateContent>
        <mc:Choice Requires="v2">
          <commentPr autoFill="true" autoScale="false" colHidden="false" locked="false" rowHidden="false" textHAlign="justify" textVAlign="top">
            <anchor moveWithCells="false" sizeWithCells="false">
              <xdr:from>
                <xdr:col>10</xdr:col>
                <xdr:colOff>41</xdr:colOff>
                <xdr:row>5</xdr:row>
                <xdr:rowOff>12</xdr:rowOff>
              </xdr:from>
              <xdr:to>
                <xdr:col>11</xdr:col>
                <xdr:colOff>41</xdr:colOff>
                <xdr:row>13</xdr:row>
                <xdr:rowOff>5</xdr:rowOff>
              </xdr:to>
            </anchor>
          </commentPr>
        </mc:Choice>
        <mc:Fallback/>
      </mc:AlternateContent>
    </comment>
    <comment ref="I10" authorId="0">
      <text>
        <r>
          <rPr>
            <b val="true"/>
            <sz val="10"/>
            <color rgb="FF000000"/>
            <rFont val="Tahoma"/>
            <family val="2"/>
          </rPr>
          <t xml:space="preserve">NET MW
</t>
        </r>
        <r>
          <rPr>
            <sz val="10"/>
            <color rgb="FF000000"/>
            <rFont val="Tahoma"/>
            <family val="2"/>
          </rPr>
          <t xml:space="preserve">
Neil S-C, 3/16/99
</t>
        </r>
        <r>
          <rPr>
            <b val="true"/>
            <sz val="10"/>
            <color rgb="FF000000"/>
            <rFont val="Tahoma"/>
            <family val="2"/>
          </rPr>
          <t xml:space="preserve">
Tom Huntington has spoken with Chris Booth who says the site for each trubine is 118 MW * 4 = 472.
Subtract 1 for Parasitic Loss.
Neil S-C, 2/21/99
</t>
        </r>
        <r>
          <rPr>
            <sz val="10"/>
            <color rgb="FF000000"/>
            <rFont val="Tahoma"/>
            <family val="2"/>
          </rPr>
          <t xml:space="preserve">Rodney number is 460MW
</t>
        </r>
        <r>
          <rPr>
            <b val="true"/>
            <sz val="10"/>
            <color rgb="FF000000"/>
            <rFont val="Tahoma"/>
            <family val="2"/>
          </rPr>
          <t xml:space="preserve">
SHEEtal J Bajoria x3-5692 2/2/99:
</t>
        </r>
        <r>
          <rPr>
            <sz val="10"/>
            <color rgb="FF000000"/>
            <rFont val="Tahoma"/>
            <family val="2"/>
          </rPr>
          <t xml:space="preserve">Changed Heat rate from 112461 to 11,344 and   changed MW from 454.
WRT to document from Azim JAvin (EE&amp;CC) dated 2/1/99. 459.88 is the guarantted output by westinghouse.  </t>
        </r>
      </text>
      <mc:AlternateContent>
        <mc:Choice Requires="v2">
          <commentPr autoFill="true" autoScale="false" colHidden="false" locked="false" rowHidden="false" textHAlign="justify" textVAlign="top">
            <anchor moveWithCells="false" sizeWithCells="false">
              <xdr:from>
                <xdr:col>9</xdr:col>
                <xdr:colOff>16</xdr:colOff>
                <xdr:row>3</xdr:row>
                <xdr:rowOff>14</xdr:rowOff>
              </xdr:from>
              <xdr:to>
                <xdr:col>11</xdr:col>
                <xdr:colOff>44</xdr:colOff>
                <xdr:row>19</xdr:row>
                <xdr:rowOff>20</xdr:rowOff>
              </xdr:to>
            </anchor>
          </commentPr>
        </mc:Choice>
        <mc:Fallback/>
      </mc:AlternateContent>
    </comment>
    <comment ref="I12" authorId="0">
      <text>
        <r>
          <rPr>
            <b val="true"/>
            <sz val="10"/>
            <color rgb="FF000000"/>
            <rFont val="Tahoma"/>
            <family val="2"/>
          </rPr>
          <t xml:space="preserve">HEAT RATE
Sheetal J Bajoria x3-5692 Feb 2, 99:
</t>
        </r>
        <r>
          <rPr>
            <sz val="10"/>
            <color rgb="FF000000"/>
            <rFont val="Tahoma"/>
            <family val="2"/>
          </rPr>
          <t xml:space="preserve">changed from 11,461 to 11,344 wrt to document from Azim Javin (EE&amp;CC) dated 2/1/99. 11,344 represents the Net Heat Rate, Btu/kWh HHV at a 90 degree ambient temperature.
</t>
        </r>
      </text>
      <mc:AlternateContent>
        <mc:Choice Requires="v2">
          <commentPr autoFill="true" autoScale="false" colHidden="false" locked="false" rowHidden="false" textHAlign="justify" textVAlign="top">
            <anchor moveWithCells="false" sizeWithCells="false">
              <xdr:from>
                <xdr:col>9</xdr:col>
                <xdr:colOff>16</xdr:colOff>
                <xdr:row>8</xdr:row>
                <xdr:rowOff>0</xdr:rowOff>
              </xdr:from>
              <xdr:to>
                <xdr:col>12</xdr:col>
                <xdr:colOff>80</xdr:colOff>
                <xdr:row>15</xdr:row>
                <xdr:rowOff>19</xdr:rowOff>
              </xdr:to>
            </anchor>
          </commentPr>
        </mc:Choice>
        <mc:Fallback/>
      </mc:AlternateContent>
    </comment>
    <comment ref="I28" authorId="0">
      <text>
        <r>
          <rPr>
            <b val="true"/>
            <sz val="8"/>
            <color rgb="FF000000"/>
            <rFont val="Tahoma"/>
            <family val="0"/>
          </rPr>
          <t xml:space="preserve">2/10/99
Sheetal J Bajoria x3-5692:
</t>
        </r>
      </text>
      <mc:AlternateContent>
        <mc:Choice Requires="v2">
          <commentPr autoFill="true" autoScale="false" colHidden="false" locked="false" rowHidden="false" textHAlign="justify" textVAlign="top">
            <anchor moveWithCells="false" sizeWithCells="false">
              <xdr:from>
                <xdr:col>8</xdr:col>
                <xdr:colOff>2</xdr:colOff>
                <xdr:row>25</xdr:row>
                <xdr:rowOff>2</xdr:rowOff>
              </xdr:from>
              <xdr:to>
                <xdr:col>10</xdr:col>
                <xdr:colOff>9</xdr:colOff>
                <xdr:row>29</xdr:row>
                <xdr:rowOff>11</xdr:rowOff>
              </xdr:to>
            </anchor>
          </commentPr>
        </mc:Choice>
        <mc:Fallback/>
      </mc:AlternateContent>
    </comment>
    <comment ref="I34" authorId="0">
      <text>
        <r>
          <rPr>
            <b val="true"/>
            <sz val="8"/>
            <color rgb="FF000000"/>
            <rFont val="Tahoma"/>
            <family val="0"/>
          </rPr>
          <t xml:space="preserve">Debt Structure:
</t>
        </r>
        <r>
          <rPr>
            <sz val="8"/>
            <color rgb="FF000000"/>
            <rFont val="Tahoma"/>
            <family val="2"/>
          </rPr>
          <t xml:space="preserve">
The Alernate Strucure is based on the CSFB bond indenture and the Normal Structure is driven of of the Coverage Ratios.</t>
        </r>
      </text>
      <mc:AlternateContent>
        <mc:Choice Requires="v2">
          <commentPr autoFill="true" autoScale="false" colHidden="false" locked="false" rowHidden="false" textHAlign="justify" textVAlign="top">
            <anchor moveWithCells="false" sizeWithCells="false">
              <xdr:from>
                <xdr:col>9</xdr:col>
                <xdr:colOff>16</xdr:colOff>
                <xdr:row>32</xdr:row>
                <xdr:rowOff>13</xdr:rowOff>
              </xdr:from>
              <xdr:to>
                <xdr:col>10</xdr:col>
                <xdr:colOff>105</xdr:colOff>
                <xdr:row>36</xdr:row>
                <xdr:rowOff>14</xdr:rowOff>
              </xdr:to>
            </anchor>
          </commentPr>
        </mc:Choice>
        <mc:Fallback/>
      </mc:AlternateContent>
    </comment>
    <comment ref="I38" authorId="0">
      <text>
        <r>
          <rPr>
            <b val="true"/>
            <sz val="8"/>
            <color rgb="FF000000"/>
            <rFont val="Tahoma"/>
            <family val="0"/>
          </rPr>
          <t xml:space="preserve">Debt:
</t>
        </r>
        <r>
          <rPr>
            <sz val="8"/>
            <color rgb="FF000000"/>
            <rFont val="Tahoma"/>
            <family val="2"/>
          </rPr>
          <t xml:space="preserve">
Backed into this in an attempt to leverage 75% based on the CSFB degt offering.  As project cost changes though this will change.</t>
        </r>
      </text>
      <mc:AlternateContent>
        <mc:Choice Requires="v2">
          <commentPr autoFill="true" autoScale="false" colHidden="false" locked="false" rowHidden="false" textHAlign="justify" textVAlign="top">
            <anchor moveWithCells="false" sizeWithCells="false">
              <xdr:from>
                <xdr:col>9</xdr:col>
                <xdr:colOff>16</xdr:colOff>
                <xdr:row>33</xdr:row>
                <xdr:rowOff>2</xdr:rowOff>
              </xdr:from>
              <xdr:to>
                <xdr:col>10</xdr:col>
                <xdr:colOff>105</xdr:colOff>
                <xdr:row>40</xdr:row>
                <xdr:rowOff>12</xdr:rowOff>
              </xdr:to>
            </anchor>
          </commentPr>
        </mc:Choice>
        <mc:Fallback/>
      </mc:AlternateContent>
    </comment>
    <comment ref="L7" authorId="0">
      <text>
        <r>
          <rPr>
            <b val="true"/>
            <sz val="8"/>
            <color rgb="FF000000"/>
            <rFont val="Tahoma"/>
            <family val="0"/>
          </rPr>
          <t xml:space="preserve">Variable O&amp;M Hours
Neil S-C: 2/16/99
</t>
        </r>
        <r>
          <rPr>
            <sz val="8"/>
            <color rgb="FF000000"/>
            <rFont val="Tahoma"/>
            <family val="2"/>
          </rPr>
          <t xml:space="preserve">I have left 1200 here as the estimates were done on this run time.  Rodney had asked why this was different than the Operating Hours., which the expense calc's are based on.</t>
        </r>
      </text>
      <mc:AlternateContent>
        <mc:Choice Requires="v2">
          <commentPr autoFill="true" autoScale="false" colHidden="false" locked="false" rowHidden="false" textHAlign="justify" textVAlign="top">
            <anchor moveWithCells="false" sizeWithCells="false">
              <xdr:from>
                <xdr:col>11</xdr:col>
                <xdr:colOff>52</xdr:colOff>
                <xdr:row>5</xdr:row>
                <xdr:rowOff>11</xdr:rowOff>
              </xdr:from>
              <xdr:to>
                <xdr:col>14</xdr:col>
                <xdr:colOff>51</xdr:colOff>
                <xdr:row>9</xdr:row>
                <xdr:rowOff>15</xdr:rowOff>
              </xdr:to>
            </anchor>
          </commentPr>
        </mc:Choice>
        <mc:Fallback/>
      </mc:AlternateContent>
    </comment>
    <comment ref="L8" authorId="0">
      <text>
        <r>
          <rPr>
            <b val="true"/>
            <sz val="8"/>
            <color rgb="FF000000"/>
            <rFont val="Tahoma"/>
            <family val="0"/>
          </rPr>
          <t xml:space="preserve">WATER VARIABLE O&amp;M
Sheetal J Bajoria x3-5692, 1/27/99:
</t>
        </r>
        <r>
          <rPr>
            <sz val="8"/>
            <color rgb="FF000000"/>
            <rFont val="Tahoma"/>
            <family val="2"/>
          </rPr>
          <t xml:space="preserve">SE Peaking power projects, O&amp;M Estimates, D Ehler,  B Scmitt, dated 1/22/99: -Confirmed 746. Rewired to be truly variable with hours and MW</t>
        </r>
      </text>
      <mc:AlternateContent>
        <mc:Choice Requires="v2">
          <commentPr autoFill="true" autoScale="false" colHidden="false" locked="false" rowHidden="false" textHAlign="justify" textVAlign="top">
            <anchor moveWithCells="false" sizeWithCells="false">
              <xdr:from>
                <xdr:col>12</xdr:col>
                <xdr:colOff>17</xdr:colOff>
                <xdr:row>6</xdr:row>
                <xdr:rowOff>20</xdr:rowOff>
              </xdr:from>
              <xdr:to>
                <xdr:col>20</xdr:col>
                <xdr:colOff>30</xdr:colOff>
                <xdr:row>10</xdr:row>
                <xdr:rowOff>5</xdr:rowOff>
              </xdr:to>
            </anchor>
          </commentPr>
        </mc:Choice>
        <mc:Fallback/>
      </mc:AlternateContent>
    </comment>
    <comment ref="L10" authorId="0">
      <text>
        <r>
          <rPr>
            <b val="true"/>
            <sz val="8"/>
            <color rgb="FF000000"/>
            <rFont val="Tahoma"/>
            <family val="0"/>
          </rPr>
          <t xml:space="preserve">VARIABLE MAINTENANCE
Sheetal J Bajoria x3-5692, 1/27/99:
</t>
        </r>
        <r>
          <rPr>
            <sz val="8"/>
            <color rgb="FF000000"/>
            <rFont val="Tahoma"/>
            <family val="2"/>
          </rPr>
          <t xml:space="preserve">SE Peaking power projects, O&amp;M Estimates, D Ehler,  B Scmitt, dated 1/22/99: -Confirmed 746. Rewired to be truly variable with hours and MW</t>
        </r>
      </text>
      <mc:AlternateContent>
        <mc:Choice Requires="v2">
          <commentPr autoFill="true" autoScale="false" colHidden="false" locked="false" rowHidden="false" textHAlign="justify" textVAlign="top">
            <anchor moveWithCells="false" sizeWithCells="false">
              <xdr:from>
                <xdr:col>13</xdr:col>
                <xdr:colOff>2</xdr:colOff>
                <xdr:row>8</xdr:row>
                <xdr:rowOff>2</xdr:rowOff>
              </xdr:from>
              <xdr:to>
                <xdr:col>21</xdr:col>
                <xdr:colOff>25</xdr:colOff>
                <xdr:row>12</xdr:row>
                <xdr:rowOff>4</xdr:rowOff>
              </xdr:to>
            </anchor>
          </commentPr>
        </mc:Choice>
        <mc:Fallback/>
      </mc:AlternateContent>
    </comment>
    <comment ref="M8" authorId="0">
      <text>
        <r>
          <rPr>
            <b val="true"/>
            <sz val="8"/>
            <color rgb="FF000000"/>
            <rFont val="Tahoma"/>
            <family val="0"/>
          </rPr>
          <t xml:space="preserve">Variable MW's
Neil S-C: 2/16/99
</t>
        </r>
        <r>
          <rPr>
            <sz val="8"/>
            <color rgb="FF000000"/>
            <rFont val="Tahoma"/>
            <family val="2"/>
          </rPr>
          <t xml:space="preserve">Directly from the OEC cost estimate.</t>
        </r>
      </text>
      <mc:AlternateContent>
        <mc:Choice Requires="v2">
          <commentPr autoFill="true" autoScale="false" colHidden="false" locked="false" rowHidden="false" textHAlign="justify" textVAlign="top">
            <anchor moveWithCells="false" sizeWithCells="false">
              <xdr:from>
                <xdr:col>11</xdr:col>
                <xdr:colOff>13</xdr:colOff>
                <xdr:row>6</xdr:row>
                <xdr:rowOff>20</xdr:rowOff>
              </xdr:from>
              <xdr:to>
                <xdr:col>12</xdr:col>
                <xdr:colOff>44</xdr:colOff>
                <xdr:row>10</xdr:row>
                <xdr:rowOff>5</xdr:rowOff>
              </xdr:to>
            </anchor>
          </commentPr>
        </mc:Choice>
        <mc:Fallback/>
      </mc:AlternateContent>
    </comment>
    <comment ref="N21" authorId="0">
      <text>
        <r>
          <rPr>
            <b val="true"/>
            <sz val="12"/>
            <color rgb="FF000000"/>
            <rFont val="Tahoma"/>
            <family val="2"/>
          </rPr>
          <t xml:space="preserve">
PAYROLL AND BURDEN
Sheetal J Bajoria x3-5692, 1/27/99:
SE Peaking power projects, </t>
        </r>
        <r>
          <rPr>
            <sz val="12"/>
            <color rgb="FF000000"/>
            <rFont val="Tahoma"/>
            <family val="2"/>
          </rPr>
          <t xml:space="preserve">O&amp;M Estimates, D Ehler,  B Scmitt, dated 1/22/99
was 428, now 465.69, based on 454 MW</t>
        </r>
      </text>
      <mc:AlternateContent>
        <mc:Choice Requires="v2">
          <commentPr autoFill="true" autoScale="false" colHidden="false" locked="false" rowHidden="false" textHAlign="justify" textVAlign="top">
            <anchor moveWithCells="false" sizeWithCells="false">
              <xdr:from>
                <xdr:col>15</xdr:col>
                <xdr:colOff>4</xdr:colOff>
                <xdr:row>18</xdr:row>
                <xdr:rowOff>16</xdr:rowOff>
              </xdr:from>
              <xdr:to>
                <xdr:col>20</xdr:col>
                <xdr:colOff>12</xdr:colOff>
                <xdr:row>26</xdr:row>
                <xdr:rowOff>11</xdr:rowOff>
              </xdr:to>
            </anchor>
          </commentPr>
        </mc:Choice>
        <mc:Fallback/>
      </mc:AlternateContent>
    </comment>
    <comment ref="N22" authorId="0">
      <text>
        <r>
          <rPr>
            <sz val="10"/>
            <color rgb="FF000000"/>
            <rFont val="Tahoma"/>
            <family val="2"/>
          </rPr>
          <t xml:space="preserve">OTHER O&amp;M EXPENSES
Sheetal J Bajoria x3-5692, 1/27/99:
SE Peaking power projects, O&amp;M Estimates, D Ehler,  B Scmitt, dated 1/22/99
was 230.changed to 235.76, calc based on 454</t>
        </r>
      </text>
      <mc:AlternateContent>
        <mc:Choice Requires="v2">
          <commentPr autoFill="true" autoScale="false" colHidden="false" locked="false" rowHidden="false" textHAlign="justify" textVAlign="top">
            <anchor moveWithCells="false" sizeWithCells="false">
              <xdr:from>
                <xdr:col>15</xdr:col>
                <xdr:colOff>4</xdr:colOff>
                <xdr:row>19</xdr:row>
                <xdr:rowOff>16</xdr:rowOff>
              </xdr:from>
              <xdr:to>
                <xdr:col>20</xdr:col>
                <xdr:colOff>12</xdr:colOff>
                <xdr:row>27</xdr:row>
                <xdr:rowOff>20</xdr:rowOff>
              </xdr:to>
            </anchor>
          </commentPr>
        </mc:Choice>
        <mc:Fallback/>
      </mc:AlternateContent>
    </comment>
    <comment ref="N25" authorId="0">
      <text>
        <r>
          <rPr>
            <b val="true"/>
            <sz val="10"/>
            <color rgb="FF000000"/>
            <rFont val="Tahoma"/>
            <family val="2"/>
          </rPr>
          <t xml:space="preserve">MANAGEMENT FEE
Sheetal J Bajoria x3-5692, 1/27/99:
SE Peaking power projects, </t>
        </r>
        <r>
          <rPr>
            <sz val="10"/>
            <color rgb="FF000000"/>
            <rFont val="Tahoma"/>
            <family val="2"/>
          </rPr>
          <t xml:space="preserve">O&amp;M Estimates, D Ehler,  B Scmitt, dated 1/22/99
was 429, now 200. Based on 454 MW</t>
        </r>
      </text>
      <mc:AlternateContent>
        <mc:Choice Requires="v2">
          <commentPr autoFill="true" autoScale="false" colHidden="false" locked="false" rowHidden="false" textHAlign="justify" textVAlign="top">
            <anchor moveWithCells="false" sizeWithCells="false">
              <xdr:from>
                <xdr:col>15</xdr:col>
                <xdr:colOff>4</xdr:colOff>
                <xdr:row>20</xdr:row>
                <xdr:rowOff>11</xdr:rowOff>
              </xdr:from>
              <xdr:to>
                <xdr:col>20</xdr:col>
                <xdr:colOff>12</xdr:colOff>
                <xdr:row>28</xdr:row>
                <xdr:rowOff>11</xdr:rowOff>
              </xdr:to>
            </anchor>
          </commentPr>
        </mc:Choice>
        <mc:Fallback/>
      </mc:AlternateContent>
    </comment>
    <comment ref="N31" authorId="0">
      <text>
        <r>
          <rPr>
            <b val="true"/>
            <sz val="10"/>
            <color rgb="FF000000"/>
            <rFont val="Tahoma"/>
            <family val="2"/>
          </rPr>
          <t xml:space="preserve">LIABILITY INSURANCE
Sheetal J Bajoria x3-5692, </t>
        </r>
        <r>
          <rPr>
            <sz val="10"/>
            <color rgb="FF000000"/>
            <rFont val="Tahoma"/>
            <family val="2"/>
          </rPr>
          <t xml:space="preserve">1/29/99:
wrt Email from Paul Clayton, CORP INSR, to Agatha Andraczke on 1/20/99.   Number based on corporate allocation of costs.
Was zero now 10</t>
        </r>
      </text>
      <mc:AlternateContent>
        <mc:Choice Requires="v2">
          <commentPr autoFill="true" autoScale="false" colHidden="false" locked="false" rowHidden="false" textHAlign="justify" textVAlign="top">
            <anchor moveWithCells="false" sizeWithCells="false">
              <xdr:from>
                <xdr:col>14</xdr:col>
                <xdr:colOff>43</xdr:colOff>
                <xdr:row>27</xdr:row>
                <xdr:rowOff>9</xdr:rowOff>
              </xdr:from>
              <xdr:to>
                <xdr:col>18</xdr:col>
                <xdr:colOff>21</xdr:colOff>
                <xdr:row>35</xdr:row>
                <xdr:rowOff>14</xdr:rowOff>
              </xdr:to>
            </anchor>
          </commentPr>
        </mc:Choice>
        <mc:Fallback/>
      </mc:AlternateContent>
    </comment>
    <comment ref="N32" authorId="0">
      <text>
        <r>
          <rPr>
            <b val="true"/>
            <sz val="10"/>
            <color rgb="FF000000"/>
            <rFont val="Tahoma"/>
            <family val="2"/>
          </rPr>
          <t xml:space="preserve">BUSINESS INTERUPTION INSURANCE
Neil S-C; 3/30/99
</t>
        </r>
        <r>
          <rPr>
            <sz val="10"/>
            <color rgb="FF000000"/>
            <rFont val="Tahoma"/>
            <family val="2"/>
          </rPr>
          <t xml:space="preserve">Increased here a bit to reflect the estimates on the 1999 plants.
</t>
        </r>
        <r>
          <rPr>
            <b val="true"/>
            <sz val="10"/>
            <color rgb="FF000000"/>
            <rFont val="Tahoma"/>
            <family val="2"/>
          </rPr>
          <t xml:space="preserve">
Sheetal J Bajoria x3-5692, </t>
        </r>
        <r>
          <rPr>
            <sz val="10"/>
            <color rgb="FF000000"/>
            <rFont val="Tahoma"/>
            <family val="2"/>
          </rPr>
          <t xml:space="preserve">1/29/99:
wrt Email from Paul Clayton, CORP INSR, to Agatha Andraczke on 1/20/99.   Number based on corporate allocation of costs.
Was 77 now 30</t>
        </r>
      </text>
      <mc:AlternateContent>
        <mc:Choice Requires="v2">
          <commentPr autoFill="true" autoScale="false" colHidden="false" locked="false" rowHidden="false" textHAlign="justify" textVAlign="top">
            <anchor moveWithCells="false" sizeWithCells="false">
              <xdr:from>
                <xdr:col>14</xdr:col>
                <xdr:colOff>49</xdr:colOff>
                <xdr:row>32</xdr:row>
                <xdr:rowOff>18</xdr:rowOff>
              </xdr:from>
              <xdr:to>
                <xdr:col>18</xdr:col>
                <xdr:colOff>30</xdr:colOff>
                <xdr:row>41</xdr:row>
                <xdr:rowOff>7</xdr:rowOff>
              </xdr:to>
            </anchor>
          </commentPr>
        </mc:Choice>
        <mc:Fallback/>
      </mc:AlternateContent>
    </comment>
    <comment ref="N33" authorId="0">
      <text>
        <r>
          <rPr>
            <b val="true"/>
            <sz val="10"/>
            <color rgb="FF000000"/>
            <rFont val="Tahoma"/>
            <family val="2"/>
          </rPr>
          <t xml:space="preserve">OPS. AND MACHINERT INSURANCE
Neil S-C; 3/30/99
</t>
        </r>
        <r>
          <rPr>
            <sz val="10"/>
            <color rgb="FF000000"/>
            <rFont val="Tahoma"/>
            <family val="2"/>
          </rPr>
          <t xml:space="preserve">A small increase here to reflect estimates on the 1999's.  A rate of 0.128% if Replacement Value.
</t>
        </r>
        <r>
          <rPr>
            <b val="true"/>
            <sz val="10"/>
            <color rgb="FF000000"/>
            <rFont val="Tahoma"/>
            <family val="2"/>
          </rPr>
          <t xml:space="preserve">
Sheetal J Bajoria x3-5692, </t>
        </r>
        <r>
          <rPr>
            <sz val="10"/>
            <color rgb="FF000000"/>
            <rFont val="Tahoma"/>
            <family val="2"/>
          </rPr>
          <t xml:space="preserve">1/29/99:
wrt Email from Paul Clayton, CORP INSR, to Agatha Andraczke on 1/20/99.   Number based on corporate allocation of costs. Was 125 now 180</t>
        </r>
      </text>
      <mc:AlternateContent>
        <mc:Choice Requires="v2">
          <commentPr autoFill="true" autoScale="false" colHidden="false" locked="false" rowHidden="false" textHAlign="justify" textVAlign="top">
            <anchor moveWithCells="false" sizeWithCells="false">
              <xdr:from>
                <xdr:col>14</xdr:col>
                <xdr:colOff>38</xdr:colOff>
                <xdr:row>34</xdr:row>
                <xdr:rowOff>4</xdr:rowOff>
              </xdr:from>
              <xdr:to>
                <xdr:col>18</xdr:col>
                <xdr:colOff>17</xdr:colOff>
                <xdr:row>42</xdr:row>
                <xdr:rowOff>12</xdr:rowOff>
              </xdr:to>
            </anchor>
          </commentPr>
        </mc:Choice>
        <mc:Fallback/>
      </mc:AlternateContent>
    </comment>
    <comment ref="N35" authorId="0">
      <text>
        <r>
          <rPr>
            <b val="true"/>
            <sz val="8"/>
            <color rgb="FF000000"/>
            <rFont val="Tahoma"/>
            <family val="0"/>
          </rPr>
          <t xml:space="preserve">UTILITIES:
</t>
        </r>
        <r>
          <rPr>
            <sz val="8"/>
            <color rgb="FF000000"/>
            <rFont val="Tahoma"/>
            <family val="2"/>
          </rPr>
          <t xml:space="preserve">
Neil S-C, 3/2/99
Estimation comes from Brownsville.</t>
        </r>
      </text>
      <mc:AlternateContent>
        <mc:Choice Requires="v2">
          <commentPr autoFill="true" autoScale="false" colHidden="false" locked="false" rowHidden="false" textHAlign="justify" textVAlign="top">
            <anchor moveWithCells="false" sizeWithCells="false">
              <xdr:from>
                <xdr:col>13</xdr:col>
                <xdr:colOff>63</xdr:colOff>
                <xdr:row>30</xdr:row>
                <xdr:rowOff>5</xdr:rowOff>
              </xdr:from>
              <xdr:to>
                <xdr:col>17</xdr:col>
                <xdr:colOff>2</xdr:colOff>
                <xdr:row>36</xdr:row>
                <xdr:rowOff>6</xdr:rowOff>
              </xdr:to>
            </anchor>
          </commentPr>
        </mc:Choice>
        <mc:Fallback/>
      </mc:AlternateContent>
    </comment>
    <comment ref="N36" authorId="0">
      <text>
        <r>
          <rPr>
            <b val="true"/>
            <sz val="8"/>
            <color rgb="FF000000"/>
            <rFont val="Tahoma"/>
            <family val="0"/>
          </rPr>
          <t xml:space="preserve">UTILITIES:
</t>
        </r>
        <r>
          <rPr>
            <sz val="8"/>
            <color rgb="FF000000"/>
            <rFont val="Tahoma"/>
            <family val="2"/>
          </rPr>
          <t xml:space="preserve">
Neil S-C, 3/2/99
Estimation comes from Brownsville.</t>
        </r>
      </text>
      <mc:AlternateContent>
        <mc:Choice Requires="v2">
          <commentPr autoFill="true" autoScale="false" colHidden="false" locked="false" rowHidden="false" textHAlign="justify" textVAlign="top">
            <anchor moveWithCells="false" sizeWithCells="false">
              <xdr:from>
                <xdr:col>14</xdr:col>
                <xdr:colOff>8</xdr:colOff>
                <xdr:row>34</xdr:row>
                <xdr:rowOff>1</xdr:rowOff>
              </xdr:from>
              <xdr:to>
                <xdr:col>17</xdr:col>
                <xdr:colOff>36</xdr:colOff>
                <xdr:row>40</xdr:row>
                <xdr:rowOff>5</xdr:rowOff>
              </xdr:to>
            </anchor>
          </commentPr>
        </mc:Choice>
        <mc:Fallback/>
      </mc:AlternateContent>
    </comment>
    <comment ref="N38" authorId="0">
      <text>
        <r>
          <rPr>
            <b val="true"/>
            <sz val="8"/>
            <color rgb="FF000000"/>
            <rFont val="Tahoma"/>
            <family val="0"/>
          </rPr>
          <t xml:space="preserve">GAS PIPELINE METERING:
Neil S-C:  3/15/99
</t>
        </r>
        <r>
          <rPr>
            <sz val="8"/>
            <color rgb="FF000000"/>
            <rFont val="Tahoma"/>
            <family val="2"/>
          </rPr>
          <t xml:space="preserve">Kevin Presto's Group</t>
        </r>
      </text>
      <mc:AlternateContent>
        <mc:Choice Requires="v2">
          <commentPr autoFill="true" autoScale="false" colHidden="false" locked="false" rowHidden="false" textHAlign="justify" textVAlign="top">
            <anchor moveWithCells="false" sizeWithCells="false">
              <xdr:from>
                <xdr:col>13</xdr:col>
                <xdr:colOff>63</xdr:colOff>
                <xdr:row>34</xdr:row>
                <xdr:rowOff>12</xdr:rowOff>
              </xdr:from>
              <xdr:to>
                <xdr:col>15</xdr:col>
                <xdr:colOff>58</xdr:colOff>
                <xdr:row>38</xdr:row>
                <xdr:rowOff>15</xdr:rowOff>
              </xdr:to>
            </anchor>
          </commentPr>
        </mc:Choice>
        <mc:Fallback/>
      </mc:AlternateContent>
    </comment>
    <comment ref="N61" authorId="0">
      <text>
        <r>
          <rPr>
            <b val="true"/>
            <sz val="8"/>
            <color rgb="FF000000"/>
            <rFont val="Tahoma"/>
            <family val="0"/>
          </rPr>
          <t xml:space="preserve">START-UP FUEL MMBTU
</t>
        </r>
        <r>
          <rPr>
            <sz val="8"/>
            <color rgb="FF000000"/>
            <rFont val="Tahoma"/>
            <family val="2"/>
          </rPr>
          <t xml:space="preserve">
Neil S-C
Same as Brownsville.  The cost is not reflected in the model as it is a true pass through and not reflected in the consolidated model.</t>
        </r>
      </text>
      <mc:AlternateContent>
        <mc:Choice Requires="v2">
          <commentPr autoFill="true" autoScale="false" colHidden="false" locked="false" rowHidden="false" textHAlign="justify" textVAlign="top">
            <anchor moveWithCells="false" sizeWithCells="false">
              <xdr:from>
                <xdr:col>13</xdr:col>
                <xdr:colOff>63</xdr:colOff>
                <xdr:row>57</xdr:row>
                <xdr:rowOff>12</xdr:rowOff>
              </xdr:from>
              <xdr:to>
                <xdr:col>15</xdr:col>
                <xdr:colOff>58</xdr:colOff>
                <xdr:row>61</xdr:row>
                <xdr:rowOff>12</xdr:rowOff>
              </xdr:to>
            </anchor>
          </commentPr>
        </mc:Choice>
        <mc:Fallback/>
      </mc:AlternateContent>
    </comment>
    <comment ref="N65" authorId="0">
      <text>
        <r>
          <rPr>
            <b val="true"/>
            <sz val="8"/>
            <color rgb="FF000000"/>
            <rFont val="Tahoma"/>
            <family val="0"/>
          </rPr>
          <t xml:space="preserve">STATE INCOME TAX RATE
Sheetal J Bajoria x3-5692:
</t>
        </r>
        <r>
          <rPr>
            <sz val="8"/>
            <color rgb="FF000000"/>
            <rFont val="Tahoma"/>
            <family val="0"/>
          </rPr>
          <t xml:space="preserve">2/10/99 : PER MEMO From PAT MALOY TO Clay spears dated 6/29/98 wrt. TN taxes. The state income tax rate was changed from 5% (in Bryans model as of 1/25/99) to 6%.</t>
        </r>
      </text>
      <mc:AlternateContent>
        <mc:Choice Requires="v2">
          <commentPr autoFill="true" autoScale="false" colHidden="false" locked="false" rowHidden="false" textHAlign="justify" textVAlign="top">
            <anchor moveWithCells="false" sizeWithCells="false">
              <xdr:from>
                <xdr:col>14</xdr:col>
                <xdr:colOff>12</xdr:colOff>
                <xdr:row>49</xdr:row>
                <xdr:rowOff>0</xdr:rowOff>
              </xdr:from>
              <xdr:to>
                <xdr:col>21</xdr:col>
                <xdr:colOff>16</xdr:colOff>
                <xdr:row>66</xdr:row>
                <xdr:rowOff>12</xdr:rowOff>
              </xdr:to>
            </anchor>
          </commentPr>
        </mc:Choice>
        <mc:Fallback/>
      </mc:AlternateContent>
    </comment>
    <comment ref="N68" authorId="0">
      <text>
        <r>
          <rPr>
            <b val="true"/>
            <sz val="8"/>
            <color rgb="FF000000"/>
            <rFont val="Tahoma"/>
            <family val="0"/>
          </rPr>
          <t xml:space="preserve">ADJUSTED GROSS INCOME TAX:
Neil S-C; 3/17/99
</t>
        </r>
        <r>
          <rPr>
            <sz val="8"/>
            <color rgb="FF000000"/>
            <rFont val="Tahoma"/>
            <family val="2"/>
          </rPr>
          <t xml:space="preserve">This is a liability only if greater than the Gross Receipts Tax.</t>
        </r>
      </text>
      <mc:AlternateContent>
        <mc:Choice Requires="v2">
          <commentPr autoFill="true" autoScale="false" colHidden="false" locked="false" rowHidden="false" textHAlign="justify" textVAlign="top">
            <anchor moveWithCells="false" sizeWithCells="false">
              <xdr:from>
                <xdr:col>13</xdr:col>
                <xdr:colOff>63</xdr:colOff>
                <xdr:row>65</xdr:row>
                <xdr:rowOff>1</xdr:rowOff>
              </xdr:from>
              <xdr:to>
                <xdr:col>15</xdr:col>
                <xdr:colOff>58</xdr:colOff>
                <xdr:row>69</xdr:row>
                <xdr:rowOff>4</xdr:rowOff>
              </xdr:to>
            </anchor>
          </commentPr>
        </mc:Choice>
        <mc:Fallback/>
      </mc:AlternateContent>
    </comment>
    <comment ref="N69" authorId="0">
      <text>
        <r>
          <rPr>
            <b val="true"/>
            <sz val="8"/>
            <color rgb="FF000000"/>
            <rFont val="Tahoma"/>
            <family val="2"/>
          </rPr>
          <t xml:space="preserve">STATE GROSS RECEIPTS TAX RATE ON GROSS REVENUE
</t>
        </r>
        <r>
          <rPr>
            <sz val="8"/>
            <color rgb="FF000000"/>
            <rFont val="Tahoma"/>
            <family val="2"/>
          </rPr>
          <t xml:space="preserve">
</t>
        </r>
        <r>
          <rPr>
            <sz val="8"/>
            <color rgb="FF000000"/>
            <rFont val="Tahoma"/>
            <family val="0"/>
          </rPr>
          <t xml:space="preserve">Neil S-C; 3817/99
This is a Liability only if it is greater than the Adjusted Gross Income Tax.</t>
        </r>
      </text>
      <mc:AlternateContent>
        <mc:Choice Requires="v2">
          <commentPr autoFill="true" autoScale="false" colHidden="false" locked="false" rowHidden="false" textHAlign="justify" textVAlign="top">
            <anchor moveWithCells="false" sizeWithCells="false">
              <xdr:from>
                <xdr:col>15</xdr:col>
                <xdr:colOff>4</xdr:colOff>
                <xdr:row>60</xdr:row>
                <xdr:rowOff>5</xdr:rowOff>
              </xdr:from>
              <xdr:to>
                <xdr:col>19</xdr:col>
                <xdr:colOff>30</xdr:colOff>
                <xdr:row>66</xdr:row>
                <xdr:rowOff>5</xdr:rowOff>
              </xdr:to>
            </anchor>
          </commentPr>
        </mc:Choice>
        <mc:Fallback/>
      </mc:AlternateContent>
    </comment>
    <comment ref="N70" authorId="0">
      <text>
        <r>
          <rPr>
            <b val="true"/>
            <sz val="8"/>
            <color rgb="FF000000"/>
            <rFont val="Tahoma"/>
            <family val="2"/>
          </rPr>
          <t xml:space="preserve">STATE FRANCHISE TAX RATE ON CAPITAL 
</t>
        </r>
        <r>
          <rPr>
            <sz val="8"/>
            <color rgb="FF000000"/>
            <rFont val="Tahoma"/>
            <family val="2"/>
          </rPr>
          <t xml:space="preserve">
Sheetal J Bajoria x3-5692: 2/2/99:
Per memo from Patrick Maloy to Clay Spears wrt taxes in TN, DATED 6/29/98
</t>
        </r>
        <r>
          <rPr>
            <sz val="8"/>
            <color rgb="FF000000"/>
            <rFont val="Tahoma"/>
            <family val="0"/>
          </rPr>
          <t xml:space="preserve">
Pay greater of 
(state util gross rec) or  (excise util + Franchise ) </t>
        </r>
      </text>
      <mc:AlternateContent>
        <mc:Choice Requires="v2">
          <commentPr autoFill="true" autoScale="false" colHidden="false" locked="false" rowHidden="false" textHAlign="justify" textVAlign="top">
            <anchor moveWithCells="false" sizeWithCells="false">
              <xdr:from>
                <xdr:col>14</xdr:col>
                <xdr:colOff>12</xdr:colOff>
                <xdr:row>66</xdr:row>
                <xdr:rowOff>12</xdr:rowOff>
              </xdr:from>
              <xdr:to>
                <xdr:col>17</xdr:col>
                <xdr:colOff>69</xdr:colOff>
                <xdr:row>77</xdr:row>
                <xdr:rowOff>12</xdr:rowOff>
              </xdr:to>
            </anchor>
          </commentPr>
        </mc:Choice>
        <mc:Fallback/>
      </mc:AlternateContent>
    </comment>
    <comment ref="N71" authorId="0">
      <text>
        <r>
          <rPr>
            <sz val="8"/>
            <color rgb="FF000000"/>
            <rFont val="Tahoma"/>
            <family val="2"/>
          </rPr>
          <t xml:space="preserve">STATE SALES AND USE TAS RATE ON FUEL:
Sheetal J Bajoria x3-5692: 2/2/99:
Per memo from Patrick Maloy to Clay Spears wrt taxes in TN, dated 6.29.98.
</t>
        </r>
        <r>
          <rPr>
            <b val="true"/>
            <sz val="8"/>
            <color rgb="FF000000"/>
            <rFont val="Tahoma"/>
            <family val="0"/>
          </rPr>
          <t xml:space="preserve">
Gas used in power production is exempt from Sales and use tax.
</t>
        </r>
      </text>
      <mc:AlternateContent>
        <mc:Choice Requires="v2">
          <commentPr autoFill="true" autoScale="false" colHidden="false" locked="false" rowHidden="false" textHAlign="justify" textVAlign="top">
            <anchor moveWithCells="false" sizeWithCells="false">
              <xdr:from>
                <xdr:col>15</xdr:col>
                <xdr:colOff>4</xdr:colOff>
                <xdr:row>57</xdr:row>
                <xdr:rowOff>4</xdr:rowOff>
              </xdr:from>
              <xdr:to>
                <xdr:col>17</xdr:col>
                <xdr:colOff>10</xdr:colOff>
                <xdr:row>75</xdr:row>
                <xdr:rowOff>7</xdr:rowOff>
              </xdr:to>
            </anchor>
          </commentPr>
        </mc:Choice>
        <mc:Fallback/>
      </mc:AlternateContent>
    </comment>
    <comment ref="U6" authorId="0">
      <text>
        <r>
          <rPr>
            <b val="true"/>
            <sz val="8"/>
            <color rgb="FF000000"/>
            <rFont val="Tahoma"/>
            <family val="0"/>
          </rPr>
          <t xml:space="preserve">Assesed Value Muliplier Property:                                                                                                                                                                                                                                                                                                                                                                                                                                                                                                                                                                                                                                                                                                                                                                                                                                                                                                                                                                                                                                                                                                                                                                                                                                                                                                                                                                                                                                                                                                        
</t>
        </r>
      </text>
      <mc:AlternateContent>
        <mc:Choice Requires="v2">
          <commentPr autoFill="true" autoScale="false" colHidden="false" locked="false" rowHidden="false" textHAlign="justify" textVAlign="top">
            <anchor moveWithCells="false" sizeWithCells="false">
              <xdr:from>
                <xdr:col>20</xdr:col>
                <xdr:colOff>68</xdr:colOff>
                <xdr:row>4</xdr:row>
                <xdr:rowOff>11</xdr:rowOff>
              </xdr:from>
              <xdr:to>
                <xdr:col>22</xdr:col>
                <xdr:colOff>68</xdr:colOff>
                <xdr:row>7</xdr:row>
                <xdr:rowOff>11</xdr:rowOff>
              </xdr:to>
            </anchor>
          </commentPr>
        </mc:Choice>
        <mc:Fallback/>
      </mc:AlternateContent>
    </comment>
    <comment ref="U7" authorId="0">
      <text>
        <r>
          <rPr>
            <b val="true"/>
            <sz val="8"/>
            <color rgb="FF000000"/>
            <rFont val="Tahoma"/>
            <family val="0"/>
          </rPr>
          <t xml:space="preserve">SCHOOL MILLAGE RATE:
Sheetal J Bajoria x3-5692:
2/10/99
Need verification from Clay Spears
</t>
        </r>
      </text>
      <mc:AlternateContent>
        <mc:Choice Requires="v2">
          <commentPr autoFill="true" autoScale="false" colHidden="false" locked="false" rowHidden="false" textHAlign="justify" textVAlign="top">
            <anchor moveWithCells="false" sizeWithCells="false">
              <xdr:from>
                <xdr:col>20</xdr:col>
                <xdr:colOff>10</xdr:colOff>
                <xdr:row>1</xdr:row>
                <xdr:rowOff>4</xdr:rowOff>
              </xdr:from>
              <xdr:to>
                <xdr:col>23</xdr:col>
                <xdr:colOff>13</xdr:colOff>
                <xdr:row>8</xdr:row>
                <xdr:rowOff>7</xdr:rowOff>
              </xdr:to>
            </anchor>
          </commentPr>
        </mc:Choice>
        <mc:Fallback/>
      </mc:AlternateContent>
    </comment>
    <comment ref="U10" authorId="0">
      <text>
        <r>
          <rPr>
            <b val="true"/>
            <sz val="8"/>
            <color rgb="FF000000"/>
            <rFont val="Tahoma"/>
            <family val="0"/>
          </rPr>
          <t xml:space="preserve">COUNTY MILLAGE RATE:
Sheetal J Bajoria x3-5692: 2/10/99 NEED VERIFICATION FROM Clay Spears
</t>
        </r>
      </text>
      <mc:AlternateContent>
        <mc:Choice Requires="v2">
          <commentPr autoFill="true" autoScale="false" colHidden="false" locked="false" rowHidden="false" textHAlign="justify" textVAlign="top">
            <anchor moveWithCells="false" sizeWithCells="false">
              <xdr:from>
                <xdr:col>20</xdr:col>
                <xdr:colOff>10</xdr:colOff>
                <xdr:row>3</xdr:row>
                <xdr:rowOff>16</xdr:rowOff>
              </xdr:from>
              <xdr:to>
                <xdr:col>23</xdr:col>
                <xdr:colOff>4</xdr:colOff>
                <xdr:row>10</xdr:row>
                <xdr:rowOff>7</xdr:rowOff>
              </xdr:to>
            </anchor>
          </commentPr>
        </mc:Choice>
        <mc:Fallback/>
      </mc:AlternateContent>
    </comment>
    <comment ref="U12" authorId="0">
      <text>
        <r>
          <rPr>
            <b val="true"/>
            <sz val="8"/>
            <color rgb="FF000000"/>
            <rFont val="Tahoma"/>
            <family val="0"/>
          </rPr>
          <t xml:space="preserve">CITY RATE:
Sheetal J Bajoria x3-5692: 2/10/99 NEED VERIFICATION FROM Clay Spears
</t>
        </r>
      </text>
      <mc:AlternateContent>
        <mc:Choice Requires="v2">
          <commentPr autoFill="true" autoScale="false" colHidden="false" locked="false" rowHidden="false" textHAlign="justify" textVAlign="top">
            <anchor moveWithCells="false" sizeWithCells="false">
              <xdr:from>
                <xdr:col>20</xdr:col>
                <xdr:colOff>10</xdr:colOff>
                <xdr:row>9</xdr:row>
                <xdr:rowOff>8</xdr:rowOff>
              </xdr:from>
              <xdr:to>
                <xdr:col>22</xdr:col>
                <xdr:colOff>9</xdr:colOff>
                <xdr:row>13</xdr:row>
                <xdr:rowOff>15</xdr:rowOff>
              </xdr:to>
            </anchor>
          </commentPr>
        </mc:Choice>
        <mc:Fallback/>
      </mc:AlternateContent>
    </comment>
    <comment ref="U14" authorId="0">
      <text>
        <r>
          <rPr>
            <b val="true"/>
            <sz val="8"/>
            <color rgb="FF000000"/>
            <rFont val="Tahoma"/>
            <family val="0"/>
          </rPr>
          <t xml:space="preserve">PROPERTY TAXES
Sheetal J Bajoria x3-5692:
</t>
        </r>
        <r>
          <rPr>
            <sz val="8"/>
            <color rgb="FF000000"/>
            <rFont val="Tahoma"/>
            <family val="0"/>
          </rPr>
          <t xml:space="preserve">per the  "Real Property Lease Agreement" between Brownsville Power I, LLC and the Industrial Development Board of the City of Brownsville, Tennessee. Section  6.02.
This abatement is valid for 15  years.
The calculation after 15 years needs to checked and automated.</t>
        </r>
      </text>
      <mc:AlternateContent>
        <mc:Choice Requires="v2">
          <commentPr autoFill="true" autoScale="false" colHidden="false" locked="false" rowHidden="false" textHAlign="justify" textVAlign="top">
            <anchor moveWithCells="false" sizeWithCells="false">
              <xdr:from>
                <xdr:col>20</xdr:col>
                <xdr:colOff>10</xdr:colOff>
                <xdr:row>11</xdr:row>
                <xdr:rowOff>4</xdr:rowOff>
              </xdr:from>
              <xdr:to>
                <xdr:col>25</xdr:col>
                <xdr:colOff>16</xdr:colOff>
                <xdr:row>18</xdr:row>
                <xdr:rowOff>21</xdr:rowOff>
              </xdr:to>
            </anchor>
          </commentPr>
        </mc:Choice>
        <mc:Fallback/>
      </mc:AlternateContent>
    </comment>
  </commentList>
</comments>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70" authorId="0">
      <text>
        <r>
          <rPr>
            <b val="true"/>
            <sz val="8"/>
            <color rgb="FF000000"/>
            <rFont val="Tahoma"/>
            <family val="0"/>
          </rPr>
          <t xml:space="preserve">Sheetal J Bajoria x3-5692:
</t>
        </r>
        <r>
          <rPr>
            <sz val="8"/>
            <color rgb="FF000000"/>
            <rFont val="Tahoma"/>
            <family val="0"/>
          </rPr>
          <t xml:space="preserve">from ICF kaisiser presentationn dated Sept 23, 98, ppage 36,</t>
        </r>
      </text>
      <mc:AlternateContent>
        <mc:Choice Requires="v2">
          <commentPr autoFill="true" autoScale="false" colHidden="false" locked="false" rowHidden="false" textHAlign="justify" textVAlign="top">
            <anchor moveWithCells="false" sizeWithCells="false">
              <xdr:from>
                <xdr:col>0</xdr:col>
                <xdr:colOff>132</xdr:colOff>
                <xdr:row>65</xdr:row>
                <xdr:rowOff>12</xdr:rowOff>
              </xdr:from>
              <xdr:to>
                <xdr:col>2</xdr:col>
                <xdr:colOff>43</xdr:colOff>
                <xdr:row>74</xdr:row>
                <xdr:rowOff>12</xdr:rowOff>
              </xdr:to>
            </anchor>
          </commentPr>
        </mc:Choice>
        <mc:Fallback/>
      </mc:AlternateContent>
    </comment>
    <comment ref="A71" authorId="0">
      <text>
        <r>
          <rPr>
            <b val="true"/>
            <sz val="8"/>
            <color rgb="FF000000"/>
            <rFont val="Tahoma"/>
            <family val="0"/>
          </rPr>
          <t xml:space="preserve">Sheetal J Bajoria x3-5692:
</t>
        </r>
        <r>
          <rPr>
            <sz val="8"/>
            <color rgb="FF000000"/>
            <rFont val="Tahoma"/>
            <family val="0"/>
          </rPr>
          <t xml:space="preserve">from ICF kaisiser presentationn dated Sept 23, 98, ppage 36,</t>
        </r>
      </text>
      <mc:AlternateContent>
        <mc:Choice Requires="v2">
          <commentPr autoFill="true" autoScale="false" colHidden="false" locked="false" rowHidden="false" textHAlign="justify" textVAlign="top">
            <anchor moveWithCells="false" sizeWithCells="false">
              <xdr:from>
                <xdr:col>1</xdr:col>
                <xdr:colOff>16</xdr:colOff>
                <xdr:row>68</xdr:row>
                <xdr:rowOff>14</xdr:rowOff>
              </xdr:from>
              <xdr:to>
                <xdr:col>5</xdr:col>
                <xdr:colOff>0</xdr:colOff>
                <xdr:row>76</xdr:row>
                <xdr:rowOff>17</xdr:rowOff>
              </xdr:to>
            </anchor>
          </commentPr>
        </mc:Choice>
        <mc:Fallback/>
      </mc:AlternateContent>
    </comment>
    <comment ref="A79" authorId="0">
      <text>
        <r>
          <rPr>
            <b val="true"/>
            <sz val="8"/>
            <color rgb="FF000000"/>
            <rFont val="Tahoma"/>
            <family val="0"/>
          </rPr>
          <t xml:space="preserve">Energy Curve:
Neil S-C, 2/17/99
</t>
        </r>
        <r>
          <rPr>
            <sz val="8"/>
            <color rgb="FF000000"/>
            <rFont val="Tahoma"/>
            <family val="2"/>
          </rPr>
          <t xml:space="preserve">From the ICF Kaiser Market Assessment of TVA dated 9/23/98</t>
        </r>
      </text>
      <mc:AlternateContent>
        <mc:Choice Requires="v2">
          <commentPr autoFill="true" autoScale="false" colHidden="false" locked="false" rowHidden="false" textHAlign="justify" textVAlign="top">
            <anchor moveWithCells="false" sizeWithCells="false">
              <xdr:from>
                <xdr:col>1</xdr:col>
                <xdr:colOff>16</xdr:colOff>
                <xdr:row>77</xdr:row>
                <xdr:rowOff>7</xdr:rowOff>
              </xdr:from>
              <xdr:to>
                <xdr:col>4</xdr:col>
                <xdr:colOff>59</xdr:colOff>
                <xdr:row>82</xdr:row>
                <xdr:rowOff>17</xdr:rowOff>
              </xdr:to>
            </anchor>
          </commentPr>
        </mc:Choice>
        <mc:Fallback/>
      </mc:AlternateContent>
    </comment>
    <comment ref="A80" authorId="0">
      <text>
        <r>
          <rPr>
            <b val="true"/>
            <sz val="8"/>
            <color rgb="FF000000"/>
            <rFont val="Tahoma"/>
            <family val="0"/>
          </rPr>
          <t xml:space="preserve">Energy Curve:
Neil S-C, 2/17/99
</t>
        </r>
        <r>
          <rPr>
            <sz val="8"/>
            <color rgb="FF000000"/>
            <rFont val="Tahoma"/>
            <family val="2"/>
          </rPr>
          <t xml:space="preserve">From the ICF Kaiser Market Assessment of TVA dated 9/23/98</t>
        </r>
      </text>
      <mc:AlternateContent>
        <mc:Choice Requires="v2">
          <commentPr autoFill="true" autoScale="false" colHidden="false" locked="false" rowHidden="false" textHAlign="justify" textVAlign="top">
            <anchor moveWithCells="false" sizeWithCells="false">
              <xdr:from>
                <xdr:col>1</xdr:col>
                <xdr:colOff>16</xdr:colOff>
                <xdr:row>78</xdr:row>
                <xdr:rowOff>7</xdr:rowOff>
              </xdr:from>
              <xdr:to>
                <xdr:col>4</xdr:col>
                <xdr:colOff>59</xdr:colOff>
                <xdr:row>82</xdr:row>
                <xdr:rowOff>17</xdr:rowOff>
              </xdr:to>
            </anchor>
          </commentPr>
        </mc:Choice>
        <mc:Fallback/>
      </mc:AlternateContent>
    </comment>
    <comment ref="B65" authorId="0">
      <text>
        <r>
          <rPr>
            <b val="true"/>
            <sz val="8"/>
            <color rgb="FF000000"/>
            <rFont val="Tahoma"/>
            <family val="0"/>
          </rPr>
          <t xml:space="preserve">
Sheetal J Bajoria x3-5692:
</t>
        </r>
        <r>
          <rPr>
            <sz val="8"/>
            <color rgb="FF000000"/>
            <rFont val="Tahoma"/>
            <family val="0"/>
          </rPr>
          <t xml:space="preserve">`</t>
        </r>
      </text>
      <mc:AlternateContent>
        <mc:Choice Requires="v2">
          <commentPr autoFill="true" autoScale="false" colHidden="false" locked="false" rowHidden="false" textHAlign="justify" textVAlign="top">
            <anchor moveWithCells="false" sizeWithCells="false">
              <xdr:from>
                <xdr:col>2</xdr:col>
                <xdr:colOff>46</xdr:colOff>
                <xdr:row>49</xdr:row>
                <xdr:rowOff>8</xdr:rowOff>
              </xdr:from>
              <xdr:to>
                <xdr:col>4</xdr:col>
                <xdr:colOff>50</xdr:colOff>
                <xdr:row>54</xdr:row>
                <xdr:rowOff>3</xdr:rowOff>
              </xdr:to>
            </anchor>
          </commentPr>
        </mc:Choice>
        <mc:Fallback/>
      </mc:AlternateContent>
    </comment>
    <comment ref="C22" authorId="0">
      <text>
        <r>
          <rPr>
            <b val="true"/>
            <sz val="8"/>
            <color rgb="FF000000"/>
            <rFont val="Tahoma"/>
            <family val="0"/>
          </rPr>
          <t xml:space="preserve">Bryan Garrett:
</t>
        </r>
        <r>
          <rPr>
            <sz val="8"/>
            <color rgb="FF000000"/>
            <rFont val="Tahoma"/>
            <family val="0"/>
          </rPr>
          <t xml:space="preserve">This is lower because you have only a partial year's costs vs a full year's MWh output (this is due to the fact that the plant only runs during summer months.</t>
        </r>
      </text>
      <mc:AlternateContent>
        <mc:Choice Requires="v2">
          <commentPr autoFill="true" autoScale="false" colHidden="false" locked="false" rowHidden="false" textHAlign="justify" textVAlign="top">
            <anchor moveWithCells="false" sizeWithCells="false">
              <xdr:from>
                <xdr:col>2</xdr:col>
                <xdr:colOff>56</xdr:colOff>
                <xdr:row>22</xdr:row>
                <xdr:rowOff>14</xdr:rowOff>
              </xdr:from>
              <xdr:to>
                <xdr:col>4</xdr:col>
                <xdr:colOff>46</xdr:colOff>
                <xdr:row>29</xdr:row>
                <xdr:rowOff>17</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27" authorId="0">
      <text>
        <r>
          <rPr>
            <b val="true"/>
            <sz val="8"/>
            <color rgb="FF000000"/>
            <rFont val="Tahoma"/>
            <family val="0"/>
          </rPr>
          <t xml:space="preserve">Bryan Garrett:
Must be linked to the dispatch line in the consolidated model or must insert a line for dispatch run hours.
</t>
        </r>
      </text>
      <mc:AlternateContent>
        <mc:Choice Requires="v2">
          <commentPr autoFill="true" autoScale="false" colHidden="false" locked="false" rowHidden="false" textHAlign="justify" textVAlign="top">
            <anchor moveWithCells="false" sizeWithCells="false">
              <xdr:from>
                <xdr:col>3</xdr:col>
                <xdr:colOff>2</xdr:colOff>
                <xdr:row>25</xdr:row>
                <xdr:rowOff>3</xdr:rowOff>
              </xdr:from>
              <xdr:to>
                <xdr:col>4</xdr:col>
                <xdr:colOff>34</xdr:colOff>
                <xdr:row>31</xdr:row>
                <xdr:rowOff>5</xdr:rowOff>
              </xdr:to>
            </anchor>
          </commentPr>
        </mc:Choice>
        <mc:Fallback/>
      </mc:AlternateContent>
    </comment>
  </commentList>
</comments>
</file>

<file path=xl/sharedStrings.xml><?xml version="1.0" encoding="utf-8"?>
<sst xmlns="http://schemas.openxmlformats.org/spreadsheetml/2006/main" count="1486" uniqueCount="713">
  <si>
    <t xml:space="preserve">Tracker </t>
  </si>
  <si>
    <t xml:space="preserve">This page is designed to track all the changes made to the model to be able to reconcile back to any number that was released.</t>
  </si>
  <si>
    <t xml:space="preserve">Current:  Linked to the Model</t>
  </si>
  <si>
    <t xml:space="preserve">NPV at 15% 20 years After Tax</t>
  </si>
  <si>
    <t xml:space="preserve">NPV at 15% 20 years Before Tax</t>
  </si>
  <si>
    <t xml:space="preserve">YEAR</t>
  </si>
  <si>
    <t xml:space="preserve">Total NPV</t>
  </si>
  <si>
    <t xml:space="preserve">Delta</t>
  </si>
  <si>
    <t xml:space="preserve">Annual Revenues</t>
  </si>
  <si>
    <t xml:space="preserve">Annual Expenses</t>
  </si>
  <si>
    <t xml:space="preserve">After Tax Book Income</t>
  </si>
  <si>
    <t xml:space="preserve">After Tax Cash Flow</t>
  </si>
  <si>
    <t xml:space="preserve">1.  Models Sent to Banks on 2/23/99 - Neil Sainsbury-Carter</t>
  </si>
  <si>
    <t xml:space="preserve">2.  Contingency Calculation Changed: Was 5% on total cost and is now 3% on Total Hard and Soft Costs and an addition 5% on NEPCO</t>
  </si>
  <si>
    <t xml:space="preserve">3.  Changed the Depreciation of EI O&amp;M Mobilization to all in the 1st year</t>
  </si>
  <si>
    <t xml:space="preserve">4.  Increased the Utilities Fee to reflect the new estimates for Brownsville</t>
  </si>
  <si>
    <t xml:space="preserve">5.  Changed the order of the Taxes making the Franchise tax a deductible for the State Income Tax and breaking out the State and Fed NOL's.</t>
  </si>
  <si>
    <t xml:space="preserve">6.  Changed the MACR Tables</t>
  </si>
  <si>
    <t xml:space="preserve">7.  Added to the Fixed G&amp;A $30k for Gas Pipeline Metering.</t>
  </si>
  <si>
    <t xml:space="preserve">8.  New State Income Tax Structure from Pat Maloy.   Changed the Site Capacity from 460 to 471MW's.</t>
  </si>
  <si>
    <t xml:space="preserve">9.  New Drawdown which included an increase in the Costs of the Turbines and Sales and Use Tax.  This alone combined for a $6M increase.</t>
  </si>
  <si>
    <t xml:space="preserve">10.  Increased the Operating Insurance Estimates to reflect the estimates for the 1999 plants.</t>
  </si>
  <si>
    <t xml:space="preserve">11.  Changed the IDC calculation to include half of the current month Draw.</t>
  </si>
  <si>
    <t xml:space="preserve">12.  Version 2 of the Control Budget and new Draw Schedules</t>
  </si>
  <si>
    <t xml:space="preserve">13.  Made Yr 20 a full year instead of a partial, 5 month year.</t>
  </si>
  <si>
    <t xml:space="preserve">14.  Rolled the EI Mobilization into the Deprecialble Base and changed Book Income to 30 yr.</t>
  </si>
  <si>
    <t xml:space="preserve">15.  Changed Interest Income to be 5% of 25% of EBITDA</t>
  </si>
  <si>
    <t xml:space="preserve">16.  Added an Admin Fee of $1M which is prorated among the projects by MW.</t>
  </si>
  <si>
    <t xml:space="preserve">17.  Changed the Major Maintenance to the new OEC Matrix for 120 starts.</t>
  </si>
  <si>
    <t xml:space="preserve">18.  Changed the Site MW from 471 to 473.5.</t>
  </si>
  <si>
    <t xml:space="preserve">19.  Changed Start per Yr. To 120 from 115.  This only effects the Start Up fuel cost shich is a pass through.</t>
  </si>
  <si>
    <t xml:space="preserve">20.  Made the Gas Price Fixed at 2.5</t>
  </si>
  <si>
    <t xml:space="preserve">21.  Added a per start payment that causes the Maj. Main to be passes through and reduced the capacity in the PPA to 3.25</t>
  </si>
  <si>
    <t xml:space="preserve">22.  Version #4 of the Control Budget and took out the Debt Reserve.</t>
  </si>
  <si>
    <t xml:space="preserve">23.  New Property Tax with a 10 Year Abatement Schedule.</t>
  </si>
  <si>
    <t xml:space="preserve">24.  Put in the Final Report ICF Capacity Curves</t>
  </si>
  <si>
    <t xml:space="preserve">25.  Changed the MMBTU's per start to reflect Azim's new estimates on the '99s'.</t>
  </si>
  <si>
    <t xml:space="preserve">26.  Capacity confirmed at 470 dowmn from 473.5</t>
  </si>
  <si>
    <t xml:space="preserve">27.  Capacity Price to 4.00</t>
  </si>
  <si>
    <t xml:space="preserve">28.  Broke out the Utility Costs and used Brownsville as a proxy.</t>
  </si>
  <si>
    <t xml:space="preserve">29.  New Fuel Quantity for the Start up Fuel and Version #5 of the Control Budget which only had a nominal change for the IDC.</t>
  </si>
  <si>
    <t xml:space="preserve">30.  Moved the Start Date to July 1st for June 1st.  </t>
  </si>
  <si>
    <t xml:space="preserve">31.  Added a degredation factor of 2% to the Merchant period capacity</t>
  </si>
  <si>
    <t xml:space="preserve">32.  Added a Marketing Fee of .07 /  kw-mo during merchant period</t>
  </si>
  <si>
    <t xml:space="preserve">33. New Kaiser Capacity Curve in $1998</t>
  </si>
  <si>
    <t xml:space="preserve">34.  Revised the Start Up Fuel MMBTU's</t>
  </si>
  <si>
    <t xml:space="preserve">35.  Control Budget Version # 7</t>
  </si>
  <si>
    <t xml:space="preserve">36.  Moved the start date up to June 1 giving 7 months to the 1st Yr.</t>
  </si>
  <si>
    <t xml:space="preserve">37.  Incorporated the Energy Margin into the Revenue for 2% of the available capacity during the merchant period.</t>
  </si>
  <si>
    <t xml:space="preserve">38.  Limited the Maj Main in the Block Payment to 1/3 of the expense as Kaiser has incorporated 2/3 into the Capacity Price</t>
  </si>
  <si>
    <t xml:space="preserve">39.  Changed the End Date back to 5/30/20</t>
  </si>
  <si>
    <t xml:space="preserve">40.  Property Taxes.  Warren Shick has stated that non local entities can not use the Pooling Deprec. Schedules but instead it must follow Fed Deprec.</t>
  </si>
  <si>
    <t xml:space="preserve">41.  Changed the escalation for the Marketing Fee making the Yr. 2003 the base.</t>
  </si>
  <si>
    <t xml:space="preserve">42.  Control Budget Version # 10</t>
  </si>
  <si>
    <t xml:space="preserve">43.  Control Budget Version # 11</t>
  </si>
  <si>
    <t xml:space="preserve">44.  The last year of the Block Payment was prorated while the cost was not.</t>
  </si>
  <si>
    <t xml:space="preserve">45.  Added back in the Start Up Fuel which is not a true pass through due to the Taxes</t>
  </si>
  <si>
    <t xml:space="preserve">46.  Property Taxes.  Differentialted between Real and Perconnal Property and added a second abatement schedule</t>
  </si>
  <si>
    <t xml:space="preserve">47.  Control Budget Version # 12</t>
  </si>
  <si>
    <t xml:space="preserve">48.  Added the CSFB Financing Terms</t>
  </si>
  <si>
    <t xml:space="preserve">49.  Control Budget Revision #15</t>
  </si>
  <si>
    <t xml:space="preserve">50.  Made the Supplemental tax Fed Tax deductible.</t>
  </si>
  <si>
    <t xml:space="preserve">51.  Control Budget revision #18</t>
  </si>
  <si>
    <t xml:space="preserve">52.  Using the ISO rating capacities for the merchant periods</t>
  </si>
  <si>
    <t xml:space="preserve">53.  Control Budget Version #20</t>
  </si>
  <si>
    <t xml:space="preserve">54.  Control Budget Version #21</t>
  </si>
  <si>
    <t xml:space="preserve">55.  Adjusted the debt to be 75%.  The Project Cost has been increasing in the last few Control Budgets so this had sunk to about 70%</t>
  </si>
  <si>
    <t xml:space="preserve">56.  Adjusted the Cash Flow to account for the supplemental income tax.  This has no effect on the consolidated model.</t>
  </si>
  <si>
    <t xml:space="preserve">58.  Update costs from weekly cost control sheet</t>
  </si>
  <si>
    <t xml:space="preserve">59.  No changes from control sheet</t>
  </si>
  <si>
    <t xml:space="preserve">60.  No changes from control sheet</t>
  </si>
  <si>
    <t xml:space="preserve">61.  No changes from control sheet</t>
  </si>
  <si>
    <t xml:space="preserve">61.  Changes made to Cintingency with NEPCO and No More Financings Fee</t>
  </si>
  <si>
    <t xml:space="preserve">62.  Changes made to Cintingency with NEPCO and No More Resale Handling Fee</t>
  </si>
  <si>
    <t xml:space="preserve">62.  Changes made to ABB with NEPCO, IDC, &amp; Contingency</t>
  </si>
  <si>
    <t xml:space="preserve">63.  Changes made to ABB with NEPCO, IDC, &amp; Contingency</t>
  </si>
  <si>
    <t xml:space="preserve">64.  Changes made to ABB with NEPCO, IDC, &amp; Contingency</t>
  </si>
  <si>
    <t xml:space="preserve">65.  Changes made to ABB with NEPCO, IDC, &amp; Contingency</t>
  </si>
  <si>
    <t xml:space="preserve">66.  Changes made to nepco, development and switchyard.</t>
  </si>
  <si>
    <t xml:space="preserve">COPIED TO THE CONSOLIDATED FILE</t>
  </si>
  <si>
    <t xml:space="preserve">Plant Summary</t>
  </si>
  <si>
    <t xml:space="preserve">Capacity</t>
  </si>
  <si>
    <t xml:space="preserve">Heat Rate</t>
  </si>
  <si>
    <t xml:space="preserve">No. of Turbines</t>
  </si>
  <si>
    <t xml:space="preserve">Operating Hours</t>
  </si>
  <si>
    <t xml:space="preserve">Start Up MMBTU's</t>
  </si>
  <si>
    <t xml:space="preserve">Book Income 1999 Costs</t>
  </si>
  <si>
    <t xml:space="preserve">Fixed Operating Cost</t>
  </si>
  <si>
    <t xml:space="preserve">Variable Operating Cost</t>
  </si>
  <si>
    <t xml:space="preserve">Start Fuel</t>
  </si>
  <si>
    <t xml:space="preserve">Major Main.</t>
  </si>
  <si>
    <t xml:space="preserve">Insurance</t>
  </si>
  <si>
    <t xml:space="preserve">SG&amp;A Cost</t>
  </si>
  <si>
    <t xml:space="preserve">Utility: Start Up Power</t>
  </si>
  <si>
    <t xml:space="preserve">Property Taxes &amp; Other</t>
  </si>
  <si>
    <t xml:space="preserve">Debt Service</t>
  </si>
  <si>
    <t xml:space="preserve">Admin Fees</t>
  </si>
  <si>
    <t xml:space="preserve">O&amp;M Fees</t>
  </si>
  <si>
    <t xml:space="preserve">Variable Revenue</t>
  </si>
  <si>
    <t xml:space="preserve">Variable Energy Payment</t>
  </si>
  <si>
    <t xml:space="preserve">Start Payment/Turbine</t>
  </si>
  <si>
    <t xml:space="preserve">Consolidated Check</t>
  </si>
  <si>
    <t xml:space="preserve">EGC EITDA</t>
  </si>
  <si>
    <t xml:space="preserve">Wheatland</t>
  </si>
  <si>
    <t xml:space="preserve">Plus : L/C</t>
  </si>
  <si>
    <t xml:space="preserve">Less:  Interest</t>
  </si>
  <si>
    <t xml:space="preserve">Plus : GRT</t>
  </si>
  <si>
    <t xml:space="preserve">    Difference</t>
  </si>
  <si>
    <t xml:space="preserve">WHEATLAND POWER IN, L.L.C.</t>
  </si>
  <si>
    <t xml:space="preserve">ASSUMPTIONS AND SUMMARY</t>
  </si>
  <si>
    <t xml:space="preserve">SOURCES AND USES:</t>
  </si>
  <si>
    <t xml:space="preserve">PROJECT DESCRIPTION:</t>
  </si>
  <si>
    <t xml:space="preserve">VARIABLE OPERATING COSTS:</t>
  </si>
  <si>
    <t xml:space="preserve">PROPERTY TAX ASSUMPTIONS:</t>
  </si>
  <si>
    <t xml:space="preserve">Base Year =</t>
  </si>
  <si>
    <t xml:space="preserve">Assessed Value Multiplier Equip</t>
  </si>
  <si>
    <t xml:space="preserve">Sources of Funds</t>
  </si>
  <si>
    <t xml:space="preserve">Type of Turbines</t>
  </si>
  <si>
    <t xml:space="preserve">W 501 D5A</t>
  </si>
  <si>
    <t xml:space="preserve">OEC #'s per 1200 hrs</t>
  </si>
  <si>
    <t xml:space="preserve">MW'hrs</t>
  </si>
  <si>
    <t xml:space="preserve">$/MWh</t>
  </si>
  <si>
    <t xml:space="preserve">2000-2003 Ave</t>
  </si>
  <si>
    <t xml:space="preserve">Mileage Rate </t>
  </si>
  <si>
    <t xml:space="preserve">    Equity Capital</t>
  </si>
  <si>
    <t xml:space="preserve">No. Turbines</t>
  </si>
  <si>
    <t xml:space="preserve">Water Treatment</t>
  </si>
  <si>
    <t xml:space="preserve">State Property Tax Relpacement Credit</t>
  </si>
  <si>
    <t xml:space="preserve">    Permanent Loan</t>
  </si>
  <si>
    <t xml:space="preserve">ISO Capacity Rating (MW)</t>
  </si>
  <si>
    <t xml:space="preserve">FERC Fees</t>
  </si>
  <si>
    <t xml:space="preserve">Years of School Tax Abatement</t>
  </si>
  <si>
    <t xml:space="preserve">N/A</t>
  </si>
  <si>
    <t xml:space="preserve">Net Project MW -  Site</t>
  </si>
  <si>
    <t xml:space="preserve">Variable Maintenance</t>
  </si>
  <si>
    <t xml:space="preserve">Mileage rate for County Tax</t>
  </si>
  <si>
    <t xml:space="preserve">  Total Sources</t>
  </si>
  <si>
    <t xml:space="preserve">Degraded Capacity</t>
  </si>
  <si>
    <t xml:space="preserve">On Merchant Hours Only</t>
  </si>
  <si>
    <t xml:space="preserve">   TOTAL VEP</t>
  </si>
  <si>
    <t xml:space="preserve">Years of County Tax Abatement </t>
  </si>
  <si>
    <t xml:space="preserve">Heat Rate (HHV)</t>
  </si>
  <si>
    <t xml:space="preserve">No City Taxes</t>
  </si>
  <si>
    <t xml:space="preserve">Uses of Funds</t>
  </si>
  <si>
    <t xml:space="preserve">Power Capacity Factor</t>
  </si>
  <si>
    <t xml:space="preserve">COST PER START:</t>
  </si>
  <si>
    <t xml:space="preserve">Percentage of Draw at 12/99</t>
  </si>
  <si>
    <t xml:space="preserve">Hard Costs:</t>
  </si>
  <si>
    <t xml:space="preserve">Annual Peak Operating Hours</t>
  </si>
  <si>
    <t xml:space="preserve">TVA hours</t>
  </si>
  <si>
    <t xml:space="preserve">No of Starts (By 10's)</t>
  </si>
  <si>
    <t xml:space="preserve">Cost/Start/Turbine</t>
  </si>
  <si>
    <t xml:space="preserve">Cost/Start</t>
  </si>
  <si>
    <t xml:space="preserve">$/Yr. (000's)</t>
  </si>
  <si>
    <t xml:space="preserve">Escalation</t>
  </si>
  <si>
    <t xml:space="preserve">Avg. Property Tax/ yr.</t>
  </si>
  <si>
    <t xml:space="preserve">  Turbines</t>
  </si>
  <si>
    <t xml:space="preserve">Project Life (Years)</t>
  </si>
  <si>
    <t xml:space="preserve">Major Maintenance</t>
  </si>
  <si>
    <t xml:space="preserve">  ABB (Transformer and Curcuit Breakers</t>
  </si>
  <si>
    <t xml:space="preserve">Start of Commercial Operation</t>
  </si>
  <si>
    <t xml:space="preserve">Fraction of Yr1</t>
  </si>
  <si>
    <t xml:space="preserve">Start Up Fuel</t>
  </si>
  <si>
    <t xml:space="preserve">BOOK INCOME ASSUMPTIONS:</t>
  </si>
  <si>
    <t xml:space="preserve">  NEPCO Scope (Balance of Plant Costs and Construction)</t>
  </si>
  <si>
    <t xml:space="preserve">End of Commercial Operation</t>
  </si>
  <si>
    <t xml:space="preserve">P/E in Year 2000:</t>
  </si>
  <si>
    <t xml:space="preserve">  Switchyard</t>
  </si>
  <si>
    <t xml:space="preserve">Installed Cost ($/kW)</t>
  </si>
  <si>
    <t xml:space="preserve">W/Debt Res.</t>
  </si>
  <si>
    <t xml:space="preserve">W/O Debt Res.</t>
  </si>
  <si>
    <t xml:space="preserve">Book Depreciation Period</t>
  </si>
  <si>
    <t xml:space="preserve">  Union Adders/Others</t>
  </si>
  <si>
    <t xml:space="preserve">FIXED OPERATING COSTS:</t>
  </si>
  <si>
    <t xml:space="preserve">Book Residual</t>
  </si>
  <si>
    <t xml:space="preserve">  Overheads and Fees - EECC</t>
  </si>
  <si>
    <t xml:space="preserve">VARIABLE PAYMENTS:</t>
  </si>
  <si>
    <t xml:space="preserve">Avg Annual Int Rate Earned on EBITDA and Maint Res.</t>
  </si>
  <si>
    <t xml:space="preserve">  Overheads &amp; Fees - NEPCO</t>
  </si>
  <si>
    <t xml:space="preserve">$/ MW h</t>
  </si>
  <si>
    <t xml:space="preserve">Payroll and Burden</t>
  </si>
  <si>
    <t xml:space="preserve">  Base Fee</t>
  </si>
  <si>
    <t xml:space="preserve">Start Up Payment</t>
  </si>
  <si>
    <t xml:space="preserve">$/Start/ Turbine</t>
  </si>
  <si>
    <t xml:space="preserve">Other O&amp;M expenses</t>
  </si>
  <si>
    <t xml:space="preserve">CHECKS:</t>
  </si>
  <si>
    <t xml:space="preserve">  Water Interconnect</t>
  </si>
  <si>
    <t xml:space="preserve">Energy Margin</t>
  </si>
  <si>
    <t xml:space="preserve">Capacity Factor</t>
  </si>
  <si>
    <t xml:space="preserve">Admin Fee</t>
  </si>
  <si>
    <t xml:space="preserve">  Spare Parts </t>
  </si>
  <si>
    <t xml:space="preserve">Marketing Fee (Merchant Only)</t>
  </si>
  <si>
    <t xml:space="preserve">$/kw-mo</t>
  </si>
  <si>
    <t xml:space="preserve">Is the Balance Sheet Balanced?</t>
  </si>
  <si>
    <t xml:space="preserve">  Land Acquisition</t>
  </si>
  <si>
    <t xml:space="preserve">PPA ASSUMPTIONS:</t>
  </si>
  <si>
    <t xml:space="preserve">O&amp;M Fee</t>
  </si>
  <si>
    <t xml:space="preserve">Total Depreciable Base</t>
  </si>
  <si>
    <t xml:space="preserve">  Power Interconnect</t>
  </si>
  <si>
    <t xml:space="preserve">Term of ECT PPA (years)</t>
  </si>
  <si>
    <t xml:space="preserve">   TOTAL FIXED O&amp;M</t>
  </si>
  <si>
    <t xml:space="preserve">Total Project Cost</t>
  </si>
  <si>
    <t xml:space="preserve">  Gas Interconnection Costs</t>
  </si>
  <si>
    <t xml:space="preserve">Total PPA Capacity (MW)</t>
  </si>
  <si>
    <t xml:space="preserve">   Undepreciated Cost</t>
  </si>
  <si>
    <t xml:space="preserve">  Sales and Use Tax on Equipment</t>
  </si>
  <si>
    <t xml:space="preserve">Number of Hours Called under PPA</t>
  </si>
  <si>
    <t xml:space="preserve">FIXED G&amp;A:</t>
  </si>
  <si>
    <t xml:space="preserve">   Land Expense</t>
  </si>
  <si>
    <t xml:space="preserve">  Mobilization Fuel</t>
  </si>
  <si>
    <t xml:space="preserve">Capacity Rate</t>
  </si>
  <si>
    <t xml:space="preserve">Capacity Rate Escalation</t>
  </si>
  <si>
    <t xml:space="preserve">Insurance Costs:</t>
  </si>
  <si>
    <t xml:space="preserve">Soft Costs:</t>
  </si>
  <si>
    <t xml:space="preserve">Capacity Rate Escalation for Kaiser estimates</t>
  </si>
  <si>
    <t xml:space="preserve">   Liability Insurance</t>
  </si>
  <si>
    <t xml:space="preserve">  EE&amp;CC Project Management</t>
  </si>
  <si>
    <t xml:space="preserve">   Bus Int Ins.</t>
  </si>
  <si>
    <t xml:space="preserve">  Mobilization of O&amp;M</t>
  </si>
  <si>
    <t xml:space="preserve">DEBT FINANCING ASSUMPTIONS:</t>
  </si>
  <si>
    <t xml:space="preserve">   Ops and Mach Ins</t>
  </si>
  <si>
    <t xml:space="preserve">  Environmental Permitting</t>
  </si>
  <si>
    <t xml:space="preserve">Use Normal Debt Structure or Alternate?</t>
  </si>
  <si>
    <t xml:space="preserve">Alternate</t>
  </si>
  <si>
    <t xml:space="preserve">Total Insurance Cost</t>
  </si>
  <si>
    <t xml:space="preserve">  Insurance During Construction</t>
  </si>
  <si>
    <t xml:space="preserve">Utilities : Start Up Power</t>
  </si>
  <si>
    <t xml:space="preserve">  Capitalized Salaries</t>
  </si>
  <si>
    <t xml:space="preserve">Tranche A</t>
  </si>
  <si>
    <t xml:space="preserve">Tranche B</t>
  </si>
  <si>
    <t xml:space="preserve">Tranche C</t>
  </si>
  <si>
    <t xml:space="preserve">Total</t>
  </si>
  <si>
    <t xml:space="preserve">Utilities : Facility Load</t>
  </si>
  <si>
    <t xml:space="preserve">  Resale Handling Fee</t>
  </si>
  <si>
    <t xml:space="preserve">Principal Amount</t>
  </si>
  <si>
    <t xml:space="preserve">Interconnection Fees</t>
  </si>
  <si>
    <t xml:space="preserve">  Development Expenses</t>
  </si>
  <si>
    <t xml:space="preserve">Principal Amount - Alternate</t>
  </si>
  <si>
    <t xml:space="preserve">Gas Pipeline Metering</t>
  </si>
  <si>
    <t xml:space="preserve">  Legal Expense</t>
  </si>
  <si>
    <t xml:space="preserve">Term</t>
  </si>
  <si>
    <t xml:space="preserve">Miscellaneous</t>
  </si>
  <si>
    <t xml:space="preserve">  Total Expensed Cost</t>
  </si>
  <si>
    <t xml:space="preserve">Interest Rate</t>
  </si>
  <si>
    <t xml:space="preserve">   TOTAL FIXED G&amp;A</t>
  </si>
  <si>
    <t xml:space="preserve">  Petersburg Expenses</t>
  </si>
  <si>
    <t xml:space="preserve">DSCR</t>
  </si>
  <si>
    <t xml:space="preserve">  Working Capital</t>
  </si>
  <si>
    <t xml:space="preserve">Choose for Tranches B &amp; C </t>
  </si>
  <si>
    <t xml:space="preserve">Interest Only</t>
  </si>
  <si>
    <t xml:space="preserve">O&amp;M Escalation</t>
  </si>
  <si>
    <t xml:space="preserve">Avg. Life (years)</t>
  </si>
  <si>
    <t xml:space="preserve">Operating Cost Escalation</t>
  </si>
  <si>
    <t xml:space="preserve">Financing Costs:</t>
  </si>
  <si>
    <t xml:space="preserve">DEBT RESERVE ASSUMPTIONS:</t>
  </si>
  <si>
    <t xml:space="preserve">OPERATING COST SUMMARY:</t>
  </si>
  <si>
    <t xml:space="preserve">  Lender's Engineer</t>
  </si>
  <si>
    <t xml:space="preserve">Fund from Operations or Financing?</t>
  </si>
  <si>
    <t xml:space="preserve">Operations</t>
  </si>
  <si>
    <t xml:space="preserve">1999 $000's</t>
  </si>
  <si>
    <t xml:space="preserve">4 Yr. Ave.</t>
  </si>
  <si>
    <t xml:space="preserve">  Lender's Counsel</t>
  </si>
  <si>
    <t xml:space="preserve">Amount of Reserve Needed (6 mos DS)</t>
  </si>
  <si>
    <t xml:space="preserve">Variable Operating Costs</t>
  </si>
  <si>
    <t xml:space="preserve">$/YR</t>
  </si>
  <si>
    <t xml:space="preserve">  Financing Fee</t>
  </si>
  <si>
    <t xml:space="preserve">Interest Rate Earned on Outstanding Debt Reserve Balance </t>
  </si>
  <si>
    <t xml:space="preserve">  Debt Reserves</t>
  </si>
  <si>
    <t xml:space="preserve">   </t>
  </si>
  <si>
    <t xml:space="preserve">$/Start</t>
  </si>
  <si>
    <t xml:space="preserve">RETURNS TO EQUITY HOLDERS:</t>
  </si>
  <si>
    <t xml:space="preserve">Preferred Equity</t>
  </si>
  <si>
    <t xml:space="preserve">Term (yrs)</t>
  </si>
  <si>
    <t xml:space="preserve">Capitalized Interest:</t>
  </si>
  <si>
    <t xml:space="preserve">Coupon</t>
  </si>
  <si>
    <t xml:space="preserve">  Carrying Interest on Project Costs</t>
  </si>
  <si>
    <t xml:space="preserve">Principal</t>
  </si>
  <si>
    <t xml:space="preserve">Fixed Operating Costs</t>
  </si>
  <si>
    <t xml:space="preserve">$/KWm</t>
  </si>
  <si>
    <t xml:space="preserve">Fixed G&amp;A (N/I Property Tax)</t>
  </si>
  <si>
    <t xml:space="preserve">RETURN ON EQUITY:</t>
  </si>
  <si>
    <t xml:space="preserve">Property Taxes ('02 Disc.)</t>
  </si>
  <si>
    <t xml:space="preserve">  Contingency on Hard &amp; Soft Costs</t>
  </si>
  <si>
    <t xml:space="preserve">Required Return on Equity</t>
  </si>
  <si>
    <t xml:space="preserve">Operation Taxes</t>
  </si>
  <si>
    <t xml:space="preserve">  Contingency on NEPCO</t>
  </si>
  <si>
    <t xml:space="preserve">Pre-Tax</t>
  </si>
  <si>
    <t xml:space="preserve">After-Tax</t>
  </si>
  <si>
    <t xml:space="preserve">   Total Contingency</t>
  </si>
  <si>
    <t xml:space="preserve">Years</t>
  </si>
  <si>
    <t xml:space="preserve">XIRR</t>
  </si>
  <si>
    <t xml:space="preserve">   Total Operating Costs</t>
  </si>
  <si>
    <t xml:space="preserve">Total Uses</t>
  </si>
  <si>
    <t xml:space="preserve">Start Up Fuel (MMBTU/Turbine)</t>
  </si>
  <si>
    <t xml:space="preserve">Startup Fuel Mmbtu/Turbine</t>
  </si>
  <si>
    <t xml:space="preserve">MODEL TOGGLES:</t>
  </si>
  <si>
    <t xml:space="preserve">STATE &amp; FEDERAL TAX ASSUMPTIONS:</t>
  </si>
  <si>
    <t xml:space="preserve">Fixed Price or Index Gas Curve?</t>
  </si>
  <si>
    <t xml:space="preserve">Fixed</t>
  </si>
  <si>
    <t xml:space="preserve">XNPV</t>
  </si>
  <si>
    <t xml:space="preserve">Federal Income Tax Rate</t>
  </si>
  <si>
    <t xml:space="preserve">Fixed Gas Price</t>
  </si>
  <si>
    <t xml:space="preserve">State Income Tax Rate</t>
  </si>
  <si>
    <t xml:space="preserve">Use Fed NOL Carryforward?</t>
  </si>
  <si>
    <t xml:space="preserve">Yes</t>
  </si>
  <si>
    <t xml:space="preserve">Effective Income Tax Rate</t>
  </si>
  <si>
    <t xml:space="preserve">Use State  NOL Carryforward?</t>
  </si>
  <si>
    <t xml:space="preserve">Maximum Term of Carryforward (years)</t>
  </si>
  <si>
    <t xml:space="preserve">Adjusted Gross Income Tax (EBT)</t>
  </si>
  <si>
    <t xml:space="preserve">Assumed run hours or dispatched?</t>
  </si>
  <si>
    <t xml:space="preserve">Assumed</t>
  </si>
  <si>
    <t xml:space="preserve">State Gross Income Tax Rate (Gross Rev.)</t>
  </si>
  <si>
    <t xml:space="preserve">Allow Merchant Energy Revenue?</t>
  </si>
  <si>
    <t xml:space="preserve">No</t>
  </si>
  <si>
    <t xml:space="preserve">State Franchise Tax Rate (Capital or BV of assets)</t>
  </si>
  <si>
    <t xml:space="preserve">Allow Residual Capacity Value?</t>
  </si>
  <si>
    <t xml:space="preserve">State Sales and Use Tax Rate on Fuel</t>
  </si>
  <si>
    <t xml:space="preserve">Residual Capacity Value ($/kWmo)</t>
  </si>
  <si>
    <t xml:space="preserve">Kaiser Capacity Curve</t>
  </si>
  <si>
    <t xml:space="preserve">Base, Low, Mid or Percentage (1, 2, 3 or 4)</t>
  </si>
  <si>
    <t xml:space="preserve">Percentage for Option 4</t>
  </si>
  <si>
    <t xml:space="preserve">Energy Curve Selector</t>
  </si>
  <si>
    <t xml:space="preserve">Marginal Cost Curve</t>
  </si>
  <si>
    <t xml:space="preserve">Pass through Variable O&amp;M?</t>
  </si>
  <si>
    <t xml:space="preserve">Auction Value</t>
  </si>
  <si>
    <t xml:space="preserve">Multiples</t>
  </si>
  <si>
    <t xml:space="preserve">IPO Value</t>
  </si>
  <si>
    <t xml:space="preserve">Total Value</t>
  </si>
  <si>
    <t xml:space="preserve">TO DO</t>
  </si>
  <si>
    <t xml:space="preserve">Less Cost</t>
  </si>
  <si>
    <t xml:space="preserve">IDC amortized</t>
  </si>
  <si>
    <t xml:space="preserve">*</t>
  </si>
  <si>
    <t xml:space="preserve">Net Value</t>
  </si>
  <si>
    <t xml:space="preserve">check util</t>
  </si>
  <si>
    <t xml:space="preserve">**</t>
  </si>
  <si>
    <t xml:space="preserve">IPO Equity Valuation*</t>
  </si>
  <si>
    <t xml:space="preserve">REIT Equity  Value**</t>
  </si>
  <si>
    <t xml:space="preserve">IPO = NPV of 2001 Earnings*Multiple-Equity-Capacity Delta</t>
  </si>
  <si>
    <t xml:space="preserve">Reit =NPV of 2001  EBT*Multiple-Equity-Capacity Delta</t>
  </si>
  <si>
    <t xml:space="preserve">Checked and verified</t>
  </si>
  <si>
    <t xml:space="preserve">Check with Tax</t>
  </si>
  <si>
    <t xml:space="preserve">Modelling or Assumption # change needed</t>
  </si>
  <si>
    <t xml:space="preserve">Need clarication of principle</t>
  </si>
  <si>
    <t xml:space="preserve">Changed</t>
  </si>
  <si>
    <t xml:space="preserve">PPA Assumptions and Pricing Summary</t>
  </si>
  <si>
    <t xml:space="preserve">Months of Operation</t>
  </si>
  <si>
    <t xml:space="preserve">Months of Year Under PPA</t>
  </si>
  <si>
    <t xml:space="preserve">Months of Year Merchant</t>
  </si>
  <si>
    <t xml:space="preserve">% of Capacity Under PPA</t>
  </si>
  <si>
    <t xml:space="preserve">Capacity Payment Terms</t>
  </si>
  <si>
    <t xml:space="preserve"> </t>
  </si>
  <si>
    <t xml:space="preserve">   Energy ($/MWH)</t>
  </si>
  <si>
    <t xml:space="preserve">   Capacity ($/kw-mo) - Fixed PPA</t>
  </si>
  <si>
    <t xml:space="preserve">   Capacity ($/kw-mo) - Merchant</t>
  </si>
  <si>
    <t xml:space="preserve">   Capacity Escalation Index</t>
  </si>
  <si>
    <t xml:space="preserve">   Ancillary Services</t>
  </si>
  <si>
    <t xml:space="preserve">   Fees</t>
  </si>
  <si>
    <t xml:space="preserve">r</t>
  </si>
  <si>
    <t xml:space="preserve">Power Pricing Summary</t>
  </si>
  <si>
    <t xml:space="preserve">   All in Power Price $/MWH</t>
  </si>
  <si>
    <t xml:space="preserve">   Fuel $/MWH</t>
  </si>
  <si>
    <t xml:space="preserve">   Variable O&amp;M $/MWH</t>
  </si>
  <si>
    <t xml:space="preserve">   Marginal cost of Generation $/MWh</t>
  </si>
  <si>
    <t xml:space="preserve">Operations &amp; Maintenance Costs</t>
  </si>
  <si>
    <r>
      <rPr>
        <b val="true"/>
        <sz val="8"/>
        <rFont val="Times New Roman"/>
        <family val="1"/>
      </rPr>
      <t xml:space="preserve">   </t>
    </r>
    <r>
      <rPr>
        <b val="true"/>
        <u val="single"/>
        <sz val="8"/>
        <rFont val="Times New Roman"/>
        <family val="1"/>
      </rPr>
      <t xml:space="preserve">Annual Costs by Type:</t>
    </r>
  </si>
  <si>
    <t xml:space="preserve">Term Ave</t>
  </si>
  <si>
    <t xml:space="preserve">   Total Variable Operating Cost</t>
  </si>
  <si>
    <t xml:space="preserve">   Total Start Up Cost</t>
  </si>
  <si>
    <t xml:space="preserve">   Total Fixed (incl G&amp;A)</t>
  </si>
  <si>
    <t xml:space="preserve">   Total Property Tax</t>
  </si>
  <si>
    <t xml:space="preserve">   Total Operating Taxes</t>
  </si>
  <si>
    <t xml:space="preserve">   Total Debt Service</t>
  </si>
  <si>
    <t xml:space="preserve">   Total Annual Expenses</t>
  </si>
  <si>
    <t xml:space="preserve">   Breakout of Total Fixed:</t>
  </si>
  <si>
    <t xml:space="preserve">   Fixed Operating Costs</t>
  </si>
  <si>
    <t xml:space="preserve">   Fixed G&amp;A</t>
  </si>
  <si>
    <r>
      <rPr>
        <b val="true"/>
        <sz val="8"/>
        <rFont val="Times New Roman"/>
        <family val="1"/>
      </rPr>
      <t xml:space="preserve">   </t>
    </r>
    <r>
      <rPr>
        <b val="true"/>
        <u val="single"/>
        <sz val="8"/>
        <rFont val="Times New Roman"/>
        <family val="1"/>
      </rPr>
      <t xml:space="preserve">$/kWmo Costs by Type:</t>
    </r>
  </si>
  <si>
    <t xml:space="preserve">   Variable Operating Cost $/kWmo</t>
  </si>
  <si>
    <t xml:space="preserve">   Start Up Cost $/KW mo</t>
  </si>
  <si>
    <t xml:space="preserve">   Fixed Operating Cost $/kWmo</t>
  </si>
  <si>
    <t xml:space="preserve">   Total Operating Cost $/kWmo</t>
  </si>
  <si>
    <t xml:space="preserve">   Total O&amp;M $/kWmo (excluding Debt Service)</t>
  </si>
  <si>
    <t xml:space="preserve">   Property Taxes $/KW no</t>
  </si>
  <si>
    <t xml:space="preserve">   Operating Taxes $/Kwmo</t>
  </si>
  <si>
    <t xml:space="preserve">   Debt Service $/kWmo</t>
  </si>
  <si>
    <t xml:space="preserve">   Total O&amp;M $/kWmo (including Debt Service)</t>
  </si>
  <si>
    <r>
      <rPr>
        <b val="true"/>
        <sz val="8"/>
        <rFont val="Times New Roman"/>
        <family val="1"/>
      </rPr>
      <t xml:space="preserve">   </t>
    </r>
    <r>
      <rPr>
        <b val="true"/>
        <u val="single"/>
        <sz val="8"/>
        <rFont val="Times New Roman"/>
        <family val="1"/>
      </rPr>
      <t xml:space="preserve">$/MWh Costs by Type:</t>
    </r>
  </si>
  <si>
    <t xml:space="preserve">   Variable Operating Costs $/MWh</t>
  </si>
  <si>
    <t xml:space="preserve">   Start Up Cost $/MWh</t>
  </si>
  <si>
    <t xml:space="preserve">   Fixed Operating Costs $/MWh</t>
  </si>
  <si>
    <t xml:space="preserve">   Total Operating Cost $/MWh</t>
  </si>
  <si>
    <t xml:space="preserve">Consultant's Capacity Curve</t>
  </si>
  <si>
    <t xml:space="preserve">Kaiser Base </t>
  </si>
  <si>
    <t xml:space="preserve">Kaiser Low </t>
  </si>
  <si>
    <t xml:space="preserve">Kaiser Mid (Average of Base and Low)</t>
  </si>
  <si>
    <t xml:space="preserve">Kaiser Percent (Percentage of Low and Mid)</t>
  </si>
  <si>
    <t xml:space="preserve">Kaiser So. ECAR Base $/kw-year (in 1998 real $)</t>
  </si>
  <si>
    <t xml:space="preserve">REAL</t>
  </si>
  <si>
    <t xml:space="preserve">Kaiser So ECAR Base $/kw-year (in 1998 real $)</t>
  </si>
  <si>
    <t xml:space="preserve">Consultant's Energy Curve</t>
  </si>
  <si>
    <t xml:space="preserve">Kaiser Peak</t>
  </si>
  <si>
    <t xml:space="preserve">Kaiser Off peak</t>
  </si>
  <si>
    <t xml:space="preserve">ECT Peak Curve</t>
  </si>
  <si>
    <t xml:space="preserve">Kaiser Peak as of 1998 ( $ / MWh )</t>
  </si>
  <si>
    <t xml:space="preserve">Kaiser Off Peak as of 1998 ( $ / MWh )</t>
  </si>
  <si>
    <t xml:space="preserve">New Kaiser Curve</t>
  </si>
  <si>
    <t xml:space="preserve">Old Kaiser Curve</t>
  </si>
  <si>
    <t xml:space="preserve">PPA Plant Output Summary</t>
  </si>
  <si>
    <t xml:space="preserve">   Capacity Degradation</t>
  </si>
  <si>
    <t xml:space="preserve">   Heat Rate Degradation</t>
  </si>
  <si>
    <t xml:space="preserve">   Degraded Capacity (MW)</t>
  </si>
  <si>
    <t xml:space="preserve">   Peak Capacity Sales Rate (MW)</t>
  </si>
  <si>
    <t xml:space="preserve">   Peak  Hours</t>
  </si>
  <si>
    <t xml:space="preserve">   Maximum Peak Generation (MWh)</t>
  </si>
  <si>
    <t xml:space="preserve">Merchant Plant Output Summary</t>
  </si>
  <si>
    <t xml:space="preserve">   Peak Energy Sales (MW)</t>
  </si>
  <si>
    <t xml:space="preserve">PPA to Merchant Split</t>
  </si>
  <si>
    <t xml:space="preserve">  PPA MWh</t>
  </si>
  <si>
    <t xml:space="preserve">      % of Total MWh Taken</t>
  </si>
  <si>
    <t xml:space="preserve">  Market MWh</t>
  </si>
  <si>
    <t xml:space="preserve">   Actual MWh Produced</t>
  </si>
  <si>
    <t xml:space="preserve">      % of Total MWH Available</t>
  </si>
  <si>
    <t xml:space="preserve">   Degraded Peak Heat Rate (Btu/kWh)</t>
  </si>
  <si>
    <t xml:space="preserve">   Peak Fuel BBtu</t>
  </si>
  <si>
    <t xml:space="preserve">   Peak Fuel Cost $000</t>
  </si>
  <si>
    <t xml:space="preserve">   Start up fuel cost for all turbines</t>
  </si>
  <si>
    <t xml:space="preserve">      Total Fuel Cost</t>
  </si>
  <si>
    <t xml:space="preserve">Gas &amp; Power Curves</t>
  </si>
  <si>
    <t xml:space="preserve">   Avg Mid Gas Curve Price ($/MMBtu)</t>
  </si>
  <si>
    <t xml:space="preserve">   Fixed Price ($/MMBtu)</t>
  </si>
  <si>
    <t xml:space="preserve">   Sales Tax Rate</t>
  </si>
  <si>
    <t xml:space="preserve">   Delivered Gas Price</t>
  </si>
  <si>
    <t xml:space="preserve">   Desk Mid Peak Power Curve ($/MWh)</t>
  </si>
  <si>
    <t xml:space="preserve">   Assumed Residual Capacity Value Curve ($/kWmo)</t>
  </si>
  <si>
    <t xml:space="preserve">Debt Amortization</t>
  </si>
  <si>
    <t xml:space="preserve">EBITDA</t>
  </si>
  <si>
    <t xml:space="preserve">DSCR - Tranche A</t>
  </si>
  <si>
    <t xml:space="preserve">DSCR - Tranche B</t>
  </si>
  <si>
    <t xml:space="preserve">DSCR - Tranche C</t>
  </si>
  <si>
    <t xml:space="preserve">Interest Rate For Period, Tranche A</t>
  </si>
  <si>
    <t xml:space="preserve">Interest Rate For Period, Tranche B</t>
  </si>
  <si>
    <t xml:space="preserve">Interest Rate For Period, Tranche C</t>
  </si>
  <si>
    <t xml:space="preserve">Total Annual CFAFDS</t>
  </si>
  <si>
    <t xml:space="preserve">NPV of CFAFDS Tranche A</t>
  </si>
  <si>
    <t xml:space="preserve">NPV of CFAFDS Tranche B</t>
  </si>
  <si>
    <t xml:space="preserve">NPV of CFAFDS Tranche C</t>
  </si>
  <si>
    <t xml:space="preserve">NPV of Total CFAFDS</t>
  </si>
  <si>
    <t xml:space="preserve">  Beginning Balance</t>
  </si>
  <si>
    <t xml:space="preserve">  Interest </t>
  </si>
  <si>
    <t xml:space="preserve">  Principal</t>
  </si>
  <si>
    <t xml:space="preserve">  Total Debt Service</t>
  </si>
  <si>
    <t xml:space="preserve">  Ending Balance</t>
  </si>
  <si>
    <t xml:space="preserve">  Average Life (years)</t>
  </si>
  <si>
    <t xml:space="preserve">TOTAL ANNUAL DEBT AMORTIZATION</t>
  </si>
  <si>
    <t xml:space="preserve">  Check</t>
  </si>
  <si>
    <t xml:space="preserve">TRANCHE 1</t>
  </si>
  <si>
    <t xml:space="preserve">Beginning Prinipal</t>
  </si>
  <si>
    <t xml:space="preserve">Project Period</t>
  </si>
  <si>
    <t xml:space="preserve">     Beginning Balance</t>
  </si>
  <si>
    <t xml:space="preserve">     Interests</t>
  </si>
  <si>
    <t xml:space="preserve">     Principal Payments</t>
  </si>
  <si>
    <t xml:space="preserve">     Debt Service</t>
  </si>
  <si>
    <t xml:space="preserve">     Ending Balance</t>
  </si>
  <si>
    <t xml:space="preserve">     Average Life (years)</t>
  </si>
  <si>
    <t xml:space="preserve">Percentage of Principal Repaid</t>
  </si>
  <si>
    <t xml:space="preserve">TRANCHE 2</t>
  </si>
  <si>
    <t xml:space="preserve">TRANCHE 3</t>
  </si>
  <si>
    <t xml:space="preserve">Returns Summary</t>
  </si>
  <si>
    <t xml:space="preserve">Equity Returns Analysis</t>
  </si>
  <si>
    <t xml:space="preserve">Date of Cashflow</t>
  </si>
  <si>
    <t xml:space="preserve">Pretax Cashflow</t>
  </si>
  <si>
    <t xml:space="preserve">Pre-Tax XIRR</t>
  </si>
  <si>
    <t xml:space="preserve">Pre-Tax XNPV</t>
  </si>
  <si>
    <t xml:space="preserve">After-Tax Cashflow</t>
  </si>
  <si>
    <t xml:space="preserve">After-Tax XIRR</t>
  </si>
  <si>
    <t xml:space="preserve">After-Tax XNPV</t>
  </si>
  <si>
    <t xml:space="preserve">Unlevered Pre-tax Cash Flow</t>
  </si>
  <si>
    <t xml:space="preserve">Pre-tax Unlevered XIRR</t>
  </si>
  <si>
    <t xml:space="preserve">Pre-tax Unlevered XNPV</t>
  </si>
  <si>
    <t xml:space="preserve">Discount Rate</t>
  </si>
  <si>
    <t xml:space="preserve">NPV</t>
  </si>
  <si>
    <t xml:space="preserve">IRR</t>
  </si>
  <si>
    <t xml:space="preserve">Debt Amounts and Annual Balances</t>
  </si>
  <si>
    <t xml:space="preserve">  Debt Payment, P+I ($MM)</t>
  </si>
  <si>
    <t xml:space="preserve">  Debt Service Coverage Ratio (EWG)</t>
  </si>
  <si>
    <t xml:space="preserve">  Remaining Debt Outstanding</t>
  </si>
  <si>
    <t xml:space="preserve">  Debt Reserve</t>
  </si>
  <si>
    <t xml:space="preserve">  Debt Service, P+I ($MM)</t>
  </si>
  <si>
    <t xml:space="preserve">  Min DSCR</t>
  </si>
  <si>
    <t xml:space="preserve">Income Statement</t>
  </si>
  <si>
    <t xml:space="preserve">REVENUES</t>
  </si>
  <si>
    <t xml:space="preserve">   Energy Revenues</t>
  </si>
  <si>
    <t xml:space="preserve">  Capacity Revenues</t>
  </si>
  <si>
    <t xml:space="preserve">  Energy Payment</t>
  </si>
  <si>
    <t xml:space="preserve">  Block Payment</t>
  </si>
  <si>
    <t xml:space="preserve">   Energy Margin</t>
  </si>
  <si>
    <t xml:space="preserve">   Total Revenue</t>
  </si>
  <si>
    <t xml:space="preserve">EXPENSES</t>
  </si>
  <si>
    <t xml:space="preserve">Variable Expenses</t>
  </si>
  <si>
    <t xml:space="preserve">   Fuel </t>
  </si>
  <si>
    <t xml:space="preserve">  Water Treatment</t>
  </si>
  <si>
    <t xml:space="preserve">  FERC Fee</t>
  </si>
  <si>
    <t xml:space="preserve">  Variable Maintenance</t>
  </si>
  <si>
    <t xml:space="preserve">   Total Variable Operations</t>
  </si>
  <si>
    <t xml:space="preserve">Total Variable Expenses</t>
  </si>
  <si>
    <t xml:space="preserve">Start Up Expense:</t>
  </si>
  <si>
    <t xml:space="preserve">   Major Maintenance Accrual</t>
  </si>
  <si>
    <t xml:space="preserve">   Start-Up Fuel</t>
  </si>
  <si>
    <t xml:space="preserve">Total Start Up Expense</t>
  </si>
  <si>
    <t xml:space="preserve">Fixed Expenses:</t>
  </si>
  <si>
    <t xml:space="preserve">   Payroll &amp; Burden</t>
  </si>
  <si>
    <t xml:space="preserve">   Other O&amp;M Expenses</t>
  </si>
  <si>
    <t xml:space="preserve">   Admin Fee</t>
  </si>
  <si>
    <t xml:space="preserve">   Marketing Fee</t>
  </si>
  <si>
    <t xml:space="preserve">   O&amp;M Fee</t>
  </si>
  <si>
    <t xml:space="preserve">   Total Fixed Expenses</t>
  </si>
  <si>
    <t xml:space="preserve">Fixed G&amp;A:</t>
  </si>
  <si>
    <t xml:space="preserve">   Total Insurance</t>
  </si>
  <si>
    <t xml:space="preserve">   Utilities: Start Up Power</t>
  </si>
  <si>
    <t xml:space="preserve">   Utilities: Facility Load</t>
  </si>
  <si>
    <t xml:space="preserve">   Interconnection Fees</t>
  </si>
  <si>
    <t xml:space="preserve">   Gas Pipeline Metering</t>
  </si>
  <si>
    <t xml:space="preserve">   Miscellaneous</t>
  </si>
  <si>
    <t xml:space="preserve">   Total Fixed G&amp;A</t>
  </si>
  <si>
    <t xml:space="preserve">Property Taxes</t>
  </si>
  <si>
    <t xml:space="preserve">Operating Taxes</t>
  </si>
  <si>
    <t xml:space="preserve">   Franchise Tax</t>
  </si>
  <si>
    <t xml:space="preserve">   Total Operation Taxes</t>
  </si>
  <si>
    <t xml:space="preserve">TOTAL EXPENSES</t>
  </si>
  <si>
    <t xml:space="preserve">   Book Depreciation &amp; Amortization</t>
  </si>
  <si>
    <t xml:space="preserve">   Project Cost Expensed</t>
  </si>
  <si>
    <t xml:space="preserve">EBIT</t>
  </si>
  <si>
    <t xml:space="preserve">   Interest Expense</t>
  </si>
  <si>
    <t xml:space="preserve">   Interest Income</t>
  </si>
  <si>
    <t xml:space="preserve">   Net Interest Expense</t>
  </si>
  <si>
    <t xml:space="preserve">EBT</t>
  </si>
  <si>
    <t xml:space="preserve">  Book Provision for State Taxes</t>
  </si>
  <si>
    <t xml:space="preserve">  Gross Receipts Tax/Supplemental Inc. Tax</t>
  </si>
  <si>
    <t xml:space="preserve">EBT After State Taxes</t>
  </si>
  <si>
    <t xml:space="preserve">  Book Provision for Federal Taxes</t>
  </si>
  <si>
    <t xml:space="preserve">NPV of 2001 EBTD</t>
  </si>
  <si>
    <t xml:space="preserve">NPV of 2001 Earnings</t>
  </si>
  <si>
    <t xml:space="preserve">Cash Flow Statement</t>
  </si>
  <si>
    <t xml:space="preserve">Pretax Book Income Adj for GRT/ Sup Tax</t>
  </si>
  <si>
    <t xml:space="preserve">  Plus Depreciation &amp; Amortization</t>
  </si>
  <si>
    <t xml:space="preserve">  Plus Accrued Prop Tax Expense</t>
  </si>
  <si>
    <t xml:space="preserve">  Less Property Tax Payment</t>
  </si>
  <si>
    <t xml:space="preserve">  Plus Accrued Interest Expense</t>
  </si>
  <si>
    <t xml:space="preserve">  Less Interest Payments</t>
  </si>
  <si>
    <t xml:space="preserve">  Less Principal Payments</t>
  </si>
  <si>
    <t xml:space="preserve">Subtotal </t>
  </si>
  <si>
    <t xml:space="preserve">  Less Debt Reserve Funding</t>
  </si>
  <si>
    <t xml:space="preserve">  Plus Release of Debt Reserve</t>
  </si>
  <si>
    <t xml:space="preserve">  Initial Working Capital Adjustment</t>
  </si>
  <si>
    <t xml:space="preserve">Pretax Cash Flow</t>
  </si>
  <si>
    <t xml:space="preserve">  Total Income Tax Expense (Benefit)</t>
  </si>
  <si>
    <t xml:space="preserve">  Cash Flow Available to Preferred Equity</t>
  </si>
  <si>
    <t xml:space="preserve">  Dividends </t>
  </si>
  <si>
    <t xml:space="preserve">  Accrued Dividends To Date</t>
  </si>
  <si>
    <t xml:space="preserve">  Dividends Paid</t>
  </si>
  <si>
    <t xml:space="preserve">  Ending Principal Amount</t>
  </si>
  <si>
    <t xml:space="preserve">Common Equity</t>
  </si>
  <si>
    <t xml:space="preserve">  Cash Flow Available to Common Equity</t>
  </si>
  <si>
    <t xml:space="preserve">Balance Sheet</t>
  </si>
  <si>
    <t xml:space="preserve">Assets:</t>
  </si>
  <si>
    <t xml:space="preserve">Cash</t>
  </si>
  <si>
    <t xml:space="preserve">Accounts Receivable</t>
  </si>
  <si>
    <t xml:space="preserve">Inventories</t>
  </si>
  <si>
    <t xml:space="preserve">Other Current Assets</t>
  </si>
  <si>
    <t xml:space="preserve">Debt Service Reserve</t>
  </si>
  <si>
    <t xml:space="preserve">Maintenance Reserve</t>
  </si>
  <si>
    <t xml:space="preserve">Total Current Assets</t>
  </si>
  <si>
    <t xml:space="preserve">Gross PP&amp;E</t>
  </si>
  <si>
    <t xml:space="preserve">Accumulated Depreciation</t>
  </si>
  <si>
    <t xml:space="preserve">Net PP&amp;E</t>
  </si>
  <si>
    <t xml:space="preserve">Land</t>
  </si>
  <si>
    <t xml:space="preserve">Other Assets</t>
  </si>
  <si>
    <t xml:space="preserve">Total Assets</t>
  </si>
  <si>
    <t xml:space="preserve">Liabilities</t>
  </si>
  <si>
    <t xml:space="preserve">Accounts Payable</t>
  </si>
  <si>
    <t xml:space="preserve">Accrued Expenses</t>
  </si>
  <si>
    <t xml:space="preserve">Deferred Tax Liability</t>
  </si>
  <si>
    <t xml:space="preserve">Working Capital Revolver</t>
  </si>
  <si>
    <t xml:space="preserve">Long Term Debt</t>
  </si>
  <si>
    <t xml:space="preserve">Other Non-Current Liabilities</t>
  </si>
  <si>
    <t xml:space="preserve">Total Long-term Liabilities</t>
  </si>
  <si>
    <t xml:space="preserve">Stockholders' Equity</t>
  </si>
  <si>
    <t xml:space="preserve">Paid-In-Capital</t>
  </si>
  <si>
    <t xml:space="preserve">Retained earnings</t>
  </si>
  <si>
    <t xml:space="preserve">Total stockholders' equity</t>
  </si>
  <si>
    <t xml:space="preserve">Total Liabilities &amp; Equity</t>
  </si>
  <si>
    <t xml:space="preserve">Proof</t>
  </si>
  <si>
    <t xml:space="preserve">State and Federal Tax Calculation</t>
  </si>
  <si>
    <t xml:space="preserve">STATE TAXES</t>
  </si>
  <si>
    <t xml:space="preserve">Adjusted Gross Income Tax</t>
  </si>
  <si>
    <t xml:space="preserve">   Book Income</t>
  </si>
  <si>
    <t xml:space="preserve">   Adjusted Gross Income Rate</t>
  </si>
  <si>
    <t xml:space="preserve">   State Adjusted Gross Income Tax</t>
  </si>
  <si>
    <t xml:space="preserve">State Gross Receipts Taxes</t>
  </si>
  <si>
    <t xml:space="preserve">   Gross Receipts </t>
  </si>
  <si>
    <t xml:space="preserve">   Gross Receipts Tax Rate</t>
  </si>
  <si>
    <t xml:space="preserve">   Gross Receipts Tax Liability</t>
  </si>
  <si>
    <t xml:space="preserve">   Greater of Adjusted or Gross Receipts</t>
  </si>
  <si>
    <t xml:space="preserve">State Income Taxes</t>
  </si>
  <si>
    <t xml:space="preserve">   Pretax Book Income</t>
  </si>
  <si>
    <t xml:space="preserve">   Less: </t>
  </si>
  <si>
    <t xml:space="preserve">   Adjusted Pretax Income</t>
  </si>
  <si>
    <t xml:space="preserve">   Plus Book Depreciation &amp; Amortization</t>
  </si>
  <si>
    <t xml:space="preserve">   Less State Tax Depreciation</t>
  </si>
  <si>
    <t xml:space="preserve">   State Taxable Income</t>
  </si>
  <si>
    <t xml:space="preserve">   Taxable Income</t>
  </si>
  <si>
    <t xml:space="preserve">   State Income Tax Rate</t>
  </si>
  <si>
    <t xml:space="preserve">   State Income Tax Expense (Benefit)</t>
  </si>
  <si>
    <t xml:space="preserve">   Beginning NOL's</t>
  </si>
  <si>
    <t xml:space="preserve">   New NOL's</t>
  </si>
  <si>
    <t xml:space="preserve">   Expired NOL's</t>
  </si>
  <si>
    <t xml:space="preserve">20 Years</t>
  </si>
  <si>
    <t xml:space="preserve">   NOL Utilization</t>
  </si>
  <si>
    <t xml:space="preserve">   Ending NOL's</t>
  </si>
  <si>
    <t xml:space="preserve">TOTAL STATE TAXES</t>
  </si>
  <si>
    <t xml:space="preserve">Plus: Supplemental Tax</t>
  </si>
  <si>
    <t xml:space="preserve">        Total State Taxes</t>
  </si>
  <si>
    <t xml:space="preserve">FEDERAL TAXES</t>
  </si>
  <si>
    <t xml:space="preserve">   Less: Federal Tax Depreciation</t>
  </si>
  <si>
    <t xml:space="preserve">   Less: State Taxes</t>
  </si>
  <si>
    <t xml:space="preserve">   Federal Tax Rate</t>
  </si>
  <si>
    <t xml:space="preserve">   Federal Tax Expense/ (Benefit)</t>
  </si>
  <si>
    <t xml:space="preserve">   NOL Carryforward</t>
  </si>
  <si>
    <t xml:space="preserve">   Total Federal Cash Taxes Payable/(Benefit)</t>
  </si>
  <si>
    <t xml:space="preserve">DEFERRED TAX LIABILITY</t>
  </si>
  <si>
    <t xml:space="preserve">Total Cash Taxes</t>
  </si>
  <si>
    <t xml:space="preserve">Total Book Taxes</t>
  </si>
  <si>
    <t xml:space="preserve">  Total Deferred Tax Liability</t>
  </si>
  <si>
    <t xml:space="preserve">  Cumulative DTL</t>
  </si>
  <si>
    <t xml:space="preserve">Depreciation and Property Taxes</t>
  </si>
  <si>
    <t xml:space="preserve">US FEDERAL TAX DEPRECIATION &amp; AMORTIZATION</t>
  </si>
  <si>
    <t xml:space="preserve">   Plant and Equipment - MACRS</t>
  </si>
  <si>
    <t xml:space="preserve">   Start-up Costs - SL </t>
  </si>
  <si>
    <t xml:space="preserve">   Debt Iss &amp; Loan Fees - SL</t>
  </si>
  <si>
    <t xml:space="preserve">   Tax Depr - Plant and Equipment</t>
  </si>
  <si>
    <t xml:space="preserve">   Amort - Soft Costs</t>
  </si>
  <si>
    <t xml:space="preserve">   Amort - Debt Iss &amp; Loan Fees</t>
  </si>
  <si>
    <t xml:space="preserve">   EI O&amp;M Mobilization</t>
  </si>
  <si>
    <t xml:space="preserve">   Total Annual Depr &amp; Amort </t>
  </si>
  <si>
    <t xml:space="preserve">STATE TAX DEPRECIATION &amp; AMORTIZATION</t>
  </si>
  <si>
    <t xml:space="preserve">   Amort - Start-up Costs</t>
  </si>
  <si>
    <t xml:space="preserve">BOOK DEPRECIATION &amp; AMORTIZATION</t>
  </si>
  <si>
    <t xml:space="preserve">Residual</t>
  </si>
  <si>
    <t xml:space="preserve">   Plant and Equipment - SL</t>
  </si>
  <si>
    <t xml:space="preserve">   Book Depr - Plant and Equipment</t>
  </si>
  <si>
    <t xml:space="preserve">   Total Beginning Book Value</t>
  </si>
  <si>
    <t xml:space="preserve">   Ending Book Value of Assets</t>
  </si>
  <si>
    <t xml:space="preserve">PROPERTY TAX CALCULATION</t>
  </si>
  <si>
    <t xml:space="preserve">   Estimated Cost  of Personnal Property</t>
  </si>
  <si>
    <t xml:space="preserve">   Estimated Cost of Real Prop</t>
  </si>
  <si>
    <t xml:space="preserve">   Cost of Land (No Depreciation)</t>
  </si>
  <si>
    <t xml:space="preserve">   True Tax Value Percentages  (Year 3 on is Fed Tax Schedule)</t>
  </si>
  <si>
    <t xml:space="preserve">   True Tax Value of Personnal</t>
  </si>
  <si>
    <t xml:space="preserve">   True Tax Value of Land</t>
  </si>
  <si>
    <t xml:space="preserve">   Assessed Value Multiplier</t>
  </si>
  <si>
    <t xml:space="preserve">    Taxable Value</t>
  </si>
  <si>
    <t xml:space="preserve">   Personnal Prop. Abatement Schedule </t>
  </si>
  <si>
    <t xml:space="preserve">   Real Prop. Abatement Schedule</t>
  </si>
  <si>
    <t xml:space="preserve">Mileage Rate</t>
  </si>
  <si>
    <t xml:space="preserve">Replacement Credit</t>
  </si>
  <si>
    <t xml:space="preserve">   Annual Personnal Property Tax Liability</t>
  </si>
  <si>
    <t xml:space="preserve">   Annual Real Property Tax Liability</t>
  </si>
  <si>
    <t xml:space="preserve">   Annual land Tax Liability</t>
  </si>
  <si>
    <t xml:space="preserve">20 Yr. Ave</t>
  </si>
  <si>
    <t xml:space="preserve">   Total Property Tax (with Abatement)</t>
  </si>
  <si>
    <t xml:space="preserve">15 Year MACRS Table</t>
  </si>
  <si>
    <t xml:space="preserve">Half-Year Convention</t>
  </si>
  <si>
    <t xml:space="preserve">Fed</t>
  </si>
  <si>
    <t xml:space="preserve">Year</t>
  </si>
  <si>
    <t xml:space="preserve">Depr. %</t>
  </si>
  <si>
    <t xml:space="preserve">Pool</t>
  </si>
  <si>
    <t xml:space="preserve">Increase in cost if Abatement Schedule moved forward</t>
  </si>
  <si>
    <t xml:space="preserve">20 Year MACRS Table</t>
  </si>
  <si>
    <t xml:space="preserve">IDC Calculations</t>
  </si>
  <si>
    <t xml:space="preserve">CARRYING COST OF TURBINES, TRANSFORMERS AND CIRCUIT BREAKERS</t>
  </si>
  <si>
    <t xml:space="preserve">Turbine Cost</t>
  </si>
  <si>
    <t xml:space="preserve">Base Rate</t>
  </si>
  <si>
    <t xml:space="preserve">Term (Months)</t>
  </si>
  <si>
    <t xml:space="preserve">Monthly Rate</t>
  </si>
  <si>
    <t xml:space="preserve">Financing Fee (Basis Points)</t>
  </si>
  <si>
    <t xml:space="preserve">Drawdown Schedule</t>
  </si>
  <si>
    <t xml:space="preserve">   0=Straightline, 1=Custom</t>
  </si>
  <si>
    <t xml:space="preserve">Calculated IDC</t>
  </si>
  <si>
    <t xml:space="preserve">Month</t>
  </si>
  <si>
    <t xml:space="preserve">Percent Drawn Down</t>
  </si>
  <si>
    <t xml:space="preserve">Cumulative Principal</t>
  </si>
  <si>
    <t xml:space="preserve">Monthly Interest</t>
  </si>
  <si>
    <t xml:space="preserve">Cumulative Interest</t>
  </si>
  <si>
    <t xml:space="preserve">Major Maintenance Accrual</t>
  </si>
  <si>
    <t xml:space="preserve">Number of Starts to Maintenance Draw</t>
  </si>
  <si>
    <t xml:space="preserve">Number of Starts per Year</t>
  </si>
  <si>
    <t xml:space="preserve">Total Cumulative Starts</t>
  </si>
  <si>
    <t xml:space="preserve">Annual Overhaul Accrual Expense</t>
  </si>
  <si>
    <t xml:space="preserve">Estimated Cost Schedule for 120 Starts</t>
  </si>
  <si>
    <t xml:space="preserve">Cumulative Overhaul Accrual Expense</t>
  </si>
  <si>
    <t xml:space="preserve">Annual Overhaul Accrual Interest Income</t>
  </si>
  <si>
    <t xml:space="preserve">Cumulative Overhaul Accrual Interest Income</t>
  </si>
  <si>
    <t xml:space="preserve">Annual Growth of Total Cost</t>
  </si>
  <si>
    <t xml:space="preserve">Sales &amp; Use Tax on Fuel </t>
  </si>
  <si>
    <t xml:space="preserve">NO. of Starts Per Yr.</t>
  </si>
  <si>
    <t xml:space="preserve">Major Main</t>
  </si>
  <si>
    <t xml:space="preserve">Fuel</t>
  </si>
  <si>
    <t xml:space="preserve">Total/Start Cost</t>
  </si>
  <si>
    <t xml:space="preserve">Fuel %</t>
  </si>
  <si>
    <t xml:space="preserve">Main %</t>
  </si>
  <si>
    <t xml:space="preserve">Fuel Price</t>
  </si>
  <si>
    <t xml:space="preserve">Fuel /Start/Turbine</t>
  </si>
  <si>
    <t xml:space="preserve">WH501D5A</t>
  </si>
</sst>
</file>

<file path=xl/styles.xml><?xml version="1.0" encoding="utf-8"?>
<styleSheet xmlns="http://schemas.openxmlformats.org/spreadsheetml/2006/main">
  <numFmts count="102">
    <numFmt numFmtId="164" formatCode="General"/>
    <numFmt numFmtId="165" formatCode="0.00000000000000000000000000"/>
    <numFmt numFmtId="166" formatCode="0.0000E+00"/>
    <numFmt numFmtId="167" formatCode="\$#,##0.00000"/>
    <numFmt numFmtId="168" formatCode="\$#,##0.0000"/>
    <numFmt numFmtId="169" formatCode="[$-409]#,##0_);[RED]\(#,##0\)"/>
    <numFmt numFmtId="170" formatCode="\$#,##0_);[RED]&quot;($&quot;#,##0\)"/>
    <numFmt numFmtId="171" formatCode="m"/>
    <numFmt numFmtId="172" formatCode="0.000000000_)"/>
    <numFmt numFmtId="173" formatCode="\£#,##0.0000_);&quot;(£&quot;#,##0.0000\)"/>
    <numFmt numFmtId="174" formatCode="\$#,##0;[RED]\$#,##0"/>
    <numFmt numFmtId="175" formatCode="0.0000000000000000000000000000"/>
    <numFmt numFmtId="176" formatCode="#,##0.00000000000000000000"/>
    <numFmt numFmtId="177" formatCode="0.0000000%"/>
    <numFmt numFmtId="178" formatCode="0.000000%"/>
    <numFmt numFmtId="179" formatCode="[$-409]#,##0.00_);[RED]\(#,##0.00\)"/>
    <numFmt numFmtId="180" formatCode="\$#,##0.00_);[RED]&quot;($&quot;#,##0.00\)"/>
    <numFmt numFmtId="181" formatCode="_(\$* #,##0.000_);_(\$* \(#,##0.000\);_(\$* \-??_);_(@_)"/>
    <numFmt numFmtId="182" formatCode="0.0000000000000000000000"/>
    <numFmt numFmtId="183" formatCode="0.00000000000"/>
    <numFmt numFmtId="184" formatCode="_(* #,##0.00000000000000_);_(* \(#,##0.00000000000000\);_(* \-_);_(@_)"/>
    <numFmt numFmtId="185" formatCode="_(* #,##0_);_(* \(#,##0\);_(* \-_);_(@_)"/>
    <numFmt numFmtId="186" formatCode="\$#,##0.0000000_);&quot;($&quot;#,##0.0000000\)"/>
    <numFmt numFmtId="187" formatCode="0.000000000000000%"/>
    <numFmt numFmtId="188" formatCode="0.00_);[RED]\(0.00\)"/>
    <numFmt numFmtId="189" formatCode="\£#,##0.00_);&quot;(£&quot;#,##0.00\)"/>
    <numFmt numFmtId="190" formatCode="0.000000000000000000000000000000000"/>
    <numFmt numFmtId="191" formatCode="0.000"/>
    <numFmt numFmtId="192" formatCode="_(* #,##0.0_);_(* \(#,##0.0\);_(* \-?_);_(@_)"/>
    <numFmt numFmtId="193" formatCode="_(* #,##0.00_);_(* \(#,##0.00\);_(* \-??_);_(@_)"/>
    <numFmt numFmtId="194" formatCode="#,##0.00"/>
    <numFmt numFmtId="195" formatCode="0.0000000000"/>
    <numFmt numFmtId="196" formatCode="\£#,##0.00_);[RED]&quot;(£&quot;#,##0.00\)"/>
    <numFmt numFmtId="197" formatCode="0_);[RED]\(0\)"/>
    <numFmt numFmtId="198" formatCode="0.00000000000000000000000000000000000"/>
    <numFmt numFmtId="199" formatCode="_(* #,##0.0000000000000_);_(* \(#,##0.0000000000000\);_(* \-_);_(@_)"/>
    <numFmt numFmtId="200" formatCode="_(\$* #,##0_);_(\$* \(#,##0\);_(\$* \-_);_(@_)"/>
    <numFmt numFmtId="201" formatCode="##0.000"/>
    <numFmt numFmtId="202" formatCode="_(* #,##0.0000000000_);_(* \(#,##0.0000000000\);_(* \-_);_(@_)"/>
    <numFmt numFmtId="203" formatCode="_(\$* #,##0.000000_);_(\$* \(#,##0.000000\);_(\$* \-??_);_(@_)"/>
    <numFmt numFmtId="204" formatCode="0.0000000000000000"/>
    <numFmt numFmtId="205" formatCode="0.0000_)"/>
    <numFmt numFmtId="206" formatCode="#,##0.000_);\(#,##0.000\)"/>
    <numFmt numFmtId="207" formatCode="_(\$* #,##0.00000_);_(\$* \(#,##0.00000\);_(\$* \-??_);_(@_)"/>
    <numFmt numFmtId="208" formatCode="0.000E+00"/>
    <numFmt numFmtId="209" formatCode="0.00000000000000%"/>
    <numFmt numFmtId="210" formatCode="\£#,##0.0_);&quot;(£&quot;#,##0.0\)"/>
    <numFmt numFmtId="211" formatCode="0.0000000000000000000000000"/>
    <numFmt numFmtId="212" formatCode="m/d/yyyy"/>
    <numFmt numFmtId="213" formatCode="0.00000000000000000000000000000000"/>
    <numFmt numFmtId="214" formatCode="\£#,##0.0_);[RED]&quot;(£&quot;#,##0.0\)"/>
    <numFmt numFmtId="215" formatCode="_(* #,##0.0000_);_(* \(#,##0.0000\);_(* \-??_);_(@_)"/>
    <numFmt numFmtId="216" formatCode="_(* #,##0.00000000_);_(* \(#,##0.00000000\);_(* \-??_);_(@_)"/>
    <numFmt numFmtId="217" formatCode="_(\$* #,##0.00_);_(\$* \(#,##0.00\);_(\$* \-??_);_(@_)"/>
    <numFmt numFmtId="218" formatCode="_(* #,##0.000000000000_);_(* \(#,##0.000000000000\);_(* \-_);_(@_)"/>
    <numFmt numFmtId="219" formatCode="#,##0.000_);[RED]\(#,##0.000\)"/>
    <numFmt numFmtId="220" formatCode="0.00000000000000000"/>
    <numFmt numFmtId="221" formatCode="0.000000000"/>
    <numFmt numFmtId="222" formatCode="\£#,##0_);&quot;(£&quot;#,##0\)"/>
    <numFmt numFmtId="223" formatCode="_(\$* #,##0.0000000_);_(\$* \(#,##0.0000000\);_(\$* \-??_);_(@_)"/>
    <numFmt numFmtId="224" formatCode="[$-409]m/d/yyyy"/>
    <numFmt numFmtId="225" formatCode="\£#,##0.000_);&quot;(£&quot;#,##0.000\)"/>
    <numFmt numFmtId="226" formatCode="0.000000000000000000000000000"/>
    <numFmt numFmtId="227" formatCode="0.0000000000000000000000000000000000"/>
    <numFmt numFmtId="228" formatCode="\£#,##0_);[RED]&quot;(£&quot;#,##0\)"/>
    <numFmt numFmtId="229" formatCode="0.00"/>
    <numFmt numFmtId="230" formatCode="[$-409]d\-mmm\-yy"/>
    <numFmt numFmtId="231" formatCode=";;;"/>
    <numFmt numFmtId="232" formatCode="m/d/yyyy\ h:mm:ss"/>
    <numFmt numFmtId="233" formatCode="_(* #,##0.000_);_(* \(#,##0.000\);_(* \-???_);_(@_)"/>
    <numFmt numFmtId="234" formatCode="0.000000000000000000"/>
    <numFmt numFmtId="235" formatCode="[$-409]#,##0_);\(#,##0\)"/>
    <numFmt numFmtId="236" formatCode="0.00_)"/>
    <numFmt numFmtId="237" formatCode="0.000000000000000000000000000000"/>
    <numFmt numFmtId="238" formatCode="General_)"/>
    <numFmt numFmtId="239" formatCode="#,##0"/>
    <numFmt numFmtId="240" formatCode="#,##0.0_);\(#,##0.0\)"/>
    <numFmt numFmtId="241" formatCode="#,##0.0000_);[RED]\(#,##0.0000\)"/>
    <numFmt numFmtId="242" formatCode="0"/>
    <numFmt numFmtId="243" formatCode="0.00%"/>
    <numFmt numFmtId="244" formatCode="0%"/>
    <numFmt numFmtId="245" formatCode="00000"/>
    <numFmt numFmtId="246" formatCode="\$#,##0_);&quot;($&quot;#,##0\)"/>
    <numFmt numFmtId="247" formatCode="_(\$* #,##0_);_(\$* \(#,##0\);_(\$* \-??_);_(@_)"/>
    <numFmt numFmtId="248" formatCode="_(* #,##0_);_(* \(#,##0\);_(* \-??_);_(@_)"/>
    <numFmt numFmtId="249" formatCode="0.000%"/>
    <numFmt numFmtId="250" formatCode="0.0%"/>
    <numFmt numFmtId="251" formatCode="\$#,##0.000_);[RED]&quot;($&quot;#,##0.000\)"/>
    <numFmt numFmtId="252" formatCode="_(* #,##0.0_);_(* \(#,##0.0\);_(* \-??_);_(@_)"/>
    <numFmt numFmtId="253" formatCode="\$#,##0.000"/>
    <numFmt numFmtId="254" formatCode="[$-409]0.00"/>
    <numFmt numFmtId="255" formatCode="0.0"/>
    <numFmt numFmtId="256" formatCode="\$#,##0.00"/>
    <numFmt numFmtId="257" formatCode="\$#,##0.000_);&quot;($&quot;#,##0.000\)"/>
    <numFmt numFmtId="258" formatCode="\$#,##0.00_);&quot;($&quot;#,##0.00\)"/>
    <numFmt numFmtId="259" formatCode="0_)"/>
    <numFmt numFmtId="260" formatCode="[$-409]#,##0.00_);\(#,##0.00\)"/>
    <numFmt numFmtId="261" formatCode="_(* #,##0.000000_);_(* \(#,##0.000000\);_(* \-??_);_(@_)"/>
    <numFmt numFmtId="262" formatCode="_(* #,##0.00000_);_(* \(#,##0.00000\);_(* \-??_);_(@_)"/>
    <numFmt numFmtId="263" formatCode="_(* #,##0.00_);_(* \(#,##0.00\);_(* \-_);_(@_)"/>
    <numFmt numFmtId="264" formatCode="mmm\-yy_)"/>
    <numFmt numFmtId="265" formatCode="0.000_)"/>
  </numFmts>
  <fonts count="132">
    <font>
      <sz val="10"/>
      <name val="Arial"/>
      <family val="0"/>
    </font>
    <font>
      <sz val="10"/>
      <name val="Arial"/>
      <family val="0"/>
    </font>
    <font>
      <sz val="10"/>
      <name val="Arial"/>
      <family val="0"/>
    </font>
    <font>
      <sz val="10"/>
      <name val="Arial"/>
      <family val="0"/>
    </font>
    <font>
      <sz val="10"/>
      <name val="MS Sans Serif"/>
      <family val="2"/>
    </font>
    <font>
      <sz val="12"/>
      <name val="???"/>
      <family val="3"/>
      <charset val="129"/>
    </font>
    <font>
      <sz val="12"/>
      <name val="???"/>
      <family val="1"/>
      <charset val="129"/>
    </font>
    <font>
      <sz val="10"/>
      <name val="???"/>
      <family val="3"/>
      <charset val="129"/>
    </font>
    <font>
      <sz val="11"/>
      <name val="??"/>
      <family val="3"/>
      <charset val="129"/>
    </font>
    <font>
      <sz val="10"/>
      <name val="Arial"/>
      <family val="2"/>
    </font>
    <font>
      <sz val="11"/>
      <name val="???"/>
      <family val="1"/>
      <charset val="129"/>
    </font>
    <font>
      <sz val="11"/>
      <name val="???"/>
      <family val="3"/>
      <charset val="129"/>
    </font>
    <font>
      <sz val="8"/>
      <name val="Arial"/>
      <family val="2"/>
    </font>
    <font>
      <b val="true"/>
      <u val="single"/>
      <sz val="11"/>
      <color rgb="FF800000"/>
      <name val="Arial"/>
      <family val="2"/>
    </font>
    <font>
      <sz val="10"/>
      <color rgb="FF0000FF"/>
      <name val="Arial"/>
      <family val="2"/>
    </font>
    <font>
      <u val="single"/>
      <sz val="8.4"/>
      <color rgb="FF0000FF"/>
      <name val="Arial"/>
      <family val="2"/>
    </font>
    <font>
      <sz val="7"/>
      <name val="Small Fonts"/>
      <family val="0"/>
    </font>
    <font>
      <b val="true"/>
      <i val="true"/>
      <sz val="16"/>
      <name val="Arial"/>
      <family val="0"/>
    </font>
    <font>
      <sz val="12"/>
      <name val="Arial"/>
      <family val="2"/>
    </font>
    <font>
      <sz val="10"/>
      <name val="Courier New"/>
      <family val="0"/>
    </font>
    <font>
      <sz val="12"/>
      <color rgb="FF000000"/>
      <name val="Arial MT"/>
      <family val="0"/>
    </font>
    <font>
      <sz val="10"/>
      <name val="MS Sans Serif"/>
      <family val="0"/>
    </font>
    <font>
      <sz val="12"/>
      <name val="Courier New"/>
      <family val="3"/>
    </font>
    <font>
      <sz val="8"/>
      <name val="Courier New"/>
      <family val="3"/>
    </font>
    <font>
      <sz val="10"/>
      <name val="Geneva"/>
      <family val="2"/>
    </font>
    <font>
      <sz val="8"/>
      <name val="Arial"/>
      <family val="0"/>
    </font>
    <font>
      <sz val="10"/>
      <name val="Book Antiqua"/>
      <family val="1"/>
    </font>
    <font>
      <sz val="10"/>
      <name val="Times New Roman"/>
      <family val="0"/>
    </font>
    <font>
      <sz val="10"/>
      <name val="Times New Roman"/>
      <family val="1"/>
    </font>
    <font>
      <sz val="8"/>
      <name val=""/>
      <family val="0"/>
    </font>
    <font>
      <sz val="8"/>
      <name val="MS Sans Serif"/>
      <family val="2"/>
    </font>
    <font>
      <sz val="10"/>
      <color rgb="FF000000"/>
      <name val="Arial"/>
      <family val="2"/>
    </font>
    <font>
      <sz val="12"/>
      <name val="Times New Roman"/>
      <family val="1"/>
    </font>
    <font>
      <sz val="10"/>
      <name val="Courier New"/>
      <family val="3"/>
    </font>
    <font>
      <sz val="10"/>
      <name val="Univers (W1)"/>
      <family val="0"/>
    </font>
    <font>
      <sz val="12"/>
      <name val="Times New Roman"/>
      <family val="0"/>
    </font>
    <font>
      <sz val="10"/>
      <name val="Univers (W1)"/>
      <family val="2"/>
    </font>
    <font>
      <b val="true"/>
      <sz val="14"/>
      <name val="Times New Roman"/>
      <family val="1"/>
    </font>
    <font>
      <b val="true"/>
      <sz val="14"/>
      <name val="Times New Roman"/>
      <family val="0"/>
    </font>
    <font>
      <sz val="10"/>
      <name val="Geneva"/>
      <family val="0"/>
    </font>
    <font>
      <sz val="14"/>
      <name val="AngsanaUPC"/>
      <family val="1"/>
    </font>
    <font>
      <sz val="9"/>
      <name val="Arial Narrow"/>
      <family val="2"/>
    </font>
    <font>
      <sz val="7"/>
      <name val="Arial"/>
      <family val="2"/>
    </font>
    <font>
      <sz val="7"/>
      <name val="Arial"/>
      <family val="0"/>
    </font>
    <font>
      <sz val="12"/>
      <name val="EucrosiaUPC"/>
      <family val="1"/>
    </font>
    <font>
      <sz val="14"/>
      <name val="CordiaUPC"/>
      <family val="1"/>
    </font>
    <font>
      <sz val="10"/>
      <name val="Advisor SSi"/>
      <family val="1"/>
    </font>
    <font>
      <sz val="14"/>
      <name val="FreesiaUPC"/>
      <family val="1"/>
    </font>
    <font>
      <sz val="12"/>
      <name val="PathWay Access 3.0"/>
      <family val="3"/>
    </font>
    <font>
      <sz val="12"/>
      <name val="Arial"/>
      <family val="0"/>
    </font>
    <font>
      <sz val="8.5"/>
      <name val="MS Sans Serif"/>
      <family val="2"/>
    </font>
    <font>
      <sz val="10"/>
      <name val="Arial Narrow"/>
      <family val="2"/>
    </font>
    <font>
      <sz val="10"/>
      <color rgb="FF000000"/>
      <name val="MS Sans Serif"/>
      <family val="0"/>
    </font>
    <font>
      <sz val="9"/>
      <name val="Arial"/>
      <family val="0"/>
    </font>
    <font>
      <sz val="11"/>
      <name val="Book Antiqua"/>
      <family val="1"/>
    </font>
    <font>
      <sz val="8"/>
      <name val="Times New Roman"/>
      <family val="0"/>
    </font>
    <font>
      <sz val="10"/>
      <name val="TimesNewRomanPS"/>
      <family val="1"/>
    </font>
    <font>
      <sz val="8"/>
      <name val="Times New Roman"/>
      <family val="1"/>
    </font>
    <font>
      <sz val="8"/>
      <color rgb="FF0000FF"/>
      <name val="Arial"/>
      <family val="2"/>
    </font>
    <font>
      <b val="true"/>
      <i val="true"/>
      <sz val="8"/>
      <name val="Times New Roman"/>
      <family val="1"/>
    </font>
    <font>
      <b val="true"/>
      <sz val="16"/>
      <name val="Times New Roman"/>
      <family val="1"/>
    </font>
    <font>
      <b val="true"/>
      <u val="single"/>
      <sz val="15"/>
      <color rgb="FFFF0000"/>
      <name val="Times New Roman"/>
      <family val="1"/>
    </font>
    <font>
      <b val="true"/>
      <sz val="8"/>
      <name val="Times New Roman"/>
      <family val="1"/>
    </font>
    <font>
      <b val="true"/>
      <sz val="8"/>
      <color rgb="FFFF0000"/>
      <name val="Times New Roman"/>
      <family val="1"/>
    </font>
    <font>
      <b val="true"/>
      <sz val="10"/>
      <name val="Times New Roman"/>
      <family val="1"/>
    </font>
    <font>
      <b val="true"/>
      <sz val="8"/>
      <color rgb="FF008000"/>
      <name val="Times New Roman"/>
      <family val="1"/>
    </font>
    <font>
      <b val="true"/>
      <sz val="8"/>
      <color rgb="FF800000"/>
      <name val="Times New Roman"/>
      <family val="1"/>
    </font>
    <font>
      <b val="true"/>
      <sz val="10"/>
      <name val="Arial"/>
      <family val="0"/>
    </font>
    <font>
      <b val="true"/>
      <sz val="10"/>
      <name val="Arial"/>
      <family val="2"/>
    </font>
    <font>
      <b val="true"/>
      <u val="single"/>
      <sz val="10"/>
      <name val="Arial"/>
      <family val="2"/>
    </font>
    <font>
      <u val="single"/>
      <sz val="10"/>
      <name val="Arial"/>
      <family val="0"/>
    </font>
    <font>
      <sz val="9"/>
      <name val="Times New Roman"/>
      <family val="1"/>
    </font>
    <font>
      <sz val="9"/>
      <name val="Arial"/>
      <family val="2"/>
    </font>
    <font>
      <sz val="9"/>
      <color rgb="FF0000FF"/>
      <name val="Times New Roman"/>
      <family val="1"/>
    </font>
    <font>
      <sz val="16"/>
      <name val="Times New Roman"/>
      <family val="1"/>
    </font>
    <font>
      <sz val="11"/>
      <name val="Times New Roman"/>
      <family val="1"/>
    </font>
    <font>
      <b val="true"/>
      <u val="single"/>
      <sz val="12"/>
      <name val="Times New Roman"/>
      <family val="1"/>
    </font>
    <font>
      <sz val="9"/>
      <color rgb="FFFFFFFF"/>
      <name val="Times New Roman"/>
      <family val="1"/>
    </font>
    <font>
      <sz val="9"/>
      <color rgb="FF000000"/>
      <name val="Times New Roman"/>
      <family val="1"/>
    </font>
    <font>
      <b val="true"/>
      <sz val="9"/>
      <color rgb="FF000000"/>
      <name val="Times New Roman"/>
      <family val="1"/>
    </font>
    <font>
      <b val="true"/>
      <sz val="9"/>
      <color rgb="FF0000FF"/>
      <name val="Times New Roman"/>
      <family val="1"/>
    </font>
    <font>
      <u val="single"/>
      <sz val="11"/>
      <name val="Times New Roman"/>
      <family val="1"/>
    </font>
    <font>
      <b val="true"/>
      <u val="single"/>
      <sz val="10"/>
      <name val="Times New Roman"/>
      <family val="1"/>
    </font>
    <font>
      <u val="single"/>
      <sz val="9"/>
      <color rgb="FF000000"/>
      <name val="Times New Roman"/>
      <family val="1"/>
    </font>
    <font>
      <u val="single"/>
      <sz val="9"/>
      <name val="Times New Roman"/>
      <family val="1"/>
    </font>
    <font>
      <b val="true"/>
      <u val="single"/>
      <sz val="9"/>
      <name val="Times New Roman"/>
      <family val="1"/>
    </font>
    <font>
      <u val="single"/>
      <sz val="9"/>
      <color rgb="FF0000FF"/>
      <name val="Times New Roman"/>
      <family val="1"/>
    </font>
    <font>
      <b val="true"/>
      <sz val="9"/>
      <name val="Times New Roman"/>
      <family val="1"/>
    </font>
    <font>
      <b val="true"/>
      <u val="single"/>
      <sz val="12"/>
      <color rgb="FF000000"/>
      <name val="Times New Roman"/>
      <family val="1"/>
    </font>
    <font>
      <i val="true"/>
      <sz val="9"/>
      <name val="Times New Roman"/>
      <family val="1"/>
    </font>
    <font>
      <b val="true"/>
      <sz val="9"/>
      <color rgb="FFFF0000"/>
      <name val="Times New Roman"/>
      <family val="1"/>
    </font>
    <font>
      <u val="single"/>
      <sz val="9"/>
      <color rgb="FFFFFFFF"/>
      <name val="Times New Roman"/>
      <family val="1"/>
    </font>
    <font>
      <sz val="9"/>
      <color rgb="FFFF0000"/>
      <name val="Times New Roman"/>
      <family val="1"/>
    </font>
    <font>
      <b val="true"/>
      <u val="single"/>
      <sz val="9"/>
      <color rgb="FF0000FF"/>
      <name val="Times New Roman"/>
      <family val="1"/>
    </font>
    <font>
      <sz val="8"/>
      <color rgb="FF0000FF"/>
      <name val="Times New Roman"/>
      <family val="1"/>
    </font>
    <font>
      <sz val="9"/>
      <color rgb="FF003366"/>
      <name val="Times New Roman"/>
      <family val="1"/>
    </font>
    <font>
      <sz val="12"/>
      <color rgb="FF0000FF"/>
      <name val="Times New Roman"/>
      <family val="1"/>
    </font>
    <font>
      <b val="true"/>
      <u val="single"/>
      <sz val="9"/>
      <name val="Arial"/>
      <family val="0"/>
    </font>
    <font>
      <b val="true"/>
      <sz val="12"/>
      <name val="Times New Roman"/>
      <family val="1"/>
    </font>
    <font>
      <sz val="8"/>
      <color rgb="FFFF0000"/>
      <name val="Times New Roman"/>
      <family val="1"/>
    </font>
    <font>
      <b val="true"/>
      <sz val="8"/>
      <color rgb="FF000000"/>
      <name val="Tahoma"/>
      <family val="0"/>
    </font>
    <font>
      <sz val="8"/>
      <color rgb="FF000000"/>
      <name val="Tahoma"/>
      <family val="2"/>
    </font>
    <font>
      <b val="true"/>
      <sz val="8"/>
      <color rgb="FF000000"/>
      <name val="Tahoma"/>
      <family val="2"/>
    </font>
    <font>
      <sz val="8"/>
      <color rgb="FF000000"/>
      <name val="Tahoma"/>
      <family val="0"/>
    </font>
    <font>
      <b val="true"/>
      <u val="single"/>
      <sz val="8"/>
      <color rgb="FF000000"/>
      <name val="Tahoma"/>
      <family val="2"/>
    </font>
    <font>
      <b val="true"/>
      <sz val="10"/>
      <color rgb="FF000000"/>
      <name val="Tahoma"/>
      <family val="2"/>
    </font>
    <font>
      <sz val="10"/>
      <color rgb="FF000000"/>
      <name val="Tahoma"/>
      <family val="2"/>
    </font>
    <font>
      <sz val="12"/>
      <color rgb="FF000000"/>
      <name val="Tahoma"/>
      <family val="2"/>
    </font>
    <font>
      <b val="true"/>
      <sz val="12"/>
      <color rgb="FF000000"/>
      <name val="Tahoma"/>
      <family val="2"/>
    </font>
    <font>
      <b val="true"/>
      <u val="single"/>
      <sz val="8"/>
      <name val="Times New Roman"/>
      <family val="1"/>
    </font>
    <font>
      <u val="single"/>
      <sz val="8"/>
      <name val="Times New Roman"/>
      <family val="1"/>
    </font>
    <font>
      <sz val="10"/>
      <color rgb="FF0000FF"/>
      <name val="Times New Roman"/>
      <family val="1"/>
    </font>
    <font>
      <b val="true"/>
      <sz val="8"/>
      <color rgb="FF0000FF"/>
      <name val="Times New Roman"/>
      <family val="1"/>
    </font>
    <font>
      <b val="true"/>
      <u val="single"/>
      <sz val="8"/>
      <name val="Arial"/>
      <family val="2"/>
    </font>
    <font>
      <sz val="8"/>
      <color rgb="FF000000"/>
      <name val="Times New Roman"/>
      <family val="1"/>
    </font>
    <font>
      <u val="single"/>
      <sz val="10"/>
      <name val="Times New Roman"/>
      <family val="1"/>
    </font>
    <font>
      <u val="single"/>
      <sz val="10"/>
      <color rgb="FF000000"/>
      <name val="Times New Roman"/>
      <family val="1"/>
    </font>
    <font>
      <sz val="10"/>
      <color rgb="FF000000"/>
      <name val="Times New Roman"/>
      <family val="1"/>
    </font>
    <font>
      <u val="single"/>
      <sz val="8"/>
      <color rgb="FF0000FF"/>
      <name val="Times New Roman"/>
      <family val="1"/>
    </font>
    <font>
      <u val="double"/>
      <sz val="8"/>
      <name val="Times New Roman"/>
      <family val="1"/>
    </font>
    <font>
      <sz val="8"/>
      <color rgb="FFFFFFFF"/>
      <name val="Times New Roman"/>
      <family val="1"/>
    </font>
    <font>
      <b val="true"/>
      <i val="true"/>
      <u val="single"/>
      <sz val="8"/>
      <name val="Times New Roman"/>
      <family val="1"/>
    </font>
    <font>
      <i val="true"/>
      <sz val="8"/>
      <name val="Times New Roman"/>
      <family val="1"/>
    </font>
    <font>
      <b val="true"/>
      <sz val="8"/>
      <color rgb="FF000000"/>
      <name val="Times New Roman"/>
      <family val="1"/>
    </font>
    <font>
      <u val="single"/>
      <sz val="8"/>
      <name val="Arial"/>
      <family val="2"/>
    </font>
    <font>
      <u val="single"/>
      <sz val="8"/>
      <name val="Arial"/>
      <family val="0"/>
    </font>
    <font>
      <sz val="10"/>
      <color rgb="FF0000FF"/>
      <name val="Arial"/>
      <family val="0"/>
    </font>
    <font>
      <u val="single"/>
      <sz val="10"/>
      <color rgb="FF0000FF"/>
      <name val="Arial"/>
      <family val="0"/>
    </font>
    <font>
      <sz val="8"/>
      <color rgb="FF000000"/>
      <name val="Arial MT"/>
      <family val="0"/>
    </font>
    <font>
      <b val="true"/>
      <i val="true"/>
      <sz val="8"/>
      <color rgb="FF000000"/>
      <name val="Times New Roman"/>
      <family val="1"/>
    </font>
    <font>
      <sz val="8"/>
      <color rgb="FF000000"/>
      <name val="P-TIMES"/>
      <family val="0"/>
    </font>
    <font>
      <sz val="8"/>
      <color rgb="FF0000FF"/>
      <name val="P-TIMES"/>
      <family val="0"/>
    </font>
  </fonts>
  <fills count="15">
    <fill>
      <patternFill patternType="none"/>
    </fill>
    <fill>
      <patternFill patternType="gray125"/>
    </fill>
    <fill>
      <patternFill patternType="solid">
        <fgColor rgb="FF99CCFF"/>
        <bgColor rgb="FFCCCCFF"/>
      </patternFill>
    </fill>
    <fill>
      <patternFill patternType="solid">
        <fgColor rgb="FF00FFFF"/>
        <bgColor rgb="FF00FFFF"/>
      </patternFill>
    </fill>
    <fill>
      <patternFill patternType="solid">
        <fgColor rgb="FFC0C0C0"/>
        <bgColor rgb="FFCCCCFF"/>
      </patternFill>
    </fill>
    <fill>
      <patternFill patternType="solid">
        <fgColor rgb="FFFFFFCC"/>
        <bgColor rgb="FFFFFFFF"/>
      </patternFill>
    </fill>
    <fill>
      <patternFill patternType="solid">
        <fgColor rgb="FF003300"/>
        <bgColor rgb="FF333300"/>
      </patternFill>
    </fill>
    <fill>
      <patternFill patternType="solid">
        <fgColor rgb="FFCCFFFF"/>
        <bgColor rgb="FFCCFFFF"/>
      </patternFill>
    </fill>
    <fill>
      <patternFill patternType="solid">
        <fgColor rgb="FFFFFF99"/>
        <bgColor rgb="FFFFFFCC"/>
      </patternFill>
    </fill>
    <fill>
      <patternFill patternType="solid">
        <fgColor rgb="FFFFFFFF"/>
        <bgColor rgb="FFFFFFCC"/>
      </patternFill>
    </fill>
    <fill>
      <patternFill patternType="solid">
        <fgColor rgb="FFCCFFCC"/>
        <bgColor rgb="FFCCFFFF"/>
      </patternFill>
    </fill>
    <fill>
      <patternFill patternType="solid">
        <fgColor rgb="FFFFCC99"/>
        <bgColor rgb="FFC0C0C0"/>
      </patternFill>
    </fill>
    <fill>
      <patternFill patternType="solid">
        <fgColor rgb="FFCC99FF"/>
        <bgColor rgb="FF9999FF"/>
      </patternFill>
    </fill>
    <fill>
      <patternFill patternType="solid">
        <fgColor rgb="FF00CCFF"/>
        <bgColor rgb="FF33CCCC"/>
      </patternFill>
    </fill>
    <fill>
      <patternFill patternType="solid">
        <fgColor rgb="FFFFFF00"/>
        <bgColor rgb="FFFFFF00"/>
      </patternFill>
    </fill>
  </fills>
  <borders count="28">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right/>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style="thin"/>
      <diagonal/>
    </border>
    <border diagonalUp="false" diagonalDown="false">
      <left style="medium"/>
      <right style="medium"/>
      <top style="medium"/>
      <bottom style="mediu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right/>
      <top/>
      <bottom style="medium"/>
      <diagonal/>
    </border>
    <border diagonalUp="false" diagonalDown="false">
      <left style="medium"/>
      <right/>
      <top/>
      <bottom style="medium"/>
      <diagonal/>
    </border>
    <border diagonalUp="false" diagonalDown="false">
      <left/>
      <right style="medium"/>
      <top/>
      <bottom style="medium"/>
      <diagonal/>
    </border>
    <border diagonalUp="false" diagonalDown="false">
      <left style="medium"/>
      <right/>
      <top style="medium"/>
      <bottom/>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top style="thin"/>
      <bottom style="medium"/>
      <diagonal/>
    </border>
  </borders>
  <cellStyleXfs count="155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93" fontId="0" fillId="0" borderId="0" applyFont="true" applyBorder="false" applyAlignment="false" applyProtection="false"/>
    <xf numFmtId="41" fontId="1" fillId="0" borderId="0" applyFont="true" applyBorder="false" applyAlignment="false" applyProtection="false"/>
    <xf numFmtId="217" fontId="0" fillId="0" borderId="0" applyFont="true" applyBorder="false" applyAlignment="false" applyProtection="false"/>
    <xf numFmtId="42" fontId="1" fillId="0" borderId="0" applyFont="true" applyBorder="false" applyAlignment="false" applyProtection="false"/>
    <xf numFmtId="244"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8"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6"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false" applyAlignment="false" applyProtection="false"/>
    <xf numFmtId="17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3"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82"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83" fontId="0" fillId="2" borderId="1" applyFont="true" applyBorder="true" applyAlignment="true" applyProtection="true">
      <alignment horizontal="center" vertical="center" textRotation="0" wrapText="false" indent="0" shrinkToFit="false"/>
      <protection locked="true" hidden="false"/>
    </xf>
    <xf numFmtId="184"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8"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65"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90"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5"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91" fontId="8"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95" fontId="0" fillId="0" borderId="0" applyFont="true" applyBorder="false" applyAlignment="false" applyProtection="false"/>
    <xf numFmtId="193"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5"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3" borderId="0" applyFont="true" applyBorder="false" applyAlignment="false" applyProtection="false"/>
    <xf numFmtId="193" fontId="9"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97"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7" fontId="0" fillId="0" borderId="0" applyFont="true" applyBorder="false" applyAlignment="false" applyProtection="false"/>
    <xf numFmtId="173" fontId="0" fillId="0" borderId="0" applyFont="true" applyBorder="false" applyAlignment="false" applyProtection="false"/>
    <xf numFmtId="173" fontId="0" fillId="0" borderId="0" applyFont="true" applyBorder="false" applyAlignment="false" applyProtection="false"/>
    <xf numFmtId="194"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194"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8"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77"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8" fontId="0" fillId="0" borderId="0" applyFont="true" applyBorder="false" applyAlignment="false" applyProtection="false"/>
    <xf numFmtId="173"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4"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8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6" fontId="0" fillId="0" borderId="0" applyFont="true" applyBorder="false" applyAlignment="false" applyProtection="false"/>
    <xf numFmtId="175" fontId="0" fillId="0" borderId="0" applyFont="true" applyBorder="false" applyAlignment="false" applyProtection="false"/>
    <xf numFmtId="177"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6" fontId="0" fillId="0" borderId="0" applyFont="true" applyBorder="false" applyAlignment="false" applyProtection="false"/>
    <xf numFmtId="193" fontId="0" fillId="0"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201"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1" fontId="0" fillId="0" borderId="0" applyFont="true" applyBorder="false" applyAlignment="false" applyProtection="false"/>
    <xf numFmtId="203"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4" fontId="0" fillId="0" borderId="0" applyFont="true" applyBorder="false" applyAlignment="false" applyProtection="false"/>
    <xf numFmtId="205"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168" fontId="0" fillId="0" borderId="0" applyFont="true" applyBorder="false" applyAlignment="false" applyProtection="false"/>
    <xf numFmtId="203" fontId="0" fillId="0" borderId="0" applyFont="true" applyBorder="false" applyAlignment="false" applyProtection="false"/>
    <xf numFmtId="205"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1" fontId="0" fillId="0" borderId="0" applyFont="true" applyBorder="false" applyAlignment="false" applyProtection="false"/>
    <xf numFmtId="206"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203"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70" fontId="0" fillId="0" borderId="0" applyFont="true" applyBorder="false" applyAlignment="false" applyProtection="false"/>
    <xf numFmtId="207" fontId="0" fillId="0" borderId="0" applyFont="true" applyBorder="false" applyAlignment="false" applyProtection="false"/>
    <xf numFmtId="208" fontId="0" fillId="0" borderId="0" applyFont="true" applyBorder="false" applyAlignment="false" applyProtection="false"/>
    <xf numFmtId="20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0" fontId="0" fillId="0" borderId="0" applyFont="true" applyBorder="false" applyAlignment="false" applyProtection="false"/>
    <xf numFmtId="209" fontId="0" fillId="0" borderId="0" applyFont="true" applyBorder="false" applyAlignment="false" applyProtection="false"/>
    <xf numFmtId="16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6" fontId="0" fillId="0" borderId="0" applyFont="true" applyBorder="false" applyAlignment="false" applyProtection="false"/>
    <xf numFmtId="164"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211" fontId="0" fillId="0" borderId="0" applyFont="true" applyBorder="false" applyAlignment="false" applyProtection="false"/>
    <xf numFmtId="210"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212" fontId="0" fillId="0" borderId="0" applyFont="true" applyBorder="false" applyAlignment="false" applyProtection="false"/>
    <xf numFmtId="168"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11"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68"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168" fontId="0" fillId="0" borderId="0" applyFont="true" applyBorder="false" applyAlignment="false" applyProtection="false"/>
    <xf numFmtId="190" fontId="0" fillId="0" borderId="0" applyFont="true" applyBorder="false" applyAlignment="false" applyProtection="false"/>
    <xf numFmtId="201" fontId="0" fillId="0" borderId="0" applyFont="true" applyBorder="false" applyAlignment="false" applyProtection="false"/>
    <xf numFmtId="210"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6" fontId="0" fillId="0" borderId="0" applyFont="true" applyBorder="false" applyAlignment="false" applyProtection="false"/>
    <xf numFmtId="215" fontId="0" fillId="0" borderId="0" applyFont="true" applyBorder="false" applyAlignment="false" applyProtection="false"/>
    <xf numFmtId="204" fontId="0" fillId="0" borderId="0" applyFont="true" applyBorder="false" applyAlignment="false" applyProtection="false"/>
    <xf numFmtId="215"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206" fontId="0" fillId="0" borderId="0" applyFont="true" applyBorder="false" applyAlignment="false" applyProtection="false"/>
    <xf numFmtId="206"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6"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1"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6"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206" fontId="0" fillId="0" borderId="0" applyFont="true" applyBorder="false" applyAlignment="false" applyProtection="false"/>
    <xf numFmtId="203"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199" fontId="0" fillId="0" borderId="0" applyFont="true" applyBorder="false" applyAlignment="false" applyProtection="false"/>
    <xf numFmtId="206" fontId="0" fillId="0" borderId="0" applyFont="true" applyBorder="false" applyAlignment="false" applyProtection="false"/>
    <xf numFmtId="200"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7" fontId="0" fillId="0" borderId="0" applyFont="true" applyBorder="false" applyAlignment="false" applyProtection="false"/>
    <xf numFmtId="210"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0" fontId="0" fillId="0" borderId="0" applyFont="true" applyBorder="false" applyAlignment="false" applyProtection="false"/>
    <xf numFmtId="219"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20" fontId="0" fillId="0" borderId="0" applyFont="true" applyBorder="false" applyAlignment="false" applyProtection="false"/>
    <xf numFmtId="221"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7" fontId="0" fillId="0" borderId="0" applyFont="true" applyBorder="false" applyAlignment="false" applyProtection="false"/>
    <xf numFmtId="219" fontId="0" fillId="0" borderId="0" applyFont="true" applyBorder="false" applyAlignment="false" applyProtection="false"/>
    <xf numFmtId="221"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0"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219"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23" fontId="0" fillId="0" borderId="0" applyFont="true" applyBorder="false" applyAlignment="false" applyProtection="false"/>
    <xf numFmtId="166" fontId="0" fillId="0" borderId="0" applyFont="true" applyBorder="false" applyAlignment="false" applyProtection="false"/>
    <xf numFmtId="22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22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4" fontId="0" fillId="0" borderId="0" applyFont="true" applyBorder="false" applyAlignment="false" applyProtection="false"/>
    <xf numFmtId="164"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226" fontId="0" fillId="0" borderId="0" applyFont="true" applyBorder="false" applyAlignment="false" applyProtection="false"/>
    <xf numFmtId="225"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4"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2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167" fontId="0" fillId="0" borderId="0" applyFont="true" applyBorder="false" applyAlignment="false" applyProtection="false"/>
    <xf numFmtId="227" fontId="0" fillId="0" borderId="0" applyFont="true" applyBorder="false" applyAlignment="false" applyProtection="false"/>
    <xf numFmtId="228" fontId="0" fillId="0" borderId="0" applyFont="true" applyBorder="false" applyAlignment="false" applyProtection="false"/>
    <xf numFmtId="167" fontId="0" fillId="0" borderId="0" applyFont="true" applyBorder="false" applyAlignment="false" applyProtection="false"/>
    <xf numFmtId="227" fontId="0" fillId="0" borderId="0" applyFont="true" applyBorder="false" applyAlignment="false" applyProtection="false"/>
    <xf numFmtId="229" fontId="0" fillId="0" borderId="0" applyFont="true" applyBorder="false" applyAlignment="false" applyProtection="false"/>
    <xf numFmtId="210" fontId="0" fillId="0" borderId="0" applyFont="true" applyBorder="false" applyAlignment="false" applyProtection="false"/>
    <xf numFmtId="225"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6" fontId="0" fillId="0" borderId="0" applyFont="true" applyBorder="false" applyAlignment="false" applyProtection="false"/>
    <xf numFmtId="209" fontId="0" fillId="0" borderId="0" applyFont="true" applyBorder="false" applyAlignment="false" applyProtection="false"/>
    <xf numFmtId="220" fontId="0" fillId="0" borderId="0" applyFont="true" applyBorder="false" applyAlignment="false" applyProtection="false"/>
    <xf numFmtId="209" fontId="0" fillId="0" borderId="0" applyFont="true" applyBorder="false" applyAlignment="false" applyProtection="false"/>
    <xf numFmtId="226" fontId="0" fillId="0" borderId="0" applyFont="true" applyBorder="false" applyAlignment="false" applyProtection="false"/>
    <xf numFmtId="227" fontId="0" fillId="0" borderId="0" applyFont="true" applyBorder="false" applyAlignment="false" applyProtection="false"/>
    <xf numFmtId="225"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24" fontId="0" fillId="0" borderId="0" applyFont="true" applyBorder="false" applyAlignment="false" applyProtection="false"/>
    <xf numFmtId="230" fontId="0" fillId="0" borderId="0" applyFont="true" applyBorder="false" applyAlignment="false" applyProtection="false"/>
    <xf numFmtId="175" fontId="0" fillId="0" borderId="0" applyFont="true" applyBorder="false" applyAlignment="false" applyProtection="false"/>
    <xf numFmtId="225" fontId="0" fillId="0" borderId="0" applyFont="true" applyBorder="false" applyAlignment="false" applyProtection="false"/>
    <xf numFmtId="214" fontId="0" fillId="0" borderId="0" applyFont="true" applyBorder="false" applyAlignment="false" applyProtection="false"/>
    <xf numFmtId="231"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22"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22"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0" fontId="0" fillId="0" borderId="0" applyFont="true" applyBorder="false" applyAlignment="false" applyProtection="false"/>
    <xf numFmtId="167" fontId="0" fillId="0" borderId="0" applyFont="true" applyBorder="false" applyAlignment="false" applyProtection="false"/>
    <xf numFmtId="214"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222" fontId="0" fillId="0" borderId="0" applyFont="true" applyBorder="false" applyAlignment="false" applyProtection="false"/>
    <xf numFmtId="219"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16" fontId="0" fillId="0" borderId="0" applyFont="true" applyBorder="false" applyAlignment="false" applyProtection="false"/>
    <xf numFmtId="222"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170" fontId="8" fillId="0" borderId="0" applyFont="true" applyBorder="true" applyAlignment="true" applyProtection="true">
      <alignment horizontal="general" vertical="bottom" textRotation="0" wrapText="false" indent="0" shrinkToFit="false"/>
      <protection locked="false" hidden="false"/>
    </xf>
    <xf numFmtId="186" fontId="0" fillId="0" borderId="0" applyFont="true" applyBorder="false" applyAlignment="false" applyProtection="false"/>
    <xf numFmtId="186" fontId="0" fillId="0" borderId="0" applyFont="true" applyBorder="false" applyAlignment="false" applyProtection="false"/>
    <xf numFmtId="232"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233" fontId="0" fillId="0" borderId="0" applyFont="true" applyBorder="false" applyAlignment="false" applyProtection="false"/>
    <xf numFmtId="234" fontId="0" fillId="0" borderId="0" applyFont="true" applyBorder="true" applyAlignment="true" applyProtection="true">
      <alignment horizontal="general" vertical="bottom" textRotation="0" wrapText="false" indent="0" shrinkToFit="false"/>
      <protection locked="false" hidden="false"/>
    </xf>
    <xf numFmtId="164" fontId="12" fillId="4" borderId="0" applyFont="true" applyBorder="false" applyAlignment="false" applyProtection="false"/>
    <xf numFmtId="164" fontId="13" fillId="0" borderId="0" applyFont="true" applyBorder="false" applyAlignment="false" applyProtection="false"/>
    <xf numFmtId="224" fontId="0" fillId="0" borderId="0" applyFont="true" applyBorder="true" applyAlignment="true" applyProtection="true">
      <alignment horizontal="general" vertical="bottom" textRotation="0" wrapText="false" indent="0" shrinkToFit="false"/>
      <protection locked="false" hidden="false"/>
    </xf>
    <xf numFmtId="224" fontId="0" fillId="0" borderId="0" applyFont="true" applyBorder="true" applyAlignment="true" applyProtection="true">
      <alignment horizontal="general" vertical="bottom" textRotation="0" wrapText="false" indent="0" shrinkToFit="false"/>
      <protection locked="false" hidden="false"/>
    </xf>
    <xf numFmtId="164" fontId="14" fillId="0" borderId="2" applyFont="true" applyBorder="true" applyAlignment="false" applyProtection="false"/>
    <xf numFmtId="164" fontId="15" fillId="0" borderId="0" applyFont="true" applyBorder="false" applyAlignment="false" applyProtection="false"/>
    <xf numFmtId="164" fontId="12" fillId="5" borderId="0" applyFont="true" applyBorder="false" applyAlignment="false" applyProtection="false"/>
    <xf numFmtId="235" fontId="16" fillId="0" borderId="0" applyFont="true" applyBorder="true" applyAlignment="true" applyProtection="true">
      <alignment horizontal="general" vertical="bottom" textRotation="0" wrapText="false" indent="0" shrinkToFit="false"/>
      <protection locked="true" hidden="false"/>
    </xf>
    <xf numFmtId="236" fontId="17"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235" fontId="2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9"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9" fillId="6"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top" textRotation="0" wrapText="tru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true" applyAlignment="false" applyProtection="true">
      <protection locked="true" hidden="false"/>
    </xf>
    <xf numFmtId="235" fontId="25" fillId="0" borderId="0" applyFont="true" applyBorder="false" applyAlignment="false" applyProtection="false"/>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9"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9" fontId="21"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31" fillId="6" borderId="0" applyFont="true" applyBorder="true" applyAlignment="true" applyProtection="true">
      <alignment horizontal="general" vertical="bottom" textRotation="0" wrapText="false" indent="0" shrinkToFit="false"/>
      <protection locked="true" hidden="false"/>
    </xf>
    <xf numFmtId="164" fontId="9" fillId="6"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false" applyProtection="tru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true" applyAlignment="false" applyProtection="tru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41" fontId="0" fillId="0" borderId="0" applyFont="true" applyBorder="true" applyAlignment="true" applyProtection="true">
      <alignment horizontal="general" vertical="center"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34" fillId="0" borderId="3"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36"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34" fillId="0" borderId="3" applyFont="true" applyBorder="true" applyAlignment="true" applyProtection="true">
      <alignment horizontal="general" vertical="bottom" textRotation="0" wrapText="false" indent="0" shrinkToFit="false"/>
      <protection locked="true" hidden="false"/>
    </xf>
    <xf numFmtId="164" fontId="36"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tru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4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tru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164" fontId="46" fillId="0" borderId="0" applyFont="true" applyBorder="tru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236" fontId="49"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239"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6"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false" applyProtection="true">
      <protection locked="true" hidden="false"/>
    </xf>
    <xf numFmtId="239"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235" fontId="23"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center"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9" fontId="9"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tru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8" fontId="4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cellStyleXfs>
  <cellXfs count="976">
    <xf numFmtId="164" fontId="0" fillId="0" borderId="0" xfId="0" applyFont="fals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top" textRotation="0" wrapText="tru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244" fontId="60" fillId="0" borderId="0" xfId="19" applyFont="true" applyBorder="true" applyAlignment="true" applyProtection="true">
      <alignment horizontal="left"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top" textRotation="0" wrapText="true" indent="0" shrinkToFit="false"/>
      <protection locked="true" hidden="false"/>
    </xf>
    <xf numFmtId="164" fontId="62" fillId="0" borderId="0" xfId="0" applyFont="true" applyBorder="false" applyAlignment="true" applyProtection="false">
      <alignment horizontal="general" vertical="top" textRotation="0" wrapText="true" indent="0" shrinkToFit="false"/>
      <protection locked="true" hidden="false"/>
    </xf>
    <xf numFmtId="164" fontId="63" fillId="0" borderId="0" xfId="0" applyFont="true" applyBorder="false" applyAlignment="true" applyProtection="false">
      <alignment horizontal="general" vertical="top" textRotation="0" wrapText="true" indent="0" shrinkToFit="false"/>
      <protection locked="true" hidden="false"/>
    </xf>
    <xf numFmtId="164" fontId="64" fillId="0" borderId="0" xfId="0" applyFont="true" applyBorder="false" applyAlignment="true" applyProtection="false">
      <alignment horizontal="general" vertical="top" textRotation="0" wrapText="true" indent="0" shrinkToFit="false"/>
      <protection locked="true" hidden="false"/>
    </xf>
    <xf numFmtId="164" fontId="65" fillId="0" borderId="4" xfId="0" applyFont="true" applyBorder="true" applyAlignment="false" applyProtection="false">
      <alignment horizontal="general" vertical="bottom" textRotation="0" wrapText="false" indent="0" shrinkToFit="false"/>
      <protection locked="true" hidden="false"/>
    </xf>
    <xf numFmtId="246" fontId="66" fillId="0" borderId="5" xfId="0" applyFont="true" applyBorder="true" applyAlignment="false" applyProtection="false">
      <alignment horizontal="general" vertical="bottom" textRotation="0" wrapText="false" indent="0" shrinkToFit="false"/>
      <protection locked="true" hidden="false"/>
    </xf>
    <xf numFmtId="164" fontId="65" fillId="0" borderId="6" xfId="0" applyFont="true" applyBorder="true" applyAlignment="false" applyProtection="false">
      <alignment horizontal="general" vertical="bottom" textRotation="0" wrapText="false" indent="0" shrinkToFit="false"/>
      <protection locked="true" hidden="false"/>
    </xf>
    <xf numFmtId="246" fontId="66" fillId="0" borderId="7" xfId="0" applyFont="true" applyBorder="true" applyAlignment="false" applyProtection="false">
      <alignment horizontal="general" vertical="bottom" textRotation="0" wrapText="false" indent="0" shrinkToFit="false"/>
      <protection locked="true" hidden="false"/>
    </xf>
    <xf numFmtId="164" fontId="65" fillId="0" borderId="0" xfId="0" applyFont="true" applyBorder="true" applyAlignment="false" applyProtection="false">
      <alignment horizontal="general" vertical="bottom" textRotation="0" wrapText="false" indent="0" shrinkToFit="false"/>
      <protection locked="true" hidden="false"/>
    </xf>
    <xf numFmtId="164" fontId="62" fillId="0" borderId="8" xfId="0" applyFont="true" applyBorder="true" applyAlignment="true" applyProtection="false">
      <alignment horizontal="center" vertical="bottom" textRotation="0" wrapText="false" indent="0" shrinkToFit="false"/>
      <protection locked="true" hidden="false"/>
    </xf>
    <xf numFmtId="164" fontId="64" fillId="0" borderId="4" xfId="0" applyFont="true" applyBorder="true" applyAlignment="false" applyProtection="false">
      <alignment horizontal="general" vertical="bottom" textRotation="0" wrapText="false" indent="0" shrinkToFit="false"/>
      <protection locked="true" hidden="false"/>
    </xf>
    <xf numFmtId="164" fontId="64" fillId="0" borderId="9" xfId="0" applyFont="true" applyBorder="true" applyAlignment="false" applyProtection="false">
      <alignment horizontal="general" vertical="bottom" textRotation="0" wrapText="false" indent="0" shrinkToFit="false"/>
      <protection locked="true" hidden="false"/>
    </xf>
    <xf numFmtId="164" fontId="64" fillId="0" borderId="5" xfId="0" applyFont="true" applyBorder="tru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9" fontId="57" fillId="0" borderId="8" xfId="0" applyFont="true" applyBorder="true" applyAlignment="false" applyProtection="false">
      <alignment horizontal="general" vertical="bottom" textRotation="0" wrapText="false" indent="0" shrinkToFit="false"/>
      <protection locked="true" hidden="false"/>
    </xf>
    <xf numFmtId="169" fontId="28" fillId="0" borderId="10" xfId="0" applyFont="true" applyBorder="true" applyAlignment="false" applyProtection="false">
      <alignment horizontal="general" vertical="bottom" textRotation="0" wrapText="false" indent="0" shrinkToFit="false"/>
      <protection locked="true" hidden="false"/>
    </xf>
    <xf numFmtId="169" fontId="28" fillId="0" borderId="0" xfId="0" applyFont="true" applyBorder="true" applyAlignment="false" applyProtection="false">
      <alignment horizontal="general" vertical="bottom" textRotation="0" wrapText="false" indent="0" shrinkToFit="false"/>
      <protection locked="true" hidden="false"/>
    </xf>
    <xf numFmtId="169" fontId="28" fillId="0" borderId="11" xfId="0" applyFont="true" applyBorder="true" applyAlignment="false" applyProtection="false">
      <alignment horizontal="general" vertical="bottom" textRotation="0" wrapText="false" indent="0" shrinkToFit="false"/>
      <protection locked="true" hidden="false"/>
    </xf>
    <xf numFmtId="169" fontId="28" fillId="0" borderId="0" xfId="0" applyFont="true" applyBorder="false" applyAlignment="false" applyProtection="fals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69" fontId="28" fillId="0" borderId="6" xfId="0" applyFont="true" applyBorder="true" applyAlignment="false" applyProtection="false">
      <alignment horizontal="general" vertical="bottom" textRotation="0" wrapText="false" indent="0" shrinkToFit="false"/>
      <protection locked="true" hidden="false"/>
    </xf>
    <xf numFmtId="169" fontId="28" fillId="0" borderId="3" xfId="0" applyFont="true" applyBorder="true" applyAlignment="false" applyProtection="false">
      <alignment horizontal="general" vertical="bottom" textRotation="0" wrapText="false" indent="0" shrinkToFit="false"/>
      <protection locked="true" hidden="false"/>
    </xf>
    <xf numFmtId="169" fontId="28" fillId="0" borderId="7" xfId="0" applyFont="true" applyBorder="tru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247" fontId="12" fillId="0" borderId="0" xfId="17" applyFont="true" applyBorder="true" applyAlignment="true" applyProtection="true">
      <alignment horizontal="general" vertical="bottom" textRotation="0" wrapText="false" indent="0" shrinkToFit="false"/>
      <protection locked="true" hidden="false"/>
    </xf>
    <xf numFmtId="248" fontId="12" fillId="0" borderId="0" xfId="15" applyFont="true" applyBorder="true" applyAlignment="true" applyProtection="true">
      <alignment horizontal="general" vertical="bottom" textRotation="0" wrapText="false" indent="0" shrinkToFit="false"/>
      <protection locked="true" hidden="false"/>
    </xf>
    <xf numFmtId="193" fontId="12" fillId="0" borderId="0" xfId="15" applyFont="true" applyBorder="true" applyAlignment="true" applyProtection="true">
      <alignment horizontal="general" vertical="bottom" textRotation="0" wrapText="false" indent="0" shrinkToFit="false"/>
      <protection locked="true" hidden="false"/>
    </xf>
    <xf numFmtId="224" fontId="62" fillId="0" borderId="0" xfId="0" applyFont="tru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247" fontId="58" fillId="0" borderId="0" xfId="17" applyFont="true" applyBorder="true" applyAlignment="true" applyProtection="true">
      <alignment horizontal="general" vertical="bottom" textRotation="0" wrapText="false" indent="0" shrinkToFit="false"/>
      <protection locked="true" hidden="false"/>
    </xf>
    <xf numFmtId="248" fontId="58" fillId="0" borderId="0" xfId="15" applyFont="true" applyBorder="true" applyAlignment="true" applyProtection="true">
      <alignment horizontal="general" vertical="bottom" textRotation="0" wrapText="false" indent="0" shrinkToFit="false"/>
      <protection locked="true" hidden="false"/>
    </xf>
    <xf numFmtId="193" fontId="58" fillId="0" borderId="0"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false" applyAlignment="true" applyProtection="false">
      <alignment horizontal="left" vertical="bottom" textRotation="0" wrapText="false" indent="0" shrinkToFit="false"/>
      <protection locked="true" hidden="false"/>
    </xf>
    <xf numFmtId="244" fontId="67" fillId="0" borderId="0" xfId="0" applyFont="true" applyBorder="false" applyAlignment="false" applyProtection="false">
      <alignment horizontal="general" vertical="bottom" textRotation="0" wrapText="false" indent="0" shrinkToFit="false"/>
      <protection locked="true" hidden="false"/>
    </xf>
    <xf numFmtId="164" fontId="67" fillId="0" borderId="0" xfId="0" applyFont="true" applyBorder="false" applyAlignment="false" applyProtection="false">
      <alignment horizontal="general" vertical="bottom" textRotation="0" wrapText="false" indent="0" shrinkToFit="false"/>
      <protection locked="true" hidden="false"/>
    </xf>
    <xf numFmtId="164" fontId="68"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69" fillId="0" borderId="0" xfId="0" applyFont="true" applyBorder="false" applyAlignment="false" applyProtection="fals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164" fontId="67" fillId="0" borderId="4" xfId="0" applyFont="tru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67" fillId="0" borderId="0" xfId="0" applyFont="true" applyBorder="true" applyAlignment="false" applyProtection="false">
      <alignment horizontal="general" vertical="bottom" textRotation="0" wrapText="false" indent="0" shrinkToFit="false"/>
      <protection locked="true" hidden="false"/>
    </xf>
    <xf numFmtId="164" fontId="67" fillId="0" borderId="11" xfId="0" applyFont="true" applyBorder="true" applyAlignment="false" applyProtection="false">
      <alignment horizontal="general" vertical="bottom" textRotation="0" wrapText="false" indent="0" shrinkToFit="false"/>
      <protection locked="true" hidden="false"/>
    </xf>
    <xf numFmtId="169" fontId="0" fillId="0" borderId="0"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9" fontId="70" fillId="0" borderId="0" xfId="0" applyFont="true" applyBorder="true" applyAlignment="false" applyProtection="false">
      <alignment horizontal="general" vertical="bottom" textRotation="0" wrapText="false" indent="0" shrinkToFit="false"/>
      <protection locked="true" hidden="false"/>
    </xf>
    <xf numFmtId="169" fontId="0" fillId="0" borderId="11" xfId="0" applyFont="false" applyBorder="true" applyAlignment="false" applyProtection="false">
      <alignment horizontal="general" vertical="bottom" textRotation="0" wrapText="false" indent="0" shrinkToFit="false"/>
      <protection locked="true" hidden="false"/>
    </xf>
    <xf numFmtId="169" fontId="9" fillId="0" borderId="0" xfId="0" applyFont="true" applyBorder="true" applyAlignment="false" applyProtection="false">
      <alignment horizontal="general" vertical="bottom" textRotation="0" wrapText="false" indent="0" shrinkToFit="false"/>
      <protection locked="true" hidden="false"/>
    </xf>
    <xf numFmtId="169" fontId="9" fillId="0" borderId="11" xfId="0" applyFont="true" applyBorder="true" applyAlignment="false" applyProtection="false">
      <alignment horizontal="general" vertical="bottom" textRotation="0" wrapText="false" indent="0" shrinkToFit="false"/>
      <protection locked="true" hidden="false"/>
    </xf>
    <xf numFmtId="169" fontId="70" fillId="0" borderId="11" xfId="0" applyFont="true" applyBorder="true" applyAlignment="false" applyProtection="false">
      <alignment horizontal="general" vertical="bottom" textRotation="0" wrapText="false" indent="0" shrinkToFit="false"/>
      <protection locked="true" hidden="false"/>
    </xf>
    <xf numFmtId="164" fontId="67" fillId="0" borderId="6" xfId="0" applyFont="true" applyBorder="true" applyAlignment="false" applyProtection="false">
      <alignment horizontal="general" vertical="bottom" textRotation="0" wrapText="false" indent="0" shrinkToFit="false"/>
      <protection locked="true" hidden="false"/>
    </xf>
    <xf numFmtId="164" fontId="67" fillId="0" borderId="3" xfId="0" applyFont="true" applyBorder="true" applyAlignment="false" applyProtection="false">
      <alignment horizontal="general" vertical="bottom" textRotation="0" wrapText="false" indent="0" shrinkToFit="false"/>
      <protection locked="true" hidden="false"/>
    </xf>
    <xf numFmtId="169" fontId="67" fillId="0" borderId="3" xfId="0" applyFont="true" applyBorder="true" applyAlignment="false" applyProtection="false">
      <alignment horizontal="general" vertical="bottom" textRotation="0" wrapText="false" indent="0" shrinkToFit="false"/>
      <protection locked="true" hidden="false"/>
    </xf>
    <xf numFmtId="169" fontId="67" fillId="0" borderId="7" xfId="0" applyFont="true" applyBorder="true" applyAlignment="false" applyProtection="false">
      <alignment horizontal="general" vertical="bottom" textRotation="0" wrapText="false" indent="0" shrinkToFit="false"/>
      <protection locked="true" hidden="false"/>
    </xf>
    <xf numFmtId="164" fontId="71" fillId="0" borderId="0" xfId="0" applyFont="true" applyBorder="false" applyAlignment="false" applyProtection="false">
      <alignment horizontal="general" vertical="bottom" textRotation="0" wrapText="false" indent="0" shrinkToFit="false"/>
      <protection locked="true" hidden="false"/>
    </xf>
    <xf numFmtId="164" fontId="72" fillId="0" borderId="0" xfId="0" applyFont="true" applyBorder="false" applyAlignment="false" applyProtection="false">
      <alignment horizontal="general" vertical="bottom" textRotation="0" wrapText="false" indent="0" shrinkToFit="false"/>
      <protection locked="true" hidden="false"/>
    </xf>
    <xf numFmtId="164" fontId="73" fillId="0" borderId="0" xfId="0" applyFont="true" applyBorder="false" applyAlignment="true" applyProtection="false">
      <alignment horizontal="right" vertical="bottom" textRotation="0" wrapText="false" indent="0" shrinkToFit="false"/>
      <protection locked="true" hidden="false"/>
    </xf>
    <xf numFmtId="164" fontId="74" fillId="2" borderId="0" xfId="0" applyFont="true" applyBorder="true" applyAlignment="true" applyProtection="false">
      <alignment horizontal="center" vertical="bottom" textRotation="0" wrapText="false" indent="0" shrinkToFit="false"/>
      <protection locked="true" hidden="false"/>
    </xf>
    <xf numFmtId="164" fontId="75" fillId="0" borderId="0" xfId="0" applyFont="true" applyBorder="true" applyAlignment="true" applyProtection="false">
      <alignment horizontal="center" vertical="bottom" textRotation="0" wrapText="false" indent="0" shrinkToFit="false"/>
      <protection locked="true" hidden="false"/>
    </xf>
    <xf numFmtId="164" fontId="57" fillId="0" borderId="0" xfId="0" applyFont="true" applyBorder="true" applyAlignment="true" applyProtection="false">
      <alignment horizontal="center" vertical="bottom" textRotation="0" wrapText="false" indent="0" shrinkToFit="false"/>
      <protection locked="true" hidden="false"/>
    </xf>
    <xf numFmtId="164" fontId="76" fillId="4" borderId="4" xfId="0" applyFont="true" applyBorder="true" applyAlignment="true" applyProtection="true">
      <alignment horizontal="left" vertical="bottom" textRotation="0" wrapText="false" indent="0" shrinkToFit="false"/>
      <protection locked="true" hidden="false"/>
    </xf>
    <xf numFmtId="164" fontId="71" fillId="4" borderId="9" xfId="0" applyFont="true" applyBorder="true" applyAlignment="false" applyProtection="false">
      <alignment horizontal="general" vertical="bottom" textRotation="0" wrapText="false" indent="0" shrinkToFit="false"/>
      <protection locked="true" hidden="false"/>
    </xf>
    <xf numFmtId="164" fontId="71" fillId="4" borderId="5" xfId="0" applyFont="true" applyBorder="true" applyAlignment="false" applyProtection="false">
      <alignment horizontal="general" vertical="bottom" textRotation="0" wrapText="false" indent="0" shrinkToFit="false"/>
      <protection locked="true" hidden="false"/>
    </xf>
    <xf numFmtId="244" fontId="77" fillId="4" borderId="5" xfId="19" applyFont="true" applyBorder="true" applyAlignment="true" applyProtection="true">
      <alignment horizontal="general" vertical="bottom" textRotation="0" wrapText="false" indent="0" shrinkToFit="false"/>
      <protection locked="true" hidden="false"/>
    </xf>
    <xf numFmtId="164" fontId="76" fillId="4" borderId="4" xfId="0" applyFont="true" applyBorder="true" applyAlignment="false" applyProtection="false">
      <alignment horizontal="general" vertical="bottom" textRotation="0" wrapText="false" indent="0" shrinkToFit="false"/>
      <protection locked="true" hidden="false"/>
    </xf>
    <xf numFmtId="164" fontId="78" fillId="4" borderId="9" xfId="0" applyFont="true" applyBorder="true" applyAlignment="false" applyProtection="false">
      <alignment horizontal="general" vertical="bottom" textRotation="0" wrapText="false" indent="0" shrinkToFit="false"/>
      <protection locked="true" hidden="false"/>
    </xf>
    <xf numFmtId="164" fontId="71" fillId="4" borderId="5" xfId="0" applyFont="true" applyBorder="true" applyAlignment="true" applyProtection="false">
      <alignment horizontal="center" vertical="bottom" textRotation="0" wrapText="false" indent="0" shrinkToFit="false"/>
      <protection locked="true" hidden="false"/>
    </xf>
    <xf numFmtId="164" fontId="76" fillId="0" borderId="10" xfId="0" applyFont="true" applyBorder="true" applyAlignment="true" applyProtection="true">
      <alignment horizontal="left" vertical="bottom" textRotation="0" wrapText="false" indent="0" shrinkToFit="false"/>
      <protection locked="true" hidden="false"/>
    </xf>
    <xf numFmtId="164" fontId="71" fillId="0" borderId="0" xfId="0" applyFont="true" applyBorder="true" applyAlignment="false" applyProtection="false">
      <alignment horizontal="general" vertical="bottom" textRotation="0" wrapText="false" indent="0" shrinkToFit="false"/>
      <protection locked="true" hidden="false"/>
    </xf>
    <xf numFmtId="164" fontId="71" fillId="0" borderId="11" xfId="0" applyFont="true" applyBorder="true" applyAlignment="false" applyProtection="false">
      <alignment horizontal="general" vertical="bottom" textRotation="0" wrapText="false" indent="0" shrinkToFit="false"/>
      <protection locked="true" hidden="false"/>
    </xf>
    <xf numFmtId="244" fontId="77" fillId="0" borderId="11" xfId="19" applyFont="true" applyBorder="true" applyAlignment="true" applyProtection="true">
      <alignment horizontal="general" vertical="bottom" textRotation="0" wrapText="false" indent="0" shrinkToFit="false"/>
      <protection locked="true" hidden="false"/>
    </xf>
    <xf numFmtId="164" fontId="71" fillId="0" borderId="10" xfId="0" applyFont="true" applyBorder="true" applyAlignment="false" applyProtection="false">
      <alignment horizontal="general" vertical="bottom" textRotation="0" wrapText="false" indent="0" shrinkToFit="false"/>
      <protection locked="true" hidden="false"/>
    </xf>
    <xf numFmtId="164" fontId="79" fillId="0" borderId="12" xfId="0" applyFont="true" applyBorder="true" applyAlignment="true" applyProtection="false">
      <alignment horizontal="right" vertical="bottom" textRotation="0" wrapText="false" indent="0" shrinkToFit="false"/>
      <protection locked="true" hidden="false"/>
    </xf>
    <xf numFmtId="164" fontId="80" fillId="0" borderId="13" xfId="0" applyFont="true" applyBorder="true" applyAlignment="true" applyProtection="false">
      <alignment horizontal="left" vertical="bottom" textRotation="0" wrapText="false" indent="0" shrinkToFit="false"/>
      <protection locked="true" hidden="false"/>
    </xf>
    <xf numFmtId="164" fontId="71" fillId="0" borderId="10" xfId="0" applyFont="true" applyBorder="true" applyAlignment="true" applyProtection="true">
      <alignment horizontal="left" vertical="bottom" textRotation="0" wrapText="false" indent="0" shrinkToFit="false"/>
      <protection locked="true" hidden="false"/>
    </xf>
    <xf numFmtId="243" fontId="73" fillId="0" borderId="11" xfId="19" applyFont="true" applyBorder="true" applyAlignment="true" applyProtection="true">
      <alignment horizontal="right" vertical="bottom" textRotation="0" wrapText="false" indent="0" shrinkToFit="false"/>
      <protection locked="true" hidden="false"/>
    </xf>
    <xf numFmtId="164" fontId="81" fillId="0" borderId="10" xfId="0" applyFont="true" applyBorder="true" applyAlignment="true" applyProtection="true">
      <alignment horizontal="left" vertical="bottom" textRotation="0" wrapText="false" indent="0" shrinkToFit="false"/>
      <protection locked="true" hidden="false"/>
    </xf>
    <xf numFmtId="248" fontId="73" fillId="0" borderId="0" xfId="15" applyFont="true" applyBorder="true" applyAlignment="true" applyProtection="true">
      <alignment horizontal="right" vertical="bottom" textRotation="0" wrapText="false" indent="0" shrinkToFit="false"/>
      <protection locked="true" hidden="false"/>
    </xf>
    <xf numFmtId="248" fontId="73" fillId="0" borderId="11" xfId="15" applyFont="true" applyBorder="true" applyAlignment="true" applyProtection="true">
      <alignment horizontal="right" vertical="bottom" textRotation="0" wrapText="false" indent="0" shrinkToFit="false"/>
      <protection locked="true" hidden="false"/>
    </xf>
    <xf numFmtId="164" fontId="82" fillId="0" borderId="10" xfId="0" applyFont="true" applyBorder="true" applyAlignment="false" applyProtection="false">
      <alignment horizontal="general" vertical="bottom" textRotation="0" wrapText="false" indent="0" shrinkToFit="false"/>
      <protection locked="true" hidden="false"/>
    </xf>
    <xf numFmtId="164" fontId="83" fillId="0" borderId="0" xfId="0" applyFont="true" applyBorder="true" applyAlignment="true" applyProtection="false">
      <alignment horizontal="center" vertical="bottom" textRotation="0" wrapText="true" indent="0" shrinkToFit="false"/>
      <protection locked="true" hidden="false"/>
    </xf>
    <xf numFmtId="164" fontId="84" fillId="0" borderId="0" xfId="0" applyFont="true" applyBorder="true" applyAlignment="true" applyProtection="false">
      <alignment horizontal="center" vertical="bottom" textRotation="0" wrapText="false" indent="0" shrinkToFit="false"/>
      <protection locked="true" hidden="false"/>
    </xf>
    <xf numFmtId="164" fontId="84" fillId="0" borderId="0" xfId="0" applyFont="true" applyBorder="true" applyAlignment="false" applyProtection="false">
      <alignment horizontal="general" vertical="bottom" textRotation="0" wrapText="false" indent="0" shrinkToFit="false"/>
      <protection locked="true" hidden="false"/>
    </xf>
    <xf numFmtId="164" fontId="85" fillId="0" borderId="11" xfId="0" applyFont="true" applyBorder="true" applyAlignment="true" applyProtection="false">
      <alignment horizontal="center" vertical="bottom" textRotation="0" wrapText="true" indent="0" shrinkToFit="false"/>
      <protection locked="true" hidden="false"/>
    </xf>
    <xf numFmtId="164" fontId="78" fillId="0" borderId="0" xfId="0" applyFont="true" applyBorder="true" applyAlignment="false" applyProtection="false">
      <alignment horizontal="general" vertical="bottom" textRotation="0" wrapText="false" indent="0" shrinkToFit="false"/>
      <protection locked="true" hidden="false"/>
    </xf>
    <xf numFmtId="164" fontId="78" fillId="0" borderId="0" xfId="0" applyFont="true" applyBorder="true" applyAlignment="true" applyProtection="false">
      <alignment horizontal="center" vertical="bottom" textRotation="0" wrapText="false" indent="0" shrinkToFit="false"/>
      <protection locked="true" hidden="false"/>
    </xf>
    <xf numFmtId="249" fontId="73" fillId="0" borderId="11" xfId="0" applyFont="true" applyBorder="true" applyAlignment="false" applyProtection="true">
      <alignment horizontal="general" vertical="bottom" textRotation="0" wrapText="false" indent="0" shrinkToFit="false"/>
      <protection locked="false" hidden="false"/>
    </xf>
    <xf numFmtId="250" fontId="71" fillId="0" borderId="0" xfId="0" applyFont="true" applyBorder="true" applyAlignment="true" applyProtection="true">
      <alignment horizontal="center" vertical="bottom" textRotation="0" wrapText="false" indent="0" shrinkToFit="false"/>
      <protection locked="true" hidden="false"/>
    </xf>
    <xf numFmtId="247" fontId="71" fillId="0" borderId="11" xfId="0" applyFont="true" applyBorder="true" applyAlignment="false" applyProtection="true">
      <alignment horizontal="general" vertical="bottom" textRotation="0" wrapText="false" indent="0" shrinkToFit="false"/>
      <protection locked="true" hidden="false"/>
    </xf>
    <xf numFmtId="248" fontId="73" fillId="0" borderId="0" xfId="15" applyFont="true" applyBorder="true" applyAlignment="true" applyProtection="true">
      <alignment horizontal="general" vertical="bottom" textRotation="0" wrapText="false" indent="0" shrinkToFit="false"/>
      <protection locked="false" hidden="false"/>
    </xf>
    <xf numFmtId="248" fontId="73" fillId="0" borderId="11" xfId="15" applyFont="true" applyBorder="true" applyAlignment="true" applyProtection="true">
      <alignment horizontal="general" vertical="bottom" textRotation="0" wrapText="false" indent="0" shrinkToFit="false"/>
      <protection locked="false" hidden="false"/>
    </xf>
    <xf numFmtId="164" fontId="78" fillId="0" borderId="10" xfId="0" applyFont="true" applyBorder="true" applyAlignment="true" applyProtection="true">
      <alignment horizontal="left" vertical="bottom" textRotation="0" wrapText="false" indent="0" shrinkToFit="false"/>
      <protection locked="true" hidden="false"/>
    </xf>
    <xf numFmtId="247" fontId="73" fillId="0" borderId="0" xfId="17" applyFont="true" applyBorder="true" applyAlignment="true" applyProtection="true">
      <alignment horizontal="general" vertical="bottom" textRotation="0" wrapText="false" indent="0" shrinkToFit="false"/>
      <protection locked="false" hidden="false"/>
    </xf>
    <xf numFmtId="239" fontId="73" fillId="0" borderId="0" xfId="0" applyFont="true" applyBorder="true" applyAlignment="false" applyProtection="false">
      <alignment horizontal="general" vertical="bottom" textRotation="0" wrapText="false" indent="0" shrinkToFit="false"/>
      <protection locked="true" hidden="false"/>
    </xf>
    <xf numFmtId="251" fontId="71" fillId="0" borderId="0" xfId="0" applyFont="true" applyBorder="true" applyAlignment="true" applyProtection="false">
      <alignment horizontal="right" vertical="bottom" textRotation="0" wrapText="false" indent="0" shrinkToFit="false"/>
      <protection locked="true" hidden="false"/>
    </xf>
    <xf numFmtId="170" fontId="71" fillId="0" borderId="0" xfId="0" applyFont="true" applyBorder="true" applyAlignment="false" applyProtection="false">
      <alignment horizontal="general" vertical="bottom" textRotation="0" wrapText="false" indent="0" shrinkToFit="false"/>
      <protection locked="true" hidden="false"/>
    </xf>
    <xf numFmtId="200" fontId="71" fillId="0" borderId="11" xfId="0" applyFont="true" applyBorder="true" applyAlignment="false" applyProtection="false">
      <alignment horizontal="general" vertical="bottom" textRotation="0" wrapText="false" indent="0" shrinkToFit="false"/>
      <protection locked="true" hidden="false"/>
    </xf>
    <xf numFmtId="235" fontId="71" fillId="0" borderId="11" xfId="0" applyFont="true" applyBorder="true" applyAlignment="false" applyProtection="true">
      <alignment horizontal="general" vertical="bottom" textRotation="0" wrapText="false" indent="0" shrinkToFit="false"/>
      <protection locked="true" hidden="false"/>
    </xf>
    <xf numFmtId="193" fontId="73" fillId="0" borderId="0" xfId="15" applyFont="true" applyBorder="true" applyAlignment="true" applyProtection="true">
      <alignment horizontal="right" vertical="bottom" textRotation="0" wrapText="false" indent="0" shrinkToFit="false"/>
      <protection locked="true" hidden="false"/>
    </xf>
    <xf numFmtId="252" fontId="73" fillId="0" borderId="11" xfId="15" applyFont="true" applyBorder="true" applyAlignment="true" applyProtection="true">
      <alignment horizontal="general" vertical="bottom" textRotation="0" wrapText="false" indent="0" shrinkToFit="false"/>
      <protection locked="true" hidden="false"/>
    </xf>
    <xf numFmtId="164" fontId="73" fillId="0" borderId="11" xfId="0" applyFont="true" applyBorder="true" applyAlignment="true" applyProtection="false">
      <alignment horizontal="right" vertical="bottom" textRotation="0" wrapText="false" indent="0" shrinkToFit="false"/>
      <protection locked="true" hidden="false"/>
    </xf>
    <xf numFmtId="164" fontId="71" fillId="0" borderId="10" xfId="0" applyFont="true" applyBorder="true" applyAlignment="true" applyProtection="true">
      <alignment horizontal="general" vertical="bottom" textRotation="0" wrapText="false" indent="0" shrinkToFit="false"/>
      <protection locked="true" hidden="false"/>
    </xf>
    <xf numFmtId="164" fontId="71" fillId="0" borderId="0" xfId="0" applyFont="true" applyBorder="true" applyAlignment="true" applyProtection="false">
      <alignment horizontal="center" vertical="bottom" textRotation="0" wrapText="false" indent="0" shrinkToFit="false"/>
      <protection locked="true" hidden="false"/>
    </xf>
    <xf numFmtId="164" fontId="71" fillId="0" borderId="11" xfId="0" applyFont="true" applyBorder="true" applyAlignment="true" applyProtection="true">
      <alignment horizontal="general" vertical="bottom" textRotation="0" wrapText="false" indent="0" shrinkToFit="false"/>
      <protection locked="true" hidden="false"/>
    </xf>
    <xf numFmtId="240" fontId="73" fillId="0" borderId="11" xfId="0" applyFont="true" applyBorder="true" applyAlignment="false" applyProtection="true">
      <alignment horizontal="general" vertical="bottom" textRotation="0" wrapText="false" indent="0" shrinkToFit="false"/>
      <protection locked="false" hidden="false"/>
    </xf>
    <xf numFmtId="247" fontId="86" fillId="0" borderId="0" xfId="17" applyFont="true" applyBorder="true" applyAlignment="true" applyProtection="true">
      <alignment horizontal="general" vertical="bottom" textRotation="0" wrapText="false" indent="0" shrinkToFit="false"/>
      <protection locked="false" hidden="false"/>
    </xf>
    <xf numFmtId="251" fontId="84" fillId="0" borderId="0" xfId="0" applyFont="true" applyBorder="true" applyAlignment="false" applyProtection="false">
      <alignment horizontal="general" vertical="bottom" textRotation="0" wrapText="false" indent="0" shrinkToFit="false"/>
      <protection locked="true" hidden="false"/>
    </xf>
    <xf numFmtId="170" fontId="84" fillId="0" borderId="0" xfId="0" applyFont="true" applyBorder="true" applyAlignment="false" applyProtection="false">
      <alignment horizontal="general" vertical="bottom" textRotation="0" wrapText="false" indent="0" shrinkToFit="false"/>
      <protection locked="true" hidden="false"/>
    </xf>
    <xf numFmtId="200" fontId="84" fillId="0" borderId="11" xfId="0" applyFont="true" applyBorder="true" applyAlignment="false" applyProtection="false">
      <alignment horizontal="general" vertical="bottom" textRotation="0" wrapText="false" indent="0" shrinkToFit="false"/>
      <protection locked="true" hidden="false"/>
    </xf>
    <xf numFmtId="246" fontId="71" fillId="0" borderId="11" xfId="0" applyFont="true" applyBorder="true" applyAlignment="false" applyProtection="true">
      <alignment horizontal="general" vertical="bottom" textRotation="0" wrapText="false" indent="0" shrinkToFit="false"/>
      <protection locked="true" hidden="false"/>
    </xf>
    <xf numFmtId="250" fontId="73" fillId="0" borderId="0" xfId="0" applyFont="true" applyBorder="true" applyAlignment="false" applyProtection="false">
      <alignment horizontal="general" vertical="bottom" textRotation="0" wrapText="false" indent="0" shrinkToFit="false"/>
      <protection locked="true" hidden="false"/>
    </xf>
    <xf numFmtId="240" fontId="78" fillId="0" borderId="11" xfId="0" applyFont="true" applyBorder="true" applyAlignment="false" applyProtection="true">
      <alignment horizontal="general" vertical="bottom" textRotation="0" wrapText="false" indent="0" shrinkToFit="false"/>
      <protection locked="false" hidden="false"/>
    </xf>
    <xf numFmtId="164" fontId="79" fillId="0" borderId="6" xfId="0" applyFont="true" applyBorder="true" applyAlignment="true" applyProtection="true">
      <alignment horizontal="left" vertical="bottom" textRotation="0" wrapText="false" indent="0" shrinkToFit="false"/>
      <protection locked="true" hidden="false"/>
    </xf>
    <xf numFmtId="247" fontId="87" fillId="0" borderId="3" xfId="17" applyFont="true" applyBorder="true" applyAlignment="true" applyProtection="true">
      <alignment horizontal="general" vertical="bottom" textRotation="0" wrapText="false" indent="0" shrinkToFit="false"/>
      <protection locked="false" hidden="false"/>
    </xf>
    <xf numFmtId="164" fontId="78" fillId="0" borderId="3" xfId="0" applyFont="true" applyBorder="true" applyAlignment="false" applyProtection="false">
      <alignment horizontal="general" vertical="bottom" textRotation="0" wrapText="false" indent="0" shrinkToFit="false"/>
      <protection locked="true" hidden="false"/>
    </xf>
    <xf numFmtId="253" fontId="87" fillId="0" borderId="3" xfId="0" applyFont="true" applyBorder="true" applyAlignment="false" applyProtection="false">
      <alignment horizontal="general" vertical="bottom" textRotation="0" wrapText="false" indent="0" shrinkToFit="false"/>
      <protection locked="true" hidden="false"/>
    </xf>
    <xf numFmtId="170" fontId="87" fillId="0" borderId="3" xfId="0" applyFont="true" applyBorder="true" applyAlignment="false" applyProtection="false">
      <alignment horizontal="general" vertical="bottom" textRotation="0" wrapText="false" indent="0" shrinkToFit="false"/>
      <protection locked="true" hidden="false"/>
    </xf>
    <xf numFmtId="200" fontId="87" fillId="0" borderId="7" xfId="0" applyFont="true" applyBorder="true" applyAlignment="false" applyProtection="false">
      <alignment horizontal="general" vertical="bottom" textRotation="0" wrapText="false" indent="0" shrinkToFit="false"/>
      <protection locked="true" hidden="false"/>
    </xf>
    <xf numFmtId="254" fontId="71" fillId="0" borderId="10" xfId="1237" applyFont="true" applyBorder="true" applyAlignment="true" applyProtection="true">
      <alignment horizontal="left" vertical="bottom" textRotation="0" wrapText="false" indent="0" shrinkToFit="false"/>
      <protection locked="true" hidden="false"/>
    </xf>
    <xf numFmtId="229" fontId="71" fillId="0" borderId="0" xfId="0" applyFont="true" applyBorder="true" applyAlignment="false" applyProtection="false">
      <alignment horizontal="general" vertical="bottom" textRotation="0" wrapText="false" indent="0" shrinkToFit="false"/>
      <protection locked="true" hidden="false"/>
    </xf>
    <xf numFmtId="243" fontId="73" fillId="0" borderId="0" xfId="19" applyFont="true" applyBorder="true" applyAlignment="true" applyProtection="true">
      <alignment horizontal="center" vertical="bottom" textRotation="0" wrapText="false" indent="0" shrinkToFit="false"/>
      <protection locked="true" hidden="false"/>
    </xf>
    <xf numFmtId="164" fontId="71" fillId="0" borderId="10" xfId="0" applyFont="true" applyBorder="true" applyAlignment="true" applyProtection="false">
      <alignment horizontal="center" vertical="bottom" textRotation="0" wrapText="false" indent="0" shrinkToFit="false"/>
      <protection locked="true" hidden="false"/>
    </xf>
    <xf numFmtId="164" fontId="71" fillId="0" borderId="10" xfId="0" applyFont="true" applyBorder="true" applyAlignment="true" applyProtection="false">
      <alignment horizontal="left" vertical="bottom" textRotation="0" wrapText="false" indent="0" shrinkToFit="false"/>
      <protection locked="true" hidden="false"/>
    </xf>
    <xf numFmtId="248" fontId="73" fillId="0" borderId="11" xfId="15" applyFont="true" applyBorder="true" applyAlignment="true" applyProtection="true">
      <alignment horizontal="general" vertical="bottom" textRotation="0" wrapText="false" indent="0" shrinkToFit="false"/>
      <protection locked="true" hidden="false"/>
    </xf>
    <xf numFmtId="169" fontId="71" fillId="0" borderId="0" xfId="0" applyFont="true" applyBorder="false" applyAlignment="true" applyProtection="false">
      <alignment horizontal="right" vertical="bottom" textRotation="0" wrapText="false" indent="0" shrinkToFit="false"/>
      <protection locked="true" hidden="false"/>
    </xf>
    <xf numFmtId="244" fontId="73" fillId="0" borderId="11" xfId="0" applyFont="true" applyBorder="true" applyAlignment="false" applyProtection="true">
      <alignment horizontal="general" vertical="bottom" textRotation="0" wrapText="false" indent="0" shrinkToFit="false"/>
      <protection locked="false" hidden="false"/>
    </xf>
    <xf numFmtId="250" fontId="71" fillId="0" borderId="11" xfId="19" applyFont="true" applyBorder="true" applyAlignment="true" applyProtection="true">
      <alignment horizontal="general" vertical="bottom" textRotation="0" wrapText="false" indent="0" shrinkToFit="false"/>
      <protection locked="false" hidden="false"/>
    </xf>
    <xf numFmtId="164" fontId="88" fillId="4" borderId="4" xfId="0" applyFont="true" applyBorder="true" applyAlignment="true" applyProtection="true">
      <alignment horizontal="left" vertical="bottom" textRotation="0" wrapText="false" indent="0" shrinkToFit="false"/>
      <protection locked="true" hidden="false"/>
    </xf>
    <xf numFmtId="247" fontId="87" fillId="4" borderId="9" xfId="17" applyFont="true" applyBorder="true" applyAlignment="true" applyProtection="true">
      <alignment horizontal="general" vertical="bottom" textRotation="0" wrapText="false" indent="0" shrinkToFit="false"/>
      <protection locked="false" hidden="false"/>
    </xf>
    <xf numFmtId="253" fontId="87" fillId="4" borderId="9" xfId="0" applyFont="true" applyBorder="true" applyAlignment="false" applyProtection="false">
      <alignment horizontal="general" vertical="bottom" textRotation="0" wrapText="false" indent="0" shrinkToFit="false"/>
      <protection locked="true" hidden="false"/>
    </xf>
    <xf numFmtId="170" fontId="87" fillId="4" borderId="9" xfId="0" applyFont="true" applyBorder="true" applyAlignment="false" applyProtection="false">
      <alignment horizontal="general" vertical="bottom" textRotation="0" wrapText="false" indent="0" shrinkToFit="false"/>
      <protection locked="true" hidden="false"/>
    </xf>
    <xf numFmtId="200" fontId="87" fillId="4" borderId="5" xfId="0" applyFont="true" applyBorder="true" applyAlignment="false" applyProtection="false">
      <alignment horizontal="general" vertical="bottom" textRotation="0" wrapText="false" indent="0" shrinkToFit="false"/>
      <protection locked="true" hidden="false"/>
    </xf>
    <xf numFmtId="164" fontId="89" fillId="0" borderId="10" xfId="0" applyFont="true" applyBorder="true" applyAlignment="true" applyProtection="true">
      <alignment horizontal="left" vertical="bottom" textRotation="0" wrapText="false" indent="0" shrinkToFit="false"/>
      <protection locked="true" hidden="false"/>
    </xf>
    <xf numFmtId="247" fontId="87" fillId="0" borderId="0" xfId="17" applyFont="true" applyBorder="true" applyAlignment="true" applyProtection="true">
      <alignment horizontal="center" vertical="bottom" textRotation="0" wrapText="true" indent="0" shrinkToFit="false"/>
      <protection locked="false" hidden="false"/>
    </xf>
    <xf numFmtId="253" fontId="87" fillId="0" borderId="0" xfId="0" applyFont="true" applyBorder="true" applyAlignment="true" applyProtection="false">
      <alignment horizontal="center" vertical="bottom" textRotation="0" wrapText="true" indent="0" shrinkToFit="false"/>
      <protection locked="true" hidden="false"/>
    </xf>
    <xf numFmtId="164" fontId="87" fillId="0" borderId="0" xfId="0" applyFont="true" applyBorder="true" applyAlignment="true" applyProtection="false">
      <alignment horizontal="center" vertical="bottom" textRotation="0" wrapText="false" indent="0" shrinkToFit="false"/>
      <protection locked="true" hidden="false"/>
    </xf>
    <xf numFmtId="170" fontId="87" fillId="0" borderId="0" xfId="0" applyFont="true" applyBorder="true" applyAlignment="true" applyProtection="false">
      <alignment horizontal="center" vertical="bottom" textRotation="0" wrapText="true" indent="0" shrinkToFit="false"/>
      <protection locked="true" hidden="false"/>
    </xf>
    <xf numFmtId="200" fontId="87" fillId="0" borderId="11" xfId="0" applyFont="true" applyBorder="true" applyAlignment="false" applyProtection="false">
      <alignment horizontal="general" vertical="bottom" textRotation="0" wrapText="false" indent="0" shrinkToFit="false"/>
      <protection locked="true" hidden="false"/>
    </xf>
    <xf numFmtId="254" fontId="71" fillId="0" borderId="6" xfId="1237" applyFont="true" applyBorder="true" applyAlignment="true" applyProtection="true">
      <alignment horizontal="left" vertical="bottom" textRotation="0" wrapText="false" indent="0" shrinkToFit="false"/>
      <protection locked="true" hidden="false"/>
    </xf>
    <xf numFmtId="229" fontId="71" fillId="0" borderId="3" xfId="0" applyFont="true" applyBorder="true" applyAlignment="false" applyProtection="false">
      <alignment horizontal="general" vertical="bottom" textRotation="0" wrapText="false" indent="0" shrinkToFit="false"/>
      <protection locked="true" hidden="false"/>
    </xf>
    <xf numFmtId="242" fontId="73" fillId="0" borderId="3" xfId="0" applyFont="true" applyBorder="true" applyAlignment="true" applyProtection="false">
      <alignment horizontal="center" vertical="bottom" textRotation="0" wrapText="false" indent="0" shrinkToFit="false"/>
      <protection locked="true" hidden="false"/>
    </xf>
    <xf numFmtId="248" fontId="71" fillId="0" borderId="7" xfId="15" applyFont="true" applyBorder="true" applyAlignment="true" applyProtection="true">
      <alignment horizontal="general" vertical="bottom" textRotation="0" wrapText="false" indent="0" shrinkToFit="false"/>
      <protection locked="true" hidden="false"/>
    </xf>
    <xf numFmtId="247" fontId="80" fillId="7" borderId="11" xfId="17" applyFont="true" applyBorder="true" applyAlignment="true" applyProtection="true">
      <alignment horizontal="general" vertical="bottom" textRotation="0" wrapText="false" indent="0" shrinkToFit="false"/>
      <protection locked="true" hidden="false"/>
    </xf>
    <xf numFmtId="248" fontId="90" fillId="0" borderId="11" xfId="15" applyFont="true" applyBorder="true" applyAlignment="true" applyProtection="true">
      <alignment horizontal="general" vertical="bottom" textRotation="0" wrapText="false" indent="0" shrinkToFit="false"/>
      <protection locked="false" hidden="false"/>
    </xf>
    <xf numFmtId="169" fontId="73" fillId="0" borderId="0" xfId="17" applyFont="true" applyBorder="true" applyAlignment="true" applyProtection="true">
      <alignment horizontal="general" vertical="bottom" textRotation="0" wrapText="false" indent="0" shrinkToFit="false"/>
      <protection locked="false" hidden="false"/>
    </xf>
    <xf numFmtId="200" fontId="71" fillId="0" borderId="0" xfId="0" applyFont="true" applyBorder="true" applyAlignment="false" applyProtection="false">
      <alignment horizontal="general" vertical="bottom" textRotation="0" wrapText="false" indent="0" shrinkToFit="false"/>
      <protection locked="true" hidden="false"/>
    </xf>
    <xf numFmtId="250" fontId="71" fillId="0" borderId="11" xfId="19" applyFont="true" applyBorder="true" applyAlignment="true" applyProtection="true">
      <alignment horizontal="general" vertical="bottom" textRotation="0" wrapText="false" indent="0" shrinkToFit="false"/>
      <protection locked="true" hidden="false"/>
    </xf>
    <xf numFmtId="230" fontId="73" fillId="0" borderId="0" xfId="0" applyFont="true" applyBorder="true" applyAlignment="false" applyProtection="true">
      <alignment horizontal="general" vertical="bottom" textRotation="0" wrapText="false" indent="0" shrinkToFit="false"/>
      <protection locked="false" hidden="false"/>
    </xf>
    <xf numFmtId="244" fontId="71" fillId="0" borderId="11" xfId="19" applyFont="true" applyBorder="true" applyAlignment="true" applyProtection="true">
      <alignment horizontal="general" vertical="bottom" textRotation="0" wrapText="false" indent="0" shrinkToFit="false"/>
      <protection locked="true" hidden="false"/>
    </xf>
    <xf numFmtId="200" fontId="84" fillId="0" borderId="0" xfId="0" applyFont="true" applyBorder="true" applyAlignment="false" applyProtection="false">
      <alignment horizontal="general" vertical="bottom" textRotation="0" wrapText="false" indent="0" shrinkToFit="false"/>
      <protection locked="true" hidden="false"/>
    </xf>
    <xf numFmtId="244" fontId="87" fillId="0" borderId="11" xfId="19" applyFont="true" applyBorder="true" applyAlignment="true" applyProtection="true">
      <alignment horizontal="general" vertical="bottom" textRotation="0" wrapText="false" indent="0" shrinkToFit="false"/>
      <protection locked="true" hidden="false"/>
    </xf>
    <xf numFmtId="248" fontId="80" fillId="7" borderId="11" xfId="15" applyFont="true" applyBorder="true" applyAlignment="true" applyProtection="true">
      <alignment horizontal="general" vertical="bottom" textRotation="0" wrapText="false" indent="0" shrinkToFit="false"/>
      <protection locked="true" hidden="false"/>
    </xf>
    <xf numFmtId="164" fontId="78" fillId="0" borderId="6" xfId="0" applyFont="true" applyBorder="true" applyAlignment="true" applyProtection="true">
      <alignment horizontal="left" vertical="bottom" textRotation="0" wrapText="false" indent="0" shrinkToFit="false"/>
      <protection locked="true" hidden="false"/>
    </xf>
    <xf numFmtId="200" fontId="71" fillId="0" borderId="3" xfId="0" applyFont="true" applyBorder="true" applyAlignment="false" applyProtection="false">
      <alignment horizontal="general" vertical="bottom" textRotation="0" wrapText="false" indent="0" shrinkToFit="false"/>
      <protection locked="true" hidden="false"/>
    </xf>
    <xf numFmtId="170" fontId="71" fillId="0" borderId="3" xfId="0" applyFont="true" applyBorder="true" applyAlignment="false" applyProtection="false">
      <alignment horizontal="general" vertical="bottom" textRotation="0" wrapText="false" indent="0" shrinkToFit="false"/>
      <protection locked="true" hidden="false"/>
    </xf>
    <xf numFmtId="255" fontId="71" fillId="0" borderId="11" xfId="0" applyFont="true" applyBorder="true" applyAlignment="false" applyProtection="false">
      <alignment horizontal="general" vertical="bottom" textRotation="0" wrapText="false" indent="0" shrinkToFit="false"/>
      <protection locked="true" hidden="false"/>
    </xf>
    <xf numFmtId="164" fontId="71" fillId="0" borderId="6" xfId="0" applyFont="true" applyBorder="true" applyAlignment="false" applyProtection="false">
      <alignment horizontal="general" vertical="bottom" textRotation="0" wrapText="false" indent="0" shrinkToFit="false"/>
      <protection locked="true" hidden="false"/>
    </xf>
    <xf numFmtId="164" fontId="71" fillId="0" borderId="3" xfId="0" applyFont="true" applyBorder="true" applyAlignment="true" applyProtection="false">
      <alignment horizontal="right" vertical="bottom" textRotation="0" wrapText="false" indent="0" shrinkToFit="false"/>
      <protection locked="true" hidden="false"/>
    </xf>
    <xf numFmtId="246" fontId="71" fillId="0" borderId="8" xfId="17" applyFont="true" applyBorder="true" applyAlignment="true" applyProtection="true">
      <alignment horizontal="center" vertical="bottom" textRotation="0" wrapText="false" indent="0" shrinkToFit="false"/>
      <protection locked="true" hidden="false"/>
    </xf>
    <xf numFmtId="164" fontId="73" fillId="0" borderId="11" xfId="0" applyFont="true" applyBorder="true" applyAlignment="false" applyProtection="false">
      <alignment horizontal="general" vertical="bottom" textRotation="0" wrapText="false" indent="0" shrinkToFit="false"/>
      <protection locked="true" hidden="false"/>
    </xf>
    <xf numFmtId="164" fontId="71" fillId="0" borderId="0" xfId="0" applyFont="true" applyBorder="false" applyAlignment="true" applyProtection="true">
      <alignment horizontal="left" vertical="bottom" textRotation="0" wrapText="false" indent="0" shrinkToFit="false"/>
      <protection locked="true" hidden="false"/>
    </xf>
    <xf numFmtId="164" fontId="84" fillId="0" borderId="0" xfId="0" applyFont="true" applyBorder="false" applyAlignment="true" applyProtection="true">
      <alignment horizontal="center" vertical="bottom" textRotation="0" wrapText="false" indent="0" shrinkToFit="false"/>
      <protection locked="true" hidden="false"/>
    </xf>
    <xf numFmtId="164" fontId="91" fillId="0" borderId="0" xfId="0" applyFont="true" applyBorder="false" applyAlignment="true" applyProtection="true">
      <alignment horizontal="center" vertical="bottom" textRotation="0" wrapText="false" indent="0" shrinkToFit="false"/>
      <protection locked="true" hidden="false"/>
    </xf>
    <xf numFmtId="164" fontId="91" fillId="0" borderId="0" xfId="0" applyFont="true" applyBorder="false" applyAlignment="true" applyProtection="false">
      <alignment horizontal="center" vertical="bottom" textRotation="0" wrapText="false" indent="0" shrinkToFit="false"/>
      <protection locked="true" hidden="false"/>
    </xf>
    <xf numFmtId="169" fontId="71" fillId="4" borderId="5" xfId="0" applyFont="true" applyBorder="true" applyAlignment="true" applyProtection="false">
      <alignment horizontal="right" vertical="bottom" textRotation="0" wrapText="false" indent="0" shrinkToFit="false"/>
      <protection locked="true" hidden="false"/>
    </xf>
    <xf numFmtId="244" fontId="73" fillId="0" borderId="11" xfId="19" applyFont="true" applyBorder="true" applyAlignment="true" applyProtection="true">
      <alignment horizontal="general" vertical="bottom" textRotation="0" wrapText="false" indent="0" shrinkToFit="false"/>
      <protection locked="true" hidden="false"/>
    </xf>
    <xf numFmtId="164" fontId="71" fillId="4" borderId="9" xfId="0" applyFont="true" applyBorder="true" applyAlignment="true" applyProtection="false">
      <alignment horizontal="right" vertical="bottom" textRotation="0" wrapText="false" indent="0" shrinkToFit="false"/>
      <protection locked="true" hidden="false"/>
    </xf>
    <xf numFmtId="246" fontId="71" fillId="4" borderId="9" xfId="17" applyFont="true" applyBorder="true" applyAlignment="true" applyProtection="true">
      <alignment horizontal="center" vertical="bottom" textRotation="0" wrapText="false" indent="0" shrinkToFit="false"/>
      <protection locked="true" hidden="false"/>
    </xf>
    <xf numFmtId="246" fontId="71" fillId="4" borderId="5" xfId="17" applyFont="true" applyBorder="true" applyAlignment="true" applyProtection="true">
      <alignment horizontal="center" vertical="bottom" textRotation="0" wrapText="false" indent="0" shrinkToFit="false"/>
      <protection locked="true" hidden="false"/>
    </xf>
    <xf numFmtId="253" fontId="71" fillId="0" borderId="0" xfId="0" applyFont="true" applyBorder="true" applyAlignment="false" applyProtection="false">
      <alignment horizontal="general" vertical="bottom" textRotation="0" wrapText="false" indent="0" shrinkToFit="false"/>
      <protection locked="true" hidden="false"/>
    </xf>
    <xf numFmtId="164" fontId="71" fillId="0" borderId="3" xfId="0" applyFont="true" applyBorder="true" applyAlignment="false" applyProtection="false">
      <alignment horizontal="general" vertical="bottom" textRotation="0" wrapText="false" indent="0" shrinkToFit="false"/>
      <protection locked="true" hidden="false"/>
    </xf>
    <xf numFmtId="250" fontId="73" fillId="0" borderId="7" xfId="19" applyFont="true" applyBorder="true" applyAlignment="true" applyProtection="true">
      <alignment horizontal="general" vertical="bottom" textRotation="0" wrapText="false" indent="0" shrinkToFit="false"/>
      <protection locked="true" hidden="false"/>
    </xf>
    <xf numFmtId="246" fontId="71" fillId="0" borderId="0" xfId="17" applyFont="true" applyBorder="true" applyAlignment="true" applyProtection="true">
      <alignment horizontal="center" vertical="bottom" textRotation="0" wrapText="false" indent="0" shrinkToFit="false"/>
      <protection locked="true" hidden="false"/>
    </xf>
    <xf numFmtId="164" fontId="71" fillId="0" borderId="0" xfId="0" applyFont="true" applyBorder="true" applyAlignment="true" applyProtection="false">
      <alignment horizontal="right" vertical="bottom" textRotation="0" wrapText="false" indent="0" shrinkToFit="false"/>
      <protection locked="true" hidden="false"/>
    </xf>
    <xf numFmtId="243" fontId="71" fillId="0" borderId="11" xfId="19" applyFont="true" applyBorder="true" applyAlignment="true" applyProtection="true">
      <alignment horizontal="center" vertical="bottom" textRotation="0" wrapText="false" indent="0" shrinkToFit="false"/>
      <protection locked="true" hidden="false"/>
    </xf>
    <xf numFmtId="248" fontId="73" fillId="0" borderId="0" xfId="15" applyFont="true" applyBorder="true" applyAlignment="true" applyProtection="true">
      <alignment horizontal="general" vertical="bottom" textRotation="0" wrapText="false" indent="0" shrinkToFit="false"/>
      <protection locked="true" hidden="false"/>
    </xf>
    <xf numFmtId="200" fontId="71" fillId="0" borderId="0" xfId="0" applyFont="true" applyBorder="true" applyAlignment="true" applyProtection="false">
      <alignment horizontal="right" vertical="bottom" textRotation="0" wrapText="false" indent="0" shrinkToFit="false"/>
      <protection locked="true" hidden="false"/>
    </xf>
    <xf numFmtId="246" fontId="71" fillId="0" borderId="11" xfId="17" applyFont="true" applyBorder="true" applyAlignment="true" applyProtection="true">
      <alignment horizontal="center" vertical="bottom" textRotation="0" wrapText="false" indent="0" shrinkToFit="false"/>
      <protection locked="true" hidden="false"/>
    </xf>
    <xf numFmtId="200" fontId="73" fillId="0" borderId="3" xfId="0" applyFont="true" applyBorder="true" applyAlignment="true" applyProtection="false">
      <alignment horizontal="right" vertical="bottom" textRotation="0" wrapText="false" indent="0" shrinkToFit="false"/>
      <protection locked="true" hidden="false"/>
    </xf>
    <xf numFmtId="246" fontId="71" fillId="0" borderId="3" xfId="17" applyFont="true" applyBorder="true" applyAlignment="true" applyProtection="true">
      <alignment horizontal="center" vertical="bottom" textRotation="0" wrapText="false" indent="0" shrinkToFit="false"/>
      <protection locked="true" hidden="false"/>
    </xf>
    <xf numFmtId="244" fontId="73" fillId="0" borderId="7" xfId="19" applyFont="true" applyBorder="true" applyAlignment="true" applyProtection="true">
      <alignment horizontal="left" vertical="bottom" textRotation="0" wrapText="false" indent="0" shrinkToFit="false"/>
      <protection locked="true" hidden="false"/>
    </xf>
    <xf numFmtId="247" fontId="73" fillId="0" borderId="0" xfId="17" applyFont="true" applyBorder="true" applyAlignment="true" applyProtection="true">
      <alignment horizontal="general" vertical="bottom" textRotation="0" wrapText="false" indent="0" shrinkToFit="false"/>
      <protection locked="true" hidden="false"/>
    </xf>
    <xf numFmtId="256" fontId="73" fillId="0" borderId="0" xfId="0" applyFont="true" applyBorder="true" applyAlignment="false" applyProtection="false">
      <alignment horizontal="general" vertical="bottom" textRotation="0" wrapText="false" indent="0" shrinkToFit="false"/>
      <protection locked="true" hidden="false"/>
    </xf>
    <xf numFmtId="164" fontId="92" fillId="0" borderId="0" xfId="0" applyFont="true" applyBorder="true" applyAlignment="true" applyProtection="false">
      <alignment horizontal="center" vertical="bottom" textRotation="0" wrapText="false" indent="0" shrinkToFit="false"/>
      <protection locked="true" hidden="false"/>
    </xf>
    <xf numFmtId="164" fontId="73" fillId="4" borderId="5" xfId="0" applyFont="true" applyBorder="true" applyAlignment="false" applyProtection="true">
      <alignment horizontal="general" vertical="bottom" textRotation="0" wrapText="false" indent="0" shrinkToFit="false"/>
      <protection locked="true" hidden="false"/>
    </xf>
    <xf numFmtId="247" fontId="86" fillId="0" borderId="0" xfId="17" applyFont="true" applyBorder="true" applyAlignment="true" applyProtection="true">
      <alignment horizontal="general" vertical="bottom" textRotation="0" wrapText="false" indent="0" shrinkToFit="false"/>
      <protection locked="true" hidden="false"/>
    </xf>
    <xf numFmtId="169" fontId="71" fillId="0" borderId="0" xfId="0" applyFont="true" applyBorder="true" applyAlignment="false" applyProtection="false">
      <alignment horizontal="general" vertical="bottom" textRotation="0" wrapText="false" indent="0" shrinkToFit="false"/>
      <protection locked="true" hidden="false"/>
    </xf>
    <xf numFmtId="235" fontId="71" fillId="0" borderId="10" xfId="1237" applyFont="true" applyBorder="true" applyAlignment="true" applyProtection="true">
      <alignment horizontal="left" vertical="bottom" textRotation="0" wrapText="false" indent="0" shrinkToFit="false"/>
      <protection locked="true" hidden="false"/>
    </xf>
    <xf numFmtId="243" fontId="73" fillId="0" borderId="3" xfId="19" applyFont="true" applyBorder="true" applyAlignment="true" applyProtection="true">
      <alignment horizontal="general" vertical="bottom" textRotation="0" wrapText="false" indent="0" shrinkToFit="false"/>
      <protection locked="true" hidden="false"/>
    </xf>
    <xf numFmtId="248" fontId="71" fillId="0" borderId="0" xfId="15" applyFont="true" applyBorder="true" applyAlignment="true" applyProtection="true">
      <alignment horizontal="general" vertical="bottom" textRotation="0" wrapText="false" indent="0" shrinkToFit="false"/>
      <protection locked="true" hidden="false"/>
    </xf>
    <xf numFmtId="164" fontId="84" fillId="0" borderId="10" xfId="0" applyFont="true" applyBorder="true" applyAlignment="false" applyProtection="false">
      <alignment horizontal="general" vertical="bottom" textRotation="0" wrapText="false" indent="0" shrinkToFit="false"/>
      <protection locked="true" hidden="false"/>
    </xf>
    <xf numFmtId="169" fontId="84" fillId="0" borderId="0" xfId="0" applyFont="true" applyBorder="true" applyAlignment="false" applyProtection="false">
      <alignment horizontal="general" vertical="bottom" textRotation="0" wrapText="false" indent="0" shrinkToFit="false"/>
      <protection locked="true" hidden="false"/>
    </xf>
    <xf numFmtId="164" fontId="78" fillId="0" borderId="0" xfId="0" applyFont="true" applyBorder="false" applyAlignment="true" applyProtection="true">
      <alignment horizontal="left" vertical="bottom" textRotation="0" wrapText="false" indent="0" shrinkToFit="false"/>
      <protection locked="true" hidden="false"/>
    </xf>
    <xf numFmtId="164" fontId="78" fillId="0" borderId="0" xfId="0" applyFont="true" applyBorder="false" applyAlignment="false" applyProtection="false">
      <alignment horizontal="general" vertical="bottom" textRotation="0" wrapText="false" indent="0" shrinkToFit="false"/>
      <protection locked="true" hidden="false"/>
    </xf>
    <xf numFmtId="247" fontId="71" fillId="0" borderId="0" xfId="17" applyFont="true" applyBorder="true" applyAlignment="true" applyProtection="true">
      <alignment horizontal="general" vertical="bottom" textRotation="0" wrapText="false" indent="0" shrinkToFit="false"/>
      <protection locked="false" hidden="false"/>
    </xf>
    <xf numFmtId="169" fontId="71" fillId="0" borderId="0" xfId="0" applyFont="true" applyBorder="false" applyAlignment="false" applyProtection="false">
      <alignment horizontal="general" vertical="bottom" textRotation="0" wrapText="false" indent="0" shrinkToFit="false"/>
      <protection locked="true" hidden="false"/>
    </xf>
    <xf numFmtId="169" fontId="92" fillId="0" borderId="0" xfId="0" applyFont="true" applyBorder="true" applyAlignment="false" applyProtection="false">
      <alignment horizontal="general" vertical="bottom" textRotation="0" wrapText="false" indent="0" shrinkToFit="false"/>
      <protection locked="true" hidden="false"/>
    </xf>
    <xf numFmtId="193" fontId="71" fillId="0" borderId="0" xfId="0" applyFont="true" applyBorder="true" applyAlignment="false" applyProtection="false">
      <alignment horizontal="general" vertical="bottom" textRotation="0" wrapText="false" indent="0" shrinkToFit="false"/>
      <protection locked="true" hidden="false"/>
    </xf>
    <xf numFmtId="243" fontId="73" fillId="7" borderId="0" xfId="19" applyFont="true" applyBorder="true" applyAlignment="true" applyProtection="true">
      <alignment horizontal="general" vertical="bottom" textRotation="0" wrapText="false" indent="0" shrinkToFit="false"/>
      <protection locked="true" hidden="false"/>
    </xf>
    <xf numFmtId="248" fontId="80" fillId="8" borderId="11" xfId="15" applyFont="true" applyBorder="true" applyAlignment="true" applyProtection="true">
      <alignment horizontal="general" vertical="bottom" textRotation="0" wrapText="false" indent="0" shrinkToFit="false"/>
      <protection locked="true" hidden="false"/>
    </xf>
    <xf numFmtId="164" fontId="71" fillId="0" borderId="10" xfId="0" applyFont="true" applyBorder="true" applyAlignment="false" applyProtection="false">
      <alignment horizontal="general" vertical="bottom" textRotation="0" wrapText="false" indent="0" shrinkToFit="false"/>
      <protection locked="true" hidden="false"/>
    </xf>
    <xf numFmtId="164" fontId="71" fillId="0" borderId="0" xfId="0" applyFont="true" applyBorder="true" applyAlignment="false" applyProtection="false">
      <alignment horizontal="general" vertical="bottom" textRotation="0" wrapText="false" indent="0" shrinkToFit="false"/>
      <protection locked="true" hidden="false"/>
    </xf>
    <xf numFmtId="248" fontId="71" fillId="0" borderId="11" xfId="15" applyFont="true" applyBorder="true" applyAlignment="true" applyProtection="true">
      <alignment horizontal="general" vertical="bottom" textRotation="0" wrapText="false" indent="0" shrinkToFit="false"/>
      <protection locked="true" hidden="false"/>
    </xf>
    <xf numFmtId="247" fontId="71" fillId="4" borderId="9" xfId="17" applyFont="true" applyBorder="true" applyAlignment="true" applyProtection="true">
      <alignment horizontal="general" vertical="bottom" textRotation="0" wrapText="false" indent="0" shrinkToFit="false"/>
      <protection locked="false" hidden="false"/>
    </xf>
    <xf numFmtId="169" fontId="71" fillId="4" borderId="5" xfId="0" applyFont="true" applyBorder="true" applyAlignment="false" applyProtection="false">
      <alignment horizontal="general" vertical="bottom" textRotation="0" wrapText="false" indent="0" shrinkToFit="false"/>
      <protection locked="true" hidden="false"/>
    </xf>
    <xf numFmtId="248" fontId="71" fillId="0" borderId="0" xfId="0" applyFont="true" applyBorder="true" applyAlignment="false" applyProtection="false">
      <alignment horizontal="general" vertical="bottom" textRotation="0" wrapText="false" indent="0" shrinkToFit="false"/>
      <protection locked="true" hidden="false"/>
    </xf>
    <xf numFmtId="248" fontId="93" fillId="7" borderId="11" xfId="15" applyFont="true" applyBorder="true" applyAlignment="true" applyProtection="true">
      <alignment horizontal="general" vertical="bottom" textRotation="0" wrapText="false" indent="0" shrinkToFit="false"/>
      <protection locked="true" hidden="false"/>
    </xf>
    <xf numFmtId="257" fontId="94" fillId="0" borderId="11" xfId="15" applyFont="true" applyBorder="true" applyAlignment="true" applyProtection="true">
      <alignment horizontal="right" vertical="bottom" textRotation="0" wrapText="false" indent="0" shrinkToFit="false"/>
      <protection locked="true" hidden="false"/>
    </xf>
    <xf numFmtId="169" fontId="71" fillId="0" borderId="11" xfId="0" applyFont="true" applyBorder="true" applyAlignment="false" applyProtection="false">
      <alignment horizontal="general" vertical="bottom" textRotation="0" wrapText="false" indent="0" shrinkToFit="false"/>
      <protection locked="true" hidden="false"/>
    </xf>
    <xf numFmtId="248" fontId="92" fillId="0" borderId="0" xfId="0" applyFont="true" applyBorder="true" applyAlignment="false" applyProtection="false">
      <alignment horizontal="general" vertical="bottom" textRotation="0" wrapText="false" indent="0" shrinkToFit="false"/>
      <protection locked="true" hidden="false"/>
    </xf>
    <xf numFmtId="248" fontId="71" fillId="0" borderId="0" xfId="0" applyFont="true" applyBorder="true" applyAlignment="true" applyProtection="false">
      <alignment horizontal="center" vertical="bottom" textRotation="0" wrapText="false" indent="0" shrinkToFit="false"/>
      <protection locked="true" hidden="false"/>
    </xf>
    <xf numFmtId="248" fontId="71" fillId="9" borderId="11" xfId="15" applyFont="true" applyBorder="true" applyAlignment="true" applyProtection="true">
      <alignment horizontal="general" vertical="bottom" textRotation="0" wrapText="false" indent="0" shrinkToFit="false"/>
      <protection locked="true" hidden="false"/>
    </xf>
    <xf numFmtId="243" fontId="94" fillId="0" borderId="11" xfId="19" applyFont="true" applyBorder="true" applyAlignment="true" applyProtection="true">
      <alignment horizontal="right" vertical="bottom" textRotation="0" wrapText="false" indent="0" shrinkToFit="false"/>
      <protection locked="true" hidden="false"/>
    </xf>
    <xf numFmtId="164" fontId="83" fillId="0" borderId="10" xfId="0" applyFont="true" applyBorder="true" applyAlignment="true" applyProtection="true">
      <alignment horizontal="left" vertical="bottom" textRotation="0" wrapText="false" indent="0" shrinkToFit="false"/>
      <protection locked="true" hidden="false"/>
    </xf>
    <xf numFmtId="247" fontId="87" fillId="0" borderId="0" xfId="17" applyFont="true" applyBorder="true" applyAlignment="true" applyProtection="true">
      <alignment horizontal="general" vertical="bottom" textRotation="0" wrapText="false" indent="0" shrinkToFit="false"/>
      <protection locked="false" hidden="false"/>
    </xf>
    <xf numFmtId="164" fontId="71" fillId="0" borderId="7" xfId="0" applyFont="true" applyBorder="true" applyAlignment="false" applyProtection="false">
      <alignment horizontal="general" vertical="bottom" textRotation="0" wrapText="false" indent="0" shrinkToFit="false"/>
      <protection locked="true" hidden="false"/>
    </xf>
    <xf numFmtId="248" fontId="95" fillId="9" borderId="11" xfId="15" applyFont="true" applyBorder="true" applyAlignment="true" applyProtection="true">
      <alignment horizontal="general" vertical="bottom" textRotation="0" wrapText="false" indent="0" shrinkToFit="false"/>
      <protection locked="true" hidden="false"/>
    </xf>
    <xf numFmtId="243" fontId="94" fillId="0" borderId="7" xfId="19" applyFont="true" applyBorder="true" applyAlignment="true" applyProtection="true">
      <alignment horizontal="right" vertical="bottom" textRotation="0" wrapText="false" indent="0" shrinkToFit="false"/>
      <protection locked="true" hidden="false"/>
    </xf>
    <xf numFmtId="248" fontId="73" fillId="9" borderId="11" xfId="15" applyFont="true" applyBorder="true" applyAlignment="true" applyProtection="true">
      <alignment horizontal="general" vertical="bottom" textRotation="0" wrapText="false" indent="0" shrinkToFit="false"/>
      <protection locked="true" hidden="false"/>
    </xf>
    <xf numFmtId="238" fontId="71" fillId="4" borderId="9" xfId="0" applyFont="true" applyBorder="true" applyAlignment="false" applyProtection="true">
      <alignment horizontal="general" vertical="bottom" textRotation="0" wrapText="false" indent="0" shrinkToFit="false"/>
      <protection locked="true" hidden="false"/>
    </xf>
    <xf numFmtId="243" fontId="73" fillId="0" borderId="0" xfId="19" applyFont="true" applyBorder="true" applyAlignment="true" applyProtection="true">
      <alignment horizontal="general" vertical="bottom" textRotation="0" wrapText="false" indent="0" shrinkToFit="false"/>
      <protection locked="true" hidden="false"/>
    </xf>
    <xf numFmtId="247" fontId="71" fillId="0" borderId="0" xfId="17" applyFont="true" applyBorder="true" applyAlignment="true" applyProtection="true">
      <alignment horizontal="general" vertical="bottom" textRotation="0" wrapText="false" indent="0" shrinkToFit="false"/>
      <protection locked="true" hidden="false"/>
    </xf>
    <xf numFmtId="164" fontId="85" fillId="0" borderId="0" xfId="0" applyFont="true" applyBorder="true" applyAlignment="true" applyProtection="true">
      <alignment horizontal="center" vertical="bottom" textRotation="0" wrapText="false" indent="0" shrinkToFit="false"/>
      <protection locked="true" hidden="false"/>
    </xf>
    <xf numFmtId="164" fontId="85" fillId="0" borderId="11" xfId="0" applyFont="true" applyBorder="true" applyAlignment="true" applyProtection="true">
      <alignment horizontal="center" vertical="bottom" textRotation="0" wrapText="false" indent="0" shrinkToFit="false"/>
      <protection locked="true" hidden="false"/>
    </xf>
    <xf numFmtId="247" fontId="90" fillId="0" borderId="11" xfId="0" applyFont="true" applyBorder="true" applyAlignment="true" applyProtection="false">
      <alignment horizontal="right" vertical="bottom" textRotation="0" wrapText="false" indent="0" shrinkToFit="false"/>
      <protection locked="true" hidden="false"/>
    </xf>
    <xf numFmtId="248" fontId="73" fillId="0" borderId="0" xfId="17" applyFont="true" applyBorder="true" applyAlignment="true" applyProtection="true">
      <alignment horizontal="general" vertical="bottom" textRotation="0" wrapText="false" indent="0" shrinkToFit="false"/>
      <protection locked="true" hidden="false"/>
    </xf>
    <xf numFmtId="185" fontId="73" fillId="0" borderId="0" xfId="17" applyFont="true" applyBorder="true" applyAlignment="true" applyProtection="true">
      <alignment horizontal="general" vertical="bottom" textRotation="0" wrapText="false" indent="0" shrinkToFit="false"/>
      <protection locked="true" hidden="false"/>
    </xf>
    <xf numFmtId="164" fontId="73" fillId="0" borderId="0" xfId="0" applyFont="true" applyBorder="true" applyAlignment="false" applyProtection="true">
      <alignment horizontal="general" vertical="bottom" textRotation="0" wrapText="false" indent="0" shrinkToFit="false"/>
      <protection locked="true" hidden="false"/>
    </xf>
    <xf numFmtId="164" fontId="73" fillId="0" borderId="0" xfId="0" applyFont="true" applyBorder="true" applyAlignment="false" applyProtection="true">
      <alignment horizontal="general" vertical="bottom" textRotation="0" wrapText="false" indent="0" shrinkToFit="false"/>
      <protection locked="true" hidden="false"/>
    </xf>
    <xf numFmtId="164" fontId="71" fillId="0" borderId="10" xfId="0" applyFont="true" applyBorder="true" applyAlignment="true" applyProtection="true">
      <alignment horizontal="general" vertical="bottom" textRotation="0" wrapText="false" indent="0" shrinkToFit="false"/>
      <protection locked="true" hidden="false"/>
    </xf>
    <xf numFmtId="243" fontId="71" fillId="0" borderId="11" xfId="0" applyFont="true" applyBorder="true" applyAlignment="false" applyProtection="false">
      <alignment horizontal="general" vertical="bottom" textRotation="0" wrapText="false" indent="0" shrinkToFit="false"/>
      <protection locked="true" hidden="false"/>
    </xf>
    <xf numFmtId="164" fontId="79" fillId="0" borderId="10" xfId="0" applyFont="true" applyBorder="true" applyAlignment="true" applyProtection="true">
      <alignment horizontal="left" vertical="bottom" textRotation="0" wrapText="false" indent="0" shrinkToFit="false"/>
      <protection locked="true" hidden="false"/>
    </xf>
    <xf numFmtId="247" fontId="87" fillId="0" borderId="0" xfId="17" applyFont="true" applyBorder="true" applyAlignment="true" applyProtection="true">
      <alignment horizontal="general" vertical="bottom" textRotation="0" wrapText="false" indent="0" shrinkToFit="false"/>
      <protection locked="true" hidden="false"/>
    </xf>
    <xf numFmtId="229" fontId="73" fillId="0" borderId="0" xfId="0" applyFont="true" applyBorder="true" applyAlignment="false" applyProtection="true">
      <alignment horizontal="general" vertical="bottom" textRotation="0" wrapText="false" indent="0" shrinkToFit="false"/>
      <protection locked="true" hidden="false"/>
    </xf>
    <xf numFmtId="229" fontId="73" fillId="0" borderId="0" xfId="0" applyFont="true" applyBorder="true" applyAlignment="true" applyProtection="true">
      <alignment horizontal="right" vertical="bottom" textRotation="0" wrapText="false" indent="0" shrinkToFit="false"/>
      <protection locked="true" hidden="false"/>
    </xf>
    <xf numFmtId="229" fontId="71" fillId="0" borderId="11" xfId="0" applyFont="true" applyBorder="true" applyAlignment="false" applyProtection="false">
      <alignment horizontal="general" vertical="bottom" textRotation="0" wrapText="false" indent="0" shrinkToFit="false"/>
      <protection locked="true" hidden="false"/>
    </xf>
    <xf numFmtId="248" fontId="86" fillId="9" borderId="11" xfId="15" applyFont="true" applyBorder="true" applyAlignment="true" applyProtection="true">
      <alignment horizontal="general" vertical="bottom" textRotation="0" wrapText="false" indent="0" shrinkToFit="false"/>
      <protection locked="true" hidden="false"/>
    </xf>
    <xf numFmtId="244" fontId="73" fillId="0" borderId="0" xfId="19" applyFont="true" applyBorder="true" applyAlignment="true" applyProtection="true">
      <alignment horizontal="general" vertical="bottom" textRotation="0" wrapText="false" indent="0" shrinkToFit="false"/>
      <protection locked="true" hidden="false"/>
    </xf>
    <xf numFmtId="164" fontId="78" fillId="0" borderId="10" xfId="0" applyFont="true" applyBorder="true" applyAlignment="false" applyProtection="false">
      <alignment horizontal="general" vertical="bottom" textRotation="0" wrapText="false" indent="0" shrinkToFit="false"/>
      <protection locked="true" hidden="false"/>
    </xf>
    <xf numFmtId="243" fontId="73" fillId="0" borderId="0" xfId="0" applyFont="true" applyBorder="true" applyAlignment="false" applyProtection="false">
      <alignment horizontal="general" vertical="bottom" textRotation="0" wrapText="false" indent="0" shrinkToFit="false"/>
      <protection locked="true" hidden="false"/>
    </xf>
    <xf numFmtId="164" fontId="71" fillId="0" borderId="6" xfId="0" applyFont="true" applyBorder="true" applyAlignment="true" applyProtection="true">
      <alignment horizontal="general" vertical="bottom" textRotation="0" wrapText="false" indent="0" shrinkToFit="false"/>
      <protection locked="true" hidden="false"/>
    </xf>
    <xf numFmtId="229" fontId="78" fillId="0" borderId="3" xfId="0" applyFont="true" applyBorder="true" applyAlignment="false" applyProtection="true">
      <alignment horizontal="general" vertical="bottom" textRotation="0" wrapText="false" indent="0" shrinkToFit="false"/>
      <protection locked="true" hidden="false"/>
    </xf>
    <xf numFmtId="229" fontId="78" fillId="0" borderId="3" xfId="0" applyFont="true" applyBorder="true" applyAlignment="true" applyProtection="true">
      <alignment horizontal="right" vertical="bottom" textRotation="0" wrapText="false" indent="0" shrinkToFit="false"/>
      <protection locked="true" hidden="false"/>
    </xf>
    <xf numFmtId="229" fontId="71" fillId="0" borderId="7" xfId="0" applyFont="true" applyBorder="true" applyAlignment="false" applyProtection="false">
      <alignment horizontal="general" vertical="bottom" textRotation="0" wrapText="false" indent="0" shrinkToFit="false"/>
      <protection locked="true" hidden="false"/>
    </xf>
    <xf numFmtId="164" fontId="78" fillId="0" borderId="6" xfId="0" applyFont="true" applyBorder="true" applyAlignment="false" applyProtection="false">
      <alignment horizontal="general" vertical="bottom" textRotation="0" wrapText="false" indent="0" shrinkToFit="false"/>
      <protection locked="true" hidden="false"/>
    </xf>
    <xf numFmtId="169" fontId="71" fillId="0" borderId="7" xfId="0" applyFont="true" applyBorder="true" applyAlignment="false" applyProtection="false">
      <alignment horizontal="general" vertical="bottom" textRotation="0" wrapText="false" indent="0" shrinkToFit="false"/>
      <protection locked="true" hidden="false"/>
    </xf>
    <xf numFmtId="164" fontId="71" fillId="9" borderId="11" xfId="0" applyFont="true" applyBorder="true" applyAlignment="false" applyProtection="false">
      <alignment horizontal="general" vertical="bottom" textRotation="0" wrapText="false" indent="0" shrinkToFit="false"/>
      <protection locked="true" hidden="false"/>
    </xf>
    <xf numFmtId="246" fontId="71" fillId="0" borderId="0" xfId="0" applyFont="true" applyBorder="false" applyAlignment="false" applyProtection="true">
      <alignment horizontal="general" vertical="bottom" textRotation="0" wrapText="false" indent="0" shrinkToFit="false"/>
      <protection locked="true" hidden="false"/>
    </xf>
    <xf numFmtId="229" fontId="73" fillId="4" borderId="5" xfId="0" applyFont="true" applyBorder="true" applyAlignment="false" applyProtection="true">
      <alignment horizontal="general" vertical="bottom" textRotation="0" wrapText="false" indent="0" shrinkToFit="false"/>
      <protection locked="true" hidden="false"/>
    </xf>
    <xf numFmtId="164" fontId="88" fillId="4" borderId="4" xfId="0" applyFont="true" applyBorder="true" applyAlignment="false" applyProtection="false">
      <alignment horizontal="general" vertical="bottom" textRotation="0" wrapText="false" indent="0" shrinkToFit="false"/>
      <protection locked="true" hidden="false"/>
    </xf>
    <xf numFmtId="164" fontId="32" fillId="4" borderId="9" xfId="0" applyFont="true" applyBorder="true" applyAlignment="false" applyProtection="false">
      <alignment horizontal="general" vertical="bottom" textRotation="0" wrapText="false" indent="0" shrinkToFit="false"/>
      <protection locked="true" hidden="false"/>
    </xf>
    <xf numFmtId="243" fontId="96" fillId="4" borderId="9" xfId="19" applyFont="true" applyBorder="true" applyAlignment="true" applyProtection="true">
      <alignment horizontal="general" vertical="bottom" textRotation="0" wrapText="false" indent="0" shrinkToFit="false"/>
      <protection locked="true" hidden="false"/>
    </xf>
    <xf numFmtId="169" fontId="32" fillId="4" borderId="5" xfId="0" applyFont="true" applyBorder="true" applyAlignment="false" applyProtection="false">
      <alignment horizontal="general" vertical="bottom" textRotation="0" wrapText="false" indent="0" shrinkToFit="false"/>
      <protection locked="true" hidden="false"/>
    </xf>
    <xf numFmtId="229" fontId="73" fillId="0" borderId="11" xfId="0" applyFont="true" applyBorder="true" applyAlignment="true" applyProtection="true">
      <alignment horizontal="right" vertical="bottom" textRotation="0" wrapText="false" indent="0" shrinkToFit="false"/>
      <protection locked="true" hidden="false"/>
    </xf>
    <xf numFmtId="164" fontId="82" fillId="0" borderId="0" xfId="0" applyFont="true" applyBorder="true" applyAlignment="true" applyProtection="false">
      <alignment horizontal="center" vertical="bottom" textRotation="0" wrapText="false" indent="0" shrinkToFit="false"/>
      <protection locked="true" hidden="false"/>
    </xf>
    <xf numFmtId="164" fontId="28" fillId="0" borderId="0" xfId="0" applyFont="true" applyBorder="true" applyAlignment="false" applyProtection="false">
      <alignment horizontal="general" vertical="bottom" textRotation="0" wrapText="false" indent="0" shrinkToFit="false"/>
      <protection locked="true" hidden="false"/>
    </xf>
    <xf numFmtId="242" fontId="82" fillId="0" borderId="0" xfId="19" applyFont="true" applyBorder="true" applyAlignment="true" applyProtection="true">
      <alignment horizontal="center" vertical="bottom" textRotation="0" wrapText="false" indent="0" shrinkToFit="false"/>
      <protection locked="true" hidden="false"/>
    </xf>
    <xf numFmtId="243" fontId="71" fillId="0" borderId="0" xfId="19" applyFont="true" applyBorder="true" applyAlignment="true" applyProtection="true">
      <alignment horizontal="general" vertical="bottom" textRotation="0" wrapText="false" indent="0" shrinkToFit="false"/>
      <protection locked="true" hidden="false"/>
    </xf>
    <xf numFmtId="169" fontId="85" fillId="0" borderId="11" xfId="0" applyFont="true" applyBorder="true" applyAlignment="false" applyProtection="false">
      <alignment horizontal="general" vertical="bottom" textRotation="0" wrapText="false" indent="0" shrinkToFit="false"/>
      <protection locked="true" hidden="false"/>
    </xf>
    <xf numFmtId="248" fontId="71" fillId="0" borderId="11" xfId="15" applyFont="true" applyBorder="true" applyAlignment="true" applyProtection="true">
      <alignment horizontal="right" vertical="bottom" textRotation="0" wrapText="false" indent="0" shrinkToFit="false"/>
      <protection locked="true" hidden="false"/>
    </xf>
    <xf numFmtId="247" fontId="87" fillId="0" borderId="0" xfId="0" applyFont="true" applyBorder="true" applyAlignment="false" applyProtection="false">
      <alignment horizontal="general" vertical="bottom" textRotation="0" wrapText="false" indent="0" shrinkToFit="false"/>
      <protection locked="true" hidden="false"/>
    </xf>
    <xf numFmtId="193" fontId="87" fillId="0" borderId="0" xfId="0" applyFont="true" applyBorder="true" applyAlignment="false" applyProtection="false">
      <alignment horizontal="general" vertical="bottom" textRotation="0" wrapText="false" indent="0" shrinkToFit="false"/>
      <protection locked="true" hidden="false"/>
    </xf>
    <xf numFmtId="179" fontId="71" fillId="0" borderId="11" xfId="0" applyFont="true" applyBorder="true" applyAlignment="false" applyProtection="false">
      <alignment horizontal="general" vertical="bottom" textRotation="0" wrapText="false" indent="0" shrinkToFit="false"/>
      <protection locked="true" hidden="false"/>
    </xf>
    <xf numFmtId="250" fontId="71" fillId="0" borderId="0" xfId="0" applyFont="true" applyBorder="true" applyAlignment="true" applyProtection="false">
      <alignment horizontal="center" vertical="bottom" textRotation="0" wrapText="false" indent="0" shrinkToFit="false"/>
      <protection locked="true" hidden="false"/>
    </xf>
    <xf numFmtId="164" fontId="71" fillId="0" borderId="6" xfId="0" applyFont="true" applyBorder="true" applyAlignment="true" applyProtection="true">
      <alignment horizontal="left" vertical="bottom" textRotation="0" wrapText="false" indent="0" shrinkToFit="false"/>
      <protection locked="true" hidden="false"/>
    </xf>
    <xf numFmtId="246" fontId="73" fillId="0" borderId="3" xfId="0" applyFont="true" applyBorder="true" applyAlignment="false" applyProtection="false">
      <alignment horizontal="general" vertical="bottom" textRotation="0" wrapText="false" indent="0" shrinkToFit="false"/>
      <protection locked="true" hidden="false"/>
    </xf>
    <xf numFmtId="250" fontId="73" fillId="0" borderId="7" xfId="0" applyFont="true" applyBorder="true" applyAlignment="false" applyProtection="false">
      <alignment horizontal="general" vertical="bottom" textRotation="0" wrapText="false" indent="0" shrinkToFit="false"/>
      <protection locked="true" hidden="false"/>
    </xf>
    <xf numFmtId="248" fontId="84" fillId="0" borderId="11" xfId="15" applyFont="true" applyBorder="true" applyAlignment="true" applyProtection="true">
      <alignment horizontal="general" vertical="bottom" textRotation="0" wrapText="false" indent="0" shrinkToFit="false"/>
      <protection locked="true" hidden="false"/>
    </xf>
    <xf numFmtId="247" fontId="71" fillId="0" borderId="0" xfId="0" applyFont="true" applyBorder="true" applyAlignment="false" applyProtection="false">
      <alignment horizontal="general" vertical="bottom" textRotation="0" wrapText="false" indent="0" shrinkToFit="false"/>
      <protection locked="true" hidden="false"/>
    </xf>
    <xf numFmtId="247" fontId="71" fillId="0" borderId="11" xfId="0" applyFont="true" applyBorder="true" applyAlignment="false" applyProtection="false">
      <alignment horizontal="general" vertical="bottom" textRotation="0" wrapText="false" indent="0" shrinkToFit="false"/>
      <protection locked="true" hidden="false"/>
    </xf>
    <xf numFmtId="247" fontId="84" fillId="0" borderId="0" xfId="0" applyFont="true" applyBorder="true" applyAlignment="false" applyProtection="false">
      <alignment horizontal="general" vertical="bottom" textRotation="0" wrapText="false" indent="0" shrinkToFit="false"/>
      <protection locked="true" hidden="false"/>
    </xf>
    <xf numFmtId="247" fontId="84" fillId="0" borderId="11" xfId="0" applyFont="true" applyBorder="true" applyAlignment="false" applyProtection="false">
      <alignment horizontal="general" vertical="bottom" textRotation="0" wrapText="false" indent="0" shrinkToFit="false"/>
      <protection locked="true" hidden="false"/>
    </xf>
    <xf numFmtId="164" fontId="87" fillId="0" borderId="10" xfId="0" applyFont="true" applyBorder="true" applyAlignment="false" applyProtection="false">
      <alignment horizontal="general" vertical="bottom" textRotation="0" wrapText="false" indent="0" shrinkToFit="false"/>
      <protection locked="true" hidden="false"/>
    </xf>
    <xf numFmtId="248" fontId="95" fillId="0" borderId="11" xfId="15" applyFont="true" applyBorder="true" applyAlignment="true" applyProtection="true">
      <alignment horizontal="general" vertical="bottom" textRotation="0" wrapText="false" indent="0" shrinkToFit="false"/>
      <protection locked="true" hidden="false"/>
    </xf>
    <xf numFmtId="250" fontId="73" fillId="0" borderId="11" xfId="0" applyFont="true" applyBorder="true" applyAlignment="false" applyProtection="false">
      <alignment horizontal="general" vertical="bottom" textRotation="0" wrapText="false" indent="0" shrinkToFit="false"/>
      <protection locked="true" hidden="false"/>
    </xf>
    <xf numFmtId="243" fontId="73" fillId="7" borderId="0" xfId="19" applyFont="true" applyBorder="true" applyAlignment="true" applyProtection="true">
      <alignment horizontal="center" vertical="bottom" textRotation="0" wrapText="false" indent="0" shrinkToFit="false"/>
      <protection locked="false" hidden="false"/>
    </xf>
    <xf numFmtId="248" fontId="93" fillId="0" borderId="11" xfId="15" applyFont="true" applyBorder="true" applyAlignment="true" applyProtection="true">
      <alignment horizontal="general" vertical="bottom" textRotation="0" wrapText="false" indent="0" shrinkToFit="false"/>
      <protection locked="true" hidden="false"/>
    </xf>
    <xf numFmtId="248" fontId="73" fillId="0" borderId="7" xfId="0" applyFont="true" applyBorder="true" applyAlignment="false" applyProtection="false">
      <alignment horizontal="general" vertical="bottom" textRotation="0" wrapText="false" indent="0" shrinkToFit="false"/>
      <protection locked="true" hidden="false"/>
    </xf>
    <xf numFmtId="250" fontId="73" fillId="0" borderId="0" xfId="19" applyFont="true" applyBorder="true" applyAlignment="true" applyProtection="true">
      <alignment horizontal="center" vertical="bottom" textRotation="0" wrapText="false" indent="0" shrinkToFit="false"/>
      <protection locked="false" hidden="false"/>
    </xf>
    <xf numFmtId="248" fontId="73" fillId="0" borderId="0" xfId="0" applyFont="true" applyBorder="true" applyAlignment="false" applyProtection="false">
      <alignment horizontal="general" vertical="bottom" textRotation="0" wrapText="false" indent="0" shrinkToFit="false"/>
      <protection locked="true" hidden="false"/>
    </xf>
    <xf numFmtId="250" fontId="73" fillId="7" borderId="0" xfId="19" applyFont="true" applyBorder="true" applyAlignment="true" applyProtection="true">
      <alignment horizontal="center" vertical="bottom" textRotation="0" wrapText="false" indent="0" shrinkToFit="false"/>
      <protection locked="true" hidden="false"/>
    </xf>
    <xf numFmtId="164" fontId="87" fillId="0" borderId="0" xfId="0" applyFont="true" applyBorder="true" applyAlignment="false" applyProtection="false">
      <alignment horizontal="general" vertical="bottom" textRotation="0" wrapText="false" indent="0" shrinkToFit="false"/>
      <protection locked="true" hidden="false"/>
    </xf>
    <xf numFmtId="244" fontId="80" fillId="0" borderId="11" xfId="19" applyFont="true" applyBorder="true" applyAlignment="true" applyProtection="true">
      <alignment horizontal="center" vertical="bottom" textRotation="0" wrapText="false" indent="0" shrinkToFit="false"/>
      <protection locked="true" hidden="false"/>
    </xf>
    <xf numFmtId="193" fontId="84" fillId="0" borderId="0" xfId="0" applyFont="true" applyBorder="true" applyAlignment="false" applyProtection="false">
      <alignment horizontal="general" vertical="bottom" textRotation="0" wrapText="false" indent="0" shrinkToFit="false"/>
      <protection locked="true" hidden="false"/>
    </xf>
    <xf numFmtId="179" fontId="84" fillId="0" borderId="11" xfId="0" applyFont="true" applyBorder="true" applyAlignment="false" applyProtection="false">
      <alignment horizontal="general" vertical="bottom" textRotation="0" wrapText="false" indent="0" shrinkToFit="false"/>
      <protection locked="true" hidden="false"/>
    </xf>
    <xf numFmtId="248" fontId="86" fillId="0" borderId="11" xfId="15" applyFont="true" applyBorder="true" applyAlignment="true" applyProtection="true">
      <alignment horizontal="general" vertical="bottom" textRotation="0" wrapText="false" indent="0" shrinkToFit="false"/>
      <protection locked="true" hidden="false"/>
    </xf>
    <xf numFmtId="164" fontId="87" fillId="0" borderId="0" xfId="0" applyFont="true" applyBorder="true" applyAlignment="true" applyProtection="true">
      <alignment horizontal="center" vertical="bottom" textRotation="0" wrapText="false" indent="0" shrinkToFit="false"/>
      <protection locked="true" hidden="false"/>
    </xf>
    <xf numFmtId="164" fontId="87" fillId="0" borderId="11" xfId="0" applyFont="true" applyBorder="true" applyAlignment="true" applyProtection="true">
      <alignment horizontal="center" vertical="bottom" textRotation="0" wrapText="false" indent="0" shrinkToFit="false"/>
      <protection locked="true" hidden="false"/>
    </xf>
    <xf numFmtId="250" fontId="73" fillId="0" borderId="0" xfId="19" applyFont="true" applyBorder="true" applyAlignment="true" applyProtection="true">
      <alignment horizontal="center" vertical="bottom" textRotation="0" wrapText="false" indent="0" shrinkToFit="false"/>
      <protection locked="true" hidden="false"/>
    </xf>
    <xf numFmtId="164" fontId="85" fillId="0" borderId="10" xfId="0" applyFont="true" applyBorder="true" applyAlignment="true" applyProtection="true">
      <alignment horizontal="center" vertical="bottom" textRotation="0" wrapText="false" indent="0" shrinkToFit="false"/>
      <protection locked="true" hidden="false"/>
    </xf>
    <xf numFmtId="164" fontId="79" fillId="0" borderId="12" xfId="0" applyFont="true" applyBorder="true" applyAlignment="false" applyProtection="false">
      <alignment horizontal="general" vertical="bottom" textRotation="0" wrapText="false" indent="0" shrinkToFit="false"/>
      <protection locked="true" hidden="false"/>
    </xf>
    <xf numFmtId="247" fontId="87" fillId="0" borderId="14" xfId="0" applyFont="true" applyBorder="true" applyAlignment="false" applyProtection="false">
      <alignment horizontal="general" vertical="bottom" textRotation="0" wrapText="false" indent="0" shrinkToFit="false"/>
      <protection locked="true" hidden="false"/>
    </xf>
    <xf numFmtId="164" fontId="71" fillId="0" borderId="14" xfId="0" applyFont="true" applyBorder="true" applyAlignment="true" applyProtection="false">
      <alignment horizontal="center" vertical="bottom" textRotation="0" wrapText="false" indent="0" shrinkToFit="false"/>
      <protection locked="true" hidden="false"/>
    </xf>
    <xf numFmtId="193" fontId="71" fillId="0" borderId="14" xfId="0" applyFont="true" applyBorder="true" applyAlignment="false" applyProtection="false">
      <alignment horizontal="general" vertical="bottom" textRotation="0" wrapText="false" indent="0" shrinkToFit="false"/>
      <protection locked="true" hidden="false"/>
    </xf>
    <xf numFmtId="243" fontId="71" fillId="0" borderId="14" xfId="19" applyFont="true" applyBorder="true" applyAlignment="true" applyProtection="true">
      <alignment horizontal="general" vertical="bottom" textRotation="0" wrapText="false" indent="0" shrinkToFit="false"/>
      <protection locked="true" hidden="false"/>
    </xf>
    <xf numFmtId="179" fontId="71" fillId="0" borderId="13" xfId="0" applyFont="true" applyBorder="true" applyAlignment="false" applyProtection="false">
      <alignment horizontal="general" vertical="bottom" textRotation="0" wrapText="false" indent="0" shrinkToFit="false"/>
      <protection locked="true" hidden="false"/>
    </xf>
    <xf numFmtId="164" fontId="71" fillId="0" borderId="10" xfId="0" applyFont="true" applyBorder="true" applyAlignment="true" applyProtection="true">
      <alignment horizontal="center" vertical="bottom" textRotation="0" wrapText="false" indent="0" shrinkToFit="false"/>
      <protection locked="true" hidden="false"/>
    </xf>
    <xf numFmtId="243" fontId="71" fillId="0" borderId="0" xfId="0" applyFont="true" applyBorder="true" applyAlignment="true" applyProtection="true">
      <alignment horizontal="center" vertical="bottom" textRotation="0" wrapText="false" indent="0" shrinkToFit="false"/>
      <protection locked="true" hidden="false"/>
    </xf>
    <xf numFmtId="243" fontId="71" fillId="0" borderId="11" xfId="0" applyFont="true" applyBorder="true" applyAlignment="true" applyProtection="true">
      <alignment horizontal="center" vertical="bottom" textRotation="0" wrapText="false" indent="0" shrinkToFit="false"/>
      <protection locked="true" hidden="false"/>
    </xf>
    <xf numFmtId="164" fontId="78" fillId="0" borderId="3" xfId="0" applyFont="true" applyBorder="true" applyAlignment="true" applyProtection="false">
      <alignment horizontal="center" vertical="bottom" textRotation="0" wrapText="false" indent="0" shrinkToFit="false"/>
      <protection locked="true" hidden="false"/>
    </xf>
    <xf numFmtId="247" fontId="79" fillId="0" borderId="7" xfId="17" applyFont="true" applyBorder="true" applyAlignment="true" applyProtection="true">
      <alignment horizontal="general" vertical="bottom" textRotation="0" wrapText="false" indent="0" shrinkToFit="false"/>
      <protection locked="true" hidden="false"/>
    </xf>
    <xf numFmtId="164" fontId="73" fillId="0" borderId="3" xfId="0" applyFont="true" applyBorder="true" applyAlignment="false" applyProtection="false">
      <alignment horizontal="general" vertical="bottom" textRotation="0" wrapText="false" indent="0" shrinkToFit="false"/>
      <protection locked="true" hidden="false"/>
    </xf>
    <xf numFmtId="247" fontId="73" fillId="0" borderId="0" xfId="0" applyFont="true" applyBorder="false" applyAlignment="true" applyProtection="false">
      <alignment horizontal="right" vertical="bottom" textRotation="0" wrapText="false" indent="0" shrinkToFit="false"/>
      <protection locked="true" hidden="false"/>
    </xf>
    <xf numFmtId="250" fontId="73" fillId="0" borderId="0" xfId="19" applyFont="true" applyBorder="true" applyAlignment="true" applyProtection="true">
      <alignment horizontal="general" vertical="bottom" textRotation="0" wrapText="false" indent="0" shrinkToFit="false"/>
      <protection locked="true" hidden="false"/>
    </xf>
    <xf numFmtId="243" fontId="73" fillId="0" borderId="0" xfId="0" applyFont="true" applyBorder="true" applyAlignment="false" applyProtection="true">
      <alignment horizontal="general" vertical="bottom" textRotation="0" wrapText="false" indent="0" shrinkToFit="false"/>
      <protection locked="false" hidden="false"/>
    </xf>
    <xf numFmtId="169" fontId="97" fillId="0" borderId="11" xfId="0" applyFont="true" applyBorder="true" applyAlignment="false" applyProtection="false">
      <alignment horizontal="general" vertical="bottom" textRotation="0" wrapText="false" indent="0" shrinkToFit="false"/>
      <protection locked="true" hidden="false"/>
    </xf>
    <xf numFmtId="256" fontId="73" fillId="0" borderId="11" xfId="0" applyFont="true" applyBorder="true" applyAlignment="true" applyProtection="false">
      <alignment horizontal="right" vertical="bottom" textRotation="0" wrapText="false" indent="0" shrinkToFit="false"/>
      <protection locked="true" hidden="false"/>
    </xf>
    <xf numFmtId="246" fontId="71" fillId="0" borderId="0" xfId="19" applyFont="true" applyBorder="true" applyAlignment="true" applyProtection="true">
      <alignment horizontal="center" vertical="bottom" textRotation="0" wrapText="false" indent="0" shrinkToFit="false"/>
      <protection locked="true" hidden="false"/>
    </xf>
    <xf numFmtId="246" fontId="71" fillId="0" borderId="11" xfId="19" applyFont="true" applyBorder="true" applyAlignment="true" applyProtection="true">
      <alignment horizontal="center" vertical="bottom" textRotation="0" wrapText="false" indent="0" shrinkToFit="false"/>
      <protection locked="true" hidden="false"/>
    </xf>
    <xf numFmtId="243" fontId="73" fillId="7" borderId="3" xfId="0" applyFont="true" applyBorder="true" applyAlignment="true" applyProtection="true">
      <alignment horizontal="right" vertical="bottom" textRotation="0" wrapText="false" indent="0" shrinkToFit="false"/>
      <protection locked="false" hidden="false"/>
    </xf>
    <xf numFmtId="243" fontId="78" fillId="0" borderId="0" xfId="1138" applyFont="true" applyBorder="true" applyAlignment="false" applyProtection="true">
      <alignment horizontal="general" vertical="bottom" textRotation="0" wrapText="false" indent="0" shrinkToFit="false"/>
      <protection locked="false" hidden="false"/>
    </xf>
    <xf numFmtId="185" fontId="71" fillId="0" borderId="11" xfId="0" applyFont="true" applyBorder="true" applyAlignment="false" applyProtection="false">
      <alignment horizontal="general" vertical="bottom" textRotation="0" wrapText="false" indent="0" shrinkToFit="false"/>
      <protection locked="true" hidden="false"/>
    </xf>
    <xf numFmtId="164" fontId="71" fillId="0" borderId="6" xfId="0" applyFont="true" applyBorder="true" applyAlignment="true" applyProtection="true">
      <alignment horizontal="center" vertical="bottom" textRotation="0" wrapText="false" indent="0" shrinkToFit="false"/>
      <protection locked="true" hidden="false"/>
    </xf>
    <xf numFmtId="164" fontId="71" fillId="0" borderId="3" xfId="0" applyFont="true" applyBorder="true" applyAlignment="true" applyProtection="false">
      <alignment horizontal="center" vertical="bottom" textRotation="0" wrapText="false" indent="0" shrinkToFit="false"/>
      <protection locked="true" hidden="false"/>
    </xf>
    <xf numFmtId="246" fontId="71" fillId="0" borderId="3" xfId="19" applyFont="true" applyBorder="true" applyAlignment="true" applyProtection="true">
      <alignment horizontal="center" vertical="bottom" textRotation="0" wrapText="false" indent="0" shrinkToFit="false"/>
      <protection locked="true" hidden="false"/>
    </xf>
    <xf numFmtId="246" fontId="71" fillId="0" borderId="7" xfId="19" applyFont="true" applyBorder="true" applyAlignment="true" applyProtection="true">
      <alignment horizontal="center" vertical="bottom" textRotation="0" wrapText="false" indent="0" shrinkToFit="false"/>
      <protection locked="true" hidden="false"/>
    </xf>
    <xf numFmtId="164" fontId="71" fillId="0" borderId="0" xfId="0" applyFont="true" applyBorder="false" applyAlignment="true" applyProtection="true">
      <alignment horizontal="center" vertical="bottom" textRotation="0" wrapText="false" indent="0" shrinkToFit="false"/>
      <protection locked="true" hidden="false"/>
    </xf>
    <xf numFmtId="164" fontId="71" fillId="0" borderId="0" xfId="0" applyFont="true" applyBorder="false" applyAlignment="true" applyProtection="false">
      <alignment horizontal="center" vertical="bottom" textRotation="0" wrapText="false" indent="0" shrinkToFit="false"/>
      <protection locked="true" hidden="false"/>
    </xf>
    <xf numFmtId="243" fontId="73" fillId="7" borderId="0" xfId="0" applyFont="true" applyBorder="true" applyAlignment="false" applyProtection="true">
      <alignment horizontal="general" vertical="bottom" textRotation="0" wrapText="false" indent="0" shrinkToFit="false"/>
      <protection locked="false" hidden="false"/>
    </xf>
    <xf numFmtId="243" fontId="73" fillId="7" borderId="3" xfId="0" applyFont="true" applyBorder="true" applyAlignment="false" applyProtection="true">
      <alignment horizontal="general" vertical="bottom" textRotation="0" wrapText="false" indent="0" shrinkToFit="false"/>
      <protection locked="false" hidden="false"/>
    </xf>
    <xf numFmtId="243" fontId="73" fillId="0" borderId="7" xfId="19" applyFont="true" applyBorder="true" applyAlignment="true" applyProtection="true">
      <alignment horizontal="right" vertical="bottom" textRotation="0" wrapText="false" indent="0" shrinkToFit="false"/>
      <protection locked="true" hidden="false"/>
    </xf>
    <xf numFmtId="256" fontId="73" fillId="0" borderId="11" xfId="0" applyFont="true" applyBorder="true" applyAlignment="false" applyProtection="false">
      <alignment horizontal="general" vertical="bottom" textRotation="0" wrapText="false" indent="0" shrinkToFit="false"/>
      <protection locked="true" hidden="false"/>
    </xf>
    <xf numFmtId="242" fontId="94" fillId="0" borderId="11" xfId="15" applyFont="true" applyBorder="true" applyAlignment="true" applyProtection="true">
      <alignment horizontal="right" vertical="bottom" textRotation="0" wrapText="false" indent="0" shrinkToFit="false"/>
      <protection locked="true" hidden="false"/>
    </xf>
    <xf numFmtId="164" fontId="71" fillId="0" borderId="11" xfId="0" applyFont="true" applyBorder="true" applyAlignment="true" applyProtection="false">
      <alignment horizontal="right" vertical="bottom" textRotation="0" wrapText="false" indent="0" shrinkToFit="false"/>
      <protection locked="true" hidden="false"/>
    </xf>
    <xf numFmtId="164" fontId="73" fillId="0" borderId="7" xfId="0" applyFont="true" applyBorder="true" applyAlignment="true" applyProtection="false">
      <alignment horizontal="right" vertical="bottom" textRotation="0" wrapText="false" indent="0" shrinkToFit="false"/>
      <protection locked="true" hidden="false"/>
    </xf>
    <xf numFmtId="235" fontId="71" fillId="0" borderId="0" xfId="0" applyFont="true" applyBorder="false" applyAlignment="false" applyProtection="false">
      <alignment horizontal="general" vertical="bottom" textRotation="0" wrapText="false" indent="0" shrinkToFit="false"/>
      <protection locked="true" hidden="false"/>
    </xf>
    <xf numFmtId="164" fontId="71" fillId="10" borderId="0" xfId="0" applyFont="true" applyBorder="false" applyAlignment="false" applyProtection="false">
      <alignment horizontal="general" vertical="bottom" textRotation="0" wrapText="false" indent="0" shrinkToFit="false"/>
      <protection locked="true" hidden="false"/>
    </xf>
    <xf numFmtId="256" fontId="71" fillId="11" borderId="0" xfId="0" applyFont="true" applyBorder="false" applyAlignment="true" applyProtection="false">
      <alignment horizontal="right" vertical="bottom" textRotation="0" wrapText="false" indent="0" shrinkToFit="false"/>
      <protection locked="true" hidden="false"/>
    </xf>
    <xf numFmtId="164" fontId="71" fillId="12" borderId="0" xfId="0" applyFont="true" applyBorder="false" applyAlignment="false" applyProtection="false">
      <alignment horizontal="general" vertical="bottom" textRotation="0" wrapText="false" indent="0" shrinkToFit="false"/>
      <protection locked="true" hidden="false"/>
    </xf>
    <xf numFmtId="164" fontId="71" fillId="8" borderId="0" xfId="0" applyFont="true" applyBorder="false" applyAlignment="false" applyProtection="false">
      <alignment horizontal="general" vertical="bottom" textRotation="0" wrapText="false" indent="0" shrinkToFit="false"/>
      <protection locked="true" hidden="false"/>
    </xf>
    <xf numFmtId="164" fontId="71" fillId="7" borderId="0" xfId="0" applyFont="true" applyBorder="false" applyAlignment="false" applyProtection="false">
      <alignment horizontal="general" vertical="bottom" textRotation="0" wrapText="false" indent="0" shrinkToFit="false"/>
      <protection locked="true" hidden="false"/>
    </xf>
    <xf numFmtId="164" fontId="98" fillId="0" borderId="15" xfId="0" applyFont="true" applyBorder="true" applyAlignment="false" applyProtection="false">
      <alignment horizontal="general" vertical="bottom" textRotation="0" wrapText="false" indent="0" shrinkToFit="false"/>
      <protection locked="true" hidden="false"/>
    </xf>
    <xf numFmtId="164" fontId="71" fillId="0" borderId="16" xfId="0" applyFont="true" applyBorder="true" applyAlignment="false" applyProtection="false">
      <alignment horizontal="general" vertical="bottom" textRotation="0" wrapText="false" indent="0" shrinkToFit="false"/>
      <protection locked="true" hidden="false"/>
    </xf>
    <xf numFmtId="164" fontId="71" fillId="0" borderId="17" xfId="0" applyFont="true" applyBorder="tru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true">
      <alignment horizontal="general" vertical="bottom" textRotation="0" wrapText="false" indent="0" shrinkToFit="false"/>
      <protection locked="true" hidden="false"/>
    </xf>
    <xf numFmtId="164" fontId="71" fillId="0" borderId="18" xfId="0" applyFont="true" applyBorder="true" applyAlignment="false" applyProtection="false">
      <alignment horizontal="general" vertical="bottom" textRotation="0" wrapText="false" indent="0" shrinkToFit="false"/>
      <protection locked="true" hidden="false"/>
    </xf>
    <xf numFmtId="164" fontId="71" fillId="0" borderId="19" xfId="0" applyFont="true" applyBorder="tru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true">
      <alignment horizontal="general" vertical="bottom" textRotation="0" wrapText="false" indent="0" shrinkToFit="false"/>
      <protection locked="false" hidden="false"/>
    </xf>
    <xf numFmtId="164" fontId="99" fillId="13" borderId="0" xfId="0" applyFont="true" applyBorder="false" applyAlignment="true" applyProtection="false">
      <alignment horizontal="general" vertical="top" textRotation="0" wrapText="true" indent="0" shrinkToFit="false"/>
      <protection locked="true" hidden="false"/>
    </xf>
    <xf numFmtId="247" fontId="71" fillId="0" borderId="20" xfId="0" applyFont="true" applyBorder="true" applyAlignment="false" applyProtection="false">
      <alignment horizontal="general" vertical="bottom" textRotation="0" wrapText="false" indent="0" shrinkToFit="false"/>
      <protection locked="true" hidden="false"/>
    </xf>
    <xf numFmtId="164" fontId="71" fillId="0" borderId="0" xfId="0" applyFont="true" applyBorder="false" applyAlignment="true" applyProtection="false">
      <alignment horizontal="right" vertical="bottom" textRotation="0" wrapText="false" indent="0" shrinkToFit="false"/>
      <protection locked="true" hidden="false"/>
    </xf>
    <xf numFmtId="164" fontId="71" fillId="0" borderId="21" xfId="0" applyFont="true" applyBorder="true" applyAlignment="true" applyProtection="true">
      <alignment horizontal="left" vertical="bottom" textRotation="0" wrapText="false" indent="0" shrinkToFit="false"/>
      <protection locked="true" hidden="false"/>
    </xf>
    <xf numFmtId="248" fontId="71" fillId="0" borderId="20" xfId="0" applyFont="true" applyBorder="true" applyAlignment="false" applyProtection="false">
      <alignment horizontal="general" vertical="bottom" textRotation="0" wrapText="false" indent="0" shrinkToFit="false"/>
      <protection locked="true" hidden="false"/>
    </xf>
    <xf numFmtId="164" fontId="71" fillId="0" borderId="20" xfId="0" applyFont="true" applyBorder="true" applyAlignment="false" applyProtection="false">
      <alignment horizontal="general" vertical="bottom" textRotation="0" wrapText="false" indent="0" shrinkToFit="false"/>
      <protection locked="true" hidden="false"/>
    </xf>
    <xf numFmtId="164" fontId="71" fillId="0" borderId="22" xfId="0" applyFont="true" applyBorder="true" applyAlignment="false" applyProtection="false">
      <alignment horizontal="general" vertical="bottom" textRotation="0" wrapText="false" indent="0" shrinkToFit="false"/>
      <protection locked="true" hidden="false"/>
    </xf>
    <xf numFmtId="247" fontId="71" fillId="0" borderId="0" xfId="0" applyFont="true" applyBorder="false" applyAlignment="false" applyProtection="false">
      <alignment horizontal="general" vertical="bottom" textRotation="0" wrapText="false" indent="0" shrinkToFit="false"/>
      <protection locked="true" hidden="false"/>
    </xf>
    <xf numFmtId="164" fontId="98" fillId="0" borderId="23" xfId="0" applyFont="true" applyBorder="true" applyAlignment="true" applyProtection="true">
      <alignment horizontal="center" vertical="bottom" textRotation="0" wrapText="false" indent="0" shrinkToFit="false"/>
      <protection locked="true" hidden="false"/>
    </xf>
    <xf numFmtId="164" fontId="98" fillId="0" borderId="17" xfId="0" applyFont="true" applyBorder="true" applyAlignment="true" applyProtection="true">
      <alignment horizontal="center" vertical="bottom" textRotation="0" wrapText="false" indent="0" shrinkToFit="false"/>
      <protection locked="true" hidden="false"/>
    </xf>
    <xf numFmtId="247" fontId="98" fillId="0" borderId="23" xfId="0" applyFont="true" applyBorder="true" applyAlignment="true" applyProtection="false">
      <alignment horizontal="center" vertical="bottom" textRotation="0" wrapText="false" indent="0" shrinkToFit="false"/>
      <protection locked="true" hidden="false"/>
    </xf>
    <xf numFmtId="247" fontId="98" fillId="0" borderId="17" xfId="0" applyFont="true" applyBorder="true" applyAlignment="true" applyProtection="false">
      <alignment horizontal="center" vertical="bottom" textRotation="0" wrapText="false" indent="0" shrinkToFit="false"/>
      <protection locked="true" hidden="false"/>
    </xf>
    <xf numFmtId="248" fontId="98" fillId="0" borderId="16" xfId="15" applyFont="true" applyBorder="true" applyAlignment="true" applyProtection="true">
      <alignment horizontal="center" vertical="bottom" textRotation="0" wrapText="false" indent="0" shrinkToFit="false"/>
      <protection locked="true" hidden="false"/>
    </xf>
    <xf numFmtId="248" fontId="98" fillId="0" borderId="17" xfId="15" applyFont="true" applyBorder="true" applyAlignment="true" applyProtection="true">
      <alignment horizontal="center" vertical="bottom" textRotation="0" wrapText="false" indent="0" shrinkToFit="false"/>
      <protection locked="true" hidden="false"/>
    </xf>
    <xf numFmtId="193" fontId="28" fillId="0" borderId="15" xfId="17" applyFont="true" applyBorder="true" applyAlignment="true" applyProtection="true">
      <alignment horizontal="center" vertical="bottom" textRotation="0" wrapText="false" indent="0" shrinkToFit="false"/>
      <protection locked="true" hidden="false"/>
    </xf>
    <xf numFmtId="247" fontId="28" fillId="0" borderId="15" xfId="17" applyFont="true" applyBorder="true" applyAlignment="true" applyProtection="true">
      <alignment horizontal="center" vertical="bottom" textRotation="0" wrapText="false" indent="0" shrinkToFit="false"/>
      <protection locked="true" hidden="false"/>
    </xf>
    <xf numFmtId="164" fontId="71" fillId="0" borderId="0" xfId="0" applyFont="true" applyBorder="false" applyAlignment="true" applyProtection="true">
      <alignment horizontal="general" vertical="bottom" textRotation="0" wrapText="false" indent="0" shrinkToFit="false"/>
      <protection locked="true" hidden="false"/>
    </xf>
    <xf numFmtId="164" fontId="84" fillId="0" borderId="0" xfId="0" applyFont="true" applyBorder="false" applyAlignment="false" applyProtection="false">
      <alignment horizontal="general" vertical="bottom" textRotation="0" wrapText="false" indent="0" shrinkToFit="false"/>
      <protection locked="true" hidden="false"/>
    </xf>
    <xf numFmtId="229" fontId="71" fillId="0" borderId="0" xfId="0" applyFont="true" applyBorder="false" applyAlignment="false" applyProtection="false">
      <alignment horizontal="general" vertical="bottom" textRotation="0" wrapText="false" indent="0" shrinkToFit="false"/>
      <protection locked="true" hidden="false"/>
    </xf>
    <xf numFmtId="244" fontId="60" fillId="2" borderId="4" xfId="19" applyFont="true" applyBorder="true" applyAlignment="true" applyProtection="true">
      <alignment horizontal="left" vertical="bottom" textRotation="0" wrapText="false" indent="0" shrinkToFit="false"/>
      <protection locked="true" hidden="false"/>
    </xf>
    <xf numFmtId="164" fontId="28" fillId="2" borderId="5" xfId="0" applyFont="true" applyBorder="true" applyAlignment="false" applyProtection="false">
      <alignment horizontal="general" vertical="bottom" textRotation="0" wrapText="false" indent="0" shrinkToFit="false"/>
      <protection locked="true" hidden="false"/>
    </xf>
    <xf numFmtId="258" fontId="57" fillId="0" borderId="0" xfId="15" applyFont="true" applyBorder="true" applyAlignment="true" applyProtection="true">
      <alignment horizontal="right" vertical="bottom" textRotation="0" wrapText="false" indent="0" shrinkToFit="false"/>
      <protection locked="true" hidden="false"/>
    </xf>
    <xf numFmtId="164" fontId="64" fillId="2" borderId="6" xfId="0" applyFont="true" applyBorder="true" applyAlignment="false" applyProtection="false">
      <alignment horizontal="general" vertical="bottom" textRotation="0" wrapText="false" indent="0" shrinkToFit="false"/>
      <protection locked="true" hidden="false"/>
    </xf>
    <xf numFmtId="164" fontId="28" fillId="2" borderId="7" xfId="0" applyFont="true" applyBorder="true" applyAlignment="false" applyProtection="false">
      <alignment horizontal="general" vertical="bottom" textRotation="0" wrapText="false" indent="0" shrinkToFit="false"/>
      <protection locked="true" hidden="false"/>
    </xf>
    <xf numFmtId="235" fontId="28" fillId="0" borderId="0" xfId="0" applyFont="true" applyBorder="false" applyAlignment="false" applyProtection="false">
      <alignment horizontal="general" vertical="bottom" textRotation="0" wrapText="false" indent="0" shrinkToFit="false"/>
      <protection locked="true" hidden="false"/>
    </xf>
    <xf numFmtId="164" fontId="28" fillId="0" borderId="4" xfId="0" applyFont="true" applyBorder="true" applyAlignment="false" applyProtection="false">
      <alignment horizontal="general" vertical="bottom" textRotation="0" wrapText="false" indent="0" shrinkToFit="false"/>
      <protection locked="true" hidden="false"/>
    </xf>
    <xf numFmtId="164" fontId="57" fillId="0" borderId="9" xfId="0" applyFont="true" applyBorder="true" applyAlignment="false" applyProtection="false">
      <alignment horizontal="general" vertical="bottom" textRotation="0" wrapText="false" indent="0" shrinkToFit="false"/>
      <protection locked="true" hidden="false"/>
    </xf>
    <xf numFmtId="259" fontId="109" fillId="2" borderId="9" xfId="0" applyFont="true" applyBorder="true" applyAlignment="false" applyProtection="true">
      <alignment horizontal="general" vertical="bottom" textRotation="0" wrapText="false" indent="0" shrinkToFit="false"/>
      <protection locked="true" hidden="false"/>
    </xf>
    <xf numFmtId="259" fontId="109" fillId="2" borderId="5" xfId="0" applyFont="true" applyBorder="true" applyAlignment="false" applyProtection="true">
      <alignment horizontal="general" vertical="bottom" textRotation="0" wrapText="false" indent="0" shrinkToFit="false"/>
      <protection locked="true" hidden="false"/>
    </xf>
    <xf numFmtId="235" fontId="64" fillId="0" borderId="10" xfId="1237" applyFont="true" applyBorder="true" applyAlignment="true" applyProtection="true">
      <alignment horizontal="left"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252" fontId="57" fillId="0" borderId="0" xfId="15" applyFont="true" applyBorder="true" applyAlignment="true" applyProtection="true">
      <alignment horizontal="general" vertical="bottom" textRotation="0" wrapText="false" indent="0" shrinkToFit="false"/>
      <protection locked="true" hidden="false"/>
    </xf>
    <xf numFmtId="240" fontId="57" fillId="0" borderId="0" xfId="1237" applyFont="true" applyBorder="true" applyAlignment="true" applyProtection="true">
      <alignment horizontal="general" vertical="bottom" textRotation="0" wrapText="false" indent="0" shrinkToFit="false"/>
      <protection locked="true" hidden="false"/>
    </xf>
    <xf numFmtId="240" fontId="94" fillId="0" borderId="0" xfId="1237" applyFont="true" applyBorder="true" applyAlignment="true" applyProtection="true">
      <alignment horizontal="general" vertical="bottom" textRotation="0" wrapText="false" indent="0" shrinkToFit="false"/>
      <protection locked="true" hidden="false"/>
    </xf>
    <xf numFmtId="240" fontId="57" fillId="0" borderId="11" xfId="1237" applyFont="true" applyBorder="true" applyAlignment="true" applyProtection="true">
      <alignment horizontal="general" vertical="bottom" textRotation="0" wrapText="false" indent="0" shrinkToFit="false"/>
      <protection locked="true" hidden="false"/>
    </xf>
    <xf numFmtId="235" fontId="64" fillId="0" borderId="10" xfId="1237" applyFont="true" applyBorder="true" applyAlignment="true" applyProtection="true">
      <alignment horizontal="general" vertical="bottom" textRotation="0" wrapText="false" indent="0" shrinkToFit="false"/>
      <protection locked="true" hidden="false"/>
    </xf>
    <xf numFmtId="244" fontId="57" fillId="0" borderId="0" xfId="19" applyFont="true" applyBorder="true" applyAlignment="true" applyProtection="true">
      <alignment horizontal="center" vertical="bottom" textRotation="0" wrapText="false" indent="0" shrinkToFit="false"/>
      <protection locked="true" hidden="false"/>
    </xf>
    <xf numFmtId="244" fontId="57" fillId="0" borderId="11" xfId="19" applyFont="true" applyBorder="true" applyAlignment="true" applyProtection="true">
      <alignment horizontal="center" vertical="bottom" textRotation="0" wrapText="false" indent="0" shrinkToFit="false"/>
      <protection locked="true" hidden="false"/>
    </xf>
    <xf numFmtId="235" fontId="64" fillId="0" borderId="6" xfId="1237" applyFont="true" applyBorder="true" applyAlignment="true" applyProtection="true">
      <alignment horizontal="general" vertical="bottom" textRotation="0" wrapText="false" indent="0" shrinkToFit="false"/>
      <protection locked="true" hidden="false"/>
    </xf>
    <xf numFmtId="258" fontId="57" fillId="0" borderId="3" xfId="0" applyFont="true" applyBorder="true" applyAlignment="false" applyProtection="false">
      <alignment horizontal="general" vertical="bottom" textRotation="0" wrapText="false" indent="0" shrinkToFit="false"/>
      <protection locked="true" hidden="false"/>
    </xf>
    <xf numFmtId="240" fontId="57" fillId="0" borderId="3" xfId="1237" applyFont="true" applyBorder="true" applyAlignment="true" applyProtection="true">
      <alignment horizontal="center" vertical="bottom" textRotation="0" wrapText="false" indent="0" shrinkToFit="false"/>
      <protection locked="true" hidden="false"/>
    </xf>
    <xf numFmtId="240" fontId="57" fillId="0" borderId="7" xfId="1237" applyFont="true" applyBorder="true" applyAlignment="true" applyProtection="true">
      <alignment horizontal="center" vertical="bottom" textRotation="0" wrapText="false" indent="0" shrinkToFit="false"/>
      <protection locked="true" hidden="false"/>
    </xf>
    <xf numFmtId="259" fontId="109" fillId="0" borderId="0" xfId="0" applyFont="true" applyBorder="false" applyAlignment="false" applyProtection="true">
      <alignment horizontal="general" vertical="bottom" textRotation="0" wrapText="false" indent="0" shrinkToFit="false"/>
      <protection locked="true" hidden="false"/>
    </xf>
    <xf numFmtId="258" fontId="57" fillId="0" borderId="9" xfId="15" applyFont="true" applyBorder="true" applyAlignment="true" applyProtection="true">
      <alignment horizontal="right" vertical="bottom" textRotation="0" wrapText="false" indent="0" shrinkToFit="false"/>
      <protection locked="true" hidden="false"/>
    </xf>
    <xf numFmtId="258" fontId="57" fillId="0" borderId="5" xfId="15" applyFont="true" applyBorder="true" applyAlignment="true" applyProtection="true">
      <alignment horizontal="right" vertical="bottom" textRotation="0" wrapText="false" indent="0" shrinkToFit="false"/>
      <protection locked="true" hidden="false"/>
    </xf>
    <xf numFmtId="164" fontId="28" fillId="0" borderId="10" xfId="0" applyFont="true" applyBorder="true" applyAlignment="false" applyProtection="false">
      <alignment horizontal="general" vertical="bottom" textRotation="0" wrapText="false" indent="0" shrinkToFit="false"/>
      <protection locked="true" hidden="false"/>
    </xf>
    <xf numFmtId="258" fontId="57" fillId="0" borderId="11" xfId="15" applyFont="true" applyBorder="true" applyAlignment="true" applyProtection="true">
      <alignment horizontal="right" vertical="bottom" textRotation="0" wrapText="false" indent="0" shrinkToFit="false"/>
      <protection locked="true" hidden="false"/>
    </xf>
    <xf numFmtId="170" fontId="57" fillId="0" borderId="0" xfId="0" applyFont="true" applyBorder="true" applyAlignment="false" applyProtection="false">
      <alignment horizontal="general" vertical="bottom" textRotation="0" wrapText="false" indent="0" shrinkToFit="false"/>
      <protection locked="true" hidden="false"/>
    </xf>
    <xf numFmtId="193" fontId="94" fillId="0" borderId="0" xfId="15" applyFont="true" applyBorder="true" applyAlignment="true" applyProtection="true">
      <alignment horizontal="right" vertical="bottom" textRotation="0" wrapText="false" indent="0" shrinkToFit="false"/>
      <protection locked="true" hidden="false"/>
    </xf>
    <xf numFmtId="193" fontId="57" fillId="0" borderId="0" xfId="15" applyFont="true" applyBorder="true" applyAlignment="true" applyProtection="true">
      <alignment horizontal="right" vertical="bottom" textRotation="0" wrapText="false" indent="0" shrinkToFit="false"/>
      <protection locked="true" hidden="false"/>
    </xf>
    <xf numFmtId="193" fontId="57" fillId="0" borderId="11" xfId="15" applyFont="true" applyBorder="true" applyAlignment="true" applyProtection="true">
      <alignment horizontal="right" vertical="bottom" textRotation="0" wrapText="false" indent="0" shrinkToFit="false"/>
      <protection locked="true" hidden="false"/>
    </xf>
    <xf numFmtId="243" fontId="57" fillId="0" borderId="0" xfId="0" applyFont="true" applyBorder="true" applyAlignment="false" applyProtection="false">
      <alignment horizontal="general" vertical="bottom" textRotation="0" wrapText="false" indent="0" shrinkToFit="false"/>
      <protection locked="true" hidden="false"/>
    </xf>
    <xf numFmtId="258" fontId="94" fillId="0" borderId="0" xfId="15" applyFont="true" applyBorder="true" applyAlignment="true" applyProtection="true">
      <alignment horizontal="general" vertical="bottom" textRotation="0" wrapText="false" indent="0" shrinkToFit="false"/>
      <protection locked="true" hidden="false"/>
    </xf>
    <xf numFmtId="258" fontId="57" fillId="0" borderId="0" xfId="15" applyFont="true" applyBorder="true" applyAlignment="true" applyProtection="true">
      <alignment horizontal="general" vertical="bottom" textRotation="0" wrapText="false" indent="0" shrinkToFit="false"/>
      <protection locked="true" hidden="false"/>
    </xf>
    <xf numFmtId="258" fontId="57" fillId="0" borderId="11" xfId="15" applyFont="true" applyBorder="true" applyAlignment="true" applyProtection="true">
      <alignment horizontal="general" vertical="bottom" textRotation="0" wrapText="false" indent="0" shrinkToFit="false"/>
      <protection locked="true" hidden="false"/>
    </xf>
    <xf numFmtId="164" fontId="57" fillId="0" borderId="10" xfId="0" applyFont="true" applyBorder="true" applyAlignment="false" applyProtection="false">
      <alignment horizontal="general" vertical="bottom" textRotation="0" wrapText="false" indent="0" shrinkToFit="false"/>
      <protection locked="true" hidden="false"/>
    </xf>
    <xf numFmtId="244" fontId="94" fillId="0" borderId="0" xfId="15" applyFont="true" applyBorder="true" applyAlignment="true" applyProtection="true">
      <alignment horizontal="general" vertical="bottom" textRotation="0" wrapText="false" indent="0" shrinkToFit="false"/>
      <protection locked="true" hidden="false"/>
    </xf>
    <xf numFmtId="244" fontId="57" fillId="0" borderId="0" xfId="15" applyFont="true" applyBorder="true" applyAlignment="true" applyProtection="true">
      <alignment horizontal="general" vertical="bottom" textRotation="0" wrapText="false" indent="0" shrinkToFit="false"/>
      <protection locked="true" hidden="false"/>
    </xf>
    <xf numFmtId="244" fontId="57" fillId="0" borderId="11" xfId="15" applyFont="true" applyBorder="true" applyAlignment="true" applyProtection="true">
      <alignment horizontal="general" vertical="bottom" textRotation="0" wrapText="false" indent="0" shrinkToFit="false"/>
      <protection locked="true" hidden="false"/>
    </xf>
    <xf numFmtId="164" fontId="76" fillId="0" borderId="10" xfId="0" applyFont="true" applyBorder="true" applyAlignment="false" applyProtection="false">
      <alignment horizontal="general" vertical="bottom" textRotation="0" wrapText="false" indent="0" shrinkToFit="false"/>
      <protection locked="true" hidden="false"/>
    </xf>
    <xf numFmtId="164" fontId="57" fillId="0" borderId="11" xfId="0" applyFont="true" applyBorder="true" applyAlignment="false" applyProtection="false">
      <alignment horizontal="general" vertical="bottom" textRotation="0" wrapText="false" indent="0" shrinkToFit="false"/>
      <protection locked="true" hidden="false"/>
    </xf>
    <xf numFmtId="235" fontId="57" fillId="0" borderId="10" xfId="1237" applyFont="true" applyBorder="true" applyAlignment="true" applyProtection="true">
      <alignment horizontal="left"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180" fontId="57" fillId="0" borderId="0" xfId="404" applyFont="true" applyBorder="true" applyAlignment="true" applyProtection="true">
      <alignment horizontal="general" vertical="bottom" textRotation="0" wrapText="false" indent="0" shrinkToFit="false"/>
      <protection locked="true" hidden="false"/>
    </xf>
    <xf numFmtId="180" fontId="57" fillId="0" borderId="11" xfId="404" applyFont="true" applyBorder="true" applyAlignment="true" applyProtection="true">
      <alignment horizontal="general" vertical="bottom" textRotation="0" wrapText="false" indent="0" shrinkToFit="false"/>
      <protection locked="true" hidden="false"/>
    </xf>
    <xf numFmtId="235" fontId="57" fillId="0" borderId="10" xfId="1237" applyFont="true" applyBorder="true" applyAlignment="true" applyProtection="true">
      <alignment horizontal="general" vertical="bottom" textRotation="0" wrapText="false" indent="0" shrinkToFit="false"/>
      <protection locked="true" hidden="false"/>
    </xf>
    <xf numFmtId="256" fontId="57" fillId="0" borderId="0" xfId="404" applyFont="true" applyBorder="true" applyAlignment="true" applyProtection="true">
      <alignment horizontal="general" vertical="bottom" textRotation="0" wrapText="false" indent="0" shrinkToFit="false"/>
      <protection locked="true" hidden="false"/>
    </xf>
    <xf numFmtId="256" fontId="57" fillId="0" borderId="11" xfId="404" applyFont="true" applyBorder="true" applyAlignment="true" applyProtection="true">
      <alignment horizontal="general" vertical="bottom" textRotation="0" wrapText="false" indent="0" shrinkToFit="false"/>
      <protection locked="true" hidden="false"/>
    </xf>
    <xf numFmtId="256" fontId="110" fillId="0" borderId="0" xfId="404" applyFont="true" applyBorder="true" applyAlignment="true" applyProtection="true">
      <alignment horizontal="general" vertical="bottom" textRotation="0" wrapText="false" indent="0" shrinkToFit="false"/>
      <protection locked="true" hidden="false"/>
    </xf>
    <xf numFmtId="256" fontId="110" fillId="0" borderId="11" xfId="404" applyFont="true" applyBorder="true" applyAlignment="true" applyProtection="true">
      <alignment horizontal="general" vertical="bottom" textRotation="0" wrapText="false" indent="0" shrinkToFit="false"/>
      <protection locked="true" hidden="false"/>
    </xf>
    <xf numFmtId="235" fontId="57" fillId="0" borderId="6" xfId="1237" applyFont="true" applyBorder="true" applyAlignment="true" applyProtection="true">
      <alignment horizontal="left" vertical="bottom" textRotation="0" wrapText="false" indent="0" shrinkToFit="false"/>
      <protection locked="true" hidden="false"/>
    </xf>
    <xf numFmtId="235" fontId="57" fillId="0" borderId="3" xfId="1237" applyFont="true" applyBorder="true" applyAlignment="true" applyProtection="true">
      <alignment horizontal="general" vertical="bottom" textRotation="0" wrapText="false" indent="0" shrinkToFit="false"/>
      <protection locked="true" hidden="false"/>
    </xf>
    <xf numFmtId="256" fontId="57" fillId="0" borderId="3" xfId="404" applyFont="true" applyBorder="true" applyAlignment="true" applyProtection="true">
      <alignment horizontal="general" vertical="bottom" textRotation="0" wrapText="false" indent="0" shrinkToFit="false"/>
      <protection locked="true" hidden="false"/>
    </xf>
    <xf numFmtId="256" fontId="57" fillId="0" borderId="7" xfId="404"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left" vertical="bottom" textRotation="0" wrapText="false" indent="0" shrinkToFit="false"/>
      <protection locked="true" hidden="false"/>
    </xf>
    <xf numFmtId="179" fontId="57" fillId="0" borderId="0" xfId="404" applyFont="true" applyBorder="true" applyAlignment="true" applyProtection="true">
      <alignment horizontal="general" vertical="bottom" textRotation="0" wrapText="false" indent="0" shrinkToFit="false"/>
      <protection locked="true" hidden="false"/>
    </xf>
    <xf numFmtId="164" fontId="76" fillId="0" borderId="4" xfId="0" applyFont="true" applyBorder="true" applyAlignment="false" applyProtection="false">
      <alignment horizontal="general" vertical="bottom" textRotation="0" wrapText="false" indent="0" shrinkToFit="false"/>
      <protection locked="true" hidden="false"/>
    </xf>
    <xf numFmtId="164" fontId="62" fillId="0" borderId="9" xfId="0" applyFont="true" applyBorder="true" applyAlignment="false" applyProtection="false">
      <alignment horizontal="general" vertical="bottom" textRotation="0" wrapText="false" indent="0" shrinkToFit="false"/>
      <protection locked="true" hidden="false"/>
    </xf>
    <xf numFmtId="164" fontId="62" fillId="0" borderId="5" xfId="0" applyFont="true" applyBorder="true" applyAlignment="false" applyProtection="false">
      <alignment horizontal="general" vertical="bottom" textRotation="0" wrapText="false" indent="0" shrinkToFit="false"/>
      <protection locked="true" hidden="false"/>
    </xf>
    <xf numFmtId="164" fontId="62" fillId="0" borderId="10" xfId="0" applyFont="true" applyBorder="true" applyAlignment="false" applyProtection="false">
      <alignment horizontal="general" vertical="bottom" textRotation="0" wrapText="false" indent="0" shrinkToFit="false"/>
      <protection locked="true" hidden="false"/>
    </xf>
    <xf numFmtId="164" fontId="62" fillId="0" borderId="0" xfId="0" applyFont="true" applyBorder="true" applyAlignment="false" applyProtection="false">
      <alignment horizontal="general" vertical="bottom" textRotation="0" wrapText="false" indent="0" shrinkToFit="false"/>
      <protection locked="true" hidden="false"/>
    </xf>
    <xf numFmtId="164" fontId="62" fillId="0" borderId="11" xfId="0" applyFont="true" applyBorder="true" applyAlignment="false" applyProtection="false">
      <alignment horizontal="general" vertical="bottom" textRotation="0" wrapText="false" indent="0" shrinkToFit="false"/>
      <protection locked="true" hidden="false"/>
    </xf>
    <xf numFmtId="185" fontId="57" fillId="0" borderId="24" xfId="0" applyFont="true" applyBorder="true" applyAlignment="false" applyProtection="false">
      <alignment horizontal="general" vertical="bottom" textRotation="0" wrapText="false" indent="0" shrinkToFit="false"/>
      <protection locked="true" hidden="false"/>
    </xf>
    <xf numFmtId="247" fontId="57" fillId="0" borderId="0" xfId="17" applyFont="true" applyBorder="true" applyAlignment="true" applyProtection="true">
      <alignment horizontal="general" vertical="bottom" textRotation="0" wrapText="false" indent="0" shrinkToFit="false"/>
      <protection locked="true" hidden="false"/>
    </xf>
    <xf numFmtId="247" fontId="57" fillId="0" borderId="11" xfId="17" applyFont="true" applyBorder="true" applyAlignment="true" applyProtection="true">
      <alignment horizontal="general" vertical="bottom" textRotation="0" wrapText="false" indent="0" shrinkToFit="false"/>
      <protection locked="true" hidden="false"/>
    </xf>
    <xf numFmtId="185" fontId="57" fillId="0" borderId="25" xfId="0" applyFont="true" applyBorder="true" applyAlignment="false" applyProtection="false">
      <alignment horizontal="general" vertical="bottom" textRotation="0" wrapText="false" indent="0" shrinkToFit="false"/>
      <protection locked="true" hidden="false"/>
    </xf>
    <xf numFmtId="185" fontId="57" fillId="0" borderId="0" xfId="915" applyFont="true" applyBorder="true" applyAlignment="true" applyProtection="true">
      <alignment horizontal="general" vertical="bottom" textRotation="0" wrapText="false" indent="0" shrinkToFit="false"/>
      <protection locked="true" hidden="false"/>
    </xf>
    <xf numFmtId="185" fontId="57" fillId="0" borderId="11" xfId="915" applyFont="true" applyBorder="true" applyAlignment="true" applyProtection="true">
      <alignment horizontal="general" vertical="bottom" textRotation="0" wrapText="false" indent="0" shrinkToFit="false"/>
      <protection locked="true" hidden="false"/>
    </xf>
    <xf numFmtId="185" fontId="57" fillId="0" borderId="26" xfId="0" applyFont="true" applyBorder="true" applyAlignment="false" applyProtection="false">
      <alignment horizontal="general" vertical="bottom" textRotation="0" wrapText="false" indent="0" shrinkToFit="false"/>
      <protection locked="true" hidden="false"/>
    </xf>
    <xf numFmtId="247" fontId="110" fillId="0" borderId="0" xfId="17" applyFont="true" applyBorder="true" applyAlignment="true" applyProtection="true">
      <alignment horizontal="general" vertical="bottom" textRotation="0" wrapText="false" indent="0" shrinkToFit="false"/>
      <protection locked="true" hidden="false"/>
    </xf>
    <xf numFmtId="185" fontId="110" fillId="0" borderId="0" xfId="915" applyFont="true" applyBorder="true" applyAlignment="true" applyProtection="true">
      <alignment horizontal="general" vertical="bottom" textRotation="0" wrapText="false" indent="0" shrinkToFit="false"/>
      <protection locked="true" hidden="false"/>
    </xf>
    <xf numFmtId="185" fontId="110" fillId="0" borderId="11" xfId="915" applyFont="true" applyBorder="true" applyAlignment="true" applyProtection="true">
      <alignment horizontal="general" vertical="bottom" textRotation="0" wrapText="false" indent="0" shrinkToFit="false"/>
      <protection locked="true" hidden="false"/>
    </xf>
    <xf numFmtId="164" fontId="109" fillId="0" borderId="10" xfId="0" applyFont="true" applyBorder="true" applyAlignment="false" applyProtection="false">
      <alignment horizontal="general" vertical="bottom" textRotation="0" wrapText="false" indent="0" shrinkToFit="false"/>
      <protection locked="true" hidden="false"/>
    </xf>
    <xf numFmtId="164" fontId="28" fillId="0" borderId="11" xfId="0" applyFont="true" applyBorder="true" applyAlignment="false" applyProtection="false">
      <alignment horizontal="general" vertical="bottom" textRotation="0" wrapText="false" indent="0" shrinkToFit="false"/>
      <protection locked="true" hidden="false"/>
    </xf>
    <xf numFmtId="193" fontId="57" fillId="0" borderId="24" xfId="15" applyFont="true" applyBorder="true" applyAlignment="true" applyProtection="true">
      <alignment horizontal="general" vertical="bottom" textRotation="0" wrapText="false" indent="0" shrinkToFit="false"/>
      <protection locked="true" hidden="false"/>
    </xf>
    <xf numFmtId="217" fontId="57" fillId="0" borderId="0" xfId="17" applyFont="true" applyBorder="true" applyAlignment="true" applyProtection="true">
      <alignment horizontal="general" vertical="bottom" textRotation="0" wrapText="false" indent="0" shrinkToFit="false"/>
      <protection locked="true" hidden="false"/>
    </xf>
    <xf numFmtId="217" fontId="57" fillId="0" borderId="11" xfId="17" applyFont="true" applyBorder="true" applyAlignment="true" applyProtection="true">
      <alignment horizontal="general" vertical="bottom" textRotation="0" wrapText="false" indent="0" shrinkToFit="false"/>
      <protection locked="true" hidden="false"/>
    </xf>
    <xf numFmtId="193" fontId="57" fillId="0" borderId="25" xfId="15" applyFont="true" applyBorder="true" applyAlignment="true" applyProtection="true">
      <alignment horizontal="general" vertical="bottom" textRotation="0" wrapText="false" indent="0" shrinkToFit="false"/>
      <protection locked="true" hidden="false"/>
    </xf>
    <xf numFmtId="193" fontId="110" fillId="0" borderId="25" xfId="15" applyFont="true" applyBorder="true" applyAlignment="true" applyProtection="true">
      <alignment horizontal="general" vertical="bottom" textRotation="0" wrapText="false" indent="0" shrinkToFit="false"/>
      <protection locked="true" hidden="false"/>
    </xf>
    <xf numFmtId="193" fontId="110" fillId="0" borderId="0" xfId="15" applyFont="true" applyBorder="true" applyAlignment="true" applyProtection="true">
      <alignment horizontal="general" vertical="bottom" textRotation="0" wrapText="false" indent="0" shrinkToFit="false"/>
      <protection locked="true" hidden="false"/>
    </xf>
    <xf numFmtId="193" fontId="110" fillId="0" borderId="11" xfId="15" applyFont="true" applyBorder="true" applyAlignment="true" applyProtection="true">
      <alignment horizontal="general" vertical="bottom" textRotation="0" wrapText="false" indent="0" shrinkToFit="false"/>
      <protection locked="true" hidden="false"/>
    </xf>
    <xf numFmtId="164" fontId="57" fillId="0" borderId="25" xfId="0" applyFont="true" applyBorder="true" applyAlignment="false" applyProtection="false">
      <alignment horizontal="general" vertical="bottom" textRotation="0" wrapText="false" indent="0" shrinkToFit="false"/>
      <protection locked="true" hidden="false"/>
    </xf>
    <xf numFmtId="169" fontId="57" fillId="0" borderId="0" xfId="0" applyFont="true" applyBorder="true" applyAlignment="false" applyProtection="false">
      <alignment horizontal="general" vertical="bottom" textRotation="0" wrapText="false" indent="0" shrinkToFit="false"/>
      <protection locked="true" hidden="false"/>
    </xf>
    <xf numFmtId="169" fontId="57" fillId="0" borderId="11" xfId="0" applyFont="true" applyBorder="true" applyAlignment="false" applyProtection="false">
      <alignment horizontal="general" vertical="bottom" textRotation="0" wrapText="false" indent="0" shrinkToFit="false"/>
      <protection locked="true" hidden="false"/>
    </xf>
    <xf numFmtId="193" fontId="57" fillId="0" borderId="0" xfId="15" applyFont="true" applyBorder="true" applyAlignment="true" applyProtection="true">
      <alignment horizontal="general" vertical="bottom" textRotation="0" wrapText="false" indent="0" shrinkToFit="false"/>
      <protection locked="true" hidden="false"/>
    </xf>
    <xf numFmtId="193" fontId="57" fillId="0" borderId="11" xfId="15" applyFont="true" applyBorder="true" applyAlignment="true" applyProtection="true">
      <alignment horizontal="general" vertical="bottom" textRotation="0" wrapText="false" indent="0" shrinkToFit="false"/>
      <protection locked="true" hidden="false"/>
    </xf>
    <xf numFmtId="179" fontId="57" fillId="0" borderId="0" xfId="0" applyFont="true" applyBorder="true" applyAlignment="false" applyProtection="false">
      <alignment horizontal="general" vertical="bottom" textRotation="0" wrapText="false" indent="0" shrinkToFit="false"/>
      <protection locked="true" hidden="false"/>
    </xf>
    <xf numFmtId="179" fontId="57" fillId="0" borderId="11" xfId="0" applyFont="true" applyBorder="true" applyAlignment="false" applyProtection="false">
      <alignment horizontal="general" vertical="bottom" textRotation="0" wrapText="false" indent="0" shrinkToFit="false"/>
      <protection locked="true" hidden="false"/>
    </xf>
    <xf numFmtId="193" fontId="57" fillId="0" borderId="26" xfId="15" applyFont="true" applyBorder="true" applyAlignment="true" applyProtection="true">
      <alignment horizontal="general" vertical="bottom" textRotation="0" wrapText="false" indent="0" shrinkToFit="false"/>
      <protection locked="true" hidden="false"/>
    </xf>
    <xf numFmtId="164" fontId="57" fillId="0" borderId="6" xfId="0" applyFont="true" applyBorder="true" applyAlignment="false" applyProtection="false">
      <alignment horizontal="general" vertical="bottom" textRotation="0" wrapText="false" indent="0" shrinkToFit="false"/>
      <protection locked="true" hidden="false"/>
    </xf>
    <xf numFmtId="193" fontId="57" fillId="0" borderId="26" xfId="0" applyFont="true" applyBorder="true" applyAlignment="false" applyProtection="false">
      <alignment horizontal="general" vertical="bottom" textRotation="0" wrapText="false" indent="0" shrinkToFit="false"/>
      <protection locked="true" hidden="false"/>
    </xf>
    <xf numFmtId="217" fontId="57" fillId="0" borderId="3" xfId="17" applyFont="true" applyBorder="true" applyAlignment="true" applyProtection="true">
      <alignment horizontal="general" vertical="bottom" textRotation="0" wrapText="false" indent="0" shrinkToFit="false"/>
      <protection locked="true" hidden="false"/>
    </xf>
    <xf numFmtId="217" fontId="57" fillId="0" borderId="3" xfId="17" applyFont="true" applyBorder="true" applyAlignment="true" applyProtection="true">
      <alignment horizontal="general" vertical="bottom" textRotation="0" wrapText="false" indent="0" shrinkToFit="false"/>
      <protection locked="true" hidden="false"/>
    </xf>
    <xf numFmtId="217" fontId="57" fillId="0" borderId="7" xfId="17" applyFont="true" applyBorder="true" applyAlignment="true" applyProtection="true">
      <alignment horizontal="general" vertical="bottom" textRotation="0" wrapText="false" indent="0" shrinkToFit="false"/>
      <protection locked="true" hidden="false"/>
    </xf>
    <xf numFmtId="217" fontId="57" fillId="0" borderId="0" xfId="17" applyFont="true" applyBorder="true" applyAlignment="true" applyProtection="true">
      <alignment horizontal="general" vertical="bottom" textRotation="0" wrapText="false" indent="0" shrinkToFit="false"/>
      <protection locked="true" hidden="false"/>
    </xf>
    <xf numFmtId="164" fontId="28" fillId="0" borderId="9" xfId="0" applyFont="true" applyBorder="true" applyAlignment="false" applyProtection="false">
      <alignment horizontal="general" vertical="bottom" textRotation="0" wrapText="false" indent="0" shrinkToFit="false"/>
      <protection locked="true" hidden="false"/>
    </xf>
    <xf numFmtId="164" fontId="28" fillId="0" borderId="5" xfId="0" applyFont="true" applyBorder="true" applyAlignment="false" applyProtection="false">
      <alignment horizontal="general" vertical="bottom" textRotation="0" wrapText="false" indent="0" shrinkToFit="false"/>
      <protection locked="true" hidden="false"/>
    </xf>
    <xf numFmtId="243" fontId="57" fillId="0" borderId="0" xfId="19" applyFont="true" applyBorder="true" applyAlignment="true" applyProtection="true">
      <alignment horizontal="general" vertical="bottom" textRotation="0" wrapText="false" indent="0" shrinkToFit="false"/>
      <protection locked="true" hidden="false"/>
    </xf>
    <xf numFmtId="164" fontId="111" fillId="0" borderId="0" xfId="0" applyFont="true" applyBorder="true" applyAlignment="false" applyProtection="false">
      <alignment horizontal="general" vertical="bottom" textRotation="0" wrapText="false" indent="0" shrinkToFit="false"/>
      <protection locked="true" hidden="false"/>
    </xf>
    <xf numFmtId="164" fontId="94" fillId="0" borderId="10" xfId="0" applyFont="true" applyBorder="true" applyAlignment="false" applyProtection="false">
      <alignment horizontal="general" vertical="bottom" textRotation="0" wrapText="false" indent="0" shrinkToFit="false"/>
      <protection locked="true" hidden="false"/>
    </xf>
    <xf numFmtId="258" fontId="112" fillId="0" borderId="0" xfId="15" applyFont="true" applyBorder="true" applyAlignment="true" applyProtection="true">
      <alignment horizontal="general" vertical="bottom" textRotation="0" wrapText="false" indent="0" shrinkToFit="false"/>
      <protection locked="true" hidden="false"/>
    </xf>
    <xf numFmtId="179" fontId="57" fillId="0" borderId="11" xfId="404" applyFont="true" applyBorder="true" applyAlignment="true" applyProtection="true">
      <alignment horizontal="general" vertical="bottom" textRotation="0" wrapText="false" indent="0" shrinkToFit="false"/>
      <protection locked="true" hidden="false"/>
    </xf>
    <xf numFmtId="260" fontId="57" fillId="0" borderId="0" xfId="1237" applyFont="true" applyBorder="true" applyAlignment="true" applyProtection="true">
      <alignment horizontal="general" vertical="bottom" textRotation="0" wrapText="false" indent="0" shrinkToFit="false"/>
      <protection locked="true" hidden="false"/>
    </xf>
    <xf numFmtId="235" fontId="94" fillId="0" borderId="10" xfId="1237" applyFont="true" applyBorder="true" applyAlignment="true" applyProtection="true">
      <alignment horizontal="left" vertical="bottom" textRotation="0" wrapText="false" indent="0" shrinkToFit="false"/>
      <protection locked="true" hidden="false"/>
    </xf>
    <xf numFmtId="179" fontId="94" fillId="0" borderId="0" xfId="404" applyFont="true" applyBorder="true" applyAlignment="true" applyProtection="true">
      <alignment horizontal="general" vertical="bottom" textRotation="0" wrapText="false" indent="0" shrinkToFit="false"/>
      <protection locked="true" hidden="false"/>
    </xf>
    <xf numFmtId="258" fontId="28" fillId="0" borderId="0" xfId="0" applyFont="true" applyBorder="true" applyAlignment="false" applyProtection="false">
      <alignment horizontal="general" vertical="bottom" textRotation="0" wrapText="false" indent="0" shrinkToFit="false"/>
      <protection locked="true" hidden="false"/>
    </xf>
    <xf numFmtId="164" fontId="28" fillId="0" borderId="6" xfId="0" applyFont="true" applyBorder="true" applyAlignment="false" applyProtection="false">
      <alignment horizontal="general" vertical="bottom" textRotation="0" wrapText="false" indent="0" shrinkToFit="false"/>
      <protection locked="true" hidden="false"/>
    </xf>
    <xf numFmtId="164" fontId="28" fillId="0" borderId="3" xfId="0" applyFont="true" applyBorder="true" applyAlignment="false" applyProtection="false">
      <alignment horizontal="general" vertical="bottom" textRotation="0" wrapText="false" indent="0" shrinkToFit="false"/>
      <protection locked="true" hidden="false"/>
    </xf>
    <xf numFmtId="244" fontId="28" fillId="0" borderId="3" xfId="19" applyFont="true" applyBorder="true" applyAlignment="true" applyProtection="true">
      <alignment horizontal="general" vertical="bottom" textRotation="0" wrapText="false" indent="0" shrinkToFit="false"/>
      <protection locked="true" hidden="false"/>
    </xf>
    <xf numFmtId="164" fontId="28" fillId="0" borderId="7" xfId="0" applyFont="true" applyBorder="true" applyAlignment="false" applyProtection="false">
      <alignment horizontal="general" vertical="bottom" textRotation="0" wrapText="false" indent="0" shrinkToFit="false"/>
      <protection locked="true" hidden="false"/>
    </xf>
    <xf numFmtId="164" fontId="28" fillId="2" borderId="9" xfId="0" applyFont="true" applyBorder="true" applyAlignment="false" applyProtection="false">
      <alignment horizontal="general" vertical="bottom" textRotation="0" wrapText="false" indent="0" shrinkToFit="false"/>
      <protection locked="true" hidden="false"/>
    </xf>
    <xf numFmtId="164" fontId="28" fillId="2" borderId="3" xfId="0" applyFont="true" applyBorder="true" applyAlignment="false" applyProtection="false">
      <alignment horizontal="general" vertical="bottom" textRotation="0" wrapText="false" indent="0" shrinkToFit="false"/>
      <protection locked="true" hidden="false"/>
    </xf>
    <xf numFmtId="235" fontId="98" fillId="0" borderId="0" xfId="1237" applyFont="true" applyBorder="true" applyAlignment="true" applyProtection="true">
      <alignment horizontal="left"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right" vertical="bottom" textRotation="0" wrapText="false" indent="0" shrinkToFit="false"/>
      <protection locked="true" hidden="false"/>
    </xf>
    <xf numFmtId="260" fontId="57" fillId="0" borderId="0" xfId="1237" applyFont="true" applyBorder="true" applyAlignment="true" applyProtection="true">
      <alignment horizontal="general" vertical="bottom" textRotation="0" wrapText="false" indent="0" shrinkToFit="false"/>
      <protection locked="true" hidden="false"/>
    </xf>
    <xf numFmtId="235" fontId="62" fillId="0" borderId="4" xfId="1237" applyFont="true" applyBorder="true" applyAlignment="true" applyProtection="true">
      <alignment horizontal="general" vertical="bottom" textRotation="0" wrapText="false" indent="0" shrinkToFit="false"/>
      <protection locked="true" hidden="false"/>
    </xf>
    <xf numFmtId="235" fontId="57" fillId="0" borderId="9" xfId="1237" applyFont="true" applyBorder="true" applyAlignment="true" applyProtection="true">
      <alignment horizontal="general" vertical="bottom" textRotation="0" wrapText="false" indent="0" shrinkToFit="false"/>
      <protection locked="true" hidden="false"/>
    </xf>
    <xf numFmtId="259" fontId="113" fillId="0" borderId="0" xfId="0" applyFont="true" applyBorder="false" applyAlignment="false" applyProtection="true">
      <alignment horizontal="general" vertical="bottom" textRotation="0" wrapText="false" indent="0" shrinkToFit="false"/>
      <protection locked="true" hidden="false"/>
    </xf>
    <xf numFmtId="250" fontId="94" fillId="8" borderId="0" xfId="19" applyFont="true" applyBorder="true" applyAlignment="true" applyProtection="true">
      <alignment horizontal="general" vertical="bottom" textRotation="0" wrapText="false" indent="0" shrinkToFit="false"/>
      <protection locked="true" hidden="false"/>
    </xf>
    <xf numFmtId="250" fontId="94" fillId="8" borderId="11" xfId="19" applyFont="true" applyBorder="true" applyAlignment="true" applyProtection="true">
      <alignment horizontal="general" vertical="bottom" textRotation="0" wrapText="false" indent="0" shrinkToFit="false"/>
      <protection locked="true" hidden="false"/>
    </xf>
    <xf numFmtId="235" fontId="57" fillId="0" borderId="11" xfId="1237" applyFont="true" applyBorder="true" applyAlignment="true" applyProtection="true">
      <alignment horizontal="general" vertical="bottom" textRotation="0" wrapText="false" indent="0" shrinkToFit="false"/>
      <protection locked="true" hidden="false"/>
    </xf>
    <xf numFmtId="235" fontId="57" fillId="0" borderId="3" xfId="1237" applyFont="true" applyBorder="true" applyAlignment="true" applyProtection="true">
      <alignment horizontal="general" vertical="bottom" textRotation="0" wrapText="false" indent="0" shrinkToFit="false"/>
      <protection locked="true" hidden="false"/>
    </xf>
    <xf numFmtId="185" fontId="57" fillId="0" borderId="3" xfId="915" applyFont="true" applyBorder="true" applyAlignment="true" applyProtection="true">
      <alignment horizontal="general" vertical="bottom" textRotation="0" wrapText="false" indent="0" shrinkToFit="false"/>
      <protection locked="true" hidden="false"/>
    </xf>
    <xf numFmtId="185" fontId="57" fillId="0" borderId="7" xfId="915" applyFont="true" applyBorder="true" applyAlignment="true" applyProtection="true">
      <alignment horizontal="general" vertical="bottom" textRotation="0" wrapText="false" indent="0" shrinkToFit="false"/>
      <protection locked="true" hidden="false"/>
    </xf>
    <xf numFmtId="250" fontId="114" fillId="8" borderId="0" xfId="19" applyFont="true" applyBorder="true" applyAlignment="true" applyProtection="true">
      <alignment horizontal="general" vertical="bottom" textRotation="0" wrapText="false" indent="0" shrinkToFit="false"/>
      <protection locked="true" hidden="false"/>
    </xf>
    <xf numFmtId="250" fontId="114" fillId="8" borderId="11" xfId="19" applyFont="true" applyBorder="true" applyAlignment="true" applyProtection="true">
      <alignment horizontal="general" vertical="bottom" textRotation="0" wrapText="false" indent="0" shrinkToFit="false"/>
      <protection locked="true" hidden="false"/>
    </xf>
    <xf numFmtId="247" fontId="57" fillId="0" borderId="9" xfId="17" applyFont="true" applyBorder="true" applyAlignment="true" applyProtection="true">
      <alignment horizontal="general" vertical="bottom" textRotation="0" wrapText="false" indent="0" shrinkToFit="false"/>
      <protection locked="true" hidden="false"/>
    </xf>
    <xf numFmtId="247" fontId="57" fillId="0" borderId="5" xfId="17" applyFont="true" applyBorder="true" applyAlignment="true" applyProtection="true">
      <alignment horizontal="general" vertical="bottom" textRotation="0" wrapText="false" indent="0" shrinkToFit="false"/>
      <protection locked="true" hidden="false"/>
    </xf>
    <xf numFmtId="169" fontId="94" fillId="0" borderId="0" xfId="0" applyFont="true" applyBorder="false" applyAlignment="false" applyProtection="false">
      <alignment horizontal="general" vertical="bottom" textRotation="0" wrapText="false" indent="0" shrinkToFit="false"/>
      <protection locked="true" hidden="false"/>
    </xf>
    <xf numFmtId="250" fontId="57" fillId="0" borderId="0" xfId="19" applyFont="true" applyBorder="true" applyAlignment="true" applyProtection="true">
      <alignment horizontal="general" vertical="bottom" textRotation="0" wrapText="false" indent="0" shrinkToFit="false"/>
      <protection locked="true" hidden="false"/>
    </xf>
    <xf numFmtId="250" fontId="57" fillId="0" borderId="11" xfId="19" applyFont="true" applyBorder="true" applyAlignment="true" applyProtection="true">
      <alignment horizontal="general" vertical="bottom" textRotation="0" wrapText="false" indent="0" shrinkToFit="false"/>
      <protection locked="true" hidden="false"/>
    </xf>
    <xf numFmtId="169" fontId="57" fillId="0" borderId="0" xfId="0" applyFont="true" applyBorder="false" applyAlignment="false" applyProtection="false">
      <alignment horizontal="general" vertical="bottom" textRotation="0" wrapText="false" indent="0" shrinkToFit="false"/>
      <protection locked="true" hidden="false"/>
    </xf>
    <xf numFmtId="250" fontId="110" fillId="0" borderId="0" xfId="19" applyFont="true" applyBorder="true" applyAlignment="true" applyProtection="true">
      <alignment horizontal="general" vertical="bottom" textRotation="0" wrapText="false" indent="0" shrinkToFit="false"/>
      <protection locked="true" hidden="false"/>
    </xf>
    <xf numFmtId="250" fontId="110" fillId="0" borderId="11" xfId="19" applyFont="true" applyBorder="true" applyAlignment="true" applyProtection="true">
      <alignment horizontal="general" vertical="bottom" textRotation="0" wrapText="false" indent="0" shrinkToFit="false"/>
      <protection locked="true" hidden="false"/>
    </xf>
    <xf numFmtId="235" fontId="110" fillId="0" borderId="0" xfId="1237" applyFont="true" applyBorder="true" applyAlignment="true" applyProtection="true">
      <alignment horizontal="general" vertical="bottom" textRotation="0" wrapText="false" indent="0" shrinkToFit="false"/>
      <protection locked="true" hidden="false"/>
    </xf>
    <xf numFmtId="235" fontId="110" fillId="0" borderId="11" xfId="1237" applyFont="true" applyBorder="true" applyAlignment="true" applyProtection="true">
      <alignment horizontal="general" vertical="bottom" textRotation="0" wrapText="false" indent="0" shrinkToFit="false"/>
      <protection locked="true" hidden="false"/>
    </xf>
    <xf numFmtId="248" fontId="110" fillId="0" borderId="0" xfId="15" applyFont="true" applyBorder="true" applyAlignment="true" applyProtection="true">
      <alignment horizontal="general" vertical="bottom" textRotation="0" wrapText="false" indent="0" shrinkToFit="false"/>
      <protection locked="true" hidden="false"/>
    </xf>
    <xf numFmtId="248" fontId="110" fillId="0" borderId="11" xfId="15" applyFont="true" applyBorder="true" applyAlignment="true" applyProtection="true">
      <alignment horizontal="general" vertical="bottom" textRotation="0" wrapText="false" indent="0" shrinkToFit="false"/>
      <protection locked="true" hidden="false"/>
    </xf>
    <xf numFmtId="248" fontId="57" fillId="0" borderId="0" xfId="15" applyFont="true" applyBorder="true" applyAlignment="true" applyProtection="true">
      <alignment horizontal="general" vertical="bottom" textRotation="0" wrapText="false" indent="0" shrinkToFit="false"/>
      <protection locked="true" hidden="false"/>
    </xf>
    <xf numFmtId="248" fontId="28" fillId="0" borderId="3" xfId="15" applyFont="true" applyBorder="true" applyAlignment="true" applyProtection="true">
      <alignment horizontal="general" vertical="bottom" textRotation="0" wrapText="false" indent="0" shrinkToFit="false"/>
      <protection locked="true" hidden="false"/>
    </xf>
    <xf numFmtId="248" fontId="28" fillId="0" borderId="7" xfId="15" applyFont="true" applyBorder="true" applyAlignment="true" applyProtection="true">
      <alignment horizontal="general" vertical="bottom" textRotation="0" wrapText="false" indent="0" shrinkToFit="false"/>
      <protection locked="true" hidden="false"/>
    </xf>
    <xf numFmtId="248" fontId="28" fillId="0" borderId="0" xfId="15" applyFont="true" applyBorder="true" applyAlignment="true" applyProtection="true">
      <alignment horizontal="general" vertical="bottom" textRotation="0" wrapText="false" indent="0" shrinkToFit="false"/>
      <protection locked="true" hidden="false"/>
    </xf>
    <xf numFmtId="164" fontId="57" fillId="0" borderId="5"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80" fontId="94" fillId="14" borderId="0" xfId="915" applyFont="true" applyBorder="true" applyAlignment="true" applyProtection="true">
      <alignment horizontal="general" vertical="bottom" textRotation="0" wrapText="false" indent="0" shrinkToFit="false"/>
      <protection locked="true" hidden="false"/>
    </xf>
    <xf numFmtId="180" fontId="94" fillId="14" borderId="11" xfId="915" applyFont="true" applyBorder="true" applyAlignment="true" applyProtection="true">
      <alignment horizontal="general" vertical="bottom" textRotation="0" wrapText="false" indent="0" shrinkToFit="false"/>
      <protection locked="true" hidden="false"/>
    </xf>
    <xf numFmtId="180" fontId="94" fillId="0" borderId="0" xfId="915" applyFont="true" applyBorder="true" applyAlignment="true" applyProtection="true">
      <alignment horizontal="general" vertical="bottom" textRotation="0" wrapText="false" indent="0" shrinkToFit="false"/>
      <protection locked="true" hidden="false"/>
    </xf>
    <xf numFmtId="180" fontId="94" fillId="0" borderId="11" xfId="915" applyFont="true" applyBorder="true" applyAlignment="true" applyProtection="true">
      <alignment horizontal="general" vertical="bottom" textRotation="0" wrapText="false" indent="0" shrinkToFit="false"/>
      <protection locked="true" hidden="false"/>
    </xf>
    <xf numFmtId="243" fontId="57" fillId="0" borderId="11" xfId="19" applyFont="true" applyBorder="true" applyAlignment="true" applyProtection="true">
      <alignment horizontal="general" vertical="bottom" textRotation="0" wrapText="false" indent="0" shrinkToFit="false"/>
      <protection locked="true" hidden="false"/>
    </xf>
    <xf numFmtId="180" fontId="57" fillId="0" borderId="0" xfId="915" applyFont="true" applyBorder="true" applyAlignment="true" applyProtection="true">
      <alignment horizontal="general" vertical="bottom" textRotation="0" wrapText="false" indent="0" shrinkToFit="false"/>
      <protection locked="true" hidden="false"/>
    </xf>
    <xf numFmtId="180" fontId="57" fillId="0" borderId="11" xfId="915" applyFont="true" applyBorder="true" applyAlignment="true" applyProtection="true">
      <alignment horizontal="general" vertical="bottom" textRotation="0" wrapText="false" indent="0" shrinkToFit="false"/>
      <protection locked="true" hidden="false"/>
    </xf>
    <xf numFmtId="180" fontId="94" fillId="0" borderId="3" xfId="915" applyFont="true" applyBorder="true" applyAlignment="true" applyProtection="true">
      <alignment horizontal="general" vertical="bottom" textRotation="0" wrapText="false" indent="0" shrinkToFit="false"/>
      <protection locked="true" hidden="false"/>
    </xf>
    <xf numFmtId="180" fontId="94" fillId="0" borderId="7" xfId="915" applyFont="true" applyBorder="true" applyAlignment="true" applyProtection="true">
      <alignment horizontal="general" vertical="bottom" textRotation="0" wrapText="false" indent="0" shrinkToFit="false"/>
      <protection locked="true" hidden="false"/>
    </xf>
    <xf numFmtId="215" fontId="28" fillId="0" borderId="0" xfId="0" applyFont="true" applyBorder="false" applyAlignment="false" applyProtection="false">
      <alignment horizontal="general" vertical="bottom" textRotation="0" wrapText="false" indent="0" shrinkToFit="false"/>
      <protection locked="true" hidden="false"/>
    </xf>
    <xf numFmtId="235" fontId="62" fillId="0" borderId="9" xfId="1237" applyFont="true" applyBorder="true" applyAlignment="true" applyProtection="true">
      <alignment horizontal="general" vertical="bottom" textRotation="0" wrapText="false" indent="0" shrinkToFit="false"/>
      <protection locked="true" hidden="false"/>
    </xf>
    <xf numFmtId="242" fontId="109" fillId="2" borderId="9" xfId="0" applyFont="true" applyBorder="true" applyAlignment="true" applyProtection="true">
      <alignment horizontal="center" vertical="bottom" textRotation="0" wrapText="false" indent="0" shrinkToFit="false"/>
      <protection locked="true" hidden="false"/>
    </xf>
    <xf numFmtId="242" fontId="109" fillId="2" borderId="5" xfId="0" applyFont="true" applyBorder="true" applyAlignment="true" applyProtection="true">
      <alignment horizontal="center" vertical="bottom" textRotation="0" wrapText="false" indent="0" shrinkToFit="false"/>
      <protection locked="true" hidden="false"/>
    </xf>
    <xf numFmtId="235" fontId="28" fillId="0" borderId="0" xfId="1237" applyFont="true" applyBorder="true" applyAlignment="true" applyProtection="true">
      <alignment horizontal="left" vertical="bottom" textRotation="0" wrapText="false" indent="0" shrinkToFit="false"/>
      <protection locked="true" hidden="false"/>
    </xf>
    <xf numFmtId="235" fontId="28" fillId="0" borderId="0" xfId="1237" applyFont="true" applyBorder="true" applyAlignment="true" applyProtection="true">
      <alignment horizontal="general" vertical="bottom" textRotation="0" wrapText="false" indent="0" shrinkToFit="false"/>
      <protection locked="true" hidden="false"/>
    </xf>
    <xf numFmtId="247" fontId="28" fillId="0" borderId="0" xfId="17" applyFont="true" applyBorder="true" applyAlignment="true" applyProtection="true">
      <alignment horizontal="general" vertical="bottom" textRotation="0" wrapText="false" indent="0" shrinkToFit="false"/>
      <protection locked="true" hidden="false"/>
    </xf>
    <xf numFmtId="247" fontId="28" fillId="0" borderId="11" xfId="17" applyFont="true" applyBorder="true" applyAlignment="true" applyProtection="true">
      <alignment horizontal="general" vertical="bottom" textRotation="0" wrapText="false" indent="0" shrinkToFit="false"/>
      <protection locked="true" hidden="false"/>
    </xf>
    <xf numFmtId="206" fontId="57" fillId="0" borderId="0" xfId="1237" applyFont="true" applyBorder="true" applyAlignment="true" applyProtection="true">
      <alignment horizontal="general" vertical="bottom" textRotation="0" wrapText="false" indent="0" shrinkToFit="false"/>
      <protection locked="true" hidden="false"/>
    </xf>
    <xf numFmtId="235" fontId="57" fillId="0" borderId="11" xfId="1237" applyFont="true" applyBorder="true" applyAlignment="true" applyProtection="true">
      <alignment horizontal="general" vertical="bottom" textRotation="0" wrapText="false" indent="0" shrinkToFit="false"/>
      <protection locked="true" hidden="false"/>
    </xf>
    <xf numFmtId="164" fontId="28" fillId="0" borderId="10"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true" applyAlignment="false" applyProtection="false">
      <alignment horizontal="general" vertical="bottom" textRotation="0" wrapText="false" indent="0" shrinkToFit="false"/>
      <protection locked="true" hidden="false"/>
    </xf>
    <xf numFmtId="193" fontId="28" fillId="0" borderId="0" xfId="15" applyFont="true" applyBorder="true" applyAlignment="true" applyProtection="true">
      <alignment horizontal="general" vertical="bottom" textRotation="0" wrapText="false" indent="0" shrinkToFit="false"/>
      <protection locked="true" hidden="false"/>
    </xf>
    <xf numFmtId="193" fontId="28" fillId="0" borderId="11" xfId="15" applyFont="true" applyBorder="true" applyAlignment="true" applyProtection="true">
      <alignment horizontal="general" vertical="bottom" textRotation="0" wrapText="false" indent="0" shrinkToFit="false"/>
      <protection locked="true" hidden="false"/>
    </xf>
    <xf numFmtId="193" fontId="111" fillId="0" borderId="0" xfId="15" applyFont="true" applyBorder="true" applyAlignment="true" applyProtection="tru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243" fontId="28" fillId="0" borderId="0" xfId="19" applyFont="true" applyBorder="true" applyAlignment="true" applyProtection="true">
      <alignment horizontal="general" vertical="bottom" textRotation="0" wrapText="false" indent="0" shrinkToFit="false"/>
      <protection locked="true" hidden="false"/>
    </xf>
    <xf numFmtId="243" fontId="28" fillId="0" borderId="11" xfId="19" applyFont="true" applyBorder="true" applyAlignment="true" applyProtection="true">
      <alignment horizontal="general" vertical="bottom" textRotation="0" wrapText="false" indent="0" shrinkToFit="false"/>
      <protection locked="true" hidden="false"/>
    </xf>
    <xf numFmtId="164" fontId="28" fillId="0" borderId="11" xfId="0" applyFont="true" applyBorder="true" applyAlignment="false" applyProtection="false">
      <alignment horizontal="general" vertical="bottom" textRotation="0" wrapText="false" indent="0" shrinkToFit="false"/>
      <protection locked="true" hidden="false"/>
    </xf>
    <xf numFmtId="164" fontId="64" fillId="0" borderId="10" xfId="0" applyFont="true" applyBorder="true" applyAlignment="false" applyProtection="false">
      <alignment horizontal="general" vertical="bottom" textRotation="0" wrapText="false" indent="0" shrinkToFit="false"/>
      <protection locked="true" hidden="false"/>
    </xf>
    <xf numFmtId="248" fontId="28" fillId="0" borderId="11" xfId="15" applyFont="true" applyBorder="true" applyAlignment="true" applyProtection="true">
      <alignment horizontal="general" vertical="bottom" textRotation="0" wrapText="false" indent="0" shrinkToFit="false"/>
      <protection locked="true" hidden="false"/>
    </xf>
    <xf numFmtId="224" fontId="109" fillId="0" borderId="0" xfId="0" applyFont="true" applyBorder="true" applyAlignment="false" applyProtection="true">
      <alignment horizontal="general" vertical="bottom" textRotation="0" wrapText="false" indent="0" shrinkToFit="false"/>
      <protection locked="true" hidden="false"/>
    </xf>
    <xf numFmtId="248" fontId="115" fillId="0" borderId="0" xfId="15" applyFont="true" applyBorder="true" applyAlignment="true" applyProtection="true">
      <alignment horizontal="general" vertical="bottom" textRotation="0" wrapText="false" indent="0" shrinkToFit="false"/>
      <protection locked="true" hidden="false"/>
    </xf>
    <xf numFmtId="164" fontId="64" fillId="0" borderId="6" xfId="0" applyFont="true" applyBorder="true" applyAlignment="false" applyProtection="false">
      <alignment horizontal="general" vertical="bottom" textRotation="0" wrapText="false" indent="0" shrinkToFit="false"/>
      <protection locked="true" hidden="false"/>
    </xf>
    <xf numFmtId="247" fontId="64" fillId="0" borderId="3" xfId="17" applyFont="true" applyBorder="true" applyAlignment="true" applyProtection="true">
      <alignment horizontal="general" vertical="bottom" textRotation="0" wrapText="false" indent="0" shrinkToFit="false"/>
      <protection locked="true" hidden="false"/>
    </xf>
    <xf numFmtId="248" fontId="64" fillId="0" borderId="3" xfId="15" applyFont="true" applyBorder="true" applyAlignment="true" applyProtection="true">
      <alignment horizontal="general" vertical="bottom" textRotation="0" wrapText="false" indent="0" shrinkToFit="false"/>
      <protection locked="true" hidden="false"/>
    </xf>
    <xf numFmtId="164" fontId="28" fillId="0" borderId="3" xfId="0" applyFont="true" applyBorder="true" applyAlignment="false" applyProtection="false">
      <alignment horizontal="general" vertical="bottom" textRotation="0" wrapText="false" indent="0" shrinkToFit="false"/>
      <protection locked="true" hidden="false"/>
    </xf>
    <xf numFmtId="248" fontId="28" fillId="0" borderId="3" xfId="0" applyFont="true" applyBorder="true" applyAlignment="false" applyProtection="false">
      <alignment horizontal="general" vertical="bottom" textRotation="0" wrapText="false" indent="0" shrinkToFit="false"/>
      <protection locked="true" hidden="false"/>
    </xf>
    <xf numFmtId="248" fontId="28" fillId="0" borderId="7" xfId="0" applyFont="true" applyBorder="true" applyAlignment="false" applyProtection="false">
      <alignment horizontal="general" vertical="bottom" textRotation="0" wrapText="false" indent="0" shrinkToFit="false"/>
      <protection locked="true" hidden="false"/>
    </xf>
    <xf numFmtId="170" fontId="28" fillId="0" borderId="0" xfId="0" applyFont="true" applyBorder="false" applyAlignment="false" applyProtection="false">
      <alignment horizontal="general" vertical="bottom" textRotation="0" wrapText="false" indent="0" shrinkToFit="false"/>
      <protection locked="true" hidden="false"/>
    </xf>
    <xf numFmtId="248" fontId="28" fillId="0" borderId="0" xfId="0" applyFont="true" applyBorder="false" applyAlignment="false" applyProtection="false">
      <alignment horizontal="general" vertical="bottom" textRotation="0" wrapText="false" indent="0" shrinkToFit="false"/>
      <protection locked="true" hidden="false"/>
    </xf>
    <xf numFmtId="193" fontId="28" fillId="0" borderId="0" xfId="15" applyFont="true" applyBorder="true" applyAlignment="true" applyProtection="true">
      <alignment horizontal="general" vertical="bottom" textRotation="0" wrapText="false" indent="0" shrinkToFit="false"/>
      <protection locked="true" hidden="false"/>
    </xf>
    <xf numFmtId="169" fontId="111" fillId="0" borderId="9" xfId="0" applyFont="true" applyBorder="true" applyAlignment="false" applyProtection="false">
      <alignment horizontal="general" vertical="bottom" textRotation="0" wrapText="false" indent="0" shrinkToFit="false"/>
      <protection locked="true" hidden="false"/>
    </xf>
    <xf numFmtId="248" fontId="28" fillId="0" borderId="9" xfId="15" applyFont="true" applyBorder="true" applyAlignment="true" applyProtection="true">
      <alignment horizontal="general" vertical="bottom" textRotation="0" wrapText="false" indent="0" shrinkToFit="false"/>
      <protection locked="true" hidden="false"/>
    </xf>
    <xf numFmtId="243" fontId="111" fillId="0" borderId="0" xfId="19" applyFont="true" applyBorder="true" applyAlignment="true" applyProtection="true">
      <alignment horizontal="general" vertical="bottom" textRotation="0" wrapText="false" indent="0" shrinkToFit="false"/>
      <protection locked="true" hidden="false"/>
    </xf>
    <xf numFmtId="193" fontId="28" fillId="0" borderId="3" xfId="15" applyFont="true" applyBorder="true" applyAlignment="true" applyProtection="true">
      <alignment horizontal="general" vertical="bottom" textRotation="0" wrapText="false" indent="0" shrinkToFit="false"/>
      <protection locked="true" hidden="false"/>
    </xf>
    <xf numFmtId="244" fontId="111" fillId="0" borderId="0" xfId="19" applyFont="true" applyBorder="true" applyAlignment="true" applyProtection="true">
      <alignment horizontal="general" vertical="bottom" textRotation="0" wrapText="false" indent="0" shrinkToFit="false"/>
      <protection locked="true" hidden="false"/>
    </xf>
    <xf numFmtId="164" fontId="28" fillId="0" borderId="6" xfId="0" applyFont="true" applyBorder="true" applyAlignment="false" applyProtection="false">
      <alignment horizontal="general" vertical="bottom" textRotation="0" wrapText="false" indent="0" shrinkToFit="false"/>
      <protection locked="true" hidden="false"/>
    </xf>
    <xf numFmtId="243" fontId="57" fillId="0" borderId="3" xfId="19" applyFont="true" applyBorder="true" applyAlignment="true" applyProtection="true">
      <alignment horizontal="general" vertical="bottom" textRotation="0" wrapText="false" indent="0" shrinkToFit="false"/>
      <protection locked="true" hidden="false"/>
    </xf>
    <xf numFmtId="193" fontId="28" fillId="0" borderId="3" xfId="0" applyFont="true" applyBorder="true" applyAlignment="false" applyProtection="false">
      <alignment horizontal="general" vertical="bottom" textRotation="0" wrapText="false" indent="0" shrinkToFit="false"/>
      <protection locked="true" hidden="false"/>
    </xf>
    <xf numFmtId="261" fontId="28" fillId="0" borderId="0" xfId="15" applyFont="true" applyBorder="true" applyAlignment="true" applyProtection="true">
      <alignment horizontal="general" vertical="bottom" textRotation="0" wrapText="false" indent="0" shrinkToFit="false"/>
      <protection locked="true" hidden="false"/>
    </xf>
    <xf numFmtId="164" fontId="64" fillId="0" borderId="4" xfId="0" applyFont="true" applyBorder="true" applyAlignment="false" applyProtection="false">
      <alignment horizontal="general" vertical="bottom" textRotation="0" wrapText="false" indent="0" shrinkToFit="false"/>
      <protection locked="true" hidden="false"/>
    </xf>
    <xf numFmtId="169" fontId="111" fillId="0" borderId="9" xfId="0" applyFont="true" applyBorder="true" applyAlignment="false" applyProtection="false">
      <alignment horizontal="general" vertical="bottom" textRotation="0" wrapText="false" indent="0" shrinkToFit="false"/>
      <protection locked="true" hidden="false"/>
    </xf>
    <xf numFmtId="164" fontId="28" fillId="0" borderId="9" xfId="0" applyFont="true" applyBorder="true" applyAlignment="false" applyProtection="false">
      <alignment horizontal="general" vertical="bottom" textRotation="0" wrapText="false" indent="0" shrinkToFit="false"/>
      <protection locked="true" hidden="false"/>
    </xf>
    <xf numFmtId="262" fontId="28" fillId="0" borderId="9" xfId="15" applyFont="true" applyBorder="true" applyAlignment="true" applyProtection="true">
      <alignment horizontal="general" vertical="bottom" textRotation="0" wrapText="false" indent="0" shrinkToFit="false"/>
      <protection locked="true" hidden="false"/>
    </xf>
    <xf numFmtId="164" fontId="28" fillId="0" borderId="5" xfId="0" applyFont="true" applyBorder="true" applyAlignment="false" applyProtection="false">
      <alignment horizontal="general" vertical="bottom" textRotation="0" wrapText="false" indent="0" shrinkToFit="false"/>
      <protection locked="true" hidden="false"/>
    </xf>
    <xf numFmtId="244" fontId="28" fillId="0" borderId="0" xfId="19" applyFont="true" applyBorder="true" applyAlignment="true" applyProtection="true">
      <alignment horizontal="general" vertical="bottom" textRotation="0" wrapText="false" indent="0" shrinkToFit="false"/>
      <protection locked="true" hidden="false"/>
    </xf>
    <xf numFmtId="248" fontId="28" fillId="0" borderId="0" xfId="0" applyFont="true" applyBorder="true" applyAlignment="false" applyProtection="false">
      <alignment horizontal="general" vertical="bottom" textRotation="0" wrapText="false" indent="0" shrinkToFit="false"/>
      <protection locked="true" hidden="false"/>
    </xf>
    <xf numFmtId="248" fontId="28" fillId="0" borderId="1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93" fontId="28" fillId="0" borderId="0" xfId="0" applyFont="true" applyBorder="false" applyAlignment="false" applyProtection="false">
      <alignment horizontal="general" vertical="bottom" textRotation="0" wrapText="false" indent="0" shrinkToFit="false"/>
      <protection locked="true" hidden="false"/>
    </xf>
    <xf numFmtId="164" fontId="64" fillId="0" borderId="23" xfId="0" applyFont="true" applyBorder="true" applyAlignment="false" applyProtection="false">
      <alignment horizontal="general" vertical="bottom" textRotation="0" wrapText="false" indent="0" shrinkToFit="false"/>
      <protection locked="true" hidden="false"/>
    </xf>
    <xf numFmtId="164" fontId="28" fillId="0" borderId="16" xfId="0" applyFont="true" applyBorder="true" applyAlignment="false" applyProtection="false">
      <alignment horizontal="general" vertical="bottom" textRotation="0" wrapText="false" indent="0" shrinkToFit="false"/>
      <protection locked="true" hidden="false"/>
    </xf>
    <xf numFmtId="248" fontId="28" fillId="0" borderId="16" xfId="15" applyFont="true" applyBorder="true" applyAlignment="true" applyProtection="true">
      <alignment horizontal="general" vertical="bottom" textRotation="0" wrapText="false" indent="0" shrinkToFit="false"/>
      <protection locked="true" hidden="false"/>
    </xf>
    <xf numFmtId="248" fontId="28" fillId="0" borderId="17" xfId="15" applyFont="true" applyBorder="true" applyAlignment="true" applyProtection="true">
      <alignment horizontal="general" vertical="bottom" textRotation="0" wrapText="false" indent="0" shrinkToFit="false"/>
      <protection locked="true" hidden="false"/>
    </xf>
    <xf numFmtId="164" fontId="28" fillId="0" borderId="18" xfId="0" applyFont="true" applyBorder="true" applyAlignment="false" applyProtection="false">
      <alignment horizontal="general" vertical="bottom" textRotation="0" wrapText="false" indent="0" shrinkToFit="false"/>
      <protection locked="true" hidden="false"/>
    </xf>
    <xf numFmtId="247" fontId="28" fillId="0" borderId="19" xfId="17" applyFont="true" applyBorder="true" applyAlignment="true" applyProtection="true">
      <alignment horizontal="general" vertical="bottom" textRotation="0" wrapText="false" indent="0" shrinkToFit="false"/>
      <protection locked="true" hidden="false"/>
    </xf>
    <xf numFmtId="248" fontId="28" fillId="0" borderId="19" xfId="15" applyFont="true" applyBorder="true" applyAlignment="true" applyProtection="true">
      <alignment horizontal="general" vertical="bottom" textRotation="0" wrapText="false" indent="0" shrinkToFit="false"/>
      <protection locked="true" hidden="false"/>
    </xf>
    <xf numFmtId="169" fontId="111" fillId="0" borderId="0" xfId="0" applyFont="true" applyBorder="true" applyAlignment="false" applyProtection="false">
      <alignment horizontal="general" vertical="bottom" textRotation="0" wrapText="false" indent="0" shrinkToFit="false"/>
      <protection locked="true" hidden="false"/>
    </xf>
    <xf numFmtId="164" fontId="28" fillId="0" borderId="18" xfId="0" applyFont="true" applyBorder="true" applyAlignment="false" applyProtection="false">
      <alignment horizontal="general" vertical="bottom" textRotation="0" wrapText="false" indent="0" shrinkToFit="false"/>
      <protection locked="true" hidden="false"/>
    </xf>
    <xf numFmtId="193" fontId="28" fillId="0" borderId="0" xfId="0" applyFont="true" applyBorder="true" applyAlignment="false" applyProtection="false">
      <alignment horizontal="general" vertical="bottom" textRotation="0" wrapText="false" indent="0" shrinkToFit="false"/>
      <protection locked="true" hidden="false"/>
    </xf>
    <xf numFmtId="193" fontId="28" fillId="0" borderId="19" xfId="0" applyFont="true" applyBorder="true" applyAlignment="false" applyProtection="false">
      <alignment horizontal="general" vertical="bottom" textRotation="0" wrapText="false" indent="0" shrinkToFit="false"/>
      <protection locked="true" hidden="false"/>
    </xf>
    <xf numFmtId="164" fontId="28" fillId="0" borderId="21" xfId="0" applyFont="true" applyBorder="true" applyAlignment="false" applyProtection="false">
      <alignment horizontal="general" vertical="bottom" textRotation="0" wrapText="false" indent="0" shrinkToFit="false"/>
      <protection locked="true" hidden="false"/>
    </xf>
    <xf numFmtId="243" fontId="28" fillId="0" borderId="20" xfId="19" applyFont="true" applyBorder="true" applyAlignment="true" applyProtection="true">
      <alignment horizontal="general" vertical="bottom" textRotation="0" wrapText="false" indent="0" shrinkToFit="false"/>
      <protection locked="true" hidden="false"/>
    </xf>
    <xf numFmtId="164" fontId="28" fillId="0" borderId="20" xfId="0" applyFont="true" applyBorder="true" applyAlignment="false" applyProtection="false">
      <alignment horizontal="general" vertical="bottom" textRotation="0" wrapText="false" indent="0" shrinkToFit="false"/>
      <protection locked="true" hidden="false"/>
    </xf>
    <xf numFmtId="248" fontId="28" fillId="0" borderId="20" xfId="0" applyFont="true" applyBorder="true" applyAlignment="false" applyProtection="false">
      <alignment horizontal="general" vertical="bottom" textRotation="0" wrapText="false" indent="0" shrinkToFit="false"/>
      <protection locked="true" hidden="false"/>
    </xf>
    <xf numFmtId="248" fontId="28" fillId="0" borderId="22" xfId="0" applyFont="true" applyBorder="true" applyAlignment="false" applyProtection="false">
      <alignment horizontal="general" vertical="bottom" textRotation="0" wrapText="false" indent="0" shrinkToFit="false"/>
      <protection locked="true" hidden="false"/>
    </xf>
    <xf numFmtId="169" fontId="28" fillId="0" borderId="5" xfId="0" applyFont="true" applyBorder="true" applyAlignment="false" applyProtection="false">
      <alignment horizontal="general" vertical="bottom" textRotation="0" wrapText="false" indent="0" shrinkToFit="false"/>
      <protection locked="true" hidden="false"/>
    </xf>
    <xf numFmtId="243" fontId="28" fillId="0" borderId="11" xfId="0" applyFont="true" applyBorder="true" applyAlignment="false" applyProtection="false">
      <alignment horizontal="general" vertical="bottom" textRotation="0" wrapText="false" indent="0" shrinkToFit="false"/>
      <protection locked="true" hidden="false"/>
    </xf>
    <xf numFmtId="235" fontId="64" fillId="0" borderId="0" xfId="0" applyFont="true" applyBorder="false" applyAlignment="false" applyProtection="false">
      <alignment horizontal="general" vertical="bottom" textRotation="0" wrapText="false" indent="0" shrinkToFit="false"/>
      <protection locked="true" hidden="false"/>
    </xf>
    <xf numFmtId="235" fontId="116" fillId="0" borderId="0" xfId="1237" applyFont="true" applyBorder="true" applyAlignment="true" applyProtection="true">
      <alignment horizontal="left" vertical="bottom" textRotation="0" wrapText="false" indent="0" shrinkToFit="false"/>
      <protection locked="true" hidden="false"/>
    </xf>
    <xf numFmtId="235" fontId="116" fillId="0" borderId="0" xfId="1237" applyFont="true" applyBorder="true" applyAlignment="true" applyProtection="true">
      <alignment horizontal="general" vertical="bottom" textRotation="0" wrapText="false" indent="0" shrinkToFit="false"/>
      <protection locked="true" hidden="false"/>
    </xf>
    <xf numFmtId="235" fontId="117" fillId="0" borderId="0" xfId="1237" applyFont="true" applyBorder="true" applyAlignment="true" applyProtection="true">
      <alignment horizontal="general" vertical="bottom" textRotation="0" wrapText="false" indent="0" shrinkToFit="false"/>
      <protection locked="true" hidden="false"/>
    </xf>
    <xf numFmtId="247" fontId="117" fillId="0" borderId="0" xfId="17" applyFont="true" applyBorder="true" applyAlignment="true" applyProtection="true">
      <alignment horizontal="general" vertical="bottom" textRotation="0" wrapText="false" indent="0" shrinkToFit="false"/>
      <protection locked="true" hidden="false"/>
    </xf>
    <xf numFmtId="247" fontId="117" fillId="0" borderId="8" xfId="17" applyFont="true" applyBorder="true" applyAlignment="true" applyProtection="true">
      <alignment horizontal="general" vertical="bottom" textRotation="0" wrapText="false" indent="0" shrinkToFit="false"/>
      <protection locked="true" hidden="false"/>
    </xf>
    <xf numFmtId="243" fontId="117" fillId="0" borderId="0" xfId="19" applyFont="true" applyBorder="true" applyAlignment="true" applyProtection="true">
      <alignment horizontal="general" vertical="bottom" textRotation="0" wrapText="false" indent="0" shrinkToFit="false"/>
      <protection locked="true" hidden="false"/>
    </xf>
    <xf numFmtId="247" fontId="117" fillId="8" borderId="0" xfId="17" applyFont="true" applyBorder="true" applyAlignment="true" applyProtection="true">
      <alignment horizontal="general" vertical="bottom" textRotation="0" wrapText="false" indent="0" shrinkToFit="false"/>
      <protection locked="true" hidden="false"/>
    </xf>
    <xf numFmtId="247" fontId="116" fillId="0" borderId="0" xfId="17" applyFont="true" applyBorder="true" applyAlignment="true" applyProtection="true">
      <alignment horizontal="general" vertical="bottom" textRotation="0" wrapText="false" indent="0" shrinkToFit="false"/>
      <protection locked="true" hidden="false"/>
    </xf>
    <xf numFmtId="193" fontId="117" fillId="0" borderId="0" xfId="15" applyFont="true" applyBorder="true" applyAlignment="true" applyProtection="true">
      <alignment horizontal="general" vertical="bottom" textRotation="0" wrapText="false" indent="0" shrinkToFit="false"/>
      <protection locked="true" hidden="false"/>
    </xf>
    <xf numFmtId="164" fontId="28" fillId="0" borderId="0" xfId="0" applyFont="true" applyBorder="false" applyAlignment="true" applyProtection="false">
      <alignment horizontal="right" vertical="bottom" textRotation="0" wrapText="false" indent="0" shrinkToFit="false"/>
      <protection locked="true" hidden="false"/>
    </xf>
    <xf numFmtId="244" fontId="28" fillId="0" borderId="0" xfId="19" applyFont="true" applyBorder="true" applyAlignment="true" applyProtection="true">
      <alignment horizontal="general" vertical="bottom" textRotation="0" wrapText="false" indent="0" shrinkToFit="false"/>
      <protection locked="true" hidden="false"/>
    </xf>
    <xf numFmtId="193" fontId="117" fillId="0" borderId="0" xfId="15" applyFont="true" applyBorder="true" applyAlignment="true" applyProtection="true">
      <alignment horizontal="general" vertical="bottom" textRotation="0" wrapText="false" indent="0" shrinkToFit="false"/>
      <protection locked="true" hidden="false"/>
    </xf>
    <xf numFmtId="242" fontId="64" fillId="0" borderId="0" xfId="0" applyFont="true" applyBorder="false" applyAlignment="false" applyProtection="false">
      <alignment horizontal="general" vertical="bottom" textRotation="0" wrapText="false" indent="0" shrinkToFit="false"/>
      <protection locked="true" hidden="false"/>
    </xf>
    <xf numFmtId="164" fontId="117" fillId="0" borderId="0" xfId="15" applyFont="true" applyBorder="true" applyAlignment="true" applyProtection="true">
      <alignment horizontal="general" vertical="bottom" textRotation="0" wrapText="false" indent="0" shrinkToFit="false"/>
      <protection locked="true" hidden="false"/>
    </xf>
    <xf numFmtId="235" fontId="62" fillId="0" borderId="0" xfId="1237" applyFont="true" applyBorder="true" applyAlignment="true" applyProtection="true">
      <alignment horizontal="general" vertical="bottom" textRotation="0" wrapText="false" indent="0" shrinkToFit="false"/>
      <protection locked="true" hidden="false"/>
    </xf>
    <xf numFmtId="260" fontId="64" fillId="0" borderId="0" xfId="1237" applyFont="true" applyBorder="true" applyAlignment="true" applyProtection="true">
      <alignment horizontal="general" vertical="bottom" textRotation="0" wrapText="false" indent="0" shrinkToFit="false"/>
      <protection locked="true" hidden="false"/>
    </xf>
    <xf numFmtId="193" fontId="28" fillId="0" borderId="0" xfId="0" applyFont="true" applyBorder="false" applyAlignment="false" applyProtection="false">
      <alignment horizontal="general" vertical="bottom" textRotation="0" wrapText="false" indent="0" shrinkToFit="false"/>
      <protection locked="true" hidden="false"/>
    </xf>
    <xf numFmtId="193" fontId="0" fillId="0" borderId="0" xfId="0" applyFont="false" applyBorder="false" applyAlignment="false" applyProtection="false">
      <alignment horizontal="general" vertical="bottom" textRotation="0" wrapText="false" indent="0" shrinkToFit="false"/>
      <protection locked="true" hidden="false"/>
    </xf>
    <xf numFmtId="206" fontId="57" fillId="0" borderId="0" xfId="1237" applyFont="true" applyBorder="true" applyAlignment="true" applyProtection="true">
      <alignment horizontal="general" vertical="bottom" textRotation="0" wrapText="false" indent="0" shrinkToFit="false"/>
      <protection locked="true" hidden="false"/>
    </xf>
    <xf numFmtId="206" fontId="25" fillId="0" borderId="0" xfId="1237" applyFont="false" applyBorder="true" applyAlignment="true" applyProtection="true">
      <alignment horizontal="general" vertical="bottom" textRotation="0" wrapText="false" indent="0" shrinkToFit="false"/>
      <protection locked="true" hidden="false"/>
    </xf>
    <xf numFmtId="235" fontId="25" fillId="0" borderId="0" xfId="1237" applyFont="false" applyBorder="true" applyAlignment="true" applyProtection="true">
      <alignment horizontal="general" vertical="bottom" textRotation="0" wrapText="false" indent="0" shrinkToFit="false"/>
      <protection locked="true" hidden="false"/>
    </xf>
    <xf numFmtId="235" fontId="99" fillId="0" borderId="0" xfId="1237" applyFont="true" applyBorder="true" applyAlignment="true" applyProtection="true">
      <alignment horizontal="general" vertical="bottom" textRotation="0" wrapText="false" indent="0" shrinkToFit="false"/>
      <protection locked="true" hidden="false"/>
    </xf>
    <xf numFmtId="224" fontId="109" fillId="0" borderId="0" xfId="0" applyFont="true" applyBorder="true" applyAlignment="false" applyProtection="false">
      <alignment horizontal="general" vertical="bottom" textRotation="0" wrapText="false" indent="0" shrinkToFit="false"/>
      <protection locked="true" hidden="false"/>
    </xf>
    <xf numFmtId="224" fontId="109" fillId="0" borderId="11" xfId="0" applyFont="true" applyBorder="true" applyAlignment="false" applyProtection="false">
      <alignment horizontal="general" vertical="bottom" textRotation="0" wrapText="false" indent="0" shrinkToFit="false"/>
      <protection locked="true" hidden="false"/>
    </xf>
    <xf numFmtId="244" fontId="57" fillId="0" borderId="0" xfId="0" applyFont="true" applyBorder="true" applyAlignment="false" applyProtection="false">
      <alignment horizontal="general" vertical="bottom" textRotation="0" wrapText="false" indent="0" shrinkToFit="false"/>
      <protection locked="true" hidden="false"/>
    </xf>
    <xf numFmtId="244" fontId="57" fillId="0" borderId="11" xfId="0" applyFont="true" applyBorder="true" applyAlignment="false" applyProtection="false">
      <alignment horizontal="general" vertical="bottom" textRotation="0" wrapText="false" indent="0" shrinkToFit="false"/>
      <protection locked="true" hidden="false"/>
    </xf>
    <xf numFmtId="200" fontId="57" fillId="0" borderId="0" xfId="0" applyFont="true" applyBorder="true" applyAlignment="false" applyProtection="true">
      <alignment horizontal="general" vertical="bottom" textRotation="0" wrapText="false" indent="0" shrinkToFit="false"/>
      <protection locked="true" hidden="false"/>
    </xf>
    <xf numFmtId="200" fontId="57" fillId="0" borderId="11" xfId="0" applyFont="true" applyBorder="true" applyAlignment="false" applyProtection="true">
      <alignment horizontal="general" vertical="bottom" textRotation="0" wrapText="false" indent="0" shrinkToFit="false"/>
      <protection locked="true" hidden="false"/>
    </xf>
    <xf numFmtId="244" fontId="57" fillId="0" borderId="0" xfId="19" applyFont="true" applyBorder="true" applyAlignment="true" applyProtection="true">
      <alignment horizontal="general" vertical="bottom" textRotation="0" wrapText="false" indent="0" shrinkToFit="false"/>
      <protection locked="true" hidden="false"/>
    </xf>
    <xf numFmtId="170" fontId="28" fillId="0" borderId="0" xfId="0" applyFont="true" applyBorder="true" applyAlignment="false" applyProtection="false">
      <alignment horizontal="general" vertical="bottom" textRotation="0" wrapText="false" indent="0" shrinkToFit="false"/>
      <protection locked="true" hidden="false"/>
    </xf>
    <xf numFmtId="200" fontId="28" fillId="0" borderId="0" xfId="0" applyFont="true" applyBorder="true" applyAlignment="false" applyProtection="false">
      <alignment horizontal="general" vertical="bottom" textRotation="0" wrapText="false" indent="0" shrinkToFit="false"/>
      <protection locked="true" hidden="false"/>
    </xf>
    <xf numFmtId="229" fontId="57" fillId="0" borderId="0" xfId="0" applyFont="true" applyBorder="true" applyAlignment="true" applyProtection="false">
      <alignment horizontal="right" vertical="bottom" textRotation="0" wrapText="false" indent="0" shrinkToFit="false"/>
      <protection locked="true" hidden="false"/>
    </xf>
    <xf numFmtId="229" fontId="57" fillId="0" borderId="11" xfId="0" applyFont="true" applyBorder="true" applyAlignment="true" applyProtection="false">
      <alignment horizontal="right" vertical="bottom" textRotation="0" wrapText="false" indent="0" shrinkToFit="false"/>
      <protection locked="true" hidden="false"/>
    </xf>
    <xf numFmtId="229" fontId="57" fillId="0" borderId="0" xfId="0" applyFont="true" applyBorder="true" applyAlignment="false" applyProtection="false">
      <alignment horizontal="general" vertical="bottom" textRotation="0" wrapText="false" indent="0" shrinkToFit="false"/>
      <protection locked="true" hidden="false"/>
    </xf>
    <xf numFmtId="229" fontId="57" fillId="0" borderId="11" xfId="0" applyFont="true" applyBorder="true" applyAlignment="false" applyProtection="false">
      <alignment horizontal="general" vertical="bottom" textRotation="0" wrapText="false" indent="0" shrinkToFit="false"/>
      <protection locked="true" hidden="false"/>
    </xf>
    <xf numFmtId="193" fontId="57" fillId="0" borderId="0" xfId="0" applyFont="true" applyBorder="true" applyAlignment="true" applyProtection="false">
      <alignment horizontal="right" vertical="bottom" textRotation="0" wrapText="false" indent="0" shrinkToFit="false"/>
      <protection locked="true" hidden="false"/>
    </xf>
    <xf numFmtId="193" fontId="57" fillId="0" borderId="11" xfId="0" applyFont="true" applyBorder="true" applyAlignment="true" applyProtection="false">
      <alignment horizontal="right" vertical="bottom" textRotation="0" wrapText="false" indent="0" shrinkToFit="false"/>
      <protection locked="true" hidden="false"/>
    </xf>
    <xf numFmtId="244" fontId="57" fillId="0" borderId="11" xfId="19" applyFont="true" applyBorder="true" applyAlignment="true" applyProtection="true">
      <alignment horizontal="general" vertical="bottom" textRotation="0" wrapText="false" indent="0" shrinkToFit="false"/>
      <protection locked="true" hidden="false"/>
    </xf>
    <xf numFmtId="164" fontId="57" fillId="0" borderId="3" xfId="0" applyFont="true" applyBorder="true" applyAlignment="false" applyProtection="false">
      <alignment horizontal="general" vertical="bottom" textRotation="0" wrapText="false" indent="0" shrinkToFit="false"/>
      <protection locked="true" hidden="false"/>
    </xf>
    <xf numFmtId="244" fontId="57" fillId="0" borderId="3" xfId="19" applyFont="true" applyBorder="true" applyAlignment="true" applyProtection="true">
      <alignment horizontal="general" vertical="bottom" textRotation="0" wrapText="false" indent="0" shrinkToFit="false"/>
      <protection locked="true" hidden="false"/>
    </xf>
    <xf numFmtId="244" fontId="57" fillId="0" borderId="7" xfId="19" applyFont="true" applyBorder="true" applyAlignment="true" applyProtection="true">
      <alignment horizontal="general" vertical="bottom" textRotation="0" wrapText="false" indent="0" shrinkToFit="false"/>
      <protection locked="true" hidden="false"/>
    </xf>
    <xf numFmtId="193" fontId="57" fillId="0" borderId="0" xfId="15" applyFont="true" applyBorder="true" applyAlignment="true" applyProtection="true">
      <alignment horizontal="general" vertical="bottom" textRotation="0" wrapText="false" indent="0" shrinkToFit="false"/>
      <protection locked="true" hidden="false"/>
    </xf>
    <xf numFmtId="258" fontId="28" fillId="0" borderId="0" xfId="0" applyFont="true" applyBorder="false" applyAlignment="false" applyProtection="false">
      <alignment horizontal="general" vertical="bottom" textRotation="0" wrapText="false" indent="0" shrinkToFit="false"/>
      <protection locked="true" hidden="false"/>
    </xf>
    <xf numFmtId="164" fontId="98" fillId="0" borderId="0" xfId="0" applyFont="true" applyBorder="true" applyAlignment="false" applyProtection="false">
      <alignment horizontal="general" vertical="bottom" textRotation="0" wrapText="false" indent="0" shrinkToFit="false"/>
      <protection locked="true" hidden="false"/>
    </xf>
    <xf numFmtId="235" fontId="25" fillId="0" borderId="0" xfId="1237" applyFont="true" applyBorder="true" applyAlignment="true" applyProtection="true">
      <alignment horizontal="general" vertical="bottom" textRotation="0" wrapText="false" indent="0" shrinkToFit="false"/>
      <protection locked="true" hidden="false"/>
    </xf>
    <xf numFmtId="235" fontId="25" fillId="0" borderId="0" xfId="1237" applyFont="false" applyBorder="true" applyAlignment="true" applyProtection="true">
      <alignment horizontal="general" vertical="bottom" textRotation="0" wrapText="false" indent="0" shrinkToFit="false"/>
      <protection locked="true" hidden="false"/>
    </xf>
    <xf numFmtId="235" fontId="57" fillId="2" borderId="5" xfId="1237" applyFont="true" applyBorder="true" applyAlignment="true" applyProtection="true">
      <alignment horizontal="general" vertical="bottom" textRotation="0" wrapText="false" indent="0" shrinkToFit="false"/>
      <protection locked="true" hidden="false"/>
    </xf>
    <xf numFmtId="260" fontId="25" fillId="0" borderId="0" xfId="1237" applyFont="false" applyBorder="true" applyAlignment="true" applyProtection="true">
      <alignment horizontal="general" vertical="bottom" textRotation="0" wrapText="false" indent="0" shrinkToFit="false"/>
      <protection locked="true" hidden="false"/>
    </xf>
    <xf numFmtId="244" fontId="57" fillId="2" borderId="7" xfId="19" applyFont="true" applyBorder="true" applyAlignment="true" applyProtection="true">
      <alignment horizontal="general" vertical="bottom" textRotation="0" wrapText="false" indent="0" shrinkToFit="false"/>
      <protection locked="true" hidden="false"/>
    </xf>
    <xf numFmtId="246" fontId="28" fillId="0" borderId="0" xfId="0" applyFont="true" applyBorder="false" applyAlignment="false" applyProtection="false">
      <alignment horizontal="general" vertical="bottom" textRotation="0" wrapText="false" indent="0" shrinkToFit="false"/>
      <protection locked="true" hidden="false"/>
    </xf>
    <xf numFmtId="240" fontId="62" fillId="0" borderId="10" xfId="1237" applyFont="true" applyBorder="true" applyAlignment="true" applyProtection="true">
      <alignment horizontal="general" vertical="bottom" textRotation="0" wrapText="false" indent="0" shrinkToFit="false"/>
      <protection locked="true" hidden="false"/>
    </xf>
    <xf numFmtId="240" fontId="62" fillId="0" borderId="6" xfId="1237" applyFont="true" applyBorder="true" applyAlignment="true" applyProtection="true">
      <alignment horizontal="general" vertical="bottom" textRotation="0" wrapText="false" indent="0" shrinkToFit="false"/>
      <protection locked="true" hidden="false"/>
    </xf>
    <xf numFmtId="240" fontId="57" fillId="0" borderId="3" xfId="1237" applyFont="true" applyBorder="true" applyAlignment="true" applyProtection="true">
      <alignment horizontal="general" vertical="bottom" textRotation="0" wrapText="false" indent="0" shrinkToFit="false"/>
      <protection locked="true" hidden="false"/>
    </xf>
    <xf numFmtId="240" fontId="57" fillId="0" borderId="7" xfId="1237" applyFont="true" applyBorder="true" applyAlignment="true" applyProtection="true">
      <alignment horizontal="general" vertical="bottom" textRotation="0" wrapText="false" indent="0" shrinkToFit="false"/>
      <protection locked="true" hidden="false"/>
    </xf>
    <xf numFmtId="235" fontId="62" fillId="0" borderId="4" xfId="1237" applyFont="true" applyBorder="true" applyAlignment="true" applyProtection="true">
      <alignment horizontal="left" vertical="bottom" textRotation="0" wrapText="false" indent="0" shrinkToFit="false"/>
      <protection locked="true" hidden="false"/>
    </xf>
    <xf numFmtId="235" fontId="57" fillId="0" borderId="9" xfId="1237" applyFont="true" applyBorder="true" applyAlignment="true" applyProtection="true">
      <alignment horizontal="general" vertical="bottom" textRotation="0" wrapText="false" indent="0" shrinkToFit="false"/>
      <protection locked="true" hidden="false"/>
    </xf>
    <xf numFmtId="252" fontId="94" fillId="0" borderId="9" xfId="15" applyFont="true" applyBorder="true" applyAlignment="true" applyProtection="true">
      <alignment horizontal="general" vertical="bottom" textRotation="0" wrapText="false" indent="0" shrinkToFit="false"/>
      <protection locked="true" hidden="false"/>
    </xf>
    <xf numFmtId="252" fontId="94" fillId="0" borderId="5" xfId="15" applyFont="true" applyBorder="true" applyAlignment="true" applyProtection="true">
      <alignment horizontal="general" vertical="bottom" textRotation="0" wrapText="false" indent="0" shrinkToFit="false"/>
      <protection locked="true" hidden="false"/>
    </xf>
    <xf numFmtId="185" fontId="57" fillId="0" borderId="10" xfId="915" applyFont="true" applyBorder="true" applyAlignment="true" applyProtection="true">
      <alignment horizontal="general" vertical="bottom" textRotation="0" wrapText="false" indent="0" shrinkToFit="false"/>
      <protection locked="true" hidden="false"/>
    </xf>
    <xf numFmtId="258" fontId="57" fillId="0" borderId="0" xfId="915" applyFont="true" applyBorder="true" applyAlignment="true" applyProtection="true">
      <alignment horizontal="general" vertical="bottom" textRotation="0" wrapText="false" indent="0" shrinkToFit="false"/>
      <protection locked="true" hidden="false"/>
    </xf>
    <xf numFmtId="258" fontId="57" fillId="0" borderId="11" xfId="915" applyFont="true" applyBorder="true" applyAlignment="true" applyProtection="true">
      <alignment horizontal="general" vertical="bottom" textRotation="0" wrapText="false" indent="0" shrinkToFit="false"/>
      <protection locked="true" hidden="false"/>
    </xf>
    <xf numFmtId="258" fontId="110" fillId="0" borderId="0" xfId="915" applyFont="true" applyBorder="true" applyAlignment="true" applyProtection="true">
      <alignment horizontal="general" vertical="bottom" textRotation="0" wrapText="false" indent="0" shrinkToFit="false"/>
      <protection locked="true" hidden="false"/>
    </xf>
    <xf numFmtId="258" fontId="110" fillId="0" borderId="11" xfId="915" applyFont="true" applyBorder="true" applyAlignment="true" applyProtection="true">
      <alignment horizontal="general" vertical="bottom" textRotation="0" wrapText="false" indent="0" shrinkToFit="false"/>
      <protection locked="true" hidden="false"/>
    </xf>
    <xf numFmtId="235" fontId="62" fillId="0" borderId="6" xfId="1237" applyFont="true" applyBorder="true" applyAlignment="true" applyProtection="true">
      <alignment horizontal="left" vertical="bottom" textRotation="0" wrapText="false" indent="0" shrinkToFit="false"/>
      <protection locked="true" hidden="false"/>
    </xf>
    <xf numFmtId="247" fontId="57" fillId="0" borderId="3" xfId="17" applyFont="true" applyBorder="true" applyAlignment="true" applyProtection="true">
      <alignment horizontal="general" vertical="bottom" textRotation="0" wrapText="false" indent="0" shrinkToFit="false"/>
      <protection locked="true" hidden="false"/>
    </xf>
    <xf numFmtId="247" fontId="57" fillId="0" borderId="7" xfId="17" applyFont="true" applyBorder="true" applyAlignment="true" applyProtection="true">
      <alignment horizontal="general" vertical="bottom" textRotation="0" wrapText="false" indent="0" shrinkToFit="false"/>
      <protection locked="true" hidden="false"/>
    </xf>
    <xf numFmtId="235" fontId="62" fillId="0" borderId="27" xfId="1237" applyFont="true" applyBorder="true" applyAlignment="true" applyProtection="true">
      <alignment horizontal="left" vertical="bottom" textRotation="0" wrapText="false" indent="0" shrinkToFit="false"/>
      <protection locked="true" hidden="false"/>
    </xf>
    <xf numFmtId="235" fontId="57" fillId="0" borderId="27" xfId="1237" applyFont="true" applyBorder="true" applyAlignment="true" applyProtection="true">
      <alignment horizontal="general" vertical="bottom" textRotation="0" wrapText="false" indent="0" shrinkToFit="false"/>
      <protection locked="true" hidden="false"/>
    </xf>
    <xf numFmtId="247" fontId="57" fillId="0" borderId="27" xfId="17" applyFont="true" applyBorder="true" applyAlignment="true" applyProtection="true">
      <alignment horizontal="general" vertical="bottom" textRotation="0" wrapText="false" indent="0" shrinkToFit="false"/>
      <protection locked="true" hidden="false"/>
    </xf>
    <xf numFmtId="185" fontId="57" fillId="0" borderId="9" xfId="915" applyFont="true" applyBorder="true" applyAlignment="true" applyProtection="true">
      <alignment horizontal="general" vertical="bottom" textRotation="0" wrapText="false" indent="0" shrinkToFit="false"/>
      <protection locked="true" hidden="false"/>
    </xf>
    <xf numFmtId="185" fontId="57" fillId="0" borderId="5" xfId="915" applyFont="true" applyBorder="true" applyAlignment="true" applyProtection="true">
      <alignment horizontal="general" vertical="bottom" textRotation="0" wrapText="false" indent="0" shrinkToFit="false"/>
      <protection locked="true" hidden="false"/>
    </xf>
    <xf numFmtId="235" fontId="62" fillId="0" borderId="10" xfId="1237" applyFont="true" applyBorder="true" applyAlignment="true" applyProtection="true">
      <alignment horizontal="left" vertical="bottom" textRotation="0" wrapText="false" indent="0" shrinkToFit="false"/>
      <protection locked="true" hidden="false"/>
    </xf>
    <xf numFmtId="164" fontId="114" fillId="0" borderId="10" xfId="0" applyFont="true" applyBorder="true" applyAlignment="true" applyProtection="true">
      <alignment horizontal="left" vertical="bottom" textRotation="0" wrapText="false" indent="0" shrinkToFit="false"/>
      <protection locked="true" hidden="false"/>
    </xf>
    <xf numFmtId="247" fontId="110" fillId="0" borderId="11" xfId="17" applyFont="true" applyBorder="true" applyAlignment="true" applyProtection="true">
      <alignment horizontal="general" vertical="bottom" textRotation="0" wrapText="false" indent="0" shrinkToFit="false"/>
      <protection locked="true" hidden="false"/>
    </xf>
    <xf numFmtId="247" fontId="62" fillId="0" borderId="0" xfId="17" applyFont="true" applyBorder="true" applyAlignment="true" applyProtection="true">
      <alignment horizontal="general" vertical="bottom" textRotation="0" wrapText="false" indent="0" shrinkToFit="false"/>
      <protection locked="true" hidden="false"/>
    </xf>
    <xf numFmtId="247" fontId="62" fillId="0" borderId="11" xfId="17" applyFont="true" applyBorder="true" applyAlignment="true" applyProtection="true">
      <alignment horizontal="general" vertical="bottom" textRotation="0" wrapText="false" indent="0" shrinkToFit="false"/>
      <protection locked="true" hidden="false"/>
    </xf>
    <xf numFmtId="235" fontId="62" fillId="0" borderId="0" xfId="1237" applyFont="true" applyBorder="true" applyAlignment="true" applyProtection="true">
      <alignment horizontal="general" vertical="bottom" textRotation="0" wrapText="false" indent="0" shrinkToFit="false"/>
      <protection locked="true" hidden="false"/>
    </xf>
    <xf numFmtId="235" fontId="62" fillId="0" borderId="11" xfId="1237" applyFont="true" applyBorder="true" applyAlignment="true" applyProtection="true">
      <alignment horizontal="general" vertical="bottom" textRotation="0" wrapText="false" indent="0" shrinkToFit="false"/>
      <protection locked="true" hidden="false"/>
    </xf>
    <xf numFmtId="235" fontId="57" fillId="0" borderId="24" xfId="1237" applyFont="true" applyBorder="true" applyAlignment="true" applyProtection="true">
      <alignment horizontal="general" vertical="bottom" textRotation="0" wrapText="false" indent="0" shrinkToFit="false"/>
      <protection locked="true" hidden="false"/>
    </xf>
    <xf numFmtId="235" fontId="57" fillId="0" borderId="26" xfId="1237" applyFont="true" applyBorder="true" applyAlignment="true" applyProtection="true">
      <alignment horizontal="general" vertical="bottom" textRotation="0" wrapText="false" indent="0" shrinkToFit="false"/>
      <protection locked="true" hidden="false"/>
    </xf>
    <xf numFmtId="235" fontId="57" fillId="0" borderId="25" xfId="1237" applyFont="true" applyBorder="true" applyAlignment="true" applyProtection="true">
      <alignment horizontal="general" vertical="bottom" textRotation="0" wrapText="false" indent="0" shrinkToFit="false"/>
      <protection locked="true" hidden="false"/>
    </xf>
    <xf numFmtId="235" fontId="110" fillId="0" borderId="25" xfId="1237" applyFont="true" applyBorder="true" applyAlignment="true" applyProtection="true">
      <alignment horizontal="general" vertical="bottom" textRotation="0" wrapText="false" indent="0" shrinkToFit="false"/>
      <protection locked="true" hidden="false"/>
    </xf>
    <xf numFmtId="248" fontId="110" fillId="10" borderId="0" xfId="915" applyFont="true" applyBorder="true" applyAlignment="true" applyProtection="true">
      <alignment horizontal="general" vertical="bottom" textRotation="0" wrapText="false" indent="0" shrinkToFit="false"/>
      <protection locked="true" hidden="false"/>
    </xf>
    <xf numFmtId="248" fontId="110" fillId="9" borderId="0" xfId="915" applyFont="true" applyBorder="true" applyAlignment="true" applyProtection="true">
      <alignment horizontal="general" vertical="bottom" textRotation="0" wrapText="false" indent="0" shrinkToFit="false"/>
      <protection locked="true" hidden="false"/>
    </xf>
    <xf numFmtId="248" fontId="110" fillId="9" borderId="11" xfId="915" applyFont="true" applyBorder="true" applyAlignment="true" applyProtection="true">
      <alignment horizontal="general" vertical="bottom" textRotation="0" wrapText="false" indent="0" shrinkToFit="false"/>
      <protection locked="true" hidden="false"/>
    </xf>
    <xf numFmtId="247" fontId="57" fillId="0" borderId="25" xfId="17" applyFont="true" applyBorder="true" applyAlignment="true" applyProtection="true">
      <alignment horizontal="general" vertical="bottom" textRotation="0" wrapText="false" indent="0" shrinkToFit="false"/>
      <protection locked="true" hidden="false"/>
    </xf>
    <xf numFmtId="248" fontId="57" fillId="0" borderId="0" xfId="915" applyFont="true" applyBorder="true" applyAlignment="true" applyProtection="true">
      <alignment horizontal="general" vertical="bottom" textRotation="0" wrapText="false" indent="0" shrinkToFit="false"/>
      <protection locked="true" hidden="false"/>
    </xf>
    <xf numFmtId="248" fontId="57" fillId="0" borderId="11" xfId="915" applyFont="true" applyBorder="true" applyAlignment="true" applyProtection="true">
      <alignment horizontal="general" vertical="bottom" textRotation="0" wrapText="false" indent="0" shrinkToFit="false"/>
      <protection locked="true" hidden="false"/>
    </xf>
    <xf numFmtId="185" fontId="62" fillId="0" borderId="0" xfId="915" applyFont="true" applyBorder="true" applyAlignment="true" applyProtection="true">
      <alignment horizontal="general" vertical="bottom" textRotation="0" wrapText="false" indent="0" shrinkToFit="false"/>
      <protection locked="true" hidden="false"/>
    </xf>
    <xf numFmtId="185" fontId="62" fillId="0" borderId="11" xfId="915" applyFont="true" applyBorder="true" applyAlignment="true" applyProtection="true">
      <alignment horizontal="general" vertical="bottom" textRotation="0" wrapText="false" indent="0" shrinkToFit="false"/>
      <protection locked="true" hidden="false"/>
    </xf>
    <xf numFmtId="235" fontId="109" fillId="0" borderId="0" xfId="915" applyFont="true" applyBorder="true" applyAlignment="true" applyProtection="true">
      <alignment horizontal="general" vertical="bottom" textRotation="0" wrapText="false" indent="0" shrinkToFit="false"/>
      <protection locked="true" hidden="false"/>
    </xf>
    <xf numFmtId="235" fontId="109" fillId="0" borderId="11" xfId="915" applyFont="true" applyBorder="true" applyAlignment="true" applyProtection="true">
      <alignment horizontal="general" vertical="bottom" textRotation="0" wrapText="false" indent="0" shrinkToFit="false"/>
      <protection locked="true" hidden="false"/>
    </xf>
    <xf numFmtId="235" fontId="57" fillId="0" borderId="8" xfId="1237" applyFont="true" applyBorder="true" applyAlignment="true" applyProtection="true">
      <alignment horizontal="general" vertical="bottom" textRotation="0" wrapText="false" indent="0" shrinkToFit="false"/>
      <protection locked="true" hidden="false"/>
    </xf>
    <xf numFmtId="235" fontId="110" fillId="0" borderId="0" xfId="915" applyFont="true" applyBorder="true" applyAlignment="true" applyProtection="true">
      <alignment horizontal="general" vertical="bottom" textRotation="0" wrapText="false" indent="0" shrinkToFit="false"/>
      <protection locked="true" hidden="false"/>
    </xf>
    <xf numFmtId="235" fontId="110" fillId="0" borderId="11" xfId="915" applyFont="true" applyBorder="true" applyAlignment="true" applyProtection="true">
      <alignment horizontal="general" vertical="bottom" textRotation="0" wrapText="false" indent="0" shrinkToFit="false"/>
      <protection locked="true" hidden="false"/>
    </xf>
    <xf numFmtId="235" fontId="57" fillId="0" borderId="0" xfId="915" applyFont="true" applyBorder="true" applyAlignment="true" applyProtection="true">
      <alignment horizontal="general" vertical="bottom" textRotation="0" wrapText="false" indent="0" shrinkToFit="false"/>
      <protection locked="true" hidden="false"/>
    </xf>
    <xf numFmtId="235" fontId="57" fillId="0" borderId="11" xfId="915" applyFont="true" applyBorder="true" applyAlignment="true" applyProtection="true">
      <alignment horizontal="general" vertical="bottom" textRotation="0" wrapText="false" indent="0" shrinkToFit="false"/>
      <protection locked="true" hidden="false"/>
    </xf>
    <xf numFmtId="247" fontId="62" fillId="0" borderId="3" xfId="17" applyFont="true" applyBorder="true" applyAlignment="true" applyProtection="true">
      <alignment horizontal="general" vertical="bottom" textRotation="0" wrapText="false" indent="0" shrinkToFit="false"/>
      <protection locked="true" hidden="false"/>
    </xf>
    <xf numFmtId="247" fontId="62" fillId="0" borderId="7" xfId="17" applyFont="true" applyBorder="true" applyAlignment="true" applyProtection="true">
      <alignment horizontal="general" vertical="bottom" textRotation="0" wrapText="false" indent="0" shrinkToFit="false"/>
      <protection locked="true" hidden="false"/>
    </xf>
    <xf numFmtId="247" fontId="110" fillId="0" borderId="27" xfId="17" applyFont="true" applyBorder="true" applyAlignment="true" applyProtection="true">
      <alignment horizontal="general" vertical="bottom" textRotation="0" wrapText="false" indent="0" shrinkToFit="false"/>
      <protection locked="true" hidden="false"/>
    </xf>
    <xf numFmtId="235" fontId="62" fillId="0" borderId="0" xfId="1237" applyFont="true" applyBorder="true" applyAlignment="true" applyProtection="true">
      <alignment horizontal="left" vertical="bottom" textRotation="0" wrapText="false" indent="0" shrinkToFit="false"/>
      <protection locked="true" hidden="false"/>
    </xf>
    <xf numFmtId="248" fontId="110" fillId="0" borderId="0" xfId="915" applyFont="true" applyBorder="true" applyAlignment="true" applyProtection="true">
      <alignment horizontal="general" vertical="bottom" textRotation="0" wrapText="false" indent="0" shrinkToFit="false"/>
      <protection locked="true" hidden="false"/>
    </xf>
    <xf numFmtId="247" fontId="118" fillId="0" borderId="0" xfId="17" applyFont="true" applyBorder="true" applyAlignment="true" applyProtection="true">
      <alignment horizontal="general" vertical="bottom" textRotation="0" wrapText="false" indent="0" shrinkToFit="false"/>
      <protection locked="true" hidden="false"/>
    </xf>
    <xf numFmtId="235" fontId="57" fillId="0" borderId="10" xfId="1237" applyFont="true" applyBorder="true" applyAlignment="true" applyProtection="true">
      <alignment horizontal="general" vertical="bottom" textRotation="0" wrapText="false" indent="0" shrinkToFit="false"/>
      <protection locked="true" hidden="false"/>
    </xf>
    <xf numFmtId="235" fontId="110" fillId="0" borderId="0" xfId="1237" applyFont="true" applyBorder="true" applyAlignment="true" applyProtection="true">
      <alignment horizontal="general" vertical="bottom" textRotation="0" wrapText="false" indent="0" shrinkToFit="false"/>
      <protection locked="true" hidden="false"/>
    </xf>
    <xf numFmtId="235" fontId="110" fillId="0" borderId="11" xfId="1237"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235" fontId="57" fillId="0" borderId="11" xfId="1237" applyFont="true" applyBorder="true" applyAlignment="true" applyProtection="true">
      <alignment horizontal="general" vertical="bottom" textRotation="0" wrapText="false" indent="0" shrinkToFit="false"/>
      <protection locked="true" hidden="false"/>
    </xf>
    <xf numFmtId="200" fontId="119" fillId="0" borderId="3" xfId="915" applyFont="true" applyBorder="true" applyAlignment="true" applyProtection="true">
      <alignment horizontal="general" vertical="bottom" textRotation="0" wrapText="false" indent="0" shrinkToFit="false"/>
      <protection locked="true" hidden="false"/>
    </xf>
    <xf numFmtId="200" fontId="119" fillId="0" borderId="7" xfId="915" applyFont="true" applyBorder="true" applyAlignment="true" applyProtection="true">
      <alignment horizontal="general" vertical="bottom" textRotation="0" wrapText="false" indent="0" shrinkToFit="false"/>
      <protection locked="true" hidden="false"/>
    </xf>
    <xf numFmtId="193" fontId="110" fillId="0" borderId="0" xfId="15" applyFont="true" applyBorder="true" applyAlignment="true" applyProtection="true">
      <alignment horizontal="general" vertical="bottom" textRotation="0" wrapText="false" indent="0" shrinkToFit="false"/>
      <protection locked="true" hidden="false"/>
    </xf>
    <xf numFmtId="200" fontId="57" fillId="0" borderId="0" xfId="915" applyFont="true" applyBorder="true" applyAlignment="true" applyProtection="true">
      <alignment horizontal="general" vertical="bottom" textRotation="0" wrapText="false" indent="0" shrinkToFit="false"/>
      <protection locked="true" hidden="false"/>
    </xf>
    <xf numFmtId="230" fontId="57" fillId="0" borderId="0" xfId="915" applyFont="true" applyBorder="true" applyAlignment="true" applyProtection="true">
      <alignment horizontal="general" vertical="bottom" textRotation="0" wrapText="false" indent="0" shrinkToFit="false"/>
      <protection locked="true" hidden="false"/>
    </xf>
    <xf numFmtId="263" fontId="57" fillId="0" borderId="0" xfId="915" applyFont="true" applyBorder="true" applyAlignment="true" applyProtection="true">
      <alignment horizontal="general" vertical="bottom"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57" fillId="2" borderId="9" xfId="0" applyFont="true" applyBorder="true" applyAlignment="false" applyProtection="false">
      <alignment horizontal="general" vertical="bottom" textRotation="0" wrapText="false" indent="0" shrinkToFit="false"/>
      <protection locked="true" hidden="false"/>
    </xf>
    <xf numFmtId="164" fontId="57" fillId="2" borderId="5" xfId="0" applyFont="true" applyBorder="true" applyAlignment="false" applyProtection="false">
      <alignment horizontal="general" vertical="bottom" textRotation="0" wrapText="false" indent="0" shrinkToFit="false"/>
      <protection locked="true" hidden="false"/>
    </xf>
    <xf numFmtId="164" fontId="57" fillId="2" borderId="3" xfId="0" applyFont="true" applyBorder="true" applyAlignment="false" applyProtection="false">
      <alignment horizontal="general" vertical="bottom" textRotation="0" wrapText="false" indent="0" shrinkToFit="false"/>
      <protection locked="true" hidden="false"/>
    </xf>
    <xf numFmtId="164" fontId="57" fillId="2" borderId="7" xfId="0" applyFont="true" applyBorder="true" applyAlignment="false" applyProtection="false">
      <alignment horizontal="general" vertical="bottom" textRotation="0" wrapText="false" indent="0" shrinkToFit="false"/>
      <protection locked="true" hidden="false"/>
    </xf>
    <xf numFmtId="259" fontId="109" fillId="0" borderId="9" xfId="0" applyFont="true" applyBorder="true" applyAlignment="false" applyProtection="true">
      <alignment horizontal="general" vertical="bottom" textRotation="0" wrapText="false" indent="0" shrinkToFit="false"/>
      <protection locked="true" hidden="false"/>
    </xf>
    <xf numFmtId="164" fontId="57" fillId="0" borderId="0" xfId="0" applyFont="true" applyBorder="true" applyAlignment="true" applyProtection="true">
      <alignment horizontal="right" vertical="bottom" textRotation="0" wrapText="false" indent="0" shrinkToFit="false"/>
      <protection locked="true" hidden="false"/>
    </xf>
    <xf numFmtId="164" fontId="57" fillId="0" borderId="11" xfId="0" applyFont="true" applyBorder="true" applyAlignment="true" applyProtection="true">
      <alignment horizontal="right" vertical="bottom" textRotation="0" wrapText="false" indent="0" shrinkToFit="false"/>
      <protection locked="true" hidden="false"/>
    </xf>
    <xf numFmtId="164" fontId="12" fillId="0" borderId="0" xfId="0" applyFont="true" applyBorder="true" applyAlignment="true" applyProtection="true">
      <alignment horizontal="right" vertical="bottom" textRotation="0" wrapText="false" indent="0" shrinkToFit="false"/>
      <protection locked="true" hidden="false"/>
    </xf>
    <xf numFmtId="244" fontId="12" fillId="0" borderId="0" xfId="0" applyFont="true" applyBorder="false" applyAlignment="false" applyProtection="true">
      <alignment horizontal="general" vertical="bottom" textRotation="0" wrapText="false" indent="0" shrinkToFit="false"/>
      <protection locked="true" hidden="false"/>
    </xf>
    <xf numFmtId="164" fontId="62" fillId="0" borderId="10" xfId="0" applyFont="true" applyBorder="true" applyAlignment="true" applyProtection="true">
      <alignment horizontal="left" vertical="bottom" textRotation="0" wrapText="false" indent="0" shrinkToFit="false"/>
      <protection locked="true" hidden="false"/>
    </xf>
    <xf numFmtId="235" fontId="120" fillId="0" borderId="0" xfId="0" applyFont="true" applyBorder="true" applyAlignment="false" applyProtection="false">
      <alignment horizontal="general" vertical="bottom" textRotation="0" wrapText="false" indent="0" shrinkToFit="false"/>
      <protection locked="true" hidden="false"/>
    </xf>
    <xf numFmtId="164" fontId="12" fillId="0" borderId="0" xfId="0" applyFont="true" applyBorder="true" applyAlignment="false" applyProtection="true">
      <alignment horizontal="general" vertical="bottom" textRotation="0" wrapText="false" indent="0" shrinkToFit="false"/>
      <protection locked="true" hidden="false"/>
    </xf>
    <xf numFmtId="164" fontId="57" fillId="0" borderId="10" xfId="0" applyFont="true" applyBorder="true" applyAlignment="true" applyProtection="true">
      <alignment horizontal="left" vertical="bottom" textRotation="0" wrapText="false" indent="0" shrinkToFit="false"/>
      <protection locked="true" hidden="false"/>
    </xf>
    <xf numFmtId="185" fontId="57" fillId="0" borderId="0" xfId="0" applyFont="true" applyBorder="true" applyAlignment="false" applyProtection="true">
      <alignment horizontal="general" vertical="bottom" textRotation="0" wrapText="false" indent="0" shrinkToFit="false"/>
      <protection locked="true" hidden="false"/>
    </xf>
    <xf numFmtId="185" fontId="57" fillId="0" borderId="11" xfId="0" applyFont="true" applyBorder="true" applyAlignment="false" applyProtection="true">
      <alignment horizontal="general" vertical="bottom" textRotation="0" wrapText="false" indent="0" shrinkToFit="false"/>
      <protection locked="true" hidden="false"/>
    </xf>
    <xf numFmtId="264" fontId="12" fillId="0" borderId="0" xfId="0" applyFont="true" applyBorder="false" applyAlignment="false" applyProtection="true">
      <alignment horizontal="general" vertical="bottom" textRotation="0" wrapText="false" indent="0" shrinkToFit="false"/>
      <protection locked="true" hidden="false"/>
    </xf>
    <xf numFmtId="248" fontId="57" fillId="0" borderId="11" xfId="15" applyFont="true" applyBorder="true" applyAlignment="true" applyProtection="true">
      <alignment horizontal="general" vertical="bottom" textRotation="0" wrapText="false" indent="0" shrinkToFit="false"/>
      <protection locked="true" hidden="false"/>
    </xf>
    <xf numFmtId="243" fontId="12" fillId="0" borderId="0" xfId="0" applyFont="true" applyBorder="false" applyAlignment="false" applyProtection="true">
      <alignment horizontal="general" vertical="bottom" textRotation="0" wrapText="false" indent="0" shrinkToFit="false"/>
      <protection locked="true" hidden="false"/>
    </xf>
    <xf numFmtId="235" fontId="57" fillId="0" borderId="0" xfId="0" applyFont="true" applyBorder="true" applyAlignment="false" applyProtection="true">
      <alignment horizontal="general" vertical="bottom" textRotation="0" wrapText="false" indent="0" shrinkToFit="false"/>
      <protection locked="true" hidden="false"/>
    </xf>
    <xf numFmtId="235" fontId="57" fillId="0" borderId="11" xfId="0" applyFont="true" applyBorder="true" applyAlignment="false" applyProtection="true">
      <alignment horizontal="general" vertical="bottom" textRotation="0" wrapText="false" indent="0" shrinkToFit="false"/>
      <protection locked="true" hidden="false"/>
    </xf>
    <xf numFmtId="235" fontId="12" fillId="0" borderId="0" xfId="0" applyFont="true" applyBorder="false" applyAlignment="false" applyProtection="true">
      <alignment horizontal="general" vertical="bottom" textRotation="0" wrapText="false" indent="0" shrinkToFit="false"/>
      <protection locked="true" hidden="false"/>
    </xf>
    <xf numFmtId="235" fontId="110" fillId="0" borderId="0" xfId="0" applyFont="true" applyBorder="true" applyAlignment="false" applyProtection="true">
      <alignment horizontal="general" vertical="bottom" textRotation="0" wrapText="false" indent="0" shrinkToFit="false"/>
      <protection locked="true" hidden="false"/>
    </xf>
    <xf numFmtId="235" fontId="110" fillId="0" borderId="11" xfId="0" applyFont="true" applyBorder="true" applyAlignment="false" applyProtection="true">
      <alignment horizontal="general" vertical="bottom" textRotation="0" wrapText="false" indent="0" shrinkToFit="false"/>
      <protection locked="true" hidden="false"/>
    </xf>
    <xf numFmtId="264" fontId="12" fillId="0" borderId="0" xfId="0" applyFont="true" applyBorder="true" applyAlignment="false" applyProtection="true">
      <alignment horizontal="general" vertical="bottom" textRotation="0" wrapText="false" indent="0" shrinkToFit="false"/>
      <protection locked="true" hidden="false"/>
    </xf>
    <xf numFmtId="235" fontId="57" fillId="0" borderId="0" xfId="0" applyFont="true" applyBorder="true" applyAlignment="false" applyProtection="false">
      <alignment horizontal="general" vertical="bottom" textRotation="0" wrapText="false" indent="0" shrinkToFit="false"/>
      <protection locked="true" hidden="false"/>
    </xf>
    <xf numFmtId="164" fontId="120" fillId="0" borderId="0" xfId="0" applyFont="true" applyBorder="true" applyAlignment="false" applyProtection="false">
      <alignment horizontal="general" vertical="bottom" textRotation="0" wrapText="false" indent="0" shrinkToFit="false"/>
      <protection locked="true" hidden="false"/>
    </xf>
    <xf numFmtId="164" fontId="120" fillId="0" borderId="0" xfId="0" applyFont="true" applyBorder="true" applyAlignment="false" applyProtection="true">
      <alignment horizontal="general" vertical="bottom" textRotation="0" wrapText="false" indent="0" shrinkToFit="false"/>
      <protection locked="true" hidden="false"/>
    </xf>
    <xf numFmtId="248" fontId="120" fillId="0" borderId="0" xfId="15" applyFont="true" applyBorder="true" applyAlignment="true" applyProtection="true">
      <alignment horizontal="general" vertical="bottom" textRotation="0" wrapText="false" indent="0" shrinkToFit="false"/>
      <protection locked="true" hidden="false"/>
    </xf>
    <xf numFmtId="164" fontId="62" fillId="0" borderId="6" xfId="0" applyFont="true" applyBorder="true" applyAlignment="false" applyProtection="false">
      <alignment horizontal="general" vertical="bottom" textRotation="0" wrapText="false" indent="0" shrinkToFit="false"/>
      <protection locked="true" hidden="false"/>
    </xf>
    <xf numFmtId="247" fontId="120" fillId="0" borderId="3" xfId="17" applyFont="true" applyBorder="true" applyAlignment="true" applyProtection="true">
      <alignment horizontal="general" vertical="bottom" textRotation="0" wrapText="false" indent="0" shrinkToFit="false"/>
      <protection locked="true" hidden="false"/>
    </xf>
    <xf numFmtId="247" fontId="119" fillId="0" borderId="3" xfId="17" applyFont="true" applyBorder="true" applyAlignment="true" applyProtection="true">
      <alignment horizontal="general" vertical="bottom" textRotation="0" wrapText="false" indent="0" shrinkToFit="false"/>
      <protection locked="true" hidden="false"/>
    </xf>
    <xf numFmtId="247" fontId="119" fillId="0" borderId="7" xfId="17" applyFont="true" applyBorder="true" applyAlignment="true" applyProtection="true">
      <alignment horizontal="general" vertical="bottom" textRotation="0" wrapText="false" indent="0" shrinkToFit="false"/>
      <protection locked="true" hidden="false"/>
    </xf>
    <xf numFmtId="164" fontId="62" fillId="0" borderId="4" xfId="0" applyFont="true" applyBorder="true" applyAlignment="false" applyProtection="false">
      <alignment horizontal="general" vertical="bottom" textRotation="0" wrapText="false" indent="0" shrinkToFit="false"/>
      <protection locked="true" hidden="false"/>
    </xf>
    <xf numFmtId="180" fontId="57" fillId="0" borderId="9" xfId="0" applyFont="true" applyBorder="true" applyAlignment="false" applyProtection="false">
      <alignment horizontal="general" vertical="bottom" textRotation="0" wrapText="false" indent="0" shrinkToFit="false"/>
      <protection locked="true" hidden="false"/>
    </xf>
    <xf numFmtId="180" fontId="57" fillId="0" borderId="0" xfId="0" applyFont="true" applyBorder="true" applyAlignment="false" applyProtection="false">
      <alignment horizontal="general" vertical="bottom" textRotation="0" wrapText="false" indent="0" shrinkToFit="false"/>
      <protection locked="true" hidden="false"/>
    </xf>
    <xf numFmtId="170" fontId="57" fillId="0" borderId="11" xfId="0" applyFont="true" applyBorder="true" applyAlignment="false" applyProtection="false">
      <alignment horizontal="general" vertical="bottom" textRotation="0" wrapText="false" indent="0" shrinkToFit="false"/>
      <protection locked="true" hidden="false"/>
    </xf>
    <xf numFmtId="170" fontId="57" fillId="0" borderId="0" xfId="19" applyFont="true" applyBorder="true" applyAlignment="true" applyProtection="true">
      <alignment horizontal="general" vertical="bottom" textRotation="0" wrapText="false" indent="0" shrinkToFit="false"/>
      <protection locked="true" hidden="false"/>
    </xf>
    <xf numFmtId="185" fontId="57" fillId="0" borderId="0" xfId="0" applyFont="true" applyBorder="true" applyAlignment="false" applyProtection="false">
      <alignment horizontal="general" vertical="bottom" textRotation="0" wrapText="false" indent="0" shrinkToFit="false"/>
      <protection locked="true" hidden="false"/>
    </xf>
    <xf numFmtId="248" fontId="57" fillId="0" borderId="0" xfId="0" applyFont="true" applyBorder="true" applyAlignment="false" applyProtection="false">
      <alignment horizontal="general" vertical="bottom" textRotation="0" wrapText="false" indent="0" shrinkToFit="false"/>
      <protection locked="true" hidden="false"/>
    </xf>
    <xf numFmtId="248" fontId="57" fillId="0" borderId="11" xfId="0" applyFont="true" applyBorder="true" applyAlignment="false" applyProtection="false">
      <alignment horizontal="general" vertical="bottom" textRotation="0" wrapText="false" indent="0" shrinkToFit="false"/>
      <protection locked="true" hidden="false"/>
    </xf>
    <xf numFmtId="248" fontId="57" fillId="0" borderId="3" xfId="15" applyFont="true" applyBorder="true" applyAlignment="true" applyProtection="true">
      <alignment horizontal="general" vertical="bottom" textRotation="0" wrapText="false" indent="0" shrinkToFit="false"/>
      <protection locked="true" hidden="false"/>
    </xf>
    <xf numFmtId="248" fontId="57" fillId="0" borderId="3" xfId="0" applyFont="true" applyBorder="true" applyAlignment="false" applyProtection="false">
      <alignment horizontal="general" vertical="bottom" textRotation="0" wrapText="false" indent="0" shrinkToFit="false"/>
      <protection locked="true" hidden="false"/>
    </xf>
    <xf numFmtId="248" fontId="57" fillId="0" borderId="7" xfId="0" applyFont="true" applyBorder="true" applyAlignment="false" applyProtection="false">
      <alignment horizontal="general" vertical="bottom" textRotation="0" wrapText="false" indent="0" shrinkToFit="false"/>
      <protection locked="true" hidden="false"/>
    </xf>
    <xf numFmtId="180" fontId="57" fillId="0" borderId="0" xfId="0" applyFont="true" applyBorder="false" applyAlignment="false" applyProtection="false">
      <alignment horizontal="general" vertical="bottom" textRotation="0" wrapText="false" indent="0" shrinkToFit="false"/>
      <protection locked="true" hidden="false"/>
    </xf>
    <xf numFmtId="235" fontId="57" fillId="0" borderId="0" xfId="0" applyFont="true" applyBorder="false" applyAlignment="false" applyProtection="false">
      <alignment horizontal="general" vertical="bottom" textRotation="0" wrapText="false" indent="0" shrinkToFit="false"/>
      <protection locked="true" hidden="false"/>
    </xf>
    <xf numFmtId="164" fontId="109" fillId="2" borderId="9" xfId="0" applyFont="true" applyBorder="true" applyAlignment="false" applyProtection="false">
      <alignment horizontal="general" vertical="bottom" textRotation="0" wrapText="false" indent="0" shrinkToFit="false"/>
      <protection locked="true" hidden="false"/>
    </xf>
    <xf numFmtId="164" fontId="109" fillId="2" borderId="5" xfId="0" applyFont="true" applyBorder="true" applyAlignment="false" applyProtection="false">
      <alignment horizontal="general" vertical="bottom" textRotation="0" wrapText="false" indent="0" shrinkToFit="false"/>
      <protection locked="true" hidden="false"/>
    </xf>
    <xf numFmtId="248" fontId="64" fillId="0" borderId="10" xfId="15" applyFont="true" applyBorder="true" applyAlignment="true" applyProtection="true">
      <alignment horizontal="general" vertical="bottom" textRotation="0" wrapText="false" indent="0" shrinkToFit="false"/>
      <protection locked="true" hidden="false"/>
    </xf>
    <xf numFmtId="235" fontId="28" fillId="0" borderId="0" xfId="0" applyFont="true" applyBorder="true" applyAlignment="false" applyProtection="false">
      <alignment horizontal="general" vertical="bottom" textRotation="0" wrapText="false" indent="0" shrinkToFit="false"/>
      <protection locked="true" hidden="false"/>
    </xf>
    <xf numFmtId="235" fontId="28" fillId="0" borderId="11" xfId="0" applyFont="true" applyBorder="true" applyAlignment="false" applyProtection="false">
      <alignment horizontal="general" vertical="bottom" textRotation="0" wrapText="false" indent="0" shrinkToFit="false"/>
      <protection locked="true" hidden="false"/>
    </xf>
    <xf numFmtId="185" fontId="115" fillId="0" borderId="0" xfId="0" applyFont="true" applyBorder="true" applyAlignment="false" applyProtection="false">
      <alignment horizontal="general" vertical="bottom" textRotation="0" wrapText="false" indent="0" shrinkToFit="false"/>
      <protection locked="true" hidden="false"/>
    </xf>
    <xf numFmtId="185" fontId="115" fillId="0" borderId="11" xfId="0" applyFont="true" applyBorder="true" applyAlignment="false" applyProtection="false">
      <alignment horizontal="general" vertical="bottom" textRotation="0" wrapText="false" indent="0" shrinkToFit="false"/>
      <protection locked="true" hidden="false"/>
    </xf>
    <xf numFmtId="248" fontId="57" fillId="0" borderId="10" xfId="15" applyFont="true" applyBorder="true" applyAlignment="true" applyProtection="true">
      <alignment horizontal="general" vertical="bottom" textRotation="0" wrapText="false" indent="0" shrinkToFit="false"/>
      <protection locked="true" hidden="false"/>
    </xf>
    <xf numFmtId="169" fontId="115" fillId="0" borderId="0" xfId="0" applyFont="true" applyBorder="true" applyAlignment="false" applyProtection="false">
      <alignment horizontal="general" vertical="bottom" textRotation="0" wrapText="false" indent="0" shrinkToFit="false"/>
      <protection locked="true" hidden="false"/>
    </xf>
    <xf numFmtId="169" fontId="115" fillId="0" borderId="11" xfId="0" applyFont="true" applyBorder="true" applyAlignment="false" applyProtection="false">
      <alignment horizontal="general" vertical="bottom" textRotation="0" wrapText="false" indent="0" shrinkToFit="false"/>
      <protection locked="true" hidden="false"/>
    </xf>
    <xf numFmtId="248" fontId="62" fillId="0" borderId="6" xfId="15" applyFont="true" applyBorder="true" applyAlignment="true" applyProtection="true">
      <alignment horizontal="general" vertical="bottom" textRotation="0" wrapText="false" indent="0" shrinkToFit="false"/>
      <protection locked="true" hidden="false"/>
    </xf>
    <xf numFmtId="248" fontId="64" fillId="0" borderId="4" xfId="15" applyFont="true" applyBorder="true" applyAlignment="true" applyProtection="true">
      <alignment horizontal="general" vertical="bottom" textRotation="0" wrapText="false" indent="0" shrinkToFit="false"/>
      <protection locked="true" hidden="false"/>
    </xf>
    <xf numFmtId="185" fontId="28" fillId="0" borderId="0" xfId="0" applyFont="true" applyBorder="true" applyAlignment="false" applyProtection="false">
      <alignment horizontal="general" vertical="bottom" textRotation="0" wrapText="false" indent="0" shrinkToFit="false"/>
      <protection locked="true" hidden="false"/>
    </xf>
    <xf numFmtId="185" fontId="28" fillId="0" borderId="11" xfId="0" applyFont="true" applyBorder="true" applyAlignment="false" applyProtection="false">
      <alignment horizontal="general" vertical="bottom" textRotation="0" wrapText="false" indent="0" shrinkToFit="false"/>
      <protection locked="true" hidden="false"/>
    </xf>
    <xf numFmtId="248" fontId="62" fillId="0" borderId="10" xfId="15" applyFont="true" applyBorder="true" applyAlignment="true" applyProtection="true">
      <alignment horizontal="general" vertical="bottom" textRotation="0" wrapText="false" indent="0" shrinkToFit="false"/>
      <protection locked="true" hidden="false"/>
    </xf>
    <xf numFmtId="200" fontId="28" fillId="0" borderId="11" xfId="0" applyFont="true" applyBorder="true" applyAlignment="false" applyProtection="false">
      <alignment horizontal="general" vertical="bottom" textRotation="0" wrapText="false" indent="0" shrinkToFit="false"/>
      <protection locked="true" hidden="false"/>
    </xf>
    <xf numFmtId="248" fontId="62" fillId="0" borderId="12" xfId="15" applyFont="true" applyBorder="true" applyAlignment="true" applyProtection="true">
      <alignment horizontal="general" vertical="bottom" textRotation="0" wrapText="false" indent="0" shrinkToFit="false"/>
      <protection locked="true" hidden="false"/>
    </xf>
    <xf numFmtId="164" fontId="28" fillId="0" borderId="14" xfId="0" applyFont="true" applyBorder="true" applyAlignment="false" applyProtection="false">
      <alignment horizontal="general" vertical="bottom" textRotation="0" wrapText="false" indent="0" shrinkToFit="false"/>
      <protection locked="true" hidden="false"/>
    </xf>
    <xf numFmtId="169" fontId="28" fillId="0" borderId="14" xfId="0" applyFont="true" applyBorder="true" applyAlignment="false" applyProtection="false">
      <alignment horizontal="general" vertical="bottom" textRotation="0" wrapText="false" indent="0" shrinkToFit="false"/>
      <protection locked="true" hidden="false"/>
    </xf>
    <xf numFmtId="169" fontId="28" fillId="0" borderId="13" xfId="0" applyFont="true" applyBorder="true" applyAlignment="false" applyProtection="false">
      <alignment horizontal="general" vertical="bottom" textRotation="0" wrapText="false" indent="0" shrinkToFit="false"/>
      <protection locked="true" hidden="false"/>
    </xf>
    <xf numFmtId="244" fontId="98" fillId="2" borderId="9" xfId="19" applyFont="true" applyBorder="true" applyAlignment="true" applyProtection="true">
      <alignment horizontal="left" vertical="bottom" textRotation="0" wrapText="false" indent="0" shrinkToFit="false"/>
      <protection locked="true" hidden="false"/>
    </xf>
    <xf numFmtId="259" fontId="109" fillId="0" borderId="5" xfId="0" applyFont="true" applyBorder="true" applyAlignment="false" applyProtection="true">
      <alignment horizontal="general" vertical="bottom" textRotation="0" wrapText="false" indent="0" shrinkToFit="false"/>
      <protection locked="true" hidden="false"/>
    </xf>
    <xf numFmtId="164" fontId="109" fillId="0" borderId="10" xfId="0" applyFont="true" applyBorder="true" applyAlignment="true" applyProtection="true">
      <alignment horizontal="left" vertical="bottom" textRotation="0" wrapText="false" indent="0" shrinkToFit="false"/>
      <protection locked="true" hidden="false"/>
    </xf>
    <xf numFmtId="164" fontId="121" fillId="0" borderId="10" xfId="0" applyFont="true" applyBorder="true" applyAlignment="true" applyProtection="true">
      <alignment horizontal="left" vertical="bottom" textRotation="0" wrapText="false" indent="0" shrinkToFit="false"/>
      <protection locked="true" hidden="false"/>
    </xf>
    <xf numFmtId="242" fontId="57" fillId="0" borderId="0" xfId="0" applyFont="true" applyBorder="true" applyAlignment="false" applyProtection="false">
      <alignment horizontal="general" vertical="bottom" textRotation="0" wrapText="false" indent="0" shrinkToFit="false"/>
      <protection locked="true" hidden="false"/>
    </xf>
    <xf numFmtId="242" fontId="12" fillId="0" borderId="0" xfId="0" applyFont="true" applyBorder="true" applyAlignment="false" applyProtection="false">
      <alignment horizontal="general" vertical="bottom" textRotation="0" wrapText="false" indent="0" shrinkToFit="false"/>
      <protection locked="true" hidden="false"/>
    </xf>
    <xf numFmtId="243" fontId="110" fillId="0" borderId="0" xfId="0" applyFont="true" applyBorder="true" applyAlignment="false" applyProtection="false">
      <alignment horizontal="general" vertical="bottom" textRotation="0" wrapText="false" indent="0" shrinkToFit="false"/>
      <protection locked="true" hidden="false"/>
    </xf>
    <xf numFmtId="243" fontId="110" fillId="0" borderId="1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true">
      <alignment horizontal="left" vertical="bottom" textRotation="0" wrapText="false" indent="0" shrinkToFit="false"/>
      <protection locked="true" hidden="false"/>
    </xf>
    <xf numFmtId="164" fontId="57" fillId="0" borderId="11" xfId="0" applyFont="true" applyBorder="true" applyAlignment="true" applyProtection="true">
      <alignment horizontal="left" vertical="bottom" textRotation="0" wrapText="false" indent="0" shrinkToFit="false"/>
      <protection locked="true" hidden="false"/>
    </xf>
    <xf numFmtId="185" fontId="57" fillId="0" borderId="1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true">
      <alignment horizontal="general" vertical="bottom" textRotation="0" wrapText="false" indent="0" shrinkToFit="false"/>
      <protection locked="true" hidden="false"/>
    </xf>
    <xf numFmtId="185" fontId="110" fillId="0" borderId="0" xfId="0" applyFont="true" applyBorder="true" applyAlignment="false" applyProtection="false">
      <alignment horizontal="general" vertical="bottom" textRotation="0" wrapText="false" indent="0" shrinkToFit="false"/>
      <protection locked="true" hidden="false"/>
    </xf>
    <xf numFmtId="185" fontId="110" fillId="0" borderId="11" xfId="0" applyFont="true" applyBorder="true" applyAlignment="false" applyProtection="false">
      <alignment horizontal="general" vertical="bottom" textRotation="0" wrapText="false" indent="0" shrinkToFit="false"/>
      <protection locked="true" hidden="false"/>
    </xf>
    <xf numFmtId="242" fontId="57" fillId="0" borderId="11" xfId="0" applyFont="true" applyBorder="true" applyAlignment="false" applyProtection="false">
      <alignment horizontal="general" vertical="bottom" textRotation="0" wrapText="false" indent="0" shrinkToFit="false"/>
      <protection locked="true" hidden="false"/>
    </xf>
    <xf numFmtId="169" fontId="57" fillId="0" borderId="0" xfId="17" applyFont="true" applyBorder="true" applyAlignment="true" applyProtection="true">
      <alignment horizontal="general" vertical="bottom" textRotation="0" wrapText="false" indent="0" shrinkToFit="false"/>
      <protection locked="true" hidden="false"/>
    </xf>
    <xf numFmtId="169" fontId="57" fillId="0" borderId="11" xfId="17" applyFont="true" applyBorder="true" applyAlignment="true" applyProtection="true">
      <alignment horizontal="general" vertical="bottom" textRotation="0" wrapText="false" indent="0" shrinkToFit="false"/>
      <protection locked="true" hidden="false"/>
    </xf>
    <xf numFmtId="247" fontId="57" fillId="0" borderId="0" xfId="17" applyFont="true" applyBorder="true" applyAlignment="true" applyProtection="true">
      <alignment horizontal="center" vertical="bottom" textRotation="0" wrapText="false" indent="0" shrinkToFit="false"/>
      <protection locked="true" hidden="false"/>
    </xf>
    <xf numFmtId="248" fontId="94" fillId="0" borderId="12" xfId="15" applyFont="true" applyBorder="true" applyAlignment="true" applyProtection="true">
      <alignment horizontal="general" vertical="bottom" textRotation="0" wrapText="false" indent="0" shrinkToFit="false"/>
      <protection locked="true" hidden="false"/>
    </xf>
    <xf numFmtId="248" fontId="94" fillId="0" borderId="14" xfId="15" applyFont="true" applyBorder="true" applyAlignment="true" applyProtection="true">
      <alignment horizontal="general" vertical="bottom" textRotation="0" wrapText="false" indent="0" shrinkToFit="false"/>
      <protection locked="true" hidden="false"/>
    </xf>
    <xf numFmtId="248" fontId="94" fillId="0" borderId="13" xfId="15" applyFont="true" applyBorder="true" applyAlignment="true" applyProtection="true">
      <alignment horizontal="general" vertical="bottom" textRotation="0" wrapText="false" indent="0" shrinkToFit="false"/>
      <protection locked="true" hidden="false"/>
    </xf>
    <xf numFmtId="200" fontId="57" fillId="0" borderId="0" xfId="0" applyFont="true" applyBorder="true" applyAlignment="false" applyProtection="false">
      <alignment horizontal="general" vertical="bottom" textRotation="0" wrapText="false" indent="0" shrinkToFit="false"/>
      <protection locked="true" hidden="false"/>
    </xf>
    <xf numFmtId="200" fontId="57" fillId="0" borderId="11" xfId="0" applyFont="true" applyBorder="true" applyAlignment="false" applyProtection="false">
      <alignment horizontal="general" vertical="bottom" textRotation="0" wrapText="false" indent="0" shrinkToFit="false"/>
      <protection locked="true" hidden="false"/>
    </xf>
    <xf numFmtId="247" fontId="110" fillId="0" borderId="0" xfId="0" applyFont="true" applyBorder="true" applyAlignment="false" applyProtection="false">
      <alignment horizontal="general" vertical="bottom" textRotation="0" wrapText="false" indent="0" shrinkToFit="false"/>
      <protection locked="true" hidden="false"/>
    </xf>
    <xf numFmtId="247" fontId="110" fillId="0" borderId="11" xfId="0" applyFont="true" applyBorder="true" applyAlignment="false" applyProtection="false">
      <alignment horizontal="general" vertical="bottom" textRotation="0" wrapText="false" indent="0" shrinkToFit="false"/>
      <protection locked="true" hidden="false"/>
    </xf>
    <xf numFmtId="164" fontId="62" fillId="0" borderId="12" xfId="0" applyFont="true" applyBorder="true" applyAlignment="false" applyProtection="false">
      <alignment horizontal="general" vertical="bottom" textRotation="0" wrapText="false" indent="0" shrinkToFit="false"/>
      <protection locked="true" hidden="false"/>
    </xf>
    <xf numFmtId="164" fontId="57" fillId="0" borderId="14" xfId="0" applyFont="true" applyBorder="true" applyAlignment="false" applyProtection="false">
      <alignment horizontal="general" vertical="bottom" textRotation="0" wrapText="false" indent="0" shrinkToFit="false"/>
      <protection locked="true" hidden="false"/>
    </xf>
    <xf numFmtId="247" fontId="62" fillId="0" borderId="14" xfId="0" applyFont="true" applyBorder="true" applyAlignment="false" applyProtection="false">
      <alignment horizontal="general" vertical="bottom" textRotation="0" wrapText="false" indent="0" shrinkToFit="false"/>
      <protection locked="true" hidden="false"/>
    </xf>
    <xf numFmtId="247" fontId="62" fillId="0" borderId="13"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true">
      <alignment horizontal="left" vertical="bottom" textRotation="0" wrapText="false" indent="0" shrinkToFit="false"/>
      <protection locked="true" hidden="false"/>
    </xf>
    <xf numFmtId="164" fontId="109" fillId="0" borderId="4" xfId="0" applyFont="true" applyBorder="true" applyAlignment="true" applyProtection="true">
      <alignment horizontal="left" vertical="bottom" textRotation="0" wrapText="false" indent="0" shrinkToFit="false"/>
      <protection locked="true" hidden="false"/>
    </xf>
    <xf numFmtId="247" fontId="57" fillId="0" borderId="0" xfId="0" applyFont="true" applyBorder="true" applyAlignment="false" applyProtection="true">
      <alignment horizontal="general" vertical="bottom" textRotation="0" wrapText="false" indent="0" shrinkToFit="false"/>
      <protection locked="true" hidden="false"/>
    </xf>
    <xf numFmtId="247" fontId="57" fillId="0" borderId="11" xfId="0" applyFont="true" applyBorder="true" applyAlignment="false" applyProtection="true">
      <alignment horizontal="general" vertical="bottom" textRotation="0" wrapText="false" indent="0" shrinkToFit="false"/>
      <protection locked="true" hidden="false"/>
    </xf>
    <xf numFmtId="185" fontId="110" fillId="0" borderId="0" xfId="0" applyFont="true" applyBorder="true" applyAlignment="false" applyProtection="true">
      <alignment horizontal="general" vertical="bottom" textRotation="0" wrapText="false" indent="0" shrinkToFit="false"/>
      <protection locked="true" hidden="false"/>
    </xf>
    <xf numFmtId="185" fontId="110" fillId="0" borderId="11" xfId="0" applyFont="true" applyBorder="true" applyAlignment="false" applyProtection="true">
      <alignment horizontal="general" vertical="bottom" textRotation="0" wrapText="false" indent="0" shrinkToFit="false"/>
      <protection locked="true" hidden="false"/>
    </xf>
    <xf numFmtId="248" fontId="62" fillId="0" borderId="0" xfId="15" applyFont="true" applyBorder="true" applyAlignment="true" applyProtection="true">
      <alignment horizontal="general" vertical="bottom" textRotation="0" wrapText="false" indent="0" shrinkToFit="false"/>
      <protection locked="true" hidden="false"/>
    </xf>
    <xf numFmtId="185" fontId="62" fillId="0" borderId="0" xfId="0" applyFont="true" applyBorder="true" applyAlignment="false" applyProtection="true">
      <alignment horizontal="general" vertical="bottom" textRotation="0" wrapText="false" indent="0" shrinkToFit="false"/>
      <protection locked="true" hidden="false"/>
    </xf>
    <xf numFmtId="185" fontId="62" fillId="0" borderId="11" xfId="0" applyFont="true" applyBorder="true" applyAlignment="false" applyProtection="true">
      <alignment horizontal="general" vertical="bottom" textRotation="0" wrapText="false" indent="0" shrinkToFit="false"/>
      <protection locked="true" hidden="false"/>
    </xf>
    <xf numFmtId="164" fontId="94" fillId="0" borderId="0" xfId="0" applyFont="true" applyBorder="true" applyAlignment="false" applyProtection="true">
      <alignment horizontal="general" vertical="bottom" textRotation="0" wrapText="false" indent="0" shrinkToFit="false"/>
      <protection locked="false" hidden="false"/>
    </xf>
    <xf numFmtId="243" fontId="57" fillId="0" borderId="11"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235" fontId="62" fillId="0" borderId="14" xfId="1237" applyFont="true" applyBorder="true" applyAlignment="true" applyProtection="true">
      <alignment horizontal="general" vertical="bottom" textRotation="0" wrapText="false" indent="0" shrinkToFit="false"/>
      <protection locked="true" hidden="false"/>
    </xf>
    <xf numFmtId="164" fontId="62" fillId="0" borderId="14" xfId="0" applyFont="true" applyBorder="true" applyAlignment="false" applyProtection="false">
      <alignment horizontal="general" vertical="bottom" textRotation="0" wrapText="false" indent="0" shrinkToFit="false"/>
      <protection locked="true" hidden="false"/>
    </xf>
    <xf numFmtId="248" fontId="62" fillId="0" borderId="14" xfId="15" applyFont="true" applyBorder="true" applyAlignment="true" applyProtection="true">
      <alignment horizontal="general" vertical="bottom" textRotation="0" wrapText="false" indent="0" shrinkToFit="false"/>
      <protection locked="true" hidden="false"/>
    </xf>
    <xf numFmtId="248" fontId="62" fillId="0" borderId="13" xfId="15" applyFont="true" applyBorder="true" applyAlignment="true" applyProtection="true">
      <alignment horizontal="general" vertical="bottom" textRotation="0" wrapText="false" indent="0" shrinkToFit="false"/>
      <protection locked="true" hidden="false"/>
    </xf>
    <xf numFmtId="169" fontId="110" fillId="0" borderId="0" xfId="0" applyFont="true" applyBorder="true" applyAlignment="false" applyProtection="false">
      <alignment horizontal="general" vertical="bottom" textRotation="0" wrapText="false" indent="0" shrinkToFit="false"/>
      <protection locked="true" hidden="false"/>
    </xf>
    <xf numFmtId="169" fontId="110" fillId="0" borderId="11" xfId="0" applyFont="true" applyBorder="true" applyAlignment="false" applyProtection="false">
      <alignment horizontal="general" vertical="bottom" textRotation="0" wrapText="false" indent="0" shrinkToFit="false"/>
      <protection locked="true" hidden="false"/>
    </xf>
    <xf numFmtId="169" fontId="57" fillId="0" borderId="3" xfId="0" applyFont="true" applyBorder="true" applyAlignment="false" applyProtection="false">
      <alignment horizontal="general" vertical="bottom" textRotation="0" wrapText="false" indent="0" shrinkToFit="false"/>
      <protection locked="true" hidden="false"/>
    </xf>
    <xf numFmtId="169" fontId="57" fillId="0" borderId="7" xfId="0" applyFont="true" applyBorder="true" applyAlignment="false" applyProtection="false">
      <alignment horizontal="general" vertical="bottom" textRotation="0" wrapText="false" indent="0" shrinkToFit="false"/>
      <protection locked="true" hidden="false"/>
    </xf>
    <xf numFmtId="235" fontId="57" fillId="2" borderId="9" xfId="1237" applyFont="true" applyBorder="true" applyAlignment="true" applyProtection="true">
      <alignment horizontal="general" vertical="bottom" textRotation="0" wrapText="false" indent="0" shrinkToFit="false"/>
      <protection locked="true" hidden="false"/>
    </xf>
    <xf numFmtId="235" fontId="122" fillId="2" borderId="5" xfId="1237" applyFont="true" applyBorder="true" applyAlignment="true" applyProtection="true">
      <alignment horizontal="right" vertical="bottom" textRotation="0" wrapText="false" indent="0" shrinkToFit="false"/>
      <protection locked="true" hidden="false"/>
    </xf>
    <xf numFmtId="235" fontId="12" fillId="0" borderId="0" xfId="1237" applyFont="true" applyBorder="true" applyAlignment="true" applyProtection="true">
      <alignment horizontal="general" vertical="bottom" textRotation="0" wrapText="false" indent="0" shrinkToFit="false"/>
      <protection locked="true" hidden="false"/>
    </xf>
    <xf numFmtId="235" fontId="57" fillId="2" borderId="3" xfId="1237" applyFont="true" applyBorder="true" applyAlignment="true" applyProtection="true">
      <alignment horizontal="general" vertical="bottom" textRotation="0" wrapText="false" indent="0" shrinkToFit="false"/>
      <protection locked="true" hidden="false"/>
    </xf>
    <xf numFmtId="235" fontId="57" fillId="2" borderId="7" xfId="1237"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164" fontId="123" fillId="0" borderId="4" xfId="0" applyFont="true" applyBorder="true" applyAlignment="true" applyProtection="true">
      <alignment horizontal="left" vertical="bottom" textRotation="0" wrapText="false" indent="0" shrinkToFit="false"/>
      <protection locked="false" hidden="false"/>
    </xf>
    <xf numFmtId="259" fontId="110" fillId="0" borderId="9" xfId="0" applyFont="true" applyBorder="true" applyAlignment="false" applyProtection="true">
      <alignment horizontal="general" vertical="bottom" textRotation="0" wrapText="false" indent="0" shrinkToFit="false"/>
      <protection locked="false" hidden="false"/>
    </xf>
    <xf numFmtId="259" fontId="124" fillId="0" borderId="0" xfId="0" applyFont="true" applyBorder="false" applyAlignment="false" applyProtection="true">
      <alignment horizontal="general" vertical="bottom" textRotation="0" wrapText="false" indent="0" shrinkToFit="false"/>
      <protection locked="false" hidden="false"/>
    </xf>
    <xf numFmtId="236" fontId="94" fillId="0" borderId="0" xfId="0" applyFont="true" applyBorder="true" applyAlignment="false" applyProtection="true">
      <alignment horizontal="general" vertical="bottom" textRotation="0" wrapText="false" indent="0" shrinkToFit="false"/>
      <protection locked="false" hidden="false"/>
    </xf>
    <xf numFmtId="236" fontId="57" fillId="0" borderId="0" xfId="0" applyFont="true" applyBorder="true" applyAlignment="false" applyProtection="true">
      <alignment horizontal="general" vertical="bottom" textRotation="0" wrapText="false" indent="0" shrinkToFit="false"/>
      <protection locked="true" hidden="false"/>
    </xf>
    <xf numFmtId="164" fontId="58" fillId="0" borderId="0" xfId="0" applyFont="true" applyBorder="false" applyAlignment="true" applyProtection="true">
      <alignment horizontal="center" vertical="bottom" textRotation="0" wrapText="false" indent="0" shrinkToFit="false"/>
      <protection locked="false" hidden="false"/>
    </xf>
    <xf numFmtId="240" fontId="94" fillId="0" borderId="0" xfId="0" applyFont="true" applyBorder="true" applyAlignment="false" applyProtection="true">
      <alignment horizontal="general" vertical="bottom" textRotation="0" wrapText="false" indent="0" shrinkToFit="false"/>
      <protection locked="false" hidden="false"/>
    </xf>
    <xf numFmtId="206" fontId="12" fillId="0" borderId="0" xfId="0" applyFont="true" applyBorder="false" applyAlignment="false" applyProtection="true">
      <alignment horizontal="general" vertical="bottom" textRotation="0" wrapText="false" indent="0" shrinkToFit="false"/>
      <protection locked="true" hidden="false"/>
    </xf>
    <xf numFmtId="260" fontId="12" fillId="0" borderId="0" xfId="0" applyFont="true" applyBorder="false" applyAlignment="false" applyProtection="true">
      <alignment horizontal="general" vertical="bottom" textRotation="0" wrapText="false" indent="0" shrinkToFit="false"/>
      <protection locked="true" hidden="false"/>
    </xf>
    <xf numFmtId="240" fontId="57" fillId="0" borderId="0" xfId="0" applyFont="true" applyBorder="true" applyAlignment="false" applyProtection="true">
      <alignment horizontal="general" vertical="bottom" textRotation="0" wrapText="false" indent="0" shrinkToFit="false"/>
      <protection locked="true" hidden="false"/>
    </xf>
    <xf numFmtId="265" fontId="94" fillId="0" borderId="0" xfId="0" applyFont="tru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true" hidden="false"/>
    </xf>
    <xf numFmtId="248" fontId="118" fillId="0" borderId="0" xfId="15" applyFont="true" applyBorder="true" applyAlignment="true" applyProtection="true">
      <alignment horizontal="general" vertical="bottom" textRotation="0" wrapText="false" indent="0" shrinkToFit="false"/>
      <protection locked="true" hidden="false"/>
    </xf>
    <xf numFmtId="248" fontId="118" fillId="0" borderId="11" xfId="15" applyFont="true" applyBorder="true" applyAlignment="true" applyProtection="true">
      <alignment horizontal="general" vertical="bottom" textRotation="0" wrapText="false" indent="0" shrinkToFit="false"/>
      <protection locked="true" hidden="false"/>
    </xf>
    <xf numFmtId="164" fontId="57" fillId="0" borderId="6" xfId="0" applyFont="true" applyBorder="true" applyAlignment="true" applyProtection="true">
      <alignment horizontal="left" vertical="bottom" textRotation="0" wrapText="false" indent="0" shrinkToFit="false"/>
      <protection locked="true" hidden="false"/>
    </xf>
    <xf numFmtId="164" fontId="57" fillId="0" borderId="3" xfId="0" applyFont="true" applyBorder="true" applyAlignment="false" applyProtection="true">
      <alignment horizontal="general" vertical="bottom" textRotation="0" wrapText="false" indent="0" shrinkToFit="false"/>
      <protection locked="true" hidden="false"/>
    </xf>
    <xf numFmtId="164" fontId="57" fillId="0" borderId="0" xfId="0" applyFont="true" applyBorder="false" applyAlignment="false" applyProtection="true">
      <alignment horizontal="general" vertical="bottom" textRotation="0" wrapText="false" indent="0" shrinkToFit="false"/>
      <protection locked="true" hidden="false"/>
    </xf>
    <xf numFmtId="164" fontId="123" fillId="0" borderId="10" xfId="0" applyFont="true" applyBorder="true" applyAlignment="true" applyProtection="true">
      <alignment horizontal="left" vertical="bottom" textRotation="0" wrapText="false" indent="0" shrinkToFit="false"/>
      <protection locked="false" hidden="false"/>
    </xf>
    <xf numFmtId="206" fontId="57" fillId="0" borderId="0" xfId="0" applyFont="true" applyBorder="true" applyAlignment="false" applyProtection="true">
      <alignment horizontal="general" vertical="bottom" textRotation="0" wrapText="false" indent="0" shrinkToFit="false"/>
      <protection locked="true" hidden="false"/>
    </xf>
    <xf numFmtId="164" fontId="12" fillId="0" borderId="10" xfId="0" applyFont="true" applyBorder="true" applyAlignment="false" applyProtection="false">
      <alignment horizontal="general" vertical="bottom" textRotation="0" wrapText="false" indent="0" shrinkToFit="false"/>
      <protection locked="true" hidden="false"/>
    </xf>
    <xf numFmtId="243" fontId="94" fillId="0" borderId="0" xfId="19" applyFont="true" applyBorder="true" applyAlignment="true" applyProtection="true">
      <alignment horizontal="general" vertical="bottom" textRotation="0" wrapText="false" indent="0" shrinkToFit="false"/>
      <protection locked="true" hidden="false"/>
    </xf>
    <xf numFmtId="243" fontId="94" fillId="0" borderId="11" xfId="19" applyFont="true" applyBorder="true" applyAlignment="true" applyProtection="true">
      <alignment horizontal="general" vertical="bottom" textRotation="0" wrapText="false" indent="0" shrinkToFit="false"/>
      <protection locked="true" hidden="false"/>
    </xf>
    <xf numFmtId="244" fontId="94" fillId="0" borderId="0" xfId="19" applyFont="true" applyBorder="true" applyAlignment="true" applyProtection="true">
      <alignment horizontal="general" vertical="bottom" textRotation="0" wrapText="false" indent="0" shrinkToFit="false"/>
      <protection locked="true" hidden="false"/>
    </xf>
    <xf numFmtId="243" fontId="58" fillId="0" borderId="0" xfId="19" applyFont="true" applyBorder="true" applyAlignment="true" applyProtection="true">
      <alignment horizontal="general" vertical="bottom" textRotation="0" wrapText="false" indent="0" shrinkToFit="false"/>
      <protection locked="true" hidden="false"/>
    </xf>
    <xf numFmtId="164" fontId="57" fillId="0" borderId="9" xfId="0" applyFont="true" applyBorder="true" applyAlignment="true" applyProtection="true">
      <alignment horizontal="right" vertical="bottom" textRotation="0" wrapText="false" indent="0" shrinkToFit="false"/>
      <protection locked="true" hidden="false"/>
    </xf>
    <xf numFmtId="235" fontId="57" fillId="0" borderId="9" xfId="1237" applyFont="true" applyBorder="true" applyAlignment="true" applyProtection="true">
      <alignment horizontal="right" vertical="bottom" textRotation="0" wrapText="false" indent="0" shrinkToFit="false"/>
      <protection locked="true" hidden="false"/>
    </xf>
    <xf numFmtId="235" fontId="57" fillId="0" borderId="5" xfId="1237" applyFont="true" applyBorder="true" applyAlignment="true" applyProtection="true">
      <alignment horizontal="general" vertical="bottom" textRotation="0" wrapText="false" indent="0" shrinkToFit="false"/>
      <protection locked="true" hidden="false"/>
    </xf>
    <xf numFmtId="235" fontId="25" fillId="0" borderId="0" xfId="1237" applyFont="false" applyBorder="true" applyAlignment="true" applyProtection="true">
      <alignment horizontal="right" vertical="bottom" textRotation="0" wrapText="false" indent="0" shrinkToFit="false"/>
      <protection locked="true" hidden="false"/>
    </xf>
    <xf numFmtId="247" fontId="94" fillId="0" borderId="0" xfId="17" applyFont="true" applyBorder="true" applyAlignment="true" applyProtection="true">
      <alignment horizontal="general" vertical="bottom" textRotation="0" wrapText="false" indent="0" shrinkToFit="false"/>
      <protection locked="true" hidden="false"/>
    </xf>
    <xf numFmtId="229" fontId="12" fillId="0" borderId="11" xfId="0" applyFont="true" applyBorder="true" applyAlignment="false" applyProtection="false">
      <alignment horizontal="general" vertical="bottom" textRotation="0" wrapText="false" indent="0" shrinkToFit="false"/>
      <protection locked="true" hidden="false"/>
    </xf>
    <xf numFmtId="243" fontId="12" fillId="0" borderId="0" xfId="19" applyFont="true" applyBorder="true" applyAlignment="true" applyProtection="true">
      <alignment horizontal="general" vertical="bottom" textRotation="0" wrapText="false" indent="0" shrinkToFit="false"/>
      <protection locked="true" hidden="false"/>
    </xf>
    <xf numFmtId="229" fontId="94" fillId="0" borderId="11" xfId="19" applyFont="true" applyBorder="true" applyAlignment="true" applyProtection="true">
      <alignment horizontal="general" vertical="bottom" textRotation="0" wrapText="false" indent="0" shrinkToFit="false"/>
      <protection locked="true" hidden="false"/>
    </xf>
    <xf numFmtId="229" fontId="57" fillId="0" borderId="11" xfId="17" applyFont="true" applyBorder="true" applyAlignment="true" applyProtection="true">
      <alignment horizontal="general" vertical="bottom" textRotation="0" wrapText="false" indent="0" shrinkToFit="false"/>
      <protection locked="true" hidden="false"/>
    </xf>
    <xf numFmtId="244" fontId="110" fillId="0" borderId="0" xfId="19" applyFont="true" applyBorder="true" applyAlignment="true" applyProtection="true">
      <alignment horizontal="general" vertical="bottom" textRotation="0" wrapText="false" indent="0" shrinkToFit="false"/>
      <protection locked="true" hidden="false"/>
    </xf>
    <xf numFmtId="169" fontId="57" fillId="0" borderId="0" xfId="19" applyFont="true" applyBorder="true" applyAlignment="true" applyProtection="true">
      <alignment horizontal="general" vertical="bottom" textRotation="0" wrapText="false" indent="0" shrinkToFit="false"/>
      <protection locked="true" hidden="false"/>
    </xf>
    <xf numFmtId="164" fontId="57" fillId="0" borderId="4" xfId="0" applyFont="true" applyBorder="true" applyAlignment="true" applyProtection="true">
      <alignment horizontal="center" vertical="bottom" textRotation="0" wrapText="true" indent="0" shrinkToFit="false"/>
      <protection locked="true" hidden="false"/>
    </xf>
    <xf numFmtId="164" fontId="57" fillId="0" borderId="5" xfId="0" applyFont="true" applyBorder="true" applyAlignment="true" applyProtection="false">
      <alignment horizontal="center" vertical="bottom" textRotation="0" wrapText="true" indent="0" shrinkToFit="false"/>
      <protection locked="true" hidden="false"/>
    </xf>
    <xf numFmtId="229" fontId="57" fillId="0" borderId="11" xfId="0" applyFont="true" applyBorder="true" applyAlignment="false" applyProtection="true">
      <alignment horizontal="general" vertical="bottom" textRotation="0" wrapText="false" indent="0" shrinkToFit="false"/>
      <protection locked="true" hidden="false"/>
    </xf>
    <xf numFmtId="243" fontId="57" fillId="0" borderId="10" xfId="19" applyFont="true" applyBorder="true" applyAlignment="true" applyProtection="true">
      <alignment horizontal="center" vertical="bottom" textRotation="0" wrapText="false" indent="0" shrinkToFit="false"/>
      <protection locked="false" hidden="false"/>
    </xf>
    <xf numFmtId="243" fontId="57" fillId="0" borderId="11" xfId="19" applyFont="true" applyBorder="true" applyAlignment="true" applyProtection="true">
      <alignment horizontal="center" vertical="bottom" textRotation="0" wrapText="false" indent="0" shrinkToFit="false"/>
      <protection locked="true" hidden="false"/>
    </xf>
    <xf numFmtId="243" fontId="57" fillId="0" borderId="6" xfId="19" applyFont="true" applyBorder="true" applyAlignment="true" applyProtection="true">
      <alignment horizontal="center" vertical="bottom" textRotation="0" wrapText="false" indent="0" shrinkToFit="false"/>
      <protection locked="false" hidden="false"/>
    </xf>
    <xf numFmtId="243" fontId="57" fillId="0" borderId="7" xfId="19" applyFont="true" applyBorder="true" applyAlignment="true" applyProtection="true">
      <alignment horizontal="center" vertical="bottom" textRotation="0" wrapText="false" indent="0" shrinkToFit="false"/>
      <protection locked="true" hidden="false"/>
    </xf>
    <xf numFmtId="244" fontId="112" fillId="0" borderId="24" xfId="19" applyFont="true" applyBorder="true" applyAlignment="true" applyProtection="true">
      <alignment horizontal="center" vertical="bottom" textRotation="0" wrapText="false" indent="0" shrinkToFit="false"/>
      <protection locked="false" hidden="false"/>
    </xf>
    <xf numFmtId="217" fontId="110" fillId="0" borderId="0" xfId="17" applyFont="true" applyBorder="true" applyAlignment="true" applyProtection="true">
      <alignment horizontal="general" vertical="bottom" textRotation="0" wrapText="false" indent="0" shrinkToFit="false"/>
      <protection locked="true" hidden="false"/>
    </xf>
    <xf numFmtId="229" fontId="110" fillId="0" borderId="11" xfId="17" applyFont="true" applyBorder="true" applyAlignment="true" applyProtection="true">
      <alignment horizontal="general" vertical="bottom" textRotation="0" wrapText="false" indent="0" shrinkToFit="false"/>
      <protection locked="true" hidden="false"/>
    </xf>
    <xf numFmtId="248" fontId="125" fillId="0" borderId="0" xfId="15" applyFont="true" applyBorder="true" applyAlignment="true" applyProtection="true">
      <alignment horizontal="general" vertical="bottom" textRotation="0" wrapText="false" indent="0" shrinkToFit="false"/>
      <protection locked="true" hidden="false"/>
    </xf>
    <xf numFmtId="247" fontId="62" fillId="0" borderId="26" xfId="0" applyFont="true" applyBorder="true" applyAlignment="true" applyProtection="false">
      <alignment horizontal="center" vertical="bottom" textRotation="0" wrapText="false" indent="0" shrinkToFit="false"/>
      <protection locked="true" hidden="false"/>
    </xf>
    <xf numFmtId="164" fontId="25" fillId="0" borderId="6" xfId="0" applyFont="true" applyBorder="true" applyAlignment="false" applyProtection="false">
      <alignment horizontal="general" vertical="bottom" textRotation="0" wrapText="false" indent="0" shrinkToFit="false"/>
      <protection locked="true" hidden="false"/>
    </xf>
    <xf numFmtId="247" fontId="25" fillId="0" borderId="0" xfId="17" applyFont="true" applyBorder="true" applyAlignment="true" applyProtection="true">
      <alignment horizontal="general" vertical="bottom" textRotation="0" wrapText="false" indent="0" shrinkToFit="false"/>
      <protection locked="true" hidden="false"/>
    </xf>
    <xf numFmtId="240" fontId="94" fillId="0" borderId="0" xfId="0" applyFont="true" applyBorder="false" applyAlignment="false" applyProtection="true">
      <alignment horizontal="general" vertical="bottom" textRotation="0" wrapText="false" indent="0" shrinkToFit="false"/>
      <protection locked="false" hidden="false"/>
    </xf>
    <xf numFmtId="164" fontId="64" fillId="0" borderId="0" xfId="0" applyFont="true" applyBorder="false" applyAlignment="tru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center" vertical="bottom" textRotation="0" wrapText="false" indent="0" shrinkToFit="false"/>
      <protection locked="true" hidden="false"/>
    </xf>
    <xf numFmtId="243" fontId="57" fillId="0" borderId="0" xfId="0" applyFont="true" applyBorder="false" applyAlignment="false" applyProtection="true">
      <alignment horizontal="general" vertical="bottom" textRotation="0" wrapText="false" indent="0" shrinkToFit="false"/>
      <protection locked="true" hidden="false"/>
    </xf>
    <xf numFmtId="243" fontId="57" fillId="0" borderId="0" xfId="0" applyFont="true" applyBorder="false" applyAlignment="false" applyProtection="false">
      <alignment horizontal="general" vertical="bottom" textRotation="0" wrapText="false" indent="0" shrinkToFit="false"/>
      <protection locked="true" hidden="false"/>
    </xf>
    <xf numFmtId="249" fontId="126" fillId="0" borderId="0" xfId="19" applyFont="true" applyBorder="true" applyAlignment="true" applyProtection="true">
      <alignment horizontal="general" vertical="bottom" textRotation="0" wrapText="false" indent="0" shrinkToFit="false"/>
      <protection locked="true" hidden="false"/>
    </xf>
    <xf numFmtId="247" fontId="57" fillId="0" borderId="0" xfId="0" applyFont="true" applyBorder="false" applyAlignment="false" applyProtection="false">
      <alignment horizontal="general" vertical="bottom" textRotation="0" wrapText="false" indent="0" shrinkToFit="false"/>
      <protection locked="true" hidden="false"/>
    </xf>
    <xf numFmtId="170" fontId="57" fillId="0" borderId="0" xfId="0" applyFont="true" applyBorder="false" applyAlignment="false" applyProtection="false">
      <alignment horizontal="general" vertical="bottom" textRotation="0" wrapText="false" indent="0" shrinkToFit="false"/>
      <protection locked="true" hidden="false"/>
    </xf>
    <xf numFmtId="249" fontId="127" fillId="0" borderId="0" xfId="19" applyFont="true" applyBorder="true" applyAlignment="true" applyProtection="true">
      <alignment horizontal="general" vertical="bottom" textRotation="0" wrapText="false" indent="0" shrinkToFit="false"/>
      <protection locked="true" hidden="false"/>
    </xf>
    <xf numFmtId="249" fontId="57" fillId="0" borderId="0" xfId="0" applyFont="true" applyBorder="false" applyAlignment="false" applyProtection="false">
      <alignment horizontal="general" vertical="bottom" textRotation="0" wrapText="false" indent="0" shrinkToFit="false"/>
      <protection locked="true" hidden="false"/>
    </xf>
    <xf numFmtId="164" fontId="114" fillId="0" borderId="0" xfId="1293" applyFont="true" applyBorder="false" applyAlignment="false" applyProtection="false">
      <alignment horizontal="general" vertical="bottom" textRotation="0" wrapText="false" indent="0" shrinkToFit="false"/>
      <protection locked="true" hidden="false"/>
    </xf>
    <xf numFmtId="164" fontId="128" fillId="0" borderId="0" xfId="1293" applyFont="true" applyBorder="false" applyAlignment="false" applyProtection="false">
      <alignment horizontal="general" vertical="bottom" textRotation="0" wrapText="false" indent="0" shrinkToFit="false"/>
      <protection locked="true" hidden="false"/>
    </xf>
    <xf numFmtId="164" fontId="129" fillId="2" borderId="9" xfId="1293" applyFont="true" applyBorder="true" applyAlignment="false" applyProtection="false">
      <alignment horizontal="general" vertical="bottom" textRotation="0" wrapText="false" indent="0" shrinkToFit="false"/>
      <protection locked="true" hidden="false"/>
    </xf>
    <xf numFmtId="164" fontId="129" fillId="2" borderId="5" xfId="1293" applyFont="true" applyBorder="true" applyAlignment="false" applyProtection="false">
      <alignment horizontal="general" vertical="bottom" textRotation="0" wrapText="false" indent="0" shrinkToFit="false"/>
      <protection locked="true" hidden="false"/>
    </xf>
    <xf numFmtId="164" fontId="129" fillId="0" borderId="0" xfId="1293" applyFont="true" applyBorder="false" applyAlignment="false" applyProtection="false">
      <alignment horizontal="general" vertical="bottom" textRotation="0" wrapText="false" indent="0" shrinkToFit="false"/>
      <protection locked="true" hidden="false"/>
    </xf>
    <xf numFmtId="164" fontId="129" fillId="0" borderId="0" xfId="1293" applyFont="true" applyBorder="false" applyAlignment="true" applyProtection="false">
      <alignment horizontal="center" vertical="bottom" textRotation="0" wrapText="false" indent="0" shrinkToFit="false"/>
      <protection locked="true" hidden="false"/>
    </xf>
    <xf numFmtId="164" fontId="130" fillId="0" borderId="0" xfId="1293" applyFont="true" applyBorder="false" applyAlignment="false" applyProtection="false">
      <alignment horizontal="general" vertical="bottom" textRotation="0" wrapText="false" indent="0" shrinkToFit="false"/>
      <protection locked="true" hidden="false"/>
    </xf>
    <xf numFmtId="164" fontId="129" fillId="2" borderId="3" xfId="1293" applyFont="true" applyBorder="true" applyAlignment="false" applyProtection="false">
      <alignment horizontal="general" vertical="bottom" textRotation="0" wrapText="false" indent="0" shrinkToFit="false"/>
      <protection locked="true" hidden="false"/>
    </xf>
    <xf numFmtId="164" fontId="129" fillId="2" borderId="7" xfId="1293" applyFont="true" applyBorder="true" applyAlignment="false" applyProtection="false">
      <alignment horizontal="general" vertical="bottom" textRotation="0" wrapText="false" indent="0" shrinkToFit="false"/>
      <protection locked="true" hidden="false"/>
    </xf>
    <xf numFmtId="164" fontId="64" fillId="0" borderId="0" xfId="0" applyFont="true" applyBorder="true" applyAlignment="false" applyProtection="false">
      <alignment horizontal="general" vertical="bottom" textRotation="0" wrapText="false" indent="0" shrinkToFit="false"/>
      <protection locked="true" hidden="false"/>
    </xf>
    <xf numFmtId="164" fontId="123" fillId="0" borderId="0" xfId="1293" applyFont="true" applyBorder="true" applyAlignment="false" applyProtection="false">
      <alignment horizontal="general" vertical="bottom" textRotation="0" wrapText="false" indent="0" shrinkToFit="false"/>
      <protection locked="true" hidden="false"/>
    </xf>
    <xf numFmtId="164" fontId="129" fillId="0" borderId="0" xfId="1293" applyFont="true" applyBorder="true" applyAlignment="false" applyProtection="false">
      <alignment horizontal="general" vertical="bottom" textRotation="0" wrapText="false" indent="0" shrinkToFit="false"/>
      <protection locked="true" hidden="false"/>
    </xf>
    <xf numFmtId="164" fontId="123" fillId="0" borderId="0" xfId="1293" applyFont="true" applyBorder="false" applyAlignment="true" applyProtection="false">
      <alignment horizontal="center" vertical="bottom" textRotation="0" wrapText="false" indent="0" shrinkToFit="false"/>
      <protection locked="true" hidden="false"/>
    </xf>
    <xf numFmtId="164" fontId="123" fillId="0" borderId="4" xfId="1293" applyFont="true" applyBorder="true" applyAlignment="false" applyProtection="false">
      <alignment horizontal="general" vertical="bottom" textRotation="0" wrapText="false" indent="0" shrinkToFit="false"/>
      <protection locked="true" hidden="false"/>
    </xf>
    <xf numFmtId="164" fontId="114" fillId="0" borderId="9" xfId="1293" applyFont="true" applyBorder="true" applyAlignment="false" applyProtection="false">
      <alignment horizontal="general" vertical="bottom" textRotation="0" wrapText="false" indent="0" shrinkToFit="false"/>
      <protection locked="true" hidden="false"/>
    </xf>
    <xf numFmtId="246" fontId="112" fillId="0" borderId="5" xfId="1293" applyFont="true" applyBorder="true" applyAlignment="false" applyProtection="false">
      <alignment horizontal="general" vertical="bottom" textRotation="0" wrapText="false" indent="0" shrinkToFit="false"/>
      <protection locked="true" hidden="false"/>
    </xf>
    <xf numFmtId="246" fontId="63" fillId="0" borderId="0" xfId="1293" applyFont="true" applyBorder="true" applyAlignment="false" applyProtection="false">
      <alignment horizontal="general" vertical="bottom" textRotation="0" wrapText="false" indent="0" shrinkToFit="false"/>
      <protection locked="true" hidden="false"/>
    </xf>
    <xf numFmtId="164" fontId="123" fillId="0" borderId="10" xfId="1293" applyFont="true" applyBorder="true" applyAlignment="false" applyProtection="false">
      <alignment horizontal="general" vertical="bottom" textRotation="0" wrapText="false" indent="0" shrinkToFit="false"/>
      <protection locked="true" hidden="false"/>
    </xf>
    <xf numFmtId="164" fontId="114" fillId="0" borderId="0" xfId="1293" applyFont="true" applyBorder="true" applyAlignment="false" applyProtection="false">
      <alignment horizontal="general" vertical="bottom" textRotation="0" wrapText="false" indent="0" shrinkToFit="false"/>
      <protection locked="true" hidden="false"/>
    </xf>
    <xf numFmtId="243" fontId="123" fillId="0" borderId="11" xfId="1293" applyFont="true" applyBorder="true" applyAlignment="false" applyProtection="false">
      <alignment horizontal="general" vertical="bottom" textRotation="0" wrapText="false" indent="0" shrinkToFit="false"/>
      <protection locked="true" hidden="false"/>
    </xf>
    <xf numFmtId="243" fontId="123" fillId="0" borderId="0" xfId="1293" applyFont="true" applyBorder="true" applyAlignment="false" applyProtection="false">
      <alignment horizontal="general" vertical="bottom" textRotation="0" wrapText="false" indent="0" shrinkToFit="false"/>
      <protection locked="true" hidden="false"/>
    </xf>
    <xf numFmtId="170" fontId="123" fillId="0" borderId="0" xfId="1080" applyFont="true" applyBorder="true" applyAlignment="true" applyProtection="true">
      <alignment horizontal="general" vertical="bottom" textRotation="0" wrapText="false" indent="0" shrinkToFit="false"/>
      <protection locked="true" hidden="false"/>
    </xf>
    <xf numFmtId="235" fontId="112" fillId="0" borderId="11" xfId="1293" applyFont="true" applyBorder="true" applyAlignment="false" applyProtection="false">
      <alignment horizontal="general" vertical="bottom" textRotation="0" wrapText="false" indent="0" shrinkToFit="false"/>
      <protection locked="true" hidden="false"/>
    </xf>
    <xf numFmtId="235" fontId="123" fillId="0" borderId="0" xfId="1293" applyFont="true" applyBorder="true" applyAlignment="false" applyProtection="false">
      <alignment horizontal="general" vertical="bottom" textRotation="0" wrapText="false" indent="0" shrinkToFit="false"/>
      <protection locked="true" hidden="false"/>
    </xf>
    <xf numFmtId="164" fontId="123" fillId="0" borderId="0" xfId="1293" applyFont="true" applyBorder="false" applyAlignment="false" applyProtection="false">
      <alignment horizontal="general" vertical="bottom" textRotation="0" wrapText="false" indent="0" shrinkToFit="false"/>
      <protection locked="true" hidden="false"/>
    </xf>
    <xf numFmtId="164" fontId="114" fillId="0" borderId="10" xfId="1293" applyFont="true" applyBorder="true" applyAlignment="false" applyProtection="false">
      <alignment horizontal="general" vertical="bottom" textRotation="0" wrapText="false" indent="0" shrinkToFit="false"/>
      <protection locked="true" hidden="false"/>
    </xf>
    <xf numFmtId="164" fontId="114" fillId="0" borderId="11" xfId="1293" applyFont="true" applyBorder="true" applyAlignment="false" applyProtection="false">
      <alignment horizontal="general" vertical="bottom" textRotation="0" wrapText="false" indent="0" shrinkToFit="false"/>
      <protection locked="true" hidden="false"/>
    </xf>
    <xf numFmtId="243" fontId="112" fillId="0" borderId="11" xfId="1293" applyFont="true" applyBorder="true" applyAlignment="false" applyProtection="false">
      <alignment horizontal="general" vertical="bottom" textRotation="0" wrapText="false" indent="0" shrinkToFit="false"/>
      <protection locked="true" hidden="false"/>
    </xf>
    <xf numFmtId="170" fontId="123" fillId="0" borderId="0" xfId="1293" applyFont="true" applyBorder="false" applyAlignment="false" applyProtection="false">
      <alignment horizontal="general" vertical="bottom" textRotation="0" wrapText="false" indent="0" shrinkToFit="false"/>
      <protection locked="true" hidden="false"/>
    </xf>
    <xf numFmtId="235" fontId="112" fillId="0" borderId="11" xfId="1293" applyFont="true" applyBorder="true" applyAlignment="false" applyProtection="false">
      <alignment horizontal="general" vertical="bottom" textRotation="0" wrapText="false" indent="0" shrinkToFit="false"/>
      <protection locked="true" hidden="false"/>
    </xf>
    <xf numFmtId="235" fontId="123" fillId="0" borderId="0" xfId="1293" applyFont="true" applyBorder="true" applyAlignment="false" applyProtection="false">
      <alignment horizontal="general" vertical="bottom" textRotation="0" wrapText="false" indent="0" shrinkToFit="false"/>
      <protection locked="true" hidden="false"/>
    </xf>
    <xf numFmtId="243" fontId="114" fillId="0" borderId="0" xfId="1293" applyFont="true" applyBorder="false" applyAlignment="false" applyProtection="false">
      <alignment horizontal="general" vertical="bottom" textRotation="0" wrapText="false" indent="0" shrinkToFit="false"/>
      <protection locked="true" hidden="false"/>
    </xf>
    <xf numFmtId="164" fontId="114" fillId="0" borderId="6" xfId="1293" applyFont="true" applyBorder="true" applyAlignment="false" applyProtection="false">
      <alignment horizontal="general" vertical="bottom" textRotation="0" wrapText="false" indent="0" shrinkToFit="false"/>
      <protection locked="true" hidden="false"/>
    </xf>
    <xf numFmtId="164" fontId="114" fillId="0" borderId="3" xfId="1293" applyFont="true" applyBorder="true" applyAlignment="false" applyProtection="false">
      <alignment horizontal="general" vertical="bottom" textRotation="0" wrapText="false" indent="0" shrinkToFit="false"/>
      <protection locked="true" hidden="false"/>
    </xf>
    <xf numFmtId="164" fontId="123" fillId="0" borderId="7" xfId="1293" applyFont="true" applyBorder="true" applyAlignment="false" applyProtection="false">
      <alignment horizontal="general" vertical="bottom" textRotation="0" wrapText="false" indent="0" shrinkToFit="false"/>
      <protection locked="true" hidden="false"/>
    </xf>
    <xf numFmtId="164" fontId="123" fillId="0" borderId="6" xfId="1293" applyFont="true" applyBorder="true" applyAlignment="false" applyProtection="false">
      <alignment horizontal="general" vertical="bottom" textRotation="0" wrapText="false" indent="0" shrinkToFit="false"/>
      <protection locked="true" hidden="false"/>
    </xf>
    <xf numFmtId="246" fontId="123" fillId="0" borderId="7" xfId="1293" applyFont="true" applyBorder="true" applyAlignment="false" applyProtection="false">
      <alignment horizontal="general" vertical="bottom" textRotation="0" wrapText="false" indent="0" shrinkToFit="false"/>
      <protection locked="true" hidden="false"/>
    </xf>
    <xf numFmtId="246" fontId="123" fillId="0" borderId="0" xfId="1293" applyFont="true" applyBorder="true" applyAlignment="false" applyProtection="false">
      <alignment horizontal="general" vertical="bottom" textRotation="0" wrapText="false" indent="0" shrinkToFit="false"/>
      <protection locked="true" hidden="false"/>
    </xf>
    <xf numFmtId="231" fontId="114" fillId="0" borderId="0" xfId="1293" applyFont="true" applyBorder="false" applyAlignment="false" applyProtection="false">
      <alignment horizontal="general" vertical="bottom" textRotation="0" wrapText="false" indent="0" shrinkToFit="false"/>
      <protection locked="true" hidden="false"/>
    </xf>
    <xf numFmtId="231" fontId="128" fillId="0" borderId="0" xfId="1293" applyFont="true" applyBorder="false" applyAlignment="false" applyProtection="false">
      <alignment horizontal="general" vertical="bottom" textRotation="0" wrapText="false" indent="0" shrinkToFit="false"/>
      <protection locked="true" hidden="false"/>
    </xf>
    <xf numFmtId="164" fontId="123" fillId="0" borderId="8" xfId="1293" applyFont="true" applyBorder="true" applyAlignment="true" applyProtection="false">
      <alignment horizontal="center" vertical="bottom" textRotation="0" wrapText="false" indent="0" shrinkToFit="false"/>
      <protection locked="true" hidden="false"/>
    </xf>
    <xf numFmtId="164" fontId="123" fillId="0" borderId="13" xfId="1293" applyFont="true" applyBorder="true" applyAlignment="true" applyProtection="false">
      <alignment horizontal="center" vertical="bottom" textRotation="0" wrapText="false" indent="0" shrinkToFit="false"/>
      <protection locked="true" hidden="false"/>
    </xf>
    <xf numFmtId="164" fontId="114" fillId="0" borderId="25" xfId="1293" applyFont="true" applyBorder="true" applyAlignment="false" applyProtection="false">
      <alignment horizontal="general" vertical="bottom" textRotation="0" wrapText="false" indent="0" shrinkToFit="false"/>
      <protection locked="true" hidden="false"/>
    </xf>
    <xf numFmtId="164" fontId="123" fillId="0" borderId="25" xfId="1293" applyFont="true" applyBorder="true" applyAlignment="false" applyProtection="false">
      <alignment horizontal="general" vertical="bottom" textRotation="0" wrapText="false" indent="0" shrinkToFit="false"/>
      <protection locked="true" hidden="false"/>
    </xf>
    <xf numFmtId="164" fontId="123" fillId="0" borderId="11" xfId="1293" applyFont="true" applyBorder="true" applyAlignment="false" applyProtection="false">
      <alignment horizontal="general" vertical="bottom" textRotation="0" wrapText="false" indent="0" shrinkToFit="false"/>
      <protection locked="true" hidden="false"/>
    </xf>
    <xf numFmtId="164" fontId="114" fillId="0" borderId="25" xfId="1293" applyFont="true" applyBorder="true" applyAlignment="true" applyProtection="false">
      <alignment horizontal="center" vertical="bottom" textRotation="0" wrapText="false" indent="0" shrinkToFit="false"/>
      <protection locked="true" hidden="false"/>
    </xf>
    <xf numFmtId="250" fontId="114" fillId="0" borderId="25" xfId="1293" applyFont="true" applyBorder="true" applyAlignment="false" applyProtection="false">
      <alignment horizontal="general" vertical="bottom" textRotation="0" wrapText="false" indent="0" shrinkToFit="false"/>
      <protection locked="true" hidden="false"/>
    </xf>
    <xf numFmtId="246" fontId="94" fillId="0" borderId="25" xfId="1293" applyFont="true" applyBorder="true" applyAlignment="false" applyProtection="false">
      <alignment horizontal="general" vertical="bottom" textRotation="0" wrapText="false" indent="0" shrinkToFit="false"/>
      <protection locked="true" hidden="false"/>
    </xf>
    <xf numFmtId="239" fontId="114" fillId="0" borderId="25" xfId="1293" applyFont="true" applyBorder="true" applyAlignment="false" applyProtection="false">
      <alignment horizontal="general" vertical="bottom" textRotation="0" wrapText="false" indent="0" shrinkToFit="false"/>
      <protection locked="true" hidden="false"/>
    </xf>
    <xf numFmtId="246" fontId="114" fillId="0" borderId="11" xfId="1293" applyFont="true" applyBorder="true" applyAlignment="false" applyProtection="false">
      <alignment horizontal="general" vertical="bottom" textRotation="0" wrapText="false" indent="0" shrinkToFit="false"/>
      <protection locked="true" hidden="false"/>
    </xf>
    <xf numFmtId="246" fontId="114" fillId="0" borderId="25" xfId="1293" applyFont="true" applyBorder="true" applyAlignment="false" applyProtection="false">
      <alignment horizontal="general" vertical="bottom" textRotation="0" wrapText="false" indent="0" shrinkToFit="false"/>
      <protection locked="true" hidden="false"/>
    </xf>
    <xf numFmtId="164" fontId="114" fillId="0" borderId="26" xfId="1293" applyFont="true" applyBorder="true" applyAlignment="true" applyProtection="false">
      <alignment horizontal="center" vertical="bottom" textRotation="0" wrapText="false" indent="0" shrinkToFit="false"/>
      <protection locked="true" hidden="false"/>
    </xf>
    <xf numFmtId="250" fontId="114" fillId="0" borderId="26" xfId="1293" applyFont="true" applyBorder="true" applyAlignment="false" applyProtection="false">
      <alignment horizontal="general" vertical="bottom" textRotation="0" wrapText="false" indent="0" shrinkToFit="false"/>
      <protection locked="true" hidden="false"/>
    </xf>
    <xf numFmtId="246" fontId="94" fillId="0" borderId="26" xfId="1293" applyFont="true" applyBorder="true" applyAlignment="false" applyProtection="false">
      <alignment horizontal="general" vertical="bottom" textRotation="0" wrapText="false" indent="0" shrinkToFit="false"/>
      <protection locked="true" hidden="false"/>
    </xf>
    <xf numFmtId="239" fontId="114" fillId="0" borderId="26" xfId="1293" applyFont="true" applyBorder="true" applyAlignment="false" applyProtection="false">
      <alignment horizontal="general" vertical="bottom" textRotation="0" wrapText="false" indent="0" shrinkToFit="false"/>
      <protection locked="true" hidden="false"/>
    </xf>
    <xf numFmtId="246" fontId="114" fillId="0" borderId="26" xfId="1293" applyFont="true" applyBorder="true" applyAlignment="false" applyProtection="false">
      <alignment horizontal="general" vertical="bottom" textRotation="0" wrapText="false" indent="0" shrinkToFit="false"/>
      <protection locked="true" hidden="false"/>
    </xf>
    <xf numFmtId="246" fontId="114" fillId="0" borderId="7" xfId="1293" applyFont="true" applyBorder="true" applyAlignment="false" applyProtection="false">
      <alignment horizontal="general" vertical="bottom" textRotation="0" wrapText="false" indent="0" shrinkToFit="false"/>
      <protection locked="true" hidden="false"/>
    </xf>
    <xf numFmtId="250" fontId="114" fillId="0" borderId="0" xfId="1293" applyFont="true" applyBorder="true" applyAlignment="false" applyProtection="false">
      <alignment horizontal="general" vertical="bottom" textRotation="0" wrapText="false" indent="0" shrinkToFit="false"/>
      <protection locked="true" hidden="false"/>
    </xf>
    <xf numFmtId="250" fontId="130" fillId="0" borderId="0" xfId="1293" applyFont="true" applyBorder="true" applyAlignment="false" applyProtection="false">
      <alignment horizontal="general" vertical="bottom" textRotation="0" wrapText="false" indent="0" shrinkToFit="false"/>
      <protection locked="true" hidden="false"/>
    </xf>
    <xf numFmtId="250" fontId="94" fillId="0" borderId="0" xfId="1293" applyFont="true" applyBorder="true" applyAlignment="false" applyProtection="false">
      <alignment horizontal="general" vertical="bottom" textRotation="0" wrapText="false" indent="0" shrinkToFit="false"/>
      <protection locked="true" hidden="false"/>
    </xf>
    <xf numFmtId="250" fontId="131" fillId="0" borderId="0" xfId="1293" applyFont="true" applyBorder="true" applyAlignment="false" applyProtection="false">
      <alignment horizontal="general" vertical="bottom" textRotation="0" wrapText="false" indent="0" shrinkToFit="false"/>
      <protection locked="true" hidden="false"/>
    </xf>
    <xf numFmtId="164" fontId="130" fillId="0" borderId="0" xfId="1293" applyFont="true" applyBorder="true" applyAlignment="false" applyProtection="false">
      <alignment horizontal="general" vertical="bottom" textRotation="0" wrapText="false" indent="0" shrinkToFit="false"/>
      <protection locked="true" hidden="false"/>
    </xf>
    <xf numFmtId="246" fontId="114" fillId="0" borderId="0" xfId="1293" applyFont="true" applyBorder="true" applyAlignment="false" applyProtection="false">
      <alignment horizontal="general" vertical="bottom" textRotation="0" wrapText="false" indent="0" shrinkToFit="false"/>
      <protection locked="true" hidden="false"/>
    </xf>
    <xf numFmtId="246" fontId="130" fillId="0" borderId="0" xfId="1293" applyFont="true" applyBorder="true" applyAlignment="false" applyProtection="false">
      <alignment horizontal="general" vertical="bottom" textRotation="0" wrapText="false" indent="0" shrinkToFit="false"/>
      <protection locked="true" hidden="false"/>
    </xf>
    <xf numFmtId="246" fontId="114" fillId="0" borderId="0" xfId="1293"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259" fontId="84" fillId="0" borderId="0" xfId="0" applyFont="true" applyBorder="false" applyAlignment="false" applyProtection="true">
      <alignment horizontal="general" vertical="bottom" textRotation="0" wrapText="false" indent="0" shrinkToFit="false"/>
      <protection locked="true" hidden="false"/>
    </xf>
    <xf numFmtId="164" fontId="53" fillId="0" borderId="0" xfId="0" applyFont="true" applyBorder="false" applyAlignment="false" applyProtection="false">
      <alignment horizontal="general" vertical="bottom" textRotation="0" wrapText="false" indent="0" shrinkToFit="false"/>
      <protection locked="true" hidden="false"/>
    </xf>
    <xf numFmtId="164" fontId="57" fillId="0" borderId="4" xfId="0" applyFont="true" applyBorder="true" applyAlignment="false" applyProtection="false">
      <alignment horizontal="general" vertical="bottom" textRotation="0" wrapText="false" indent="0" shrinkToFit="false"/>
      <protection locked="true" hidden="false"/>
    </xf>
    <xf numFmtId="206" fontId="57" fillId="0" borderId="0" xfId="0" applyFont="true" applyBorder="true" applyAlignment="false" applyProtection="false">
      <alignment horizontal="general" vertical="bottom" textRotation="0" wrapText="false" indent="0" shrinkToFit="false"/>
      <protection locked="true" hidden="false"/>
    </xf>
    <xf numFmtId="164" fontId="25" fillId="0" borderId="10" xfId="0" applyFont="true" applyBorder="true" applyAlignment="false" applyProtection="false">
      <alignment horizontal="general" vertical="bottom" textRotation="0" wrapText="false" indent="0" shrinkToFit="false"/>
      <protection locked="true" hidden="false"/>
    </xf>
    <xf numFmtId="252" fontId="57" fillId="0" borderId="0" xfId="0" applyFont="true" applyBorder="false" applyAlignment="false" applyProtection="false">
      <alignment horizontal="general" vertical="bottom" textRotation="0" wrapText="false" indent="0" shrinkToFit="false"/>
      <protection locked="true" hidden="false"/>
    </xf>
    <xf numFmtId="242" fontId="57" fillId="0" borderId="0" xfId="0" applyFont="true" applyBorder="false" applyAlignment="false" applyProtection="false">
      <alignment horizontal="general" vertical="bottom" textRotation="0" wrapText="false" indent="0" shrinkToFit="false"/>
      <protection locked="true" hidden="false"/>
    </xf>
    <xf numFmtId="250" fontId="0" fillId="0" borderId="0" xfId="19" applyFont="true" applyBorder="true" applyAlignment="true" applyProtection="true">
      <alignment horizontal="general" vertical="bottom" textRotation="0" wrapText="false" indent="0" shrinkToFit="false"/>
      <protection locked="true" hidden="false"/>
    </xf>
    <xf numFmtId="164" fontId="67" fillId="0" borderId="4" xfId="0" applyFont="true" applyBorder="true" applyAlignment="true" applyProtection="false">
      <alignment horizontal="general" vertical="bottom" textRotation="0" wrapText="true" indent="0" shrinkToFit="false"/>
      <protection locked="true" hidden="false"/>
    </xf>
    <xf numFmtId="243" fontId="0" fillId="0" borderId="5" xfId="19" applyFont="true" applyBorder="true" applyAlignment="true" applyProtection="true">
      <alignment horizontal="general" vertical="bottom" textRotation="0" wrapText="false" indent="0" shrinkToFit="false"/>
      <protection locked="true" hidden="false"/>
    </xf>
    <xf numFmtId="164" fontId="67" fillId="0" borderId="9" xfId="0" applyFont="true" applyBorder="true" applyAlignment="true" applyProtection="false">
      <alignment horizontal="general" vertical="bottom" textRotation="0" wrapText="true" indent="0" shrinkToFit="true"/>
      <protection locked="true" hidden="false"/>
    </xf>
    <xf numFmtId="164" fontId="67" fillId="0" borderId="9" xfId="0" applyFont="true" applyBorder="true" applyAlignment="false" applyProtection="false">
      <alignment horizontal="general" vertical="bottom" textRotation="0" wrapText="false" indent="0" shrinkToFit="false"/>
      <protection locked="true" hidden="false"/>
    </xf>
    <xf numFmtId="164" fontId="67" fillId="0" borderId="9" xfId="0" applyFont="true" applyBorder="true" applyAlignment="true" applyProtection="false">
      <alignment horizontal="general" vertical="bottom" textRotation="0" wrapText="true" indent="0" shrinkToFit="false"/>
      <protection locked="true" hidden="false"/>
    </xf>
    <xf numFmtId="164" fontId="67" fillId="0" borderId="5" xfId="0" applyFont="true" applyBorder="true" applyAlignment="false" applyProtection="false">
      <alignment horizontal="general" vertical="bottom" textRotation="0" wrapText="false" indent="0" shrinkToFit="false"/>
      <protection locked="true" hidden="false"/>
    </xf>
    <xf numFmtId="164" fontId="67" fillId="0" borderId="10" xfId="0" applyFont="true" applyBorder="true" applyAlignment="true" applyProtection="false">
      <alignment horizontal="general" vertical="bottom" textRotation="0" wrapText="true" indent="0" shrinkToFit="false"/>
      <protection locked="true" hidden="false"/>
    </xf>
    <xf numFmtId="180" fontId="0" fillId="0" borderId="11" xfId="19" applyFont="true" applyBorder="true" applyAlignment="true" applyProtection="true">
      <alignment horizontal="general" vertical="bottom" textRotation="0" wrapText="false" indent="0" shrinkToFit="false"/>
      <protection locked="true" hidden="false"/>
    </xf>
    <xf numFmtId="243" fontId="0" fillId="0" borderId="0" xfId="19" applyFont="true" applyBorder="true" applyAlignment="true" applyProtection="true">
      <alignment horizontal="general" vertical="bottom" textRotation="0" wrapText="false" indent="0" shrinkToFit="false"/>
      <protection locked="true" hidden="false"/>
    </xf>
    <xf numFmtId="243" fontId="0" fillId="0" borderId="11" xfId="19" applyFont="true" applyBorder="true" applyAlignment="true" applyProtection="true">
      <alignment horizontal="general" vertical="bottom" textRotation="0" wrapText="false" indent="0" shrinkToFit="false"/>
      <protection locked="true" hidden="false"/>
    </xf>
    <xf numFmtId="164" fontId="67" fillId="0" borderId="10" xfId="0" applyFont="tru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9" fontId="0" fillId="0" borderId="3" xfId="0" applyFont="false" applyBorder="true" applyAlignment="false" applyProtection="false">
      <alignment horizontal="general" vertical="bottom" textRotation="0" wrapText="false" indent="0" shrinkToFit="false"/>
      <protection locked="true" hidden="false"/>
    </xf>
    <xf numFmtId="243" fontId="0" fillId="0" borderId="3" xfId="19" applyFont="true" applyBorder="true" applyAlignment="true" applyProtection="true">
      <alignment horizontal="general" vertical="bottom" textRotation="0" wrapText="false" indent="0" shrinkToFit="false"/>
      <protection locked="true" hidden="false"/>
    </xf>
    <xf numFmtId="243" fontId="0" fillId="0" borderId="7" xfId="19" applyFont="true" applyBorder="true" applyAlignment="true" applyProtection="true">
      <alignment horizontal="general" vertical="bottom" textRotation="0" wrapText="false" indent="0" shrinkToFit="false"/>
      <protection locked="true" hidden="false"/>
    </xf>
  </cellXfs>
  <cellStyles count="1658">
    <cellStyle name="Normal" xfId="0" builtinId="0"/>
    <cellStyle name="Comma" xfId="15" builtinId="3"/>
    <cellStyle name="Comma [0]" xfId="16" builtinId="6"/>
    <cellStyle name="Currency" xfId="17" builtinId="4"/>
    <cellStyle name="Currency [0]" xfId="18" builtinId="7"/>
    <cellStyle name="Percent" xfId="19" builtinId="5"/>
    <cellStyle name="?? [0]_94???" xfId="20"/>
    <cellStyle name="?? [0]_94???_demand analysisrevised" xfId="21"/>
    <cellStyle name="?? [0]_??" xfId="22"/>
    <cellStyle name="?? [0]_???" xfId="23"/>
    <cellStyle name="?? [0]_?????" xfId="24"/>
    <cellStyle name="?? [0]_?????_???" xfId="25"/>
    <cellStyle name="?? [0]_?????_???_demand analysisrevised" xfId="26"/>
    <cellStyle name="?? [0]_?????_demand analysisrevised" xfId="27"/>
    <cellStyle name="?? [0]_???_demand analysisrevised" xfId="28"/>
    <cellStyle name="?? [0]_??_demand analysisrevised" xfId="29"/>
    <cellStyle name="?? [0]_dimon" xfId="30"/>
    <cellStyle name="?? [0]_form" xfId="31"/>
    <cellStyle name="?? [0]_form_demand analysisrevised" xfId="32"/>
    <cellStyle name="?? [0]_laroux" xfId="33"/>
    <cellStyle name="?? [0]_laroux_1" xfId="34"/>
    <cellStyle name="?? [0]_laroux_1_demand analysisrevised" xfId="35"/>
    <cellStyle name="?? [0]_laroux_2" xfId="36"/>
    <cellStyle name="?? [0]_laroux_demand analysisrevised" xfId="37"/>
    <cellStyle name="?? [0]_PERSONAL" xfId="38"/>
    <cellStyle name="?? [0]_PERSONAL_1" xfId="39"/>
    <cellStyle name="?? [0]_PERSONAL_1_demand analysisrevised" xfId="40"/>
    <cellStyle name="?? [0]_PERSONAL_2" xfId="41"/>
    <cellStyle name="?? [0]_PERSONAL_2_demand analysisrevised" xfId="42"/>
    <cellStyle name="?? [0]_PERSONAL_3" xfId="43"/>
    <cellStyle name="?? [0]_PERSONAL_demand analysisrevised" xfId="44"/>
    <cellStyle name="?? [0]_Sheet2" xfId="45"/>
    <cellStyle name="??_94???" xfId="46"/>
    <cellStyle name="??_94???_demand analysisrevised" xfId="47"/>
    <cellStyle name="??_970120" xfId="48"/>
    <cellStyle name="??_97???" xfId="49"/>
    <cellStyle name="??_?.????" xfId="50"/>
    <cellStyle name="??_??" xfId="51"/>
    <cellStyle name="??_???" xfId="52"/>
    <cellStyle name="??_????" xfId="53"/>
    <cellStyle name="??_?????" xfId="54"/>
    <cellStyle name="??_?????_1" xfId="55"/>
    <cellStyle name="??_?????_2" xfId="56"/>
    <cellStyle name="??_?????_???" xfId="57"/>
    <cellStyle name="??_?????_???_demand analysisrevised" xfId="58"/>
    <cellStyle name="??_?????_???_demand analysisrevised_1" xfId="59"/>
    <cellStyle name="??_?????_demand analysisrevised" xfId="60"/>
    <cellStyle name="??_?????_demand analysisrevised_1" xfId="61"/>
    <cellStyle name="??_????_1" xfId="62"/>
    <cellStyle name="??_???_demand analysisrevised" xfId="63"/>
    <cellStyle name="??_???_demand analysisrevised_1" xfId="64"/>
    <cellStyle name="??_??_1" xfId="65"/>
    <cellStyle name="??_??_????" xfId="66"/>
    <cellStyle name="??_??_????_demand analysisrevised" xfId="67"/>
    <cellStyle name="??_??_demand analysisrevised" xfId="68"/>
    <cellStyle name="??_??_demand analysisrevised_1" xfId="69"/>
    <cellStyle name="??_??_demand analysisrevised_2" xfId="70"/>
    <cellStyle name="??_BEBU_GI" xfId="71"/>
    <cellStyle name="??_dimon" xfId="72"/>
    <cellStyle name="??_dimon_demand analysisrevised" xfId="73"/>
    <cellStyle name="??_form" xfId="74"/>
    <cellStyle name="??_form_demand analysisrevised" xfId="75"/>
    <cellStyle name="??_form_demand analysisrevised_1" xfId="76"/>
    <cellStyle name="??_ga_PB" xfId="77"/>
    <cellStyle name="??_laroux" xfId="78"/>
    <cellStyle name="??_laroux_1" xfId="79"/>
    <cellStyle name="??_laroux_1_demand analysisrevised" xfId="80"/>
    <cellStyle name="??_laroux_1_demand analysisrevised_1" xfId="81"/>
    <cellStyle name="??_laroux_2" xfId="82"/>
    <cellStyle name="??_laroux_2_demand analysisrevised" xfId="83"/>
    <cellStyle name="??_laroux_3" xfId="84"/>
    <cellStyle name="??_laroux_4" xfId="85"/>
    <cellStyle name="??_laroux_5" xfId="86"/>
    <cellStyle name="??_laroux_6" xfId="87"/>
    <cellStyle name="??_laroux_7" xfId="88"/>
    <cellStyle name="??_laroux_8" xfId="89"/>
    <cellStyle name="??_laroux_demand analysisrevised" xfId="90"/>
    <cellStyle name="??_laroux_demand analysisrevised_1" xfId="91"/>
    <cellStyle name="??_PERSONAL" xfId="92"/>
    <cellStyle name="??_PERSONAL_1" xfId="93"/>
    <cellStyle name="??_PERSONAL_1_demand analysisrevised" xfId="94"/>
    <cellStyle name="??_PERSONAL_1_demand analysisrevised_1" xfId="95"/>
    <cellStyle name="??_PERSONAL_2" xfId="96"/>
    <cellStyle name="??_PERSONAL_2_demand analysisrevised" xfId="97"/>
    <cellStyle name="??_PERSONAL_2_demand analysisrevised_1" xfId="98"/>
    <cellStyle name="??_PERSONAL_3" xfId="99"/>
    <cellStyle name="??_PERSONAL_3_demand analysisrevised" xfId="100"/>
    <cellStyle name="??_PERSONAL_4" xfId="101"/>
    <cellStyle name="??_PERSONAL_demand analysisrevised" xfId="102"/>
    <cellStyle name="??_PERSONAL_demand analysisrevised_1" xfId="103"/>
    <cellStyle name="??_Query11" xfId="104"/>
    <cellStyle name="??_Sheet1" xfId="105"/>
    <cellStyle name="??_Sheet1 (2)" xfId="106"/>
    <cellStyle name="??_Sheet2" xfId="107"/>
    <cellStyle name="??_Sheet2_demand analysisrevised" xfId="108"/>
    <cellStyle name="Actual Date" xfId="109"/>
    <cellStyle name="Comma [0]_12matrix" xfId="110"/>
    <cellStyle name="Comma [0]_1995" xfId="111"/>
    <cellStyle name="Comma [0]_A" xfId="112"/>
    <cellStyle name="Comma [0]_A_dimon" xfId="113"/>
    <cellStyle name="Comma [0]_A_dimon_1" xfId="114"/>
    <cellStyle name="Comma [0]_ACTUAL" xfId="115"/>
    <cellStyle name="Comma [0]_ACTUAL NA -OBU" xfId="116"/>
    <cellStyle name="Comma [0]_Actual vs." xfId="117"/>
    <cellStyle name="Comma [0]_algasdefault" xfId="118"/>
    <cellStyle name="Comma [0]_Alternative1" xfId="119"/>
    <cellStyle name="Comma [0]_Alternative1_1" xfId="120"/>
    <cellStyle name="Comma [0]_App E" xfId="121"/>
    <cellStyle name="Comma [0]_Apr" xfId="122"/>
    <cellStyle name="Comma [0]_Arapahoe" xfId="123"/>
    <cellStyle name="Comma [0]_Assumptions" xfId="124"/>
    <cellStyle name="Comma [0]_Assumptions_dimon" xfId="125"/>
    <cellStyle name="Comma [0]_Assumptions_summary" xfId="126"/>
    <cellStyle name="Comma [0]_B" xfId="127"/>
    <cellStyle name="Comma [0]_bahiadefault" xfId="128"/>
    <cellStyle name="Comma [0]_Book3" xfId="129"/>
    <cellStyle name="Comma [0]_BOP" xfId="130"/>
    <cellStyle name="Comma [0]_BOPBAL1" xfId="131"/>
    <cellStyle name="Comma [0]_BOPCBU" xfId="132"/>
    <cellStyle name="Comma [0]_BOPCBU (2)" xfId="133"/>
    <cellStyle name="Comma [0]_BOPCBU96" xfId="134"/>
    <cellStyle name="Comma [0]_BSAPPE.XLS" xfId="135"/>
    <cellStyle name="Comma [0]_Calculations" xfId="136"/>
    <cellStyle name="Comma [0]_Calculations (2)" xfId="137"/>
    <cellStyle name="Comma [0]_Calculations II" xfId="138"/>
    <cellStyle name="Comma [0]_Calculations III" xfId="139"/>
    <cellStyle name="Comma [0]_Calculations_1" xfId="140"/>
    <cellStyle name="Comma [0]_CAPEX" xfId="141"/>
    <cellStyle name="Comma [0]_CAPEX94" xfId="142"/>
    <cellStyle name="Comma [0]_CapInt" xfId="143"/>
    <cellStyle name="Comma [0]_Cashflow" xfId="144"/>
    <cellStyle name="Comma [0]_CBU BOX CHART V PLAN" xfId="145"/>
    <cellStyle name="Comma [0]_CCA" xfId="146"/>
    <cellStyle name="Comma [0]_CCOCPX" xfId="147"/>
    <cellStyle name="Comma [0]_CFMODEL" xfId="148"/>
    <cellStyle name="Comma [0]_CFTEST49" xfId="149"/>
    <cellStyle name="Comma [0]_CHANGES.XLS" xfId="150"/>
    <cellStyle name="Comma [0]_Charts" xfId="151"/>
    <cellStyle name="Comma [0]_Comm File" xfId="152"/>
    <cellStyle name="Comma [0]_coperdefault" xfId="153"/>
    <cellStyle name="Comma [0]_Corp method" xfId="154"/>
    <cellStyle name="Comma [0]_CTCUR" xfId="155"/>
    <cellStyle name="Comma [0]_CUMPLTCH" xfId="156"/>
    <cellStyle name="Comma [0]_Curve_Economics" xfId="157"/>
    <cellStyle name="Comma [0]_DEFAULT" xfId="158"/>
    <cellStyle name="Comma [0]_DeskCurves" xfId="159"/>
    <cellStyle name="Comma [0]_dimon" xfId="160"/>
    <cellStyle name="Comma [0]_Dowell C1b" xfId="161"/>
    <cellStyle name="Comma [0]_Dowell-C1a" xfId="162"/>
    <cellStyle name="Comma [0]_E&amp;ONW1" xfId="163"/>
    <cellStyle name="Comma [0]_E&amp;ONW2" xfId="164"/>
    <cellStyle name="Comma [0]_E&amp;OOCPX" xfId="165"/>
    <cellStyle name="Comma [0]_emserdefault" xfId="166"/>
    <cellStyle name="Comma [0]_EVER1" xfId="167"/>
    <cellStyle name="Comma [0]_F&amp;COCPX" xfId="168"/>
    <cellStyle name="Comma [0]_FEBRUARY" xfId="169"/>
    <cellStyle name="Comma [0]_FF" xfId="170"/>
    <cellStyle name="Comma [0]_FP 20 A (1)" xfId="171"/>
    <cellStyle name="Comma [0]_FP 20 A (2)" xfId="172"/>
    <cellStyle name="Comma [0]_FP-20 (App. E)" xfId="173"/>
    <cellStyle name="Comma [0]_FP-20 (App.A) " xfId="174"/>
    <cellStyle name="Comma [0]_FP-20 (App.D)" xfId="175"/>
    <cellStyle name="Comma [0]_FP-20(App.B)" xfId="176"/>
    <cellStyle name="Comma [0]_FP-20(C1) (a)" xfId="177"/>
    <cellStyle name="Comma [0]_FP-20(C1) (a) (2)" xfId="178"/>
    <cellStyle name="Comma [0]_FP-20(C1) (b)" xfId="179"/>
    <cellStyle name="Comma [0]_FP-20(C1) (b) " xfId="180"/>
    <cellStyle name="Comma [0]_FP-20(C1) (b) (2)" xfId="181"/>
    <cellStyle name="Comma [0]_GASDATA1" xfId="182"/>
    <cellStyle name="Comma [0]_GASDATA1 (2)" xfId="183"/>
    <cellStyle name="Comma [0]_GCM" xfId="184"/>
    <cellStyle name="Comma [0]_GenAssum" xfId="185"/>
    <cellStyle name="Comma [0]_GenMod" xfId="186"/>
    <cellStyle name="Comma [0]_GP C1a" xfId="187"/>
    <cellStyle name="Comma [0]_GP C1b" xfId="188"/>
    <cellStyle name="Comma [0]_GP_EI_3" xfId="189"/>
    <cellStyle name="Comma [0]_GQ C1A" xfId="190"/>
    <cellStyle name="Comma [0]_GQ C1B" xfId="191"/>
    <cellStyle name="Comma [0]_H" xfId="192"/>
    <cellStyle name="Comma [0]_Inputs" xfId="193"/>
    <cellStyle name="Comma [0]_Int. Data Table" xfId="194"/>
    <cellStyle name="Comma [0]_IPM C1b" xfId="195"/>
    <cellStyle name="Comma [0]_IPMC1a" xfId="196"/>
    <cellStyle name="Comma [0]_IPP" xfId="197"/>
    <cellStyle name="Comma [0]_IS-Hold" xfId="198"/>
    <cellStyle name="Comma [0]_ITOCPX" xfId="199"/>
    <cellStyle name="Comma [0]_jancf" xfId="200"/>
    <cellStyle name="Comma [0]_JUNMTH55" xfId="201"/>
    <cellStyle name="Comma [0]_JUNMTH57" xfId="202"/>
    <cellStyle name="Comma [0]_JUNYTD55" xfId="203"/>
    <cellStyle name="Comma [0]_JUNYTD57" xfId="204"/>
    <cellStyle name="Comma [0]_laroux" xfId="205"/>
    <cellStyle name="Comma [0]_laroux_1" xfId="206"/>
    <cellStyle name="Comma [0]_laroux_1995" xfId="207"/>
    <cellStyle name="Comma [0]_laroux_1_dimon" xfId="208"/>
    <cellStyle name="Comma [0]_laroux_1_dimon_1" xfId="209"/>
    <cellStyle name="Comma [0]_laroux_1_laroux" xfId="210"/>
    <cellStyle name="Comma [0]_laroux_1_pldt" xfId="211"/>
    <cellStyle name="Comma [0]_laroux_1_PLDT_dimon" xfId="212"/>
    <cellStyle name="Comma [0]_laroux_1_VERA" xfId="213"/>
    <cellStyle name="Comma [0]_laroux_1_VIRUS-EDY" xfId="214"/>
    <cellStyle name="Comma [0]_laroux_2" xfId="215"/>
    <cellStyle name="Comma [0]_laroux_2_dimon" xfId="216"/>
    <cellStyle name="Comma [0]_laroux_2_dimon_1" xfId="217"/>
    <cellStyle name="Comma [0]_laroux_2_dimon_2" xfId="218"/>
    <cellStyle name="Comma [0]_laroux_2_laroux" xfId="219"/>
    <cellStyle name="Comma [0]_laroux_2_laroux_dimon" xfId="220"/>
    <cellStyle name="Comma [0]_laroux_2_pldt" xfId="221"/>
    <cellStyle name="Comma [0]_laroux_2_VERA" xfId="222"/>
    <cellStyle name="Comma [0]_laroux_3" xfId="223"/>
    <cellStyle name="Comma [0]_laroux_3_dimon" xfId="224"/>
    <cellStyle name="Comma [0]_laroux_dimon" xfId="225"/>
    <cellStyle name="Comma [0]_laroux_dimon_1" xfId="226"/>
    <cellStyle name="Comma [0]_laroux_laroux" xfId="227"/>
    <cellStyle name="Comma [0]_laroux_laroux_1" xfId="228"/>
    <cellStyle name="Comma [0]_laroux_laroux_dimon" xfId="229"/>
    <cellStyle name="Comma [0]_laroux_MATERAL2" xfId="230"/>
    <cellStyle name="Comma [0]_laroux_MATERAL2_dimon" xfId="231"/>
    <cellStyle name="Comma [0]_laroux_MATERAL2_laroux" xfId="232"/>
    <cellStyle name="Comma [0]_laroux_MATERAL2_laroux_dimon" xfId="233"/>
    <cellStyle name="Comma [0]_laroux_MATERAL2_pldt" xfId="234"/>
    <cellStyle name="Comma [0]_laroux_MATERAL2_VERA" xfId="235"/>
    <cellStyle name="Comma [0]_laroux_MATERAL2_VIRUS-EDY" xfId="236"/>
    <cellStyle name="Comma [0]_laroux_mud plant bolted" xfId="237"/>
    <cellStyle name="Comma [0]_laroux_mud plant bolted_dimon" xfId="238"/>
    <cellStyle name="Comma [0]_laroux_mud plant bolted_dimon_1" xfId="239"/>
    <cellStyle name="Comma [0]_laroux_pldt" xfId="240"/>
    <cellStyle name="Comma [0]_laroux_VERA" xfId="241"/>
    <cellStyle name="Comma [0]_laroux_VERA_1" xfId="242"/>
    <cellStyle name="Comma [0]_laroux_VIRUS-EDY" xfId="243"/>
    <cellStyle name="Comma [0]_MATERAL2" xfId="244"/>
    <cellStyle name="Comma [0]_MATERAL2_dimon" xfId="245"/>
    <cellStyle name="Comma [0]_MATERAL2_dimon_1" xfId="246"/>
    <cellStyle name="Comma [0]_MKGOCPX" xfId="247"/>
    <cellStyle name="Comma [0]_MOBCPX" xfId="248"/>
    <cellStyle name="Comma [0]_Module1" xfId="249"/>
    <cellStyle name="Comma [0]_mud plant bolted" xfId="250"/>
    <cellStyle name="Comma [0]_mud plant bolted_dimon" xfId="251"/>
    <cellStyle name="Comma [0]_mud plant bolted_laroux" xfId="252"/>
    <cellStyle name="Comma [0]_mud plant bolted_laroux_dimon" xfId="253"/>
    <cellStyle name="Comma [0]_mud plant bolted_pldt" xfId="254"/>
    <cellStyle name="Comma [0]_mud plant bolted_VERA" xfId="255"/>
    <cellStyle name="Comma [0]_mud plant bolted_VIRUS-EDY" xfId="256"/>
    <cellStyle name="Comma [0]_NA WITHOUT GOV'T &amp; PNX" xfId="257"/>
    <cellStyle name="Comma [0]_NAOBU10" xfId="258"/>
    <cellStyle name="Comma [0]_NAT ACCT" xfId="259"/>
    <cellStyle name="Comma [0]_NSACTUAL.XLS" xfId="260"/>
    <cellStyle name="Comma [0]_NX00" xfId="261"/>
    <cellStyle name="Comma [0]_Odner" xfId="262"/>
    <cellStyle name="Comma [0]_Odner (2)" xfId="263"/>
    <cellStyle name="Comma [0]_Odner (3)" xfId="264"/>
    <cellStyle name="Comma [0]_OFFDATA1" xfId="265"/>
    <cellStyle name="Comma [0]_OFFDATA1 (2)" xfId="266"/>
    <cellStyle name="Comma [0]_Operations" xfId="267"/>
    <cellStyle name="Comma [0]_opsmacro" xfId="268"/>
    <cellStyle name="Comma [0]_OSMOCPX" xfId="269"/>
    <cellStyle name="Comma [0]_Other Months" xfId="270"/>
    <cellStyle name="Comma [0]_Outlook" xfId="271"/>
    <cellStyle name="Comma [0]_pbdefault" xfId="272"/>
    <cellStyle name="Comma [0]_percentages" xfId="273"/>
    <cellStyle name="Comma [0]_PERSONAL" xfId="274"/>
    <cellStyle name="Comma [0]_PGMKOCPX" xfId="275"/>
    <cellStyle name="Comma [0]_PGNW1" xfId="276"/>
    <cellStyle name="Comma [0]_PGNW2" xfId="277"/>
    <cellStyle name="Comma [0]_PGNWOCPX" xfId="278"/>
    <cellStyle name="Comma [0]_Pink" xfId="279"/>
    <cellStyle name="Comma [0]_PKDATA1" xfId="280"/>
    <cellStyle name="Comma [0]_PKDATA1 (2)" xfId="281"/>
    <cellStyle name="Comma [0]_Plan" xfId="282"/>
    <cellStyle name="Comma [0]_PLANT" xfId="283"/>
    <cellStyle name="Comma [0]_PLDT" xfId="284"/>
    <cellStyle name="Comma [0]_pldt_1" xfId="285"/>
    <cellStyle name="Comma [0]_PLDT_1_dimon" xfId="286"/>
    <cellStyle name="Comma [0]_pldt_Calculations" xfId="287"/>
    <cellStyle name="Comma [0]_PLDT_dimon" xfId="288"/>
    <cellStyle name="Comma [0]_priccurv" xfId="289"/>
    <cellStyle name="Comma [0]_PriceCurve" xfId="290"/>
    <cellStyle name="Comma [0]_PriceCurve_1" xfId="291"/>
    <cellStyle name="Comma [0]_PROCDS&amp;G" xfId="292"/>
    <cellStyle name="Comma [0]_PROFILE4" xfId="293"/>
    <cellStyle name="Comma [0]_Projects" xfId="294"/>
    <cellStyle name="Comma [0]_Quarter End Months" xfId="295"/>
    <cellStyle name="Comma [0]_r1" xfId="296"/>
    <cellStyle name="Comma [0]_RFI" xfId="297"/>
    <cellStyle name="Comma [0]_RFI_1" xfId="298"/>
    <cellStyle name="Comma [0]_Sales Order" xfId="299"/>
    <cellStyle name="Comma [0]_SATOCPX" xfId="300"/>
    <cellStyle name="Comma [0]_ScreeningModel" xfId="301"/>
    <cellStyle name="Comma [0]_SELECT" xfId="302"/>
    <cellStyle name="Comma [0]_Sheet1" xfId="303"/>
    <cellStyle name="Comma [0]_Sheet1_dimon" xfId="304"/>
    <cellStyle name="Comma [0]_SHENREPT" xfId="305"/>
    <cellStyle name="Comma [0]_Snr. CO" xfId="306"/>
    <cellStyle name="Comma [0]_sprint contr" xfId="307"/>
    <cellStyle name="Comma [0]_Subcont File" xfId="308"/>
    <cellStyle name="Comma [0]_SUMMARY" xfId="309"/>
    <cellStyle name="Comma [0]_Summary Info" xfId="310"/>
    <cellStyle name="Comma [0]_SUMPAGE" xfId="311"/>
    <cellStyle name="Comma [0]_Template" xfId="312"/>
    <cellStyle name="Comma [0]_TMSNW1" xfId="313"/>
    <cellStyle name="Comma [0]_TMSNW2" xfId="314"/>
    <cellStyle name="Comma [0]_TMSOCPX" xfId="315"/>
    <cellStyle name="Comma [0]_TOTAL MTH" xfId="316"/>
    <cellStyle name="Comma [0]_TOTAL YTD" xfId="317"/>
    <cellStyle name="Comma [0]_TRANSDSC.XLS" xfId="318"/>
    <cellStyle name="Comma [0]_TRANSFXA.XLS" xfId="319"/>
    <cellStyle name="Comma [0]_TRANSFXA.XLS_1" xfId="320"/>
    <cellStyle name="Comma [0]_TRANSIME.XLS" xfId="321"/>
    <cellStyle name="Comma [0]_TRANSIME.XLS_TRANSDSC.XLS" xfId="322"/>
    <cellStyle name="Comma [0]_TRANSIME.XLS_TRANSFXA.XLS" xfId="323"/>
    <cellStyle name="Comma [0]_VIRUS-EDY" xfId="324"/>
    <cellStyle name="Comma [0]_White" xfId="325"/>
    <cellStyle name="Comma [0]_WO Var. &amp; Tot. Exp." xfId="326"/>
    <cellStyle name="Comma [0]_WSP" xfId="327"/>
    <cellStyle name="Comma [0]_yrcao" xfId="328"/>
    <cellStyle name="Comma [0]_YREND55" xfId="329"/>
    <cellStyle name="Comma [0]_YREND57" xfId="330"/>
    <cellStyle name="Comma [0]_YTDCUR" xfId="331"/>
    <cellStyle name="Comma_12matrix" xfId="332"/>
    <cellStyle name="Comma_1995" xfId="333"/>
    <cellStyle name="Comma_A" xfId="334"/>
    <cellStyle name="Comma_A_dimon" xfId="335"/>
    <cellStyle name="Comma_A_dimon_1" xfId="336"/>
    <cellStyle name="Comma_ACTUAL" xfId="337"/>
    <cellStyle name="Comma_ACTUAL NA -OBU" xfId="338"/>
    <cellStyle name="Comma_Actual vs." xfId="339"/>
    <cellStyle name="Comma_algasdefault" xfId="340"/>
    <cellStyle name="Comma_algasdefault_1" xfId="341"/>
    <cellStyle name="Comma_Alternative1" xfId="342"/>
    <cellStyle name="Comma_Alternative1_1" xfId="343"/>
    <cellStyle name="Comma_App E" xfId="344"/>
    <cellStyle name="Comma_Apr" xfId="345"/>
    <cellStyle name="Comma_Arapahoe" xfId="346"/>
    <cellStyle name="Comma_Assumptions" xfId="347"/>
    <cellStyle name="Comma_Assumptions_dimon" xfId="348"/>
    <cellStyle name="Comma_Assumptions_summary" xfId="349"/>
    <cellStyle name="Comma_B" xfId="350"/>
    <cellStyle name="Comma_bahiadefault" xfId="351"/>
    <cellStyle name="Comma_bahiadefault_1" xfId="352"/>
    <cellStyle name="Comma_Book3" xfId="353"/>
    <cellStyle name="Comma_BOP" xfId="354"/>
    <cellStyle name="Comma_BOPBAL1" xfId="355"/>
    <cellStyle name="Comma_BOPCBU" xfId="356"/>
    <cellStyle name="Comma_BOPCBU (2)" xfId="357"/>
    <cellStyle name="Comma_BOPCBU96" xfId="358"/>
    <cellStyle name="Comma_BSAPPE.XLS" xfId="359"/>
    <cellStyle name="Comma_C-Cap intensity" xfId="360"/>
    <cellStyle name="Comma_C-Capex%rev" xfId="361"/>
    <cellStyle name="Comma_C-Line per Staff" xfId="362"/>
    <cellStyle name="Comma_C-lines distribution" xfId="363"/>
    <cellStyle name="Comma_C-Orig PLDT lines" xfId="364"/>
    <cellStyle name="Comma_C-Ret on Rev" xfId="365"/>
    <cellStyle name="Comma_C-ROACE" xfId="366"/>
    <cellStyle name="Comma_Calculations" xfId="367"/>
    <cellStyle name="Comma_Calculations (2)" xfId="368"/>
    <cellStyle name="Comma_Calculations II" xfId="369"/>
    <cellStyle name="Comma_Calculations III" xfId="370"/>
    <cellStyle name="Comma_Calculations_1" xfId="371"/>
    <cellStyle name="Comma_Capex" xfId="372"/>
    <cellStyle name="Comma_Capex per line" xfId="373"/>
    <cellStyle name="Comma_Capex%rev" xfId="374"/>
    <cellStyle name="Comma_CAPEX94" xfId="375"/>
    <cellStyle name="Comma_CAPEX_dimon" xfId="376"/>
    <cellStyle name="Comma_CapInt" xfId="377"/>
    <cellStyle name="Comma_Cashflow" xfId="378"/>
    <cellStyle name="Comma_CBU BOX CHART V PLAN" xfId="379"/>
    <cellStyle name="Comma_CCA" xfId="380"/>
    <cellStyle name="Comma_CCOCPX" xfId="381"/>
    <cellStyle name="Comma_CFMODEL" xfId="382"/>
    <cellStyle name="Comma_CFMODEL_summary" xfId="383"/>
    <cellStyle name="Comma_CFtest3" xfId="384"/>
    <cellStyle name="Comma_CFTEST49" xfId="385"/>
    <cellStyle name="Comma_CHANGES.XLS" xfId="386"/>
    <cellStyle name="Comma_Charts" xfId="387"/>
    <cellStyle name="Comma_Cht-Capex per line" xfId="388"/>
    <cellStyle name="Comma_Cht-Cum Real Opr Cf" xfId="389"/>
    <cellStyle name="Comma_Cht-Dep%Rev" xfId="390"/>
    <cellStyle name="Comma_Cht-Real Opr Cf" xfId="391"/>
    <cellStyle name="Comma_Cht-Rev dist" xfId="392"/>
    <cellStyle name="Comma_Cht-Rev p line" xfId="393"/>
    <cellStyle name="Comma_Cht-Rev per Staff" xfId="394"/>
    <cellStyle name="Comma_Cht-Staff cost%revenue" xfId="395"/>
    <cellStyle name="Comma_Comm File" xfId="396"/>
    <cellStyle name="Comma_coperdefault" xfId="397"/>
    <cellStyle name="Comma_coperdefault_1" xfId="398"/>
    <cellStyle name="Comma_Corp method" xfId="399"/>
    <cellStyle name="Comma_CROCF" xfId="400"/>
    <cellStyle name="Comma_CTCUR" xfId="401"/>
    <cellStyle name="Comma_Cum Real Opr Cf" xfId="402"/>
    <cellStyle name="Comma_CUMPLTCH" xfId="403"/>
    <cellStyle name="Comma_Curve_Economics" xfId="404"/>
    <cellStyle name="Comma_DEFAULT" xfId="405"/>
    <cellStyle name="Comma_Demand Fcst." xfId="406"/>
    <cellStyle name="Comma_Dep%Rev" xfId="407"/>
    <cellStyle name="Comma_DeskCurves" xfId="408"/>
    <cellStyle name="Comma_dimon" xfId="409"/>
    <cellStyle name="Comma_dimon_1" xfId="410"/>
    <cellStyle name="Comma_Dowell C1b" xfId="411"/>
    <cellStyle name="Comma_Dowell-C1a" xfId="412"/>
    <cellStyle name="Comma_E&amp;ONW1" xfId="413"/>
    <cellStyle name="Comma_E&amp;ONW2" xfId="414"/>
    <cellStyle name="Comma_E&amp;OOCPX" xfId="415"/>
    <cellStyle name="Comma_emserdefault" xfId="416"/>
    <cellStyle name="Comma_emserdefault_1" xfId="417"/>
    <cellStyle name="Comma_EPS" xfId="418"/>
    <cellStyle name="Comma_EVER1" xfId="419"/>
    <cellStyle name="Comma_F&amp;COCPX" xfId="420"/>
    <cellStyle name="Comma_FEBRUARY" xfId="421"/>
    <cellStyle name="Comma_FF" xfId="422"/>
    <cellStyle name="Comma_FP 20 A (1)" xfId="423"/>
    <cellStyle name="Comma_FP 20 A (2)" xfId="424"/>
    <cellStyle name="Comma_FP-20 (App. E)" xfId="425"/>
    <cellStyle name="Comma_FP-20 (App.A) " xfId="426"/>
    <cellStyle name="Comma_FP-20 (App.D)" xfId="427"/>
    <cellStyle name="Comma_FP-20(App.B)" xfId="428"/>
    <cellStyle name="Comma_FP-20(C1) (a)" xfId="429"/>
    <cellStyle name="Comma_FP-20(C1) (a) (2)" xfId="430"/>
    <cellStyle name="Comma_FP-20(C1) (b)" xfId="431"/>
    <cellStyle name="Comma_FP-20(C1) (b) " xfId="432"/>
    <cellStyle name="Comma_FP-20(C1) (b) (2)" xfId="433"/>
    <cellStyle name="Comma_GASDATA1" xfId="434"/>
    <cellStyle name="Comma_GASDATA1 (2)" xfId="435"/>
    <cellStyle name="Comma_GASDATA1_1" xfId="436"/>
    <cellStyle name="Comma_GCM" xfId="437"/>
    <cellStyle name="Comma_GenAssum" xfId="438"/>
    <cellStyle name="Comma_GenMod" xfId="439"/>
    <cellStyle name="Comma_GP C1a" xfId="440"/>
    <cellStyle name="Comma_GP C1b" xfId="441"/>
    <cellStyle name="Comma_GP_EI_3" xfId="442"/>
    <cellStyle name="Comma_GQ C1A" xfId="443"/>
    <cellStyle name="Comma_GQ C1B" xfId="444"/>
    <cellStyle name="Comma_H" xfId="445"/>
    <cellStyle name="Comma_Inputs" xfId="446"/>
    <cellStyle name="Comma_Int. Data Table" xfId="447"/>
    <cellStyle name="Comma_IPM C1b" xfId="448"/>
    <cellStyle name="Comma_IPMC1a" xfId="449"/>
    <cellStyle name="Comma_IPP" xfId="450"/>
    <cellStyle name="Comma_IRR" xfId="451"/>
    <cellStyle name="Comma_IS-Hold" xfId="452"/>
    <cellStyle name="Comma_ITOCPX" xfId="453"/>
    <cellStyle name="Comma_jancf" xfId="454"/>
    <cellStyle name="Comma_JUNMTH55" xfId="455"/>
    <cellStyle name="Comma_JUNMTH57" xfId="456"/>
    <cellStyle name="Comma_JUNYTD55" xfId="457"/>
    <cellStyle name="Comma_JUNYTD57" xfId="458"/>
    <cellStyle name="Comma_laroux" xfId="459"/>
    <cellStyle name="Comma_laroux_1" xfId="460"/>
    <cellStyle name="Comma_laroux_1995" xfId="461"/>
    <cellStyle name="Comma_laroux_1_dimon" xfId="462"/>
    <cellStyle name="Comma_laroux_1_dimon_1" xfId="463"/>
    <cellStyle name="Comma_laroux_1_laroux" xfId="464"/>
    <cellStyle name="Comma_laroux_1_pldt" xfId="465"/>
    <cellStyle name="Comma_laroux_1_pldt_1" xfId="466"/>
    <cellStyle name="Comma_laroux_1_PLDT_dimon" xfId="467"/>
    <cellStyle name="Comma_laroux_1_VERA" xfId="468"/>
    <cellStyle name="Comma_laroux_1_VERA_1" xfId="469"/>
    <cellStyle name="Comma_laroux_1_VIRUS-EDY" xfId="470"/>
    <cellStyle name="Comma_laroux_2" xfId="471"/>
    <cellStyle name="Comma_laroux_2_dimon" xfId="472"/>
    <cellStyle name="Comma_laroux_2_dimon_1" xfId="473"/>
    <cellStyle name="Comma_laroux_2_dimon_2" xfId="474"/>
    <cellStyle name="Comma_laroux_2_laroux" xfId="475"/>
    <cellStyle name="Comma_laroux_2_laroux_dimon" xfId="476"/>
    <cellStyle name="Comma_laroux_2_pldt" xfId="477"/>
    <cellStyle name="Comma_laroux_2_pldt_1" xfId="478"/>
    <cellStyle name="Comma_laroux_2_PLDT_dimon" xfId="479"/>
    <cellStyle name="Comma_laroux_2_VERA" xfId="480"/>
    <cellStyle name="Comma_laroux_2_VERA_1" xfId="481"/>
    <cellStyle name="Comma_laroux_3" xfId="482"/>
    <cellStyle name="Comma_laroux_3_dimon" xfId="483"/>
    <cellStyle name="Comma_laroux_3_dimon_1" xfId="484"/>
    <cellStyle name="Comma_laroux_3_dimon_2" xfId="485"/>
    <cellStyle name="Comma_laroux_dimon" xfId="486"/>
    <cellStyle name="Comma_laroux_dimon_1" xfId="487"/>
    <cellStyle name="Comma_laroux_laroux" xfId="488"/>
    <cellStyle name="Comma_laroux_laroux_1" xfId="489"/>
    <cellStyle name="Comma_laroux_laroux_dimon" xfId="490"/>
    <cellStyle name="Comma_laroux_pldt" xfId="491"/>
    <cellStyle name="Comma_laroux_pldt_1" xfId="492"/>
    <cellStyle name="Comma_laroux_VERA" xfId="493"/>
    <cellStyle name="Comma_laroux_VERA_1" xfId="494"/>
    <cellStyle name="Comma_laroux_VIRUS-EDY" xfId="495"/>
    <cellStyle name="Comma_Line Inst." xfId="496"/>
    <cellStyle name="Comma_MATERAL2" xfId="497"/>
    <cellStyle name="Comma_MATERAL2_dimon" xfId="498"/>
    <cellStyle name="Comma_MATERAL2_dimon_1" xfId="499"/>
    <cellStyle name="Comma_MKGOCPX" xfId="500"/>
    <cellStyle name="Comma_Mkt Shr" xfId="501"/>
    <cellStyle name="Comma_MOBCPX" xfId="502"/>
    <cellStyle name="Comma_Module1" xfId="503"/>
    <cellStyle name="Comma_mud plant bolted" xfId="504"/>
    <cellStyle name="Comma_NA WITHOUT GOV'T &amp; PNX" xfId="505"/>
    <cellStyle name="Comma_NAOBU10" xfId="506"/>
    <cellStyle name="Comma_NAT ACCT" xfId="507"/>
    <cellStyle name="Comma_NCR-C&amp;W Val" xfId="508"/>
    <cellStyle name="Comma_NCR-Cap intensity" xfId="509"/>
    <cellStyle name="Comma_NCR-Line per Staff" xfId="510"/>
    <cellStyle name="Comma_NCR-Rev dist" xfId="511"/>
    <cellStyle name="Comma_NSACTUAL.XLS" xfId="512"/>
    <cellStyle name="Comma_NX00" xfId="513"/>
    <cellStyle name="Comma_Odner" xfId="514"/>
    <cellStyle name="Comma_Odner (2)" xfId="515"/>
    <cellStyle name="Comma_Odner (3)" xfId="516"/>
    <cellStyle name="Comma_OFFDATA1" xfId="517"/>
    <cellStyle name="Comma_OFFDATA1 (2)" xfId="518"/>
    <cellStyle name="Comma_OFFDATA1_1" xfId="519"/>
    <cellStyle name="Comma_Op Cost Break" xfId="520"/>
    <cellStyle name="Comma_Operations" xfId="521"/>
    <cellStyle name="Comma_opsmacro" xfId="522"/>
    <cellStyle name="Comma_OSMOCPX" xfId="523"/>
    <cellStyle name="Comma_Other Months" xfId="524"/>
    <cellStyle name="Comma_Outlook" xfId="525"/>
    <cellStyle name="Comma_pbdefault" xfId="526"/>
    <cellStyle name="Comma_pbdefault_1" xfId="527"/>
    <cellStyle name="Comma_percentages" xfId="528"/>
    <cellStyle name="Comma_PERSONAL" xfId="529"/>
    <cellStyle name="Comma_PGMKOCPX" xfId="530"/>
    <cellStyle name="Comma_PGNW1" xfId="531"/>
    <cellStyle name="Comma_PGNW2" xfId="532"/>
    <cellStyle name="Comma_PGNWOCPX" xfId="533"/>
    <cellStyle name="Comma_Pink" xfId="534"/>
    <cellStyle name="Comma_PKDATA1" xfId="535"/>
    <cellStyle name="Comma_PKDATA1 (2)" xfId="536"/>
    <cellStyle name="Comma_PKDATA1_1" xfId="537"/>
    <cellStyle name="Comma_Plan" xfId="538"/>
    <cellStyle name="Comma_PLANT" xfId="539"/>
    <cellStyle name="Comma_PLDT" xfId="540"/>
    <cellStyle name="Comma_pldt_1" xfId="541"/>
    <cellStyle name="Comma_PLDT_1_dimon" xfId="542"/>
    <cellStyle name="Comma_pldt_2" xfId="543"/>
    <cellStyle name="Comma_pldt_Calculations" xfId="544"/>
    <cellStyle name="Comma_PLDT_dimon" xfId="545"/>
    <cellStyle name="Comma_priccurv" xfId="546"/>
    <cellStyle name="Comma_PriceCurve" xfId="547"/>
    <cellStyle name="Comma_PriceCurve_1" xfId="548"/>
    <cellStyle name="Comma_PROCDS&amp;G" xfId="549"/>
    <cellStyle name="Comma_PROFILE4" xfId="550"/>
    <cellStyle name="Comma_Projects" xfId="551"/>
    <cellStyle name="Comma_Quarter End Months" xfId="552"/>
    <cellStyle name="Comma_r1" xfId="553"/>
    <cellStyle name="Comma_Real Opr Cf" xfId="554"/>
    <cellStyle name="Comma_Real Rev per Staff (1)" xfId="555"/>
    <cellStyle name="Comma_Real Rev per Staff (2)" xfId="556"/>
    <cellStyle name="Comma_Region 2-C&amp;W" xfId="557"/>
    <cellStyle name="Comma_Return on Rev" xfId="558"/>
    <cellStyle name="Comma_Rev p line" xfId="559"/>
    <cellStyle name="Comma_RFI" xfId="560"/>
    <cellStyle name="Comma_RFI_1" xfId="561"/>
    <cellStyle name="Comma_ROACE" xfId="562"/>
    <cellStyle name="Comma_ROCF (Tot)" xfId="563"/>
    <cellStyle name="Comma_Sales Order" xfId="564"/>
    <cellStyle name="Comma_SATOCPX" xfId="565"/>
    <cellStyle name="Comma_ScreeningModel" xfId="566"/>
    <cellStyle name="Comma_SELECT" xfId="567"/>
    <cellStyle name="Comma_Sheet1" xfId="568"/>
    <cellStyle name="Comma_Sheet1_dimon" xfId="569"/>
    <cellStyle name="Comma_SHENREPT" xfId="570"/>
    <cellStyle name="Comma_Snr. CO" xfId="571"/>
    <cellStyle name="Comma_SPC99-03" xfId="572"/>
    <cellStyle name="Comma_sprint contr" xfId="573"/>
    <cellStyle name="Comma_Staff cost%rev" xfId="574"/>
    <cellStyle name="Comma_Subcont File" xfId="575"/>
    <cellStyle name="Comma_SUMMARY" xfId="576"/>
    <cellStyle name="Comma_Summary Info" xfId="577"/>
    <cellStyle name="Comma_SUMPAGE" xfId="578"/>
    <cellStyle name="Comma_Template" xfId="579"/>
    <cellStyle name="Comma_TESTDATA" xfId="580"/>
    <cellStyle name="Comma_TMSNW1" xfId="581"/>
    <cellStyle name="Comma_TMSNW2" xfId="582"/>
    <cellStyle name="Comma_TMSOCPX" xfId="583"/>
    <cellStyle name="Comma_TOTAL MTH" xfId="584"/>
    <cellStyle name="Comma_TOTAL YTD" xfId="585"/>
    <cellStyle name="Comma_Total-Rev dist." xfId="586"/>
    <cellStyle name="Comma_TRANSDSC.XLS" xfId="587"/>
    <cellStyle name="Comma_TRANSFXA.XLS" xfId="588"/>
    <cellStyle name="Comma_TRANSFXA.XLS_1" xfId="589"/>
    <cellStyle name="Comma_TRANSIME.XLS" xfId="590"/>
    <cellStyle name="Comma_TRANSIME.XLS_TRANSDSC.XLS" xfId="591"/>
    <cellStyle name="Comma_TRANSIME.XLS_TRANSFXA.XLS" xfId="592"/>
    <cellStyle name="Comma_VIRUS-EDY" xfId="593"/>
    <cellStyle name="Comma_White" xfId="594"/>
    <cellStyle name="Comma_WO Var. &amp; Tot. Exp." xfId="595"/>
    <cellStyle name="Comma_WSP" xfId="596"/>
    <cellStyle name="Comma_yrcao" xfId="597"/>
    <cellStyle name="Comma_YREND55" xfId="598"/>
    <cellStyle name="Comma_YREND57" xfId="599"/>
    <cellStyle name="Comma_YTDCUR" xfId="600"/>
    <cellStyle name="Currency [0]_12matrix" xfId="601"/>
    <cellStyle name="Currency [0]_1995" xfId="602"/>
    <cellStyle name="Currency [0]_A" xfId="603"/>
    <cellStyle name="Currency [0]_A_dimon" xfId="604"/>
    <cellStyle name="Currency [0]_A_dimon_1" xfId="605"/>
    <cellStyle name="Currency [0]_ACTUAL" xfId="606"/>
    <cellStyle name="Currency [0]_ACTUAL NA -OBU" xfId="607"/>
    <cellStyle name="Currency [0]_Actual vs." xfId="608"/>
    <cellStyle name="Currency [0]_algasdefault" xfId="609"/>
    <cellStyle name="Currency [0]_Alternative1" xfId="610"/>
    <cellStyle name="Currency [0]_Alternative1_1" xfId="611"/>
    <cellStyle name="Currency [0]_App E" xfId="612"/>
    <cellStyle name="Currency [0]_Apr" xfId="613"/>
    <cellStyle name="Currency [0]_Arapahoe" xfId="614"/>
    <cellStyle name="Currency [0]_Assumptions" xfId="615"/>
    <cellStyle name="Currency [0]_Assumptions_dimon" xfId="616"/>
    <cellStyle name="Currency [0]_Assumptions_summary" xfId="617"/>
    <cellStyle name="Currency [0]_B" xfId="618"/>
    <cellStyle name="Currency [0]_bahiadefault" xfId="619"/>
    <cellStyle name="Currency [0]_Book3" xfId="620"/>
    <cellStyle name="Currency [0]_BOP" xfId="621"/>
    <cellStyle name="Currency [0]_BOPBAL1" xfId="622"/>
    <cellStyle name="Currency [0]_BOPCBU" xfId="623"/>
    <cellStyle name="Currency [0]_BOPCBU (2)" xfId="624"/>
    <cellStyle name="Currency [0]_BOPCBU96" xfId="625"/>
    <cellStyle name="Currency [0]_BSAPPE.XLS" xfId="626"/>
    <cellStyle name="Currency [0]_Calculations" xfId="627"/>
    <cellStyle name="Currency [0]_Calculations (2)" xfId="628"/>
    <cellStyle name="Currency [0]_Calculations II" xfId="629"/>
    <cellStyle name="Currency [0]_Calculations III" xfId="630"/>
    <cellStyle name="Currency [0]_Calculations_1" xfId="631"/>
    <cellStyle name="Currency [0]_CAPEX" xfId="632"/>
    <cellStyle name="Currency [0]_CAPEX94" xfId="633"/>
    <cellStyle name="Currency [0]_CapInt" xfId="634"/>
    <cellStyle name="Currency [0]_Cardig GHS" xfId="635"/>
    <cellStyle name="Currency [0]_Cash Flows" xfId="636"/>
    <cellStyle name="Currency [0]_Cashflow" xfId="637"/>
    <cellStyle name="Currency [0]_CBU BOX CHART V PLAN" xfId="638"/>
    <cellStyle name="Currency [0]_CCA" xfId="639"/>
    <cellStyle name="Currency [0]_CCOCPX" xfId="640"/>
    <cellStyle name="Currency [0]_CFMODEL" xfId="641"/>
    <cellStyle name="Currency [0]_CFTEST49" xfId="642"/>
    <cellStyle name="Currency [0]_CHANGES.XLS" xfId="643"/>
    <cellStyle name="Currency [0]_Charts" xfId="644"/>
    <cellStyle name="Currency [0]_Comm File" xfId="645"/>
    <cellStyle name="Currency [0]_coperdefault" xfId="646"/>
    <cellStyle name="Currency [0]_Corp method" xfId="647"/>
    <cellStyle name="Currency [0]_Cost Code" xfId="648"/>
    <cellStyle name="Currency [0]_CTCUR" xfId="649"/>
    <cellStyle name="Currency [0]_CUMPLTCH" xfId="650"/>
    <cellStyle name="Currency [0]_Curve_Economics" xfId="651"/>
    <cellStyle name="Currency [0]_DEFAULT" xfId="652"/>
    <cellStyle name="Currency [0]_DeskCurves" xfId="653"/>
    <cellStyle name="Currency [0]_dimon" xfId="654"/>
    <cellStyle name="Currency [0]_dimon_1" xfId="655"/>
    <cellStyle name="Currency [0]_dimon_2" xfId="656"/>
    <cellStyle name="Currency [0]_Dowell C1b" xfId="657"/>
    <cellStyle name="Currency [0]_Dowell-C1a" xfId="658"/>
    <cellStyle name="Currency [0]_E&amp;ONW1" xfId="659"/>
    <cellStyle name="Currency [0]_E&amp;ONW2" xfId="660"/>
    <cellStyle name="Currency [0]_E&amp;OOCPX" xfId="661"/>
    <cellStyle name="Currency [0]_emserdefault" xfId="662"/>
    <cellStyle name="Currency [0]_EVER1" xfId="663"/>
    <cellStyle name="Currency [0]_F&amp;COCPX" xfId="664"/>
    <cellStyle name="Currency [0]_FEBRUARY" xfId="665"/>
    <cellStyle name="Currency [0]_FF" xfId="666"/>
    <cellStyle name="Currency [0]_FP 20 A (1)" xfId="667"/>
    <cellStyle name="Currency [0]_FP 20 A (2)" xfId="668"/>
    <cellStyle name="Currency [0]_FP-20 (App. E)" xfId="669"/>
    <cellStyle name="Currency [0]_FP-20 (App.A) " xfId="670"/>
    <cellStyle name="Currency [0]_FP-20 (App.D)" xfId="671"/>
    <cellStyle name="Currency [0]_FP-20(App.B)" xfId="672"/>
    <cellStyle name="Currency [0]_FP-20(C1) (a)" xfId="673"/>
    <cellStyle name="Currency [0]_FP-20(C1) (a) (2)" xfId="674"/>
    <cellStyle name="Currency [0]_FP-20(C1) (b)" xfId="675"/>
    <cellStyle name="Currency [0]_FP-20(C1) (b) " xfId="676"/>
    <cellStyle name="Currency [0]_FP-20(C1) (b) (2)" xfId="677"/>
    <cellStyle name="Currency [0]_GASDATA1" xfId="678"/>
    <cellStyle name="Currency [0]_GASDATA1 (2)" xfId="679"/>
    <cellStyle name="Currency [0]_GCM" xfId="680"/>
    <cellStyle name="Currency [0]_GenAssum" xfId="681"/>
    <cellStyle name="Currency [0]_GenMod" xfId="682"/>
    <cellStyle name="Currency [0]_GP C1a" xfId="683"/>
    <cellStyle name="Currency [0]_GP C1b" xfId="684"/>
    <cellStyle name="Currency [0]_GP_EI_3" xfId="685"/>
    <cellStyle name="Currency [0]_GQ C1A" xfId="686"/>
    <cellStyle name="Currency [0]_GQ C1B" xfId="687"/>
    <cellStyle name="Currency [0]_H" xfId="688"/>
    <cellStyle name="Currency [0]_Inputs" xfId="689"/>
    <cellStyle name="Currency [0]_Int. Data Table" xfId="690"/>
    <cellStyle name="Currency [0]_IPM C1b" xfId="691"/>
    <cellStyle name="Currency [0]_IPMC1a" xfId="692"/>
    <cellStyle name="Currency [0]_IPP" xfId="693"/>
    <cellStyle name="Currency [0]_IS-Hold" xfId="694"/>
    <cellStyle name="Currency [0]_ITOCPX" xfId="695"/>
    <cellStyle name="Currency [0]_jancf" xfId="696"/>
    <cellStyle name="Currency [0]_JUNMTH55" xfId="697"/>
    <cellStyle name="Currency [0]_JUNMTH57" xfId="698"/>
    <cellStyle name="Currency [0]_JUNYTD55" xfId="699"/>
    <cellStyle name="Currency [0]_JUNYTD57" xfId="700"/>
    <cellStyle name="Currency [0]_laroux" xfId="701"/>
    <cellStyle name="Currency [0]_laroux_1" xfId="702"/>
    <cellStyle name="Currency [0]_laroux_1995" xfId="703"/>
    <cellStyle name="Currency [0]_laroux_1_dimon" xfId="704"/>
    <cellStyle name="Currency [0]_laroux_1_dimon_1" xfId="705"/>
    <cellStyle name="Currency [0]_laroux_1_dimon_2" xfId="706"/>
    <cellStyle name="Currency [0]_laroux_1_dimon_3" xfId="707"/>
    <cellStyle name="Currency [0]_laroux_1_laroux" xfId="708"/>
    <cellStyle name="Currency [0]_laroux_1_laroux_1" xfId="709"/>
    <cellStyle name="Currency [0]_laroux_1_laroux_dimon" xfId="710"/>
    <cellStyle name="Currency [0]_laroux_1_Locas" xfId="711"/>
    <cellStyle name="Currency [0]_laroux_1_pldt" xfId="712"/>
    <cellStyle name="Currency [0]_laroux_1_PLDT_dimon" xfId="713"/>
    <cellStyle name="Currency [0]_laroux_1_VERA" xfId="714"/>
    <cellStyle name="Currency [0]_laroux_1_VERA_1" xfId="715"/>
    <cellStyle name="Currency [0]_laroux_1_VIRUS-EDY" xfId="716"/>
    <cellStyle name="Currency [0]_laroux_2" xfId="717"/>
    <cellStyle name="Currency [0]_laroux_2_dimon" xfId="718"/>
    <cellStyle name="Currency [0]_laroux_2_dimon_1" xfId="719"/>
    <cellStyle name="Currency [0]_laroux_2_dimon_2" xfId="720"/>
    <cellStyle name="Currency [0]_laroux_2_dimon_3" xfId="721"/>
    <cellStyle name="Currency [0]_laroux_2_laroux" xfId="722"/>
    <cellStyle name="Currency [0]_laroux_2_laroux_dimon" xfId="723"/>
    <cellStyle name="Currency [0]_laroux_2_Locas" xfId="724"/>
    <cellStyle name="Currency [0]_laroux_2_pldt" xfId="725"/>
    <cellStyle name="Currency [0]_laroux_2_PLDT_dimon" xfId="726"/>
    <cellStyle name="Currency [0]_laroux_2_VIRUS-EDY" xfId="727"/>
    <cellStyle name="Currency [0]_laroux_3" xfId="728"/>
    <cellStyle name="Currency [0]_laroux_3_dimon" xfId="729"/>
    <cellStyle name="Currency [0]_laroux_3_dimon_1" xfId="730"/>
    <cellStyle name="Currency [0]_laroux_3_dimon_2" xfId="731"/>
    <cellStyle name="Currency [0]_laroux_3_dimon_3" xfId="732"/>
    <cellStyle name="Currency [0]_laroux_4" xfId="733"/>
    <cellStyle name="Currency [0]_laroux_4_dimon" xfId="734"/>
    <cellStyle name="Currency [0]_laroux_4_dimon_1" xfId="735"/>
    <cellStyle name="Currency [0]_laroux_5" xfId="736"/>
    <cellStyle name="Currency [0]_laroux_6" xfId="737"/>
    <cellStyle name="Currency [0]_laroux_7" xfId="738"/>
    <cellStyle name="Currency [0]_laroux_dimon" xfId="739"/>
    <cellStyle name="Currency [0]_laroux_dimon_1" xfId="740"/>
    <cellStyle name="Currency [0]_laroux_dimon_2" xfId="741"/>
    <cellStyle name="Currency [0]_laroux_dimon_3" xfId="742"/>
    <cellStyle name="Currency [0]_laroux_laroux" xfId="743"/>
    <cellStyle name="Currency [0]_laroux_laroux_1" xfId="744"/>
    <cellStyle name="Currency [0]_laroux_laroux_1_dimon" xfId="745"/>
    <cellStyle name="Currency [0]_laroux_laroux_dimon" xfId="746"/>
    <cellStyle name="Currency [0]_laroux_Locas" xfId="747"/>
    <cellStyle name="Currency [0]_laroux_MATERAL2" xfId="748"/>
    <cellStyle name="Currency [0]_laroux_MATERAL2_dimon" xfId="749"/>
    <cellStyle name="Currency [0]_laroux_MATERAL2_dimon_1" xfId="750"/>
    <cellStyle name="Currency [0]_laroux_MATERAL2_laroux" xfId="751"/>
    <cellStyle name="Currency [0]_laroux_MATERAL2_laroux_dimon" xfId="752"/>
    <cellStyle name="Currency [0]_laroux_MATERAL2_pldt" xfId="753"/>
    <cellStyle name="Currency [0]_laroux_MATERAL2_VERA" xfId="754"/>
    <cellStyle name="Currency [0]_laroux_MATERAL2_VIRUS-EDY" xfId="755"/>
    <cellStyle name="Currency [0]_laroux_mud plant bolted" xfId="756"/>
    <cellStyle name="Currency [0]_laroux_mud plant bolted_dimon" xfId="757"/>
    <cellStyle name="Currency [0]_laroux_mud plant bolted_dimon_1" xfId="758"/>
    <cellStyle name="Currency [0]_laroux_pldt" xfId="759"/>
    <cellStyle name="Currency [0]_laroux_pldt_1" xfId="760"/>
    <cellStyle name="Currency [0]_laroux_VERA" xfId="761"/>
    <cellStyle name="Currency [0]_laroux_VERA_1" xfId="762"/>
    <cellStyle name="Currency [0]_laroux_VIRUS-EDY" xfId="763"/>
    <cellStyle name="Currency [0]_List" xfId="764"/>
    <cellStyle name="Currency [0]_MATERAL2" xfId="765"/>
    <cellStyle name="Currency [0]_MATERAL2_dimon" xfId="766"/>
    <cellStyle name="Currency [0]_MATERAL2_dimon_1" xfId="767"/>
    <cellStyle name="Currency [0]_MKGOCPX" xfId="768"/>
    <cellStyle name="Currency [0]_MOBCPX" xfId="769"/>
    <cellStyle name="Currency [0]_Module1" xfId="770"/>
    <cellStyle name="Currency [0]_mud plant bolted" xfId="771"/>
    <cellStyle name="Currency [0]_mud plant bolted_dimon" xfId="772"/>
    <cellStyle name="Currency [0]_mud plant bolted_dimon_1" xfId="773"/>
    <cellStyle name="Currency [0]_mud plant bolted_laroux" xfId="774"/>
    <cellStyle name="Currency [0]_mud plant bolted_laroux_dimon" xfId="775"/>
    <cellStyle name="Currency [0]_mud plant bolted_pldt" xfId="776"/>
    <cellStyle name="Currency [0]_mud plant bolted_VERA" xfId="777"/>
    <cellStyle name="Currency [0]_mud plant bolted_VIRUS-EDY" xfId="778"/>
    <cellStyle name="Currency [0]_NA WITHOUT GOV'T &amp; PNX" xfId="779"/>
    <cellStyle name="Currency [0]_NAOBU10" xfId="780"/>
    <cellStyle name="Currency [0]_NAT ACCT" xfId="781"/>
    <cellStyle name="Currency [0]_NSACTUAL.XLS" xfId="782"/>
    <cellStyle name="Currency [0]_NX00" xfId="783"/>
    <cellStyle name="Currency [0]_Odner" xfId="784"/>
    <cellStyle name="Currency [0]_Odner (2)" xfId="785"/>
    <cellStyle name="Currency [0]_Odner (3)" xfId="786"/>
    <cellStyle name="Currency [0]_OFFDATA1" xfId="787"/>
    <cellStyle name="Currency [0]_OFFDATA1 (2)" xfId="788"/>
    <cellStyle name="Currency [0]_Operations" xfId="789"/>
    <cellStyle name="Currency [0]_opsmacro" xfId="790"/>
    <cellStyle name="Currency [0]_OSMOCPX" xfId="791"/>
    <cellStyle name="Currency [0]_Other Months" xfId="792"/>
    <cellStyle name="Currency [0]_Outlook" xfId="793"/>
    <cellStyle name="Currency [0]_pbdefault" xfId="794"/>
    <cellStyle name="Currency [0]_percentages" xfId="795"/>
    <cellStyle name="Currency [0]_PERSONAL" xfId="796"/>
    <cellStyle name="Currency [0]_PGMKOCPX" xfId="797"/>
    <cellStyle name="Currency [0]_PGNW1" xfId="798"/>
    <cellStyle name="Currency [0]_PGNW2" xfId="799"/>
    <cellStyle name="Currency [0]_PGNWOCPX" xfId="800"/>
    <cellStyle name="Currency [0]_Pink" xfId="801"/>
    <cellStyle name="Currency [0]_PKDATA1" xfId="802"/>
    <cellStyle name="Currency [0]_PKDATA1 (2)" xfId="803"/>
    <cellStyle name="Currency [0]_Plan" xfId="804"/>
    <cellStyle name="Currency [0]_PLANT" xfId="805"/>
    <cellStyle name="Currency [0]_PLDT" xfId="806"/>
    <cellStyle name="Currency [0]_pldt_1" xfId="807"/>
    <cellStyle name="Currency [0]_PLDT_1_dimon" xfId="808"/>
    <cellStyle name="Currency [0]_pldt_1_dimon_1" xfId="809"/>
    <cellStyle name="Currency [0]_pldt_2" xfId="810"/>
    <cellStyle name="Currency [0]_pldt_Calculations" xfId="811"/>
    <cellStyle name="Currency [0]_PLDT_dimon" xfId="812"/>
    <cellStyle name="Currency [0]_pldt_dimon_1" xfId="813"/>
    <cellStyle name="Currency [0]_priccurv" xfId="814"/>
    <cellStyle name="Currency [0]_PriceCurve" xfId="815"/>
    <cellStyle name="Currency [0]_PriceCurve_1" xfId="816"/>
    <cellStyle name="Currency [0]_PROCDS&amp;G" xfId="817"/>
    <cellStyle name="Currency [0]_PROFILE4" xfId="818"/>
    <cellStyle name="Currency [0]_Projects" xfId="819"/>
    <cellStyle name="Currency [0]_Quarter End Months" xfId="820"/>
    <cellStyle name="Currency [0]_r1" xfId="821"/>
    <cellStyle name="Currency [0]_RFI" xfId="822"/>
    <cellStyle name="Currency [0]_RFI_1" xfId="823"/>
    <cellStyle name="Currency [0]_Sales Order" xfId="824"/>
    <cellStyle name="Currency [0]_SATOCPX" xfId="825"/>
    <cellStyle name="Currency [0]_ScreeningModel" xfId="826"/>
    <cellStyle name="Currency [0]_SELECT" xfId="827"/>
    <cellStyle name="Currency [0]_Sheet1" xfId="828"/>
    <cellStyle name="Currency [0]_Sheet1 (2)" xfId="829"/>
    <cellStyle name="Currency [0]_Sheet1_dimon" xfId="830"/>
    <cellStyle name="Currency [0]_SHENREPT" xfId="831"/>
    <cellStyle name="Currency [0]_Snr. CO" xfId="832"/>
    <cellStyle name="Currency [0]_sprint contr" xfId="833"/>
    <cellStyle name="Currency [0]_Subcont File" xfId="834"/>
    <cellStyle name="Currency [0]_SUMMARY" xfId="835"/>
    <cellStyle name="Currency [0]_Summary Info" xfId="836"/>
    <cellStyle name="Currency [0]_SUMPAGE" xfId="837"/>
    <cellStyle name="Currency [0]_Template" xfId="838"/>
    <cellStyle name="Currency [0]_TMSNW1" xfId="839"/>
    <cellStyle name="Currency [0]_TMSNW2" xfId="840"/>
    <cellStyle name="Currency [0]_TMSOCPX" xfId="841"/>
    <cellStyle name="Currency [0]_TOTAL MTH" xfId="842"/>
    <cellStyle name="Currency [0]_TOTAL YTD" xfId="843"/>
    <cellStyle name="Currency [0]_TRANSDSC.XLS" xfId="844"/>
    <cellStyle name="Currency [0]_TRANSFXA.XLS" xfId="845"/>
    <cellStyle name="Currency [0]_TRANSFXA.XLS_1" xfId="846"/>
    <cellStyle name="Currency [0]_TRANSIME.XLS" xfId="847"/>
    <cellStyle name="Currency [0]_TRANSIME.XLS_TRANSDSC.XLS" xfId="848"/>
    <cellStyle name="Currency [0]_TRANSIME.XLS_TRANSFXA.XLS" xfId="849"/>
    <cellStyle name="Currency [0]_VERA" xfId="850"/>
    <cellStyle name="Currency [0]_VIRUS-EDY" xfId="851"/>
    <cellStyle name="Currency [0]_VIRUS-EDY_1" xfId="852"/>
    <cellStyle name="Currency [0]_White" xfId="853"/>
    <cellStyle name="Currency [0]_WO Var. &amp; Tot. Exp." xfId="854"/>
    <cellStyle name="Currency [0]_WSP" xfId="855"/>
    <cellStyle name="Currency [0]_yrcao" xfId="856"/>
    <cellStyle name="Currency [0]_YREND55" xfId="857"/>
    <cellStyle name="Currency [0]_YREND57" xfId="858"/>
    <cellStyle name="Currency [0]_YTDCUR" xfId="859"/>
    <cellStyle name="Currency_12matrix" xfId="860"/>
    <cellStyle name="Currency_1995" xfId="861"/>
    <cellStyle name="Currency_A" xfId="862"/>
    <cellStyle name="Currency_A_dimon" xfId="863"/>
    <cellStyle name="Currency_A_dimon_1" xfId="864"/>
    <cellStyle name="Currency_ACTUAL" xfId="865"/>
    <cellStyle name="Currency_ACTUAL NA -OBU" xfId="866"/>
    <cellStyle name="Currency_Actual vs." xfId="867"/>
    <cellStyle name="Currency_algasdefault" xfId="868"/>
    <cellStyle name="Currency_algasdefault_1" xfId="869"/>
    <cellStyle name="Currency_Alternative1" xfId="870"/>
    <cellStyle name="Currency_Alternative1_1" xfId="871"/>
    <cellStyle name="Currency_App E" xfId="872"/>
    <cellStyle name="Currency_Apr" xfId="873"/>
    <cellStyle name="Currency_Arapahoe" xfId="874"/>
    <cellStyle name="Currency_Assumptions" xfId="875"/>
    <cellStyle name="Currency_Assumptions_dimon" xfId="876"/>
    <cellStyle name="Currency_Assumptions_summary" xfId="877"/>
    <cellStyle name="Currency_B" xfId="878"/>
    <cellStyle name="Currency_bahiadefault" xfId="879"/>
    <cellStyle name="Currency_bahiadefault_1" xfId="880"/>
    <cellStyle name="Currency_BIGOUT" xfId="881"/>
    <cellStyle name="Currency_Book3" xfId="882"/>
    <cellStyle name="Currency_BOP" xfId="883"/>
    <cellStyle name="Currency_BOPBAL1" xfId="884"/>
    <cellStyle name="Currency_BOPCBU" xfId="885"/>
    <cellStyle name="Currency_BOPCBU (2)" xfId="886"/>
    <cellStyle name="Currency_BOPCBU96" xfId="887"/>
    <cellStyle name="Currency_BSAPPE.XLS" xfId="888"/>
    <cellStyle name="Currency_Calculations" xfId="889"/>
    <cellStyle name="Currency_Calculations (2)" xfId="890"/>
    <cellStyle name="Currency_Calculations II" xfId="891"/>
    <cellStyle name="Currency_Calculations III" xfId="892"/>
    <cellStyle name="Currency_Calculations_1" xfId="893"/>
    <cellStyle name="Currency_CAPEX" xfId="894"/>
    <cellStyle name="Currency_CAPEX94" xfId="895"/>
    <cellStyle name="Currency_CapInt" xfId="896"/>
    <cellStyle name="Currency_Cardig GHS" xfId="897"/>
    <cellStyle name="Currency_Cash Flows" xfId="898"/>
    <cellStyle name="Currency_Cashflow" xfId="899"/>
    <cellStyle name="Currency_CBU BOX CHART V PLAN" xfId="900"/>
    <cellStyle name="Currency_CCA" xfId="901"/>
    <cellStyle name="Currency_CCOCPX" xfId="902"/>
    <cellStyle name="Currency_CFMODEL" xfId="903"/>
    <cellStyle name="Currency_CFtest3" xfId="904"/>
    <cellStyle name="Currency_CFTEST49" xfId="905"/>
    <cellStyle name="Currency_CHANGES.XLS" xfId="906"/>
    <cellStyle name="Currency_Charts" xfId="907"/>
    <cellStyle name="Currency_Comm File" xfId="908"/>
    <cellStyle name="Currency_coperdefault" xfId="909"/>
    <cellStyle name="Currency_coperdefault_1" xfId="910"/>
    <cellStyle name="Currency_Corp method" xfId="911"/>
    <cellStyle name="Currency_Cost Code" xfId="912"/>
    <cellStyle name="Currency_CTCUR" xfId="913"/>
    <cellStyle name="Currency_CUMPLTCH" xfId="914"/>
    <cellStyle name="Currency_Curve_Economics" xfId="915"/>
    <cellStyle name="Currency_DEFAULT" xfId="916"/>
    <cellStyle name="Currency_DeskCurves" xfId="917"/>
    <cellStyle name="Currency_dimon" xfId="918"/>
    <cellStyle name="Currency_dimon_1" xfId="919"/>
    <cellStyle name="Currency_dimon_2" xfId="920"/>
    <cellStyle name="Currency_Dowell C1b" xfId="921"/>
    <cellStyle name="Currency_Dowell-C1a" xfId="922"/>
    <cellStyle name="Currency_E&amp;ONW1" xfId="923"/>
    <cellStyle name="Currency_E&amp;ONW2" xfId="924"/>
    <cellStyle name="Currency_E&amp;OOCPX" xfId="925"/>
    <cellStyle name="Currency_emserdefault" xfId="926"/>
    <cellStyle name="Currency_emserdefault_1" xfId="927"/>
    <cellStyle name="Currency_EVER1" xfId="928"/>
    <cellStyle name="Currency_F&amp;COCPX" xfId="929"/>
    <cellStyle name="Currency_FEBRUARY" xfId="930"/>
    <cellStyle name="Currency_FF" xfId="931"/>
    <cellStyle name="Currency_FP 20 A (1)" xfId="932"/>
    <cellStyle name="Currency_FP 20 A (2)" xfId="933"/>
    <cellStyle name="Currency_FP-20 (App. E)" xfId="934"/>
    <cellStyle name="Currency_FP-20 (App.A) " xfId="935"/>
    <cellStyle name="Currency_FP-20 (App.D)" xfId="936"/>
    <cellStyle name="Currency_FP-20(App.B)" xfId="937"/>
    <cellStyle name="Currency_FP-20(C1) (a)" xfId="938"/>
    <cellStyle name="Currency_FP-20(C1) (a) (2)" xfId="939"/>
    <cellStyle name="Currency_FP-20(C1) (b)" xfId="940"/>
    <cellStyle name="Currency_FP-20(C1) (b) " xfId="941"/>
    <cellStyle name="Currency_FP-20(C1) (b) (2)" xfId="942"/>
    <cellStyle name="Currency_GASDATA1" xfId="943"/>
    <cellStyle name="Currency_GASDATA1 (2)" xfId="944"/>
    <cellStyle name="Currency_GCM" xfId="945"/>
    <cellStyle name="Currency_GenAssum" xfId="946"/>
    <cellStyle name="Currency_GenMod" xfId="947"/>
    <cellStyle name="Currency_GP C1a" xfId="948"/>
    <cellStyle name="Currency_GP C1b" xfId="949"/>
    <cellStyle name="Currency_GP_EI_3" xfId="950"/>
    <cellStyle name="Currency_GQ C1A" xfId="951"/>
    <cellStyle name="Currency_GQ C1B" xfId="952"/>
    <cellStyle name="Currency_H" xfId="953"/>
    <cellStyle name="Currency_Inputs" xfId="954"/>
    <cellStyle name="Currency_Int. Data Table" xfId="955"/>
    <cellStyle name="Currency_IPM C1b" xfId="956"/>
    <cellStyle name="Currency_IPMC1a" xfId="957"/>
    <cellStyle name="Currency_IPP" xfId="958"/>
    <cellStyle name="Currency_IS-Hold" xfId="959"/>
    <cellStyle name="Currency_ITOCPX" xfId="960"/>
    <cellStyle name="Currency_jancf" xfId="961"/>
    <cellStyle name="Currency_JUNMTH55" xfId="962"/>
    <cellStyle name="Currency_JUNMTH57" xfId="963"/>
    <cellStyle name="Currency_JUNYTD55" xfId="964"/>
    <cellStyle name="Currency_JUNYTD57" xfId="965"/>
    <cellStyle name="Currency_laroux" xfId="966"/>
    <cellStyle name="Currency_laroux_1" xfId="967"/>
    <cellStyle name="Currency_laroux_1995" xfId="968"/>
    <cellStyle name="Currency_laroux_1_dimon" xfId="969"/>
    <cellStyle name="Currency_laroux_1_dimon_1" xfId="970"/>
    <cellStyle name="Currency_laroux_1_dimon_2" xfId="971"/>
    <cellStyle name="Currency_laroux_1_dimon_3" xfId="972"/>
    <cellStyle name="Currency_laroux_1_laroux" xfId="973"/>
    <cellStyle name="Currency_laroux_1_laroux_1" xfId="974"/>
    <cellStyle name="Currency_laroux_1_laroux_dimon" xfId="975"/>
    <cellStyle name="Currency_laroux_1_Locas" xfId="976"/>
    <cellStyle name="Currency_laroux_1_pldt" xfId="977"/>
    <cellStyle name="Currency_laroux_1_PLDT_dimon" xfId="978"/>
    <cellStyle name="Currency_laroux_1_VERA" xfId="979"/>
    <cellStyle name="Currency_laroux_1_VERA_1" xfId="980"/>
    <cellStyle name="Currency_laroux_1_VIRUS-EDY" xfId="981"/>
    <cellStyle name="Currency_laroux_2" xfId="982"/>
    <cellStyle name="Currency_laroux_2_dimon" xfId="983"/>
    <cellStyle name="Currency_laroux_2_dimon_1" xfId="984"/>
    <cellStyle name="Currency_laroux_2_dimon_2" xfId="985"/>
    <cellStyle name="Currency_laroux_2_dimon_3" xfId="986"/>
    <cellStyle name="Currency_laroux_2_laroux" xfId="987"/>
    <cellStyle name="Currency_laroux_2_laroux_dimon" xfId="988"/>
    <cellStyle name="Currency_laroux_2_Locas" xfId="989"/>
    <cellStyle name="Currency_laroux_2_pldt" xfId="990"/>
    <cellStyle name="Currency_laroux_2_PLDT_dimon" xfId="991"/>
    <cellStyle name="Currency_laroux_2_VIRUS-EDY" xfId="992"/>
    <cellStyle name="Currency_laroux_3" xfId="993"/>
    <cellStyle name="Currency_laroux_3_dimon" xfId="994"/>
    <cellStyle name="Currency_laroux_3_dimon_1" xfId="995"/>
    <cellStyle name="Currency_laroux_3_dimon_2" xfId="996"/>
    <cellStyle name="Currency_laroux_3_dimon_3" xfId="997"/>
    <cellStyle name="Currency_laroux_4" xfId="998"/>
    <cellStyle name="Currency_laroux_4_dimon" xfId="999"/>
    <cellStyle name="Currency_laroux_4_dimon_1" xfId="1000"/>
    <cellStyle name="Currency_laroux_5" xfId="1001"/>
    <cellStyle name="Currency_laroux_6" xfId="1002"/>
    <cellStyle name="Currency_laroux_7" xfId="1003"/>
    <cellStyle name="Currency_laroux_8" xfId="1004"/>
    <cellStyle name="Currency_laroux_dimon" xfId="1005"/>
    <cellStyle name="Currency_laroux_dimon_1" xfId="1006"/>
    <cellStyle name="Currency_laroux_dimon_2" xfId="1007"/>
    <cellStyle name="Currency_laroux_dimon_3" xfId="1008"/>
    <cellStyle name="Currency_laroux_laroux" xfId="1009"/>
    <cellStyle name="Currency_laroux_laroux_1" xfId="1010"/>
    <cellStyle name="Currency_laroux_laroux_1_dimon" xfId="1011"/>
    <cellStyle name="Currency_laroux_laroux_dimon" xfId="1012"/>
    <cellStyle name="Currency_laroux_Locas" xfId="1013"/>
    <cellStyle name="Currency_laroux_pldt" xfId="1014"/>
    <cellStyle name="Currency_laroux_pldt_1" xfId="1015"/>
    <cellStyle name="Currency_laroux_VERA" xfId="1016"/>
    <cellStyle name="Currency_laroux_VERA_1" xfId="1017"/>
    <cellStyle name="Currency_laroux_VIRUS-EDY" xfId="1018"/>
    <cellStyle name="Currency_List" xfId="1019"/>
    <cellStyle name="Currency_MATERAL2" xfId="1020"/>
    <cellStyle name="Currency_MATERAL2_dimon" xfId="1021"/>
    <cellStyle name="Currency_MATERAL2_dimon_1" xfId="1022"/>
    <cellStyle name="Currency_MKGOCPX" xfId="1023"/>
    <cellStyle name="Currency_MOBCPX" xfId="1024"/>
    <cellStyle name="Currency_Module1" xfId="1025"/>
    <cellStyle name="Currency_mud plant bolted" xfId="1026"/>
    <cellStyle name="Currency_mud plant bolted_dimon" xfId="1027"/>
    <cellStyle name="Currency_mud plant bolted_dimon_1" xfId="1028"/>
    <cellStyle name="Currency_mud plant bolted_PLDT" xfId="1029"/>
    <cellStyle name="Currency_mud plant bolted_VERA" xfId="1030"/>
    <cellStyle name="Currency_mud plant bolted_VERA_1" xfId="1031"/>
    <cellStyle name="Currency_NA WITHOUT GOV'T &amp; PNX" xfId="1032"/>
    <cellStyle name="Currency_NAOBU10" xfId="1033"/>
    <cellStyle name="Currency_NAT ACCT" xfId="1034"/>
    <cellStyle name="Currency_NSACTUAL.XLS" xfId="1035"/>
    <cellStyle name="Currency_NX00" xfId="1036"/>
    <cellStyle name="Currency_Odner" xfId="1037"/>
    <cellStyle name="Currency_Odner (2)" xfId="1038"/>
    <cellStyle name="Currency_Odner (3)" xfId="1039"/>
    <cellStyle name="Currency_OFFDATA1" xfId="1040"/>
    <cellStyle name="Currency_OFFDATA1 (2)" xfId="1041"/>
    <cellStyle name="Currency_Operations" xfId="1042"/>
    <cellStyle name="Currency_opsmacro" xfId="1043"/>
    <cellStyle name="Currency_OSMOCPX" xfId="1044"/>
    <cellStyle name="Currency_Other Months" xfId="1045"/>
    <cellStyle name="Currency_Outlook" xfId="1046"/>
    <cellStyle name="Currency_pbdefault" xfId="1047"/>
    <cellStyle name="Currency_pbdefault_1" xfId="1048"/>
    <cellStyle name="Currency_percentages" xfId="1049"/>
    <cellStyle name="Currency_PERSONAL" xfId="1050"/>
    <cellStyle name="Currency_PGMKOCPX" xfId="1051"/>
    <cellStyle name="Currency_PGNW1" xfId="1052"/>
    <cellStyle name="Currency_PGNW2" xfId="1053"/>
    <cellStyle name="Currency_PGNWOCPX" xfId="1054"/>
    <cellStyle name="Currency_Pink" xfId="1055"/>
    <cellStyle name="Currency_PKDATA1" xfId="1056"/>
    <cellStyle name="Currency_PKDATA1 (2)" xfId="1057"/>
    <cellStyle name="Currency_Plan" xfId="1058"/>
    <cellStyle name="Currency_PLANT" xfId="1059"/>
    <cellStyle name="Currency_PLDT" xfId="1060"/>
    <cellStyle name="Currency_pldt_1" xfId="1061"/>
    <cellStyle name="Currency_PLDT_1_dimon" xfId="1062"/>
    <cellStyle name="Currency_pldt_1_dimon_1" xfId="1063"/>
    <cellStyle name="Currency_pldt_2" xfId="1064"/>
    <cellStyle name="Currency_pldt_Calculations" xfId="1065"/>
    <cellStyle name="Currency_PLDT_dimon" xfId="1066"/>
    <cellStyle name="Currency_pldt_dimon_1" xfId="1067"/>
    <cellStyle name="Currency_priccurv" xfId="1068"/>
    <cellStyle name="Currency_PriceCurve" xfId="1069"/>
    <cellStyle name="Currency_PriceCurve_1" xfId="1070"/>
    <cellStyle name="Currency_PROCDS&amp;G" xfId="1071"/>
    <cellStyle name="Currency_PROFILE4" xfId="1072"/>
    <cellStyle name="Currency_Projects" xfId="1073"/>
    <cellStyle name="Currency_Quarter End Months" xfId="1074"/>
    <cellStyle name="Currency_r1" xfId="1075"/>
    <cellStyle name="Currency_RFI" xfId="1076"/>
    <cellStyle name="Currency_RFI_1" xfId="1077"/>
    <cellStyle name="Currency_Sales Order" xfId="1078"/>
    <cellStyle name="Currency_SATOCPX" xfId="1079"/>
    <cellStyle name="Currency_ScreeningModel" xfId="1080"/>
    <cellStyle name="Currency_SELECT" xfId="1081"/>
    <cellStyle name="Currency_Sheet1" xfId="1082"/>
    <cellStyle name="Currency_Sheet1 (2)" xfId="1083"/>
    <cellStyle name="Currency_Sheet1_dimon" xfId="1084"/>
    <cellStyle name="Currency_SHENREPT" xfId="1085"/>
    <cellStyle name="Currency_Snr. CO" xfId="1086"/>
    <cellStyle name="Currency_sprint contr" xfId="1087"/>
    <cellStyle name="Currency_Subcont File" xfId="1088"/>
    <cellStyle name="Currency_SUMMARY" xfId="1089"/>
    <cellStyle name="Currency_Summary Info" xfId="1090"/>
    <cellStyle name="Currency_SUMPAGE" xfId="1091"/>
    <cellStyle name="Currency_Template" xfId="1092"/>
    <cellStyle name="Currency_TMSNW1" xfId="1093"/>
    <cellStyle name="Currency_TMSNW2" xfId="1094"/>
    <cellStyle name="Currency_TMSOCPX" xfId="1095"/>
    <cellStyle name="Currency_TOTAL MTH" xfId="1096"/>
    <cellStyle name="Currency_TOTAL YTD" xfId="1097"/>
    <cellStyle name="Currency_TRANSDSC.XLS" xfId="1098"/>
    <cellStyle name="Currency_TRANSFXA.XLS" xfId="1099"/>
    <cellStyle name="Currency_TRANSFXA.XLS_1" xfId="1100"/>
    <cellStyle name="Currency_TRANSIME.XLS" xfId="1101"/>
    <cellStyle name="Currency_TRANSIME.XLS_TRANSDSC.XLS" xfId="1102"/>
    <cellStyle name="Currency_TRANSIME.XLS_TRANSFXA.XLS" xfId="1103"/>
    <cellStyle name="Currency_VERA" xfId="1104"/>
    <cellStyle name="Currency_VIRUS-EDY" xfId="1105"/>
    <cellStyle name="Currency_VIRUS-EDY_1" xfId="1106"/>
    <cellStyle name="Currency_White" xfId="1107"/>
    <cellStyle name="Currency_WO Var. &amp; Tot. Exp." xfId="1108"/>
    <cellStyle name="Currency_WSP" xfId="1109"/>
    <cellStyle name="Currency_yrcao" xfId="1110"/>
    <cellStyle name="Currency_YREND55" xfId="1111"/>
    <cellStyle name="Currency_YREND57" xfId="1112"/>
    <cellStyle name="Currency_YTDCUR" xfId="1113"/>
    <cellStyle name="Date" xfId="1114"/>
    <cellStyle name="Dezimal [0]_Compiling Utility Macros" xfId="1115"/>
    <cellStyle name="Dezimal [0]_FixerSetupDlg" xfId="1116"/>
    <cellStyle name="Dezimal [0]_TemplateInformation" xfId="1117"/>
    <cellStyle name="Dezimal_Compiling Utility Macros" xfId="1118"/>
    <cellStyle name="Dezimal_FixerSetupDlg" xfId="1119"/>
    <cellStyle name="Dezimal_TemplateInformation" xfId="1120"/>
    <cellStyle name="Fixed" xfId="1121"/>
    <cellStyle name="Grey" xfId="1122"/>
    <cellStyle name="HEADER" xfId="1123"/>
    <cellStyle name="Heading 1" xfId="1124"/>
    <cellStyle name="Heading2" xfId="1125"/>
    <cellStyle name="HIGHLIGHT" xfId="1126"/>
    <cellStyle name="Hyperlink_dimon" xfId="1127"/>
    <cellStyle name="Input [yellow]" xfId="1128"/>
    <cellStyle name="no dec" xfId="1129"/>
    <cellStyle name="Normal - Style1" xfId="1130"/>
    <cellStyle name="Normal - Style1_dimon" xfId="1131"/>
    <cellStyle name="Normal_03_06_98 list _ecm deals 030998 excel95" xfId="1132"/>
    <cellStyle name="Normal_12matrix" xfId="1133"/>
    <cellStyle name="Normal_20196" xfId="1134"/>
    <cellStyle name="Normal_4018fin" xfId="1135"/>
    <cellStyle name="Normal_4021fin" xfId="1136"/>
    <cellStyle name="Normal_95CHART" xfId="1137"/>
    <cellStyle name="Normal_A" xfId="1138"/>
    <cellStyle name="Normal_A (2)" xfId="1139"/>
    <cellStyle name="Normal_A_dimon" xfId="1140"/>
    <cellStyle name="Normal_A_dimon_1" xfId="1141"/>
    <cellStyle name="Normal_A_PriceCurve" xfId="1142"/>
    <cellStyle name="Normal_A_VERA" xfId="1143"/>
    <cellStyle name="Normal_ACTUAL" xfId="1144"/>
    <cellStyle name="Normal_ACTUAL NA -OBU" xfId="1145"/>
    <cellStyle name="Normal_Actual vs." xfId="1146"/>
    <cellStyle name="Normal_ACTUAL_1" xfId="1147"/>
    <cellStyle name="Normal_ACTUAL_NA WITHOUT GOV'T &amp; PNX" xfId="1148"/>
    <cellStyle name="Normal_algasdefault" xfId="1149"/>
    <cellStyle name="Normal_algasdefault_1" xfId="1150"/>
    <cellStyle name="Normal_Alternative1" xfId="1151"/>
    <cellStyle name="Normal_Alternative1_1" xfId="1152"/>
    <cellStyle name="Normal_AOPS" xfId="1153"/>
    <cellStyle name="Normal_App E" xfId="1154"/>
    <cellStyle name="Normal_APR" xfId="1155"/>
    <cellStyle name="Normal_APR_laroux" xfId="1156"/>
    <cellStyle name="Normal_Apr_pldt" xfId="1157"/>
    <cellStyle name="Normal_Arapahoe" xfId="1158"/>
    <cellStyle name="Normal_Assumptions" xfId="1159"/>
    <cellStyle name="Normal_Assumptions_dimon" xfId="1160"/>
    <cellStyle name="Normal_Assumptions_summary" xfId="1161"/>
    <cellStyle name="Normal_B" xfId="1162"/>
    <cellStyle name="Normal_bahiadefault" xfId="1163"/>
    <cellStyle name="Normal_bahiadefault_1" xfId="1164"/>
    <cellStyle name="Normal_BIGOUT" xfId="1165"/>
    <cellStyle name="Normal_Book3" xfId="1166"/>
    <cellStyle name="Normal_Book3_dimon" xfId="1167"/>
    <cellStyle name="Normal_BOP" xfId="1168"/>
    <cellStyle name="Normal_BOPBAL1" xfId="1169"/>
    <cellStyle name="Normal_BOPCBU" xfId="1170"/>
    <cellStyle name="Normal_BOPCBU (2)" xfId="1171"/>
    <cellStyle name="Normal_BOPCBU96" xfId="1172"/>
    <cellStyle name="Normal_BREPAIR" xfId="1173"/>
    <cellStyle name="Normal_BSAPPE.XLS" xfId="1174"/>
    <cellStyle name="Normal_BUDGET" xfId="1175"/>
    <cellStyle name="Normal_C-Cap intensity" xfId="1176"/>
    <cellStyle name="Normal_C-Capex%rev" xfId="1177"/>
    <cellStyle name="Normal_C-Line per Staff" xfId="1178"/>
    <cellStyle name="Normal_C-lines distribution" xfId="1179"/>
    <cellStyle name="Normal_C-Orig PLDT lines" xfId="1180"/>
    <cellStyle name="Normal_C-Ret on Rev" xfId="1181"/>
    <cellStyle name="Normal_C-ROACE" xfId="1182"/>
    <cellStyle name="Normal_Calculations" xfId="1183"/>
    <cellStyle name="Normal_Calculations (2)" xfId="1184"/>
    <cellStyle name="Normal_Calculations II" xfId="1185"/>
    <cellStyle name="Normal_Calculations II_1" xfId="1186"/>
    <cellStyle name="Normal_Calculations III" xfId="1187"/>
    <cellStyle name="Normal_Calculations_1" xfId="1188"/>
    <cellStyle name="Normal_Calculations_2" xfId="1189"/>
    <cellStyle name="Normal_Capex" xfId="1190"/>
    <cellStyle name="Normal_Capex per line" xfId="1191"/>
    <cellStyle name="Normal_Capex%rev" xfId="1192"/>
    <cellStyle name="Normal_CAPEX2" xfId="1193"/>
    <cellStyle name="Normal_CAPEX94" xfId="1194"/>
    <cellStyle name="Normal_CAPEX_dimon" xfId="1195"/>
    <cellStyle name="Normal_CAPEX_VERA" xfId="1196"/>
    <cellStyle name="Normal_CAPEXPWI.XLS" xfId="1197"/>
    <cellStyle name="Normal_CAPEXPWO.XLS" xfId="1198"/>
    <cellStyle name="Normal_CapInt" xfId="1199"/>
    <cellStyle name="Normal_Cardig GHS" xfId="1200"/>
    <cellStyle name="Normal_Cash Flows" xfId="1201"/>
    <cellStyle name="Normal_Cashflow" xfId="1202"/>
    <cellStyle name="Normal_CBU BOX CHART V PLAN" xfId="1203"/>
    <cellStyle name="Normal_CBU BOX CHART V PLAN_1" xfId="1204"/>
    <cellStyle name="Normal_CCOCPX" xfId="1205"/>
    <cellStyle name="Normal_CEL-C-CO.XLS" xfId="1206"/>
    <cellStyle name="Normal_Certs Q2" xfId="1207"/>
    <cellStyle name="Normal_Certs Q2 (2)" xfId="1208"/>
    <cellStyle name="Normal_CFMACROS.XLM" xfId="1209"/>
    <cellStyle name="Normal_CFMODEL" xfId="1210"/>
    <cellStyle name="Normal_CFMODEL.XLS" xfId="1211"/>
    <cellStyle name="Normal_CFTEST49" xfId="1212"/>
    <cellStyle name="Normal_CHANGES.XLS" xfId="1213"/>
    <cellStyle name="Normal_CHANGES.XLS_1" xfId="1214"/>
    <cellStyle name="Normal_ChgLoan" xfId="1215"/>
    <cellStyle name="Normal_Cht-Capex per line" xfId="1216"/>
    <cellStyle name="Normal_Cht-Cum Real Opr Cf" xfId="1217"/>
    <cellStyle name="Normal_Cht-Dep%Rev" xfId="1218"/>
    <cellStyle name="Normal_Cht-Real Opr Cf" xfId="1219"/>
    <cellStyle name="Normal_Cht-Rev dist" xfId="1220"/>
    <cellStyle name="Normal_Cht-Rev p line" xfId="1221"/>
    <cellStyle name="Normal_Cht-Rev per Staff" xfId="1222"/>
    <cellStyle name="Normal_Cht-Staff cost%revenue" xfId="1223"/>
    <cellStyle name="Normal_Co-wide Monthly" xfId="1224"/>
    <cellStyle name="Normal_Co-wide Monthly_dimon" xfId="1225"/>
    <cellStyle name="Normal_Code" xfId="1226"/>
    <cellStyle name="Normal_COMOTH" xfId="1227"/>
    <cellStyle name="Normal_coperdefault" xfId="1228"/>
    <cellStyle name="Normal_coperdefault_1" xfId="1229"/>
    <cellStyle name="Normal_Corp method" xfId="1230"/>
    <cellStyle name="Normal_Cost Code" xfId="1231"/>
    <cellStyle name="Normal_CROCF" xfId="1232"/>
    <cellStyle name="Normal_CTCUR" xfId="1233"/>
    <cellStyle name="Normal_Cum Real Opr Cf" xfId="1234"/>
    <cellStyle name="Normal_CUMPLTCH" xfId="1235"/>
    <cellStyle name="Normal_CurrencySKorea" xfId="1236"/>
    <cellStyle name="Normal_Curve_Economics" xfId="1237"/>
    <cellStyle name="Normal_Curve_Economics_1" xfId="1238"/>
    <cellStyle name="Normal_DEFAULT" xfId="1239"/>
    <cellStyle name="Normal_Demand Fcst." xfId="1240"/>
    <cellStyle name="Normal_Dep%Rev" xfId="1241"/>
    <cellStyle name="Normal_DeskCurves" xfId="1242"/>
    <cellStyle name="Normal_dimon" xfId="1243"/>
    <cellStyle name="Normal_dimon_1" xfId="1244"/>
    <cellStyle name="Normal_dimon_2" xfId="1245"/>
    <cellStyle name="Normal_dimon_3" xfId="1246"/>
    <cellStyle name="Normal_dimon_4" xfId="1247"/>
    <cellStyle name="Normal_DIV" xfId="1248"/>
    <cellStyle name="Normal_Dowell C1b" xfId="1249"/>
    <cellStyle name="Normal_Dowell-C1a" xfId="1250"/>
    <cellStyle name="Normal_DRAFT Order Summary" xfId="1251"/>
    <cellStyle name="Normal_E&amp;ONW1" xfId="1252"/>
    <cellStyle name="Normal_E&amp;ONW2" xfId="1253"/>
    <cellStyle name="Normal_E&amp;OOCPX" xfId="1254"/>
    <cellStyle name="Normal_emserdefault" xfId="1255"/>
    <cellStyle name="Normal_emserdefault_1" xfId="1256"/>
    <cellStyle name="Normal_EPS" xfId="1257"/>
    <cellStyle name="Normal_EQCON" xfId="1258"/>
    <cellStyle name="Normal_EVER1" xfId="1259"/>
    <cellStyle name="Normal_export 61898" xfId="1260"/>
    <cellStyle name="Normal_export deals 050898" xfId="1261"/>
    <cellStyle name="Normal_EXTEMP1" xfId="1262"/>
    <cellStyle name="Normal_F&amp;COCPX" xfId="1263"/>
    <cellStyle name="Normal_FEBRUARY" xfId="1264"/>
    <cellStyle name="Normal_FF" xfId="1265"/>
    <cellStyle name="Normal_FP 20 A (1)" xfId="1266"/>
    <cellStyle name="Normal_FP 20 A (2)" xfId="1267"/>
    <cellStyle name="Normal_FP-20 (App. E)" xfId="1268"/>
    <cellStyle name="Normal_FP-20 (App.A) " xfId="1269"/>
    <cellStyle name="Normal_FP-20 (App.A) _1" xfId="1270"/>
    <cellStyle name="Normal_FP-20(C1) (a)" xfId="1271"/>
    <cellStyle name="Normal_FP-20(C1) (a) (2)" xfId="1272"/>
    <cellStyle name="Normal_FP-20(C1) (a)_1" xfId="1273"/>
    <cellStyle name="Normal_FP-20(C1) (b)" xfId="1274"/>
    <cellStyle name="Normal_FP-20(C1) (b) " xfId="1275"/>
    <cellStyle name="Normal_FP-20(C1) (b) (2)" xfId="1276"/>
    <cellStyle name="Normal_FP-20(C1) (e)" xfId="1277"/>
    <cellStyle name="Normal_FP20_C1A" xfId="1278"/>
    <cellStyle name="Normal_FP20_C1B" xfId="1279"/>
    <cellStyle name="Normal_GASDATA1" xfId="1280"/>
    <cellStyle name="Normal_GASDATA1 (2)" xfId="1281"/>
    <cellStyle name="Normal_GASDATA1_1" xfId="1282"/>
    <cellStyle name="Normal_GCM" xfId="1283"/>
    <cellStyle name="Normal_GE03" xfId="1284"/>
    <cellStyle name="Normal_GE04" xfId="1285"/>
    <cellStyle name="Normal_GenAssum" xfId="1286"/>
    <cellStyle name="Normal_GenMod" xfId="1287"/>
    <cellStyle name="Normal_GP C1a" xfId="1288"/>
    <cellStyle name="Normal_GP C1b" xfId="1289"/>
    <cellStyle name="Normal_GP_EI_3" xfId="1290"/>
    <cellStyle name="Normal_GQ C1A" xfId="1291"/>
    <cellStyle name="Normal_GQ C1B" xfId="1292"/>
    <cellStyle name="Normal_H" xfId="1293"/>
    <cellStyle name="Normal_HC" xfId="1294"/>
    <cellStyle name="Normal_Igobox" xfId="1295"/>
    <cellStyle name="Normal_Igobox_1" xfId="1296"/>
    <cellStyle name="Normal_Igobox_2" xfId="1297"/>
    <cellStyle name="Normal_Igobox_Imacros" xfId="1298"/>
    <cellStyle name="Normal_Igobox_IPP" xfId="1299"/>
    <cellStyle name="Normal_Igobox_Iprintbox" xfId="1300"/>
    <cellStyle name="Normal_Imacros" xfId="1301"/>
    <cellStyle name="Normal_Imacros_1" xfId="1302"/>
    <cellStyle name="Normal_Imacros_2" xfId="1303"/>
    <cellStyle name="Normal_Input" xfId="1304"/>
    <cellStyle name="Normal_INPUT_1" xfId="1305"/>
    <cellStyle name="Normal_INPUT_GenAssum" xfId="1306"/>
    <cellStyle name="Normal_Inputs" xfId="1307"/>
    <cellStyle name="Normal_Inputs_dimon" xfId="1308"/>
    <cellStyle name="Normal_Int. Data Table" xfId="1309"/>
    <cellStyle name="Normal_Int. Data Table_1" xfId="1310"/>
    <cellStyle name="Normal_INVREV" xfId="1311"/>
    <cellStyle name="Normal_IPM C1b" xfId="1312"/>
    <cellStyle name="Normal_IPMC1a" xfId="1313"/>
    <cellStyle name="Normal_IPP" xfId="1314"/>
    <cellStyle name="Normal_IPP_1" xfId="1315"/>
    <cellStyle name="Normal_IPP_1_Igobox" xfId="1316"/>
    <cellStyle name="Normal_IPP_1_Imacros" xfId="1317"/>
    <cellStyle name="Normal_IPP_1_Iprintbox" xfId="1318"/>
    <cellStyle name="Normal_IPP_2" xfId="1319"/>
    <cellStyle name="Normal_IPP_dimon" xfId="1320"/>
    <cellStyle name="Normal_Iprintbox" xfId="1321"/>
    <cellStyle name="Normal_Iprintbox_1" xfId="1322"/>
    <cellStyle name="Normal_Iprintbox_2" xfId="1323"/>
    <cellStyle name="Normal_IRR" xfId="1324"/>
    <cellStyle name="Normal_IS-Hold" xfId="1325"/>
    <cellStyle name="Normal_Iterbox" xfId="1326"/>
    <cellStyle name="Normal_ITOCPX" xfId="1327"/>
    <cellStyle name="Normal_jancf" xfId="1328"/>
    <cellStyle name="Normal_JUNMTH55" xfId="1329"/>
    <cellStyle name="Normal_JUNMTH57" xfId="1330"/>
    <cellStyle name="Normal_JUNYTD55" xfId="1331"/>
    <cellStyle name="Normal_JUNYTD57" xfId="1332"/>
    <cellStyle name="Normal_laroux" xfId="1333"/>
    <cellStyle name="Normal_laroux_1" xfId="1334"/>
    <cellStyle name="Normal_laroux_1_dimon" xfId="1335"/>
    <cellStyle name="Normal_laroux_1_dimon_1" xfId="1336"/>
    <cellStyle name="Normal_laroux_1_dimon_2" xfId="1337"/>
    <cellStyle name="Normal_laroux_1_laroux" xfId="1338"/>
    <cellStyle name="Normal_laroux_1_laroux_1" xfId="1339"/>
    <cellStyle name="Normal_laroux_1_laroux_2" xfId="1340"/>
    <cellStyle name="Normal_laroux_1_Locas" xfId="1341"/>
    <cellStyle name="Normal_laroux_1_Locas_1" xfId="1342"/>
    <cellStyle name="Normal_laroux_1_pldt" xfId="1343"/>
    <cellStyle name="Normal_laroux_1_pldt_1" xfId="1344"/>
    <cellStyle name="Normal_laroux_1_pldt_2" xfId="1345"/>
    <cellStyle name="Normal_laroux_1_pldt_3" xfId="1346"/>
    <cellStyle name="Normal_laroux_1_PLDT_dimon" xfId="1347"/>
    <cellStyle name="Normal_laroux_1_VERA" xfId="1348"/>
    <cellStyle name="Normal_laroux_1_VERA_1" xfId="1349"/>
    <cellStyle name="Normal_laroux_1_VIRUS-EDY" xfId="1350"/>
    <cellStyle name="Normal_laroux_2" xfId="1351"/>
    <cellStyle name="Normal_laroux_2_dimon" xfId="1352"/>
    <cellStyle name="Normal_laroux_2_dimon_1" xfId="1353"/>
    <cellStyle name="Normal_laroux_2_dimon_2" xfId="1354"/>
    <cellStyle name="Normal_laroux_2_dimon_3" xfId="1355"/>
    <cellStyle name="Normal_laroux_2_laroux" xfId="1356"/>
    <cellStyle name="Normal_laroux_2_laroux_1" xfId="1357"/>
    <cellStyle name="Normal_laroux_2_laroux_2" xfId="1358"/>
    <cellStyle name="Normal_laroux_2_Locas" xfId="1359"/>
    <cellStyle name="Normal_laroux_2_Locas_1" xfId="1360"/>
    <cellStyle name="Normal_laroux_2_pldt" xfId="1361"/>
    <cellStyle name="Normal_laroux_2_pldt_1" xfId="1362"/>
    <cellStyle name="Normal_laroux_2_pldt_2" xfId="1363"/>
    <cellStyle name="Normal_laroux_2_VIRUS-EDY" xfId="1364"/>
    <cellStyle name="Normal_laroux_3" xfId="1365"/>
    <cellStyle name="Normal_laroux_3_dimon" xfId="1366"/>
    <cellStyle name="Normal_laroux_3_dimon_1" xfId="1367"/>
    <cellStyle name="Normal_laroux_3_dimon_2" xfId="1368"/>
    <cellStyle name="Normal_laroux_3_dimon_3" xfId="1369"/>
    <cellStyle name="Normal_laroux_3_dimon_4" xfId="1370"/>
    <cellStyle name="Normal_laroux_3_laroux" xfId="1371"/>
    <cellStyle name="Normal_laroux_3_laroux_1" xfId="1372"/>
    <cellStyle name="Normal_laroux_3_laroux_2" xfId="1373"/>
    <cellStyle name="Normal_laroux_3_laroux_dimon" xfId="1374"/>
    <cellStyle name="Normal_laroux_3_Locas" xfId="1375"/>
    <cellStyle name="Normal_laroux_3_pldt" xfId="1376"/>
    <cellStyle name="Normal_laroux_3_pldt_1" xfId="1377"/>
    <cellStyle name="Normal_laroux_3_PLDT_dimon" xfId="1378"/>
    <cellStyle name="Normal_laroux_3_VERA" xfId="1379"/>
    <cellStyle name="Normal_laroux_3_VERA_1" xfId="1380"/>
    <cellStyle name="Normal_laroux_3_VIRUS-EDY" xfId="1381"/>
    <cellStyle name="Normal_laroux_4" xfId="1382"/>
    <cellStyle name="Normal_laroux_4_dimon" xfId="1383"/>
    <cellStyle name="Normal_laroux_4_dimon_1" xfId="1384"/>
    <cellStyle name="Normal_laroux_4_dimon_2" xfId="1385"/>
    <cellStyle name="Normal_laroux_4_dimon_3" xfId="1386"/>
    <cellStyle name="Normal_laroux_4_laroux" xfId="1387"/>
    <cellStyle name="Normal_laroux_4_laroux_1" xfId="1388"/>
    <cellStyle name="Normal_laroux_4_laroux_2" xfId="1389"/>
    <cellStyle name="Normal_laroux_4_pldt" xfId="1390"/>
    <cellStyle name="Normal_laroux_4_pldt_1" xfId="1391"/>
    <cellStyle name="Normal_laroux_4_pldt_2" xfId="1392"/>
    <cellStyle name="Normal_laroux_4_PLDT_dimon" xfId="1393"/>
    <cellStyle name="Normal_laroux_4_VERA" xfId="1394"/>
    <cellStyle name="Normal_laroux_4_VIRUS-EDY" xfId="1395"/>
    <cellStyle name="Normal_laroux_5" xfId="1396"/>
    <cellStyle name="Normal_laroux_5_dimon" xfId="1397"/>
    <cellStyle name="Normal_laroux_5_dimon_1" xfId="1398"/>
    <cellStyle name="Normal_laroux_5_dimon_2" xfId="1399"/>
    <cellStyle name="Normal_laroux_5_dimon_3" xfId="1400"/>
    <cellStyle name="Normal_laroux_5_laroux" xfId="1401"/>
    <cellStyle name="Normal_laroux_5_laroux_1" xfId="1402"/>
    <cellStyle name="Normal_laroux_5_laroux_2" xfId="1403"/>
    <cellStyle name="Normal_laroux_5_pldt" xfId="1404"/>
    <cellStyle name="Normal_laroux_5_pldt_1" xfId="1405"/>
    <cellStyle name="Normal_laroux_5_pldt_2" xfId="1406"/>
    <cellStyle name="Normal_laroux_5_pldt_3" xfId="1407"/>
    <cellStyle name="Normal_laroux_5_PLDT_dimon" xfId="1408"/>
    <cellStyle name="Normal_laroux_5_VERA" xfId="1409"/>
    <cellStyle name="Normal_laroux_5_VIRUS-EDY" xfId="1410"/>
    <cellStyle name="Normal_laroux_6" xfId="1411"/>
    <cellStyle name="Normal_laroux_6_dimon" xfId="1412"/>
    <cellStyle name="Normal_laroux_6_dimon_1" xfId="1413"/>
    <cellStyle name="Normal_laroux_6_dimon_2" xfId="1414"/>
    <cellStyle name="Normal_laroux_6_dimon_3" xfId="1415"/>
    <cellStyle name="Normal_laroux_6_laroux" xfId="1416"/>
    <cellStyle name="Normal_laroux_6_laroux_1" xfId="1417"/>
    <cellStyle name="Normal_laroux_6_laroux_dimon" xfId="1418"/>
    <cellStyle name="Normal_laroux_6_pldt" xfId="1419"/>
    <cellStyle name="Normal_laroux_6_pldt_1" xfId="1420"/>
    <cellStyle name="Normal_laroux_6_pldt_2" xfId="1421"/>
    <cellStyle name="Normal_laroux_6_PLDT_dimon" xfId="1422"/>
    <cellStyle name="Normal_laroux_6_VERA" xfId="1423"/>
    <cellStyle name="Normal_laroux_6_VIRUS-EDY" xfId="1424"/>
    <cellStyle name="Normal_laroux_7" xfId="1425"/>
    <cellStyle name="Normal_laroux_7_dimon" xfId="1426"/>
    <cellStyle name="Normal_laroux_7_dimon_1" xfId="1427"/>
    <cellStyle name="Normal_laroux_7_dimon_2" xfId="1428"/>
    <cellStyle name="Normal_laroux_7_laroux" xfId="1429"/>
    <cellStyle name="Normal_laroux_7_pldt" xfId="1430"/>
    <cellStyle name="Normal_laroux_7_pldt_1" xfId="1431"/>
    <cellStyle name="Normal_laroux_7_VERA" xfId="1432"/>
    <cellStyle name="Normal_laroux_7_VIRUS-EDY" xfId="1433"/>
    <cellStyle name="Normal_laroux_8" xfId="1434"/>
    <cellStyle name="Normal_laroux_8_dimon" xfId="1435"/>
    <cellStyle name="Normal_laroux_8_dimon_1" xfId="1436"/>
    <cellStyle name="Normal_laroux_8_pldt" xfId="1437"/>
    <cellStyle name="Normal_laroux_8_pldt_1" xfId="1438"/>
    <cellStyle name="Normal_laroux_8_VERA" xfId="1439"/>
    <cellStyle name="Normal_laroux_9" xfId="1440"/>
    <cellStyle name="Normal_laroux_9_dimon" xfId="1441"/>
    <cellStyle name="Normal_laroux_9_dimon_1" xfId="1442"/>
    <cellStyle name="Normal_laroux_A" xfId="1443"/>
    <cellStyle name="Normal_laroux_B" xfId="1444"/>
    <cellStyle name="Normal_laroux_C" xfId="1445"/>
    <cellStyle name="Normal_laroux_D" xfId="1446"/>
    <cellStyle name="Normal_laroux_dimon" xfId="1447"/>
    <cellStyle name="Normal_laroux_dimon_1" xfId="1448"/>
    <cellStyle name="Normal_laroux_dimon_2" xfId="1449"/>
    <cellStyle name="Normal_laroux_dimon_3" xfId="1450"/>
    <cellStyle name="Normal_laroux_dimon_4" xfId="1451"/>
    <cellStyle name="Normal_laroux_dimon_5" xfId="1452"/>
    <cellStyle name="Normal_laroux_laroux" xfId="1453"/>
    <cellStyle name="Normal_laroux_laroux_1" xfId="1454"/>
    <cellStyle name="Normal_laroux_laroux_2" xfId="1455"/>
    <cellStyle name="Normal_laroux_Locas" xfId="1456"/>
    <cellStyle name="Normal_laroux_pldt" xfId="1457"/>
    <cellStyle name="Normal_laroux_pldt_1" xfId="1458"/>
    <cellStyle name="Normal_laroux_pldt_2" xfId="1459"/>
    <cellStyle name="Normal_laroux_pldt_3" xfId="1460"/>
    <cellStyle name="Normal_laroux_PLDT_dimon" xfId="1461"/>
    <cellStyle name="Normal_laroux_VERA" xfId="1462"/>
    <cellStyle name="Normal_laroux_VERA_1" xfId="1463"/>
    <cellStyle name="Normal_laroux_VIRUS-EDY" xfId="1464"/>
    <cellStyle name="Normal_Line Inst." xfId="1465"/>
    <cellStyle name="Normal_List" xfId="1466"/>
    <cellStyle name="Normal_Locas" xfId="1467"/>
    <cellStyle name="Normal_Locas_1" xfId="1468"/>
    <cellStyle name="Normal_Lock" xfId="1469"/>
    <cellStyle name="Normal_MAJREP" xfId="1470"/>
    <cellStyle name="Normal_MATERAL2" xfId="1471"/>
    <cellStyle name="Normal_MATERAL2_dimon" xfId="1472"/>
    <cellStyle name="Normal_MED-A-CO.XLS" xfId="1473"/>
    <cellStyle name="Normal_MID CURVE" xfId="1474"/>
    <cellStyle name="Normal_MKGOCPX" xfId="1475"/>
    <cellStyle name="Normal_Mkt Shr" xfId="1476"/>
    <cellStyle name="Normal_MOBCPX" xfId="1477"/>
    <cellStyle name="Normal_Module1" xfId="1478"/>
    <cellStyle name="Normal_Module1 (2)" xfId="1479"/>
    <cellStyle name="Normal_Module1 (2)_1" xfId="1480"/>
    <cellStyle name="Normal_MONTHLY" xfId="1481"/>
    <cellStyle name="Normal_MOR  - Supp" xfId="1482"/>
    <cellStyle name="Normal_mud plant bolted" xfId="1483"/>
    <cellStyle name="Normal_mud plant bolted_dimon" xfId="1484"/>
    <cellStyle name="Normal_Multikarya" xfId="1485"/>
    <cellStyle name="Normal_NA WITHOUT GOV'T &amp; PNX" xfId="1486"/>
    <cellStyle name="Normal_NAOBU10" xfId="1487"/>
    <cellStyle name="Normal_NAT ACCT" xfId="1488"/>
    <cellStyle name="Normal_NCR-C&amp;W Val" xfId="1489"/>
    <cellStyle name="Normal_NCR-Cap intensity" xfId="1490"/>
    <cellStyle name="Normal_NCR-Line per Staff" xfId="1491"/>
    <cellStyle name="Normal_NCR-Rev dist" xfId="1492"/>
    <cellStyle name="Normal_NEHQ-ACT.XLS" xfId="1493"/>
    <cellStyle name="Normal_NS-A-CO.XLS" xfId="1494"/>
    <cellStyle name="Normal_NS_AT" xfId="1495"/>
    <cellStyle name="Normal_NS_CONS GROUP" xfId="1496"/>
    <cellStyle name="Normal_NSACTUAL.XLS" xfId="1497"/>
    <cellStyle name="Normal_NSACTUAL.XLS_1" xfId="1498"/>
    <cellStyle name="Normal_NX00" xfId="1499"/>
    <cellStyle name="Normal_OFFDATA1" xfId="1500"/>
    <cellStyle name="Normal_OFFDATA1 (2)" xfId="1501"/>
    <cellStyle name="Normal_OFFDATA1_1" xfId="1502"/>
    <cellStyle name="Normal_Op Cost Break" xfId="1503"/>
    <cellStyle name="Normal_Operations" xfId="1504"/>
    <cellStyle name="Normal_opsmacro" xfId="1505"/>
    <cellStyle name="Normal_OPSTAT" xfId="1506"/>
    <cellStyle name="Normal_OS-A-CO.XLS" xfId="1507"/>
    <cellStyle name="Normal_OSMOCPX" xfId="1508"/>
    <cellStyle name="Normal_Other Months" xfId="1509"/>
    <cellStyle name="Normal_Outlook" xfId="1510"/>
    <cellStyle name="Normal_Outlook_1" xfId="1511"/>
    <cellStyle name="Normal_OWN, AR, SNIPS" xfId="1512"/>
    <cellStyle name="Normal_PAGE 1" xfId="1513"/>
    <cellStyle name="Normal_pbdefault" xfId="1514"/>
    <cellStyle name="Normal_pbdefault_1" xfId="1515"/>
    <cellStyle name="Normal_percentages" xfId="1516"/>
    <cellStyle name="Normal_PERSONAL" xfId="1517"/>
    <cellStyle name="Normal_PERSONAL_dimon" xfId="1518"/>
    <cellStyle name="Normal_PERSONAL_Locas" xfId="1519"/>
    <cellStyle name="Normal_PGMKOCPX" xfId="1520"/>
    <cellStyle name="Normal_PGNW1" xfId="1521"/>
    <cellStyle name="Normal_PGNW2" xfId="1522"/>
    <cellStyle name="Normal_PGNWOCPX" xfId="1523"/>
    <cellStyle name="Normal_Picks" xfId="1524"/>
    <cellStyle name="Normal_Pink" xfId="1525"/>
    <cellStyle name="Normal_PKDATA1" xfId="1526"/>
    <cellStyle name="Normal_PKDATA1 (2)" xfId="1527"/>
    <cellStyle name="Normal_PKDATA1_1" xfId="1528"/>
    <cellStyle name="Normal_PLAN" xfId="1529"/>
    <cellStyle name="Normal_PLANT" xfId="1530"/>
    <cellStyle name="Normal_PLANTS" xfId="1531"/>
    <cellStyle name="Normal_PLDT" xfId="1532"/>
    <cellStyle name="Normal_PLDT_1" xfId="1533"/>
    <cellStyle name="Normal_pldt_1_Calculations" xfId="1534"/>
    <cellStyle name="Normal_PLDT_1_dimon" xfId="1535"/>
    <cellStyle name="Normal_pldt_2" xfId="1536"/>
    <cellStyle name="Normal_pldt_2_Calculations" xfId="1537"/>
    <cellStyle name="Normal_PLDT_2_dimon" xfId="1538"/>
    <cellStyle name="Normal_pldt_2_dimon_1" xfId="1539"/>
    <cellStyle name="Normal_pldt_2_pldt" xfId="1540"/>
    <cellStyle name="Normal_pldt_3" xfId="1541"/>
    <cellStyle name="Normal_pldt_3_dimon" xfId="1542"/>
    <cellStyle name="Normal_pldt_4" xfId="1543"/>
    <cellStyle name="Normal_pldt_4_dimon" xfId="1544"/>
    <cellStyle name="Normal_PLDT_4_dimon_1" xfId="1545"/>
    <cellStyle name="Normal_pldt_5" xfId="1546"/>
    <cellStyle name="Normal_pldt_6" xfId="1547"/>
    <cellStyle name="Normal_pldt_Calculations" xfId="1548"/>
    <cellStyle name="Normal_PLDT_dimon" xfId="1549"/>
    <cellStyle name="Normal_PLDT_dimon_1" xfId="1550"/>
    <cellStyle name="Normal_pldt_pldt" xfId="1551"/>
    <cellStyle name="Normal_POW-Provision" xfId="1552"/>
    <cellStyle name="Normal_priccurv" xfId="1553"/>
    <cellStyle name="Normal_priccurv_1" xfId="1554"/>
    <cellStyle name="Normal_priccurv_2" xfId="1555"/>
    <cellStyle name="Normal_PriceCurve" xfId="0"/>
    <cellStyle name="Normal_PriceCurve_1" xfId="0"/>
    <cellStyle name="Normal_PrintBox (2)" xfId="0"/>
    <cellStyle name="Normal_PROCDS&amp;G" xfId="0"/>
    <cellStyle name="Normal_PROD SALES" xfId="0"/>
    <cellStyle name="Normal_PROD SALES by Region Pg 2" xfId="0"/>
    <cellStyle name="Normal_PRODUCT" xfId="0"/>
    <cellStyle name="Normal_Production Payment model" xfId="0"/>
    <cellStyle name="Normal_production tony" xfId="0"/>
    <cellStyle name="Normal_PROFILE4" xfId="0"/>
    <cellStyle name="Normal_PSTNOCFP" xfId="0"/>
    <cellStyle name="Normal_Q08-95.XLS" xfId="0"/>
    <cellStyle name="Normal_QMM-1" xfId="0"/>
    <cellStyle name="Normal_Quarter End Months" xfId="0"/>
    <cellStyle name="Normal_r1" xfId="0"/>
    <cellStyle name="Normal_R2FAC" xfId="0"/>
    <cellStyle name="Normal_Real Opr Cf" xfId="0"/>
    <cellStyle name="Normal_Real Rev per Staff (1)" xfId="0"/>
    <cellStyle name="Normal_Real Rev per Staff (2)" xfId="0"/>
    <cellStyle name="Normal_Region 2-C&amp;W" xfId="0"/>
    <cellStyle name="Normal_REPORT-budget" xfId="0"/>
    <cellStyle name="Normal_REPORT-plan" xfId="0"/>
    <cellStyle name="Normal_Return on Rev" xfId="0"/>
    <cellStyle name="Normal_Rev p line" xfId="0"/>
    <cellStyle name="Normal_ROACE" xfId="0"/>
    <cellStyle name="Normal_ROCF (Tot)" xfId="0"/>
    <cellStyle name="Normal_Sales Order" xfId="0"/>
    <cellStyle name="Normal_SALES, BGP, MOI" xfId="0"/>
    <cellStyle name="Normal_SATOCPX" xfId="0"/>
    <cellStyle name="Normal_SC COP" xfId="0"/>
    <cellStyle name="Normal_ScreeningModel" xfId="0"/>
    <cellStyle name="Normal_SELECT" xfId="0"/>
    <cellStyle name="Normal_Sheet1" xfId="0"/>
    <cellStyle name="Normal_Sheet1 (2)" xfId="0"/>
    <cellStyle name="Normal_Sheet1 (2)_dimon" xfId="0"/>
    <cellStyle name="Normal_Sheet1 (2)_VERA" xfId="0"/>
    <cellStyle name="Normal_Sheet1 (2)_VERA_1" xfId="0"/>
    <cellStyle name="Normal_Sheet1_1" xfId="0"/>
    <cellStyle name="Normal_Sheet1_dimon" xfId="0"/>
    <cellStyle name="Normal_Sheet1_dimon_1" xfId="0"/>
    <cellStyle name="Normal_Sheet1_FUNDS" xfId="0"/>
    <cellStyle name="Normal_Sheet1_FUNDS (2)" xfId="0"/>
    <cellStyle name="Normal_Sheet1_laroux" xfId="0"/>
    <cellStyle name="Normal_Sheet1_List" xfId="0"/>
    <cellStyle name="Normal_Sheet1_PLDT" xfId="0"/>
    <cellStyle name="Normal_Sheet1_VERA" xfId="0"/>
    <cellStyle name="Normal_Sheet1_VERA_1" xfId="0"/>
    <cellStyle name="Normal_Sheet2" xfId="0"/>
    <cellStyle name="Normal_Sheet3" xfId="0"/>
    <cellStyle name="Normal_SHENREPT" xfId="0"/>
    <cellStyle name="Normal_SHENREPT_laroux" xfId="0"/>
    <cellStyle name="Normal_SHENREPT_pldt" xfId="0"/>
    <cellStyle name="Normal_solInv_suppldata_qry" xfId="0"/>
    <cellStyle name="Normal_SOP" xfId="0"/>
    <cellStyle name="Normal_Specifics" xfId="0"/>
    <cellStyle name="Normal_sprint contr" xfId="0"/>
    <cellStyle name="Normal_Staff cost%rev" xfId="0"/>
    <cellStyle name="Normal_SUMMARY" xfId="0"/>
    <cellStyle name="Normal_Summary_dimon" xfId="0"/>
    <cellStyle name="Normal_SUMPAGE" xfId="0"/>
    <cellStyle name="Normal_SWI-C-CO.XLS" xfId="0"/>
    <cellStyle name="Normal_Template" xfId="0"/>
    <cellStyle name="Normal_Template_dimon" xfId="0"/>
    <cellStyle name="Normal_TESTDATA" xfId="0"/>
    <cellStyle name="Normal_TMSNW1" xfId="0"/>
    <cellStyle name="Normal_TMSNW2" xfId="0"/>
    <cellStyle name="Normal_TMSOCPX" xfId="0"/>
    <cellStyle name="Normal_TOTAL MTH" xfId="0"/>
    <cellStyle name="Normal_TOTAL NX CASH FLOW" xfId="0"/>
    <cellStyle name="Normal_TOTAL YTD" xfId="0"/>
    <cellStyle name="Normal_Total-Rev dist." xfId="0"/>
    <cellStyle name="Normal_TRANSDSC.XLS" xfId="0"/>
    <cellStyle name="Normal_TRANSFXA.XLS" xfId="0"/>
    <cellStyle name="Normal_TRANSFXA.XLS_1" xfId="0"/>
    <cellStyle name="Normal_TRANSFXA.XLS_2" xfId="0"/>
    <cellStyle name="Normal_TRANSIME.XLS" xfId="0"/>
    <cellStyle name="Normal_TRANSIME.XLS_1" xfId="0"/>
    <cellStyle name="Normal_TRANSIME.XLS_TRANSDSC.XLS" xfId="0"/>
    <cellStyle name="Normal_TRANSIME.XLS_TRANSFXA.XLS" xfId="0"/>
    <cellStyle name="Normal_TRN-A-CO.XLS" xfId="0"/>
    <cellStyle name="Normal_VDlg" xfId="0"/>
    <cellStyle name="Normal_White" xfId="0"/>
    <cellStyle name="Normal_WO Var. &amp; Tot. Exp." xfId="0"/>
    <cellStyle name="Normal_WSP" xfId="0"/>
    <cellStyle name="Normal_yrcao" xfId="0"/>
    <cellStyle name="Normal_YREND55" xfId="0"/>
    <cellStyle name="Normal_YREND57" xfId="0"/>
    <cellStyle name="Normal_YTDCUR" xfId="0"/>
    <cellStyle name="Percent [2]" xfId="0"/>
    <cellStyle name="Percent_dimon" xfId="0"/>
    <cellStyle name="Percent_SPC99-03" xfId="0"/>
    <cellStyle name="Standard_Anpassen der Amortisation" xfId="0"/>
    <cellStyle name="Standard_ATW" xfId="0"/>
    <cellStyle name="Standard_Compiling Utility Macros" xfId="0"/>
    <cellStyle name="Standard_FixerSetupDlg" xfId="0"/>
    <cellStyle name="Standard_Sperren" xfId="0"/>
    <cellStyle name="Standard_Sperren_1" xfId="0"/>
    <cellStyle name="Standard_TemplateInformation" xfId="0"/>
    <cellStyle name="Standard_TemplateInformation_1" xfId="0"/>
    <cellStyle name="Total" xfId="0"/>
    <cellStyle name="uk" xfId="0"/>
    <cellStyle name="Un" xfId="0"/>
    <cellStyle name="Unprot" xfId="0"/>
    <cellStyle name="Unprot$" xfId="0"/>
    <cellStyle name="Unprot_CurrencySKorea" xfId="0"/>
    <cellStyle name="Unprot_GenMod" xfId="0"/>
    <cellStyle name="Unprot_ScreeningModel" xfId="0"/>
    <cellStyle name="Unprotect" xfId="0"/>
    <cellStyle name="Unprotect_dimon" xfId="0"/>
    <cellStyle name="Unprotect_summary" xfId="0"/>
    <cellStyle name="Währung [0]_Compiling Utility Macros" xfId="0"/>
    <cellStyle name="Währung [0]_FixerSetupDlg" xfId="0"/>
    <cellStyle name="Währung [0]_TemplateInformation" xfId="0"/>
    <cellStyle name="Währung_Compiling Utility Macros" xfId="0"/>
    <cellStyle name="Währung_FixerSetupDlg" xfId="0"/>
    <cellStyle name="Währung_TemplateInformation" xfId="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externalLink" Target="externalLinks/externalLink3.xml"/><Relationship Id="rId21" Type="http://schemas.openxmlformats.org/officeDocument/2006/relationships/externalLink" Target="externalLinks/externalLink4.xml"/><Relationship Id="rId22" Type="http://schemas.openxmlformats.org/officeDocument/2006/relationships/sharedStrings" Target="sharedStrings.xml"/>
</Relationships>
</file>

<file path=xl/ctrlProps/ctrlProps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50760</xdr:colOff>
          <xdr:row>0</xdr:row>
          <xdr:rowOff>47520</xdr:rowOff>
        </xdr:from>
        <xdr:to>
          <xdr:col>1</xdr:col>
          <xdr:colOff>-933480</xdr:colOff>
          <xdr:row>3</xdr:row>
          <xdr:rowOff>19440</xdr:rowOff>
        </xdr:to>
        <xdr:sp>
          <xdr:nvSpPr>
            <xdr:cNvPr id="1001" name="Button 507" descr="PRINT" hidden="0"/>
            <xdr:cNvSpPr/>
          </xdr:nvSpPr>
          <xdr:spPr>
            <a:xfrm>
              <a:off x="0" y="0"/>
              <a:ext cx="0" cy="0"/>
            </a:xfrm>
            <a:prstGeom prst="rect">
              <a:avLst/>
            </a:prstGeom>
          </xdr:spPr>
          <xdr:txBody>
            <a:bodyPr anchor="ctr">
              <a:noAutofit/>
            </a:bodyPr>
            <a:p>
              <a:r>
                <a:t>PRINT</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O:/NAES/GenSvcs/Genco/Financing/Old%20Files/Brownsville042199bkup.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TEMP/IRRModelOctStart4.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O:/NAES/GenSvcs/Genco/Financing/Control/Consoliated-Model-Check.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O:/NAES/GenSvcs/Genco/Financing/Control/Wheatland,IN.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monci"/>
      <sheetName val="Tracking sheet"/>
      <sheetName val="Value"/>
      <sheetName val="Project Assumptions"/>
      <sheetName val="PPA Assumptions &amp;Summary"/>
      <sheetName val="Operations"/>
      <sheetName val="Debt Amortization"/>
      <sheetName val="Returns Summary"/>
      <sheetName val="Book Income Statement"/>
      <sheetName val="Cash Flow Statement"/>
      <sheetName val="BS"/>
      <sheetName val="Tax Calculations"/>
      <sheetName val="Depreciation"/>
      <sheetName val="Interest During Construction"/>
      <sheetName val="Maintenance Reserv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reset Scenarios"/>
      <sheetName val="Assumptions"/>
      <sheetName val="Power Price Assumption"/>
      <sheetName val="IS"/>
      <sheetName val="CF"/>
      <sheetName val="IRR"/>
      <sheetName val="Exposure"/>
      <sheetName val="Debt"/>
      <sheetName val="Depreciation"/>
      <sheetName val="Tax"/>
      <sheetName val="Brownsville"/>
      <sheetName val="Caledonia"/>
      <sheetName val="New Albany"/>
      <sheetName val="Calvert"/>
      <sheetName val="Wheatland"/>
      <sheetName val="Wilton"/>
      <sheetName val="EGC Start Charge Matrix"/>
      <sheetName val="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F19">
            <v>141.231256953366</v>
          </cell>
          <cell r="G19">
            <v>245.471643547891</v>
          </cell>
          <cell r="H19">
            <v>243.465268963772</v>
          </cell>
          <cell r="I19">
            <v>332.317863375918</v>
          </cell>
          <cell r="J19">
            <v>407.639618029741</v>
          </cell>
          <cell r="K19">
            <v>419.069313955135</v>
          </cell>
          <cell r="L19">
            <v>422.846075677467</v>
          </cell>
          <cell r="M19">
            <v>426.322638040831</v>
          </cell>
          <cell r="N19">
            <v>430.193134230758</v>
          </cell>
          <cell r="O19">
            <v>434.767981598898</v>
          </cell>
          <cell r="P19">
            <v>439.39382687852</v>
          </cell>
          <cell r="Q19">
            <v>441.97082698988</v>
          </cell>
          <cell r="R19">
            <v>446.404374521401</v>
          </cell>
          <cell r="S19">
            <v>441.406742732557</v>
          </cell>
          <cell r="T19">
            <v>445.210263507712</v>
          </cell>
          <cell r="U19">
            <v>448.849056317358</v>
          </cell>
          <cell r="V19">
            <v>452.370713136405</v>
          </cell>
          <cell r="W19">
            <v>455.835901311135</v>
          </cell>
          <cell r="X19">
            <v>458.772614237392</v>
          </cell>
          <cell r="Y19">
            <v>450.475302839075</v>
          </cell>
          <cell r="Z19">
            <v>463.255855099857</v>
          </cell>
        </row>
        <row r="32">
          <cell r="F32">
            <v>124.943676931579</v>
          </cell>
          <cell r="G32">
            <v>214.189160454135</v>
          </cell>
          <cell r="H32">
            <v>214.189160454135</v>
          </cell>
          <cell r="I32">
            <v>214.189160454135</v>
          </cell>
          <cell r="J32">
            <v>202.903632935765</v>
          </cell>
          <cell r="K32">
            <v>202.903632935765</v>
          </cell>
          <cell r="L32">
            <v>202.903632935765</v>
          </cell>
          <cell r="M32">
            <v>202.903632935765</v>
          </cell>
          <cell r="N32">
            <v>202.903632935765</v>
          </cell>
          <cell r="O32">
            <v>202.903632935765</v>
          </cell>
          <cell r="P32">
            <v>182.423984729036</v>
          </cell>
          <cell r="Q32">
            <v>173.859304452645</v>
          </cell>
          <cell r="R32">
            <v>165.49193631173</v>
          </cell>
          <cell r="S32">
            <v>157.13670570799</v>
          </cell>
          <cell r="T32">
            <v>153.872776085576</v>
          </cell>
          <cell r="U32">
            <v>150.102058216563</v>
          </cell>
          <cell r="V32">
            <v>140.917442102521</v>
          </cell>
          <cell r="W32">
            <v>111.718211437975</v>
          </cell>
          <cell r="X32">
            <v>104.211919815935</v>
          </cell>
          <cell r="Y32">
            <v>84.1082544662574</v>
          </cell>
          <cell r="Z32">
            <v>84.1082544662574</v>
          </cell>
        </row>
        <row r="39">
          <cell r="F39">
            <v>11439.7318132227</v>
          </cell>
          <cell r="G39">
            <v>19883.2031273792</v>
          </cell>
          <cell r="H39">
            <v>19720.6867860655</v>
          </cell>
          <cell r="I39">
            <v>26917.7469334493</v>
          </cell>
          <cell r="J39">
            <v>33018.809060409</v>
          </cell>
          <cell r="K39">
            <v>33944.614430366</v>
          </cell>
          <cell r="L39">
            <v>34250.5321298749</v>
          </cell>
          <cell r="M39">
            <v>34532.1336813073</v>
          </cell>
          <cell r="N39">
            <v>34845.6438726914</v>
          </cell>
          <cell r="O39">
            <v>35216.2065095107</v>
          </cell>
          <cell r="P39">
            <v>35590.8999771601</v>
          </cell>
          <cell r="Q39">
            <v>35799.6369861803</v>
          </cell>
          <cell r="R39">
            <v>36158.7543362335</v>
          </cell>
          <cell r="S39">
            <v>35753.9461613372</v>
          </cell>
          <cell r="T39">
            <v>36062.0313441247</v>
          </cell>
          <cell r="U39">
            <v>36356.773561706</v>
          </cell>
          <cell r="V39">
            <v>36642.0277640488</v>
          </cell>
          <cell r="W39">
            <v>36922.7080062019</v>
          </cell>
          <cell r="X39">
            <v>37160.5817532288</v>
          </cell>
          <cell r="Y39">
            <v>36488.4995299651</v>
          </cell>
          <cell r="Z39">
            <v>37523.7242630885</v>
          </cell>
        </row>
      </sheetData>
      <sheetData sheetId="15"/>
      <sheetData sheetId="16"/>
      <sheetData sheetId="1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over"/>
      <sheetName val="Table of Content"/>
      <sheetName val="Consolidated Model Assumptions"/>
      <sheetName val="Consolidated Summary"/>
      <sheetName val="IS"/>
      <sheetName val="DSCR"/>
      <sheetName val="CF"/>
      <sheetName val="Depreciation"/>
      <sheetName val="Tax Calculations"/>
    </sheetNames>
    <sheetDataSet>
      <sheetData sheetId="0"/>
      <sheetData sheetId="1"/>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XXXXX"/>
      <sheetName val="Tracker"/>
      <sheetName val="ProjAssm"/>
      <sheetName val="PPA Assu&amp;Sum"/>
      <sheetName val="Oper"/>
      <sheetName val="Debt Amort"/>
      <sheetName val="Returns"/>
      <sheetName val="BK IS"/>
      <sheetName val="CF"/>
      <sheetName val="Tax"/>
      <sheetName val="Depr"/>
      <sheetName val="IDC"/>
      <sheetName val="Monthly Model"/>
      <sheetName val="MaintRes"/>
      <sheetName val="Debt Graph"/>
    </sheetNames>
    <sheetDataSet>
      <sheetData sheetId="0"/>
      <sheetData sheetId="1"/>
      <sheetData sheetId="2"/>
      <sheetData sheetId="3">
        <row r="5">
          <cell r="A5" t="str">
            <v>Months of Operation</v>
          </cell>
        </row>
        <row r="6">
          <cell r="A6" t="str">
            <v>Months of Year Under PPA</v>
          </cell>
        </row>
        <row r="7">
          <cell r="A7" t="str">
            <v>Months of Year Merchant</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4.v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5.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vmlDrawing" Target="../drawings/vmlDrawing6.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vmlDrawing" Target="../drawings/vmlDrawing7.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D22" activeCellId="0" sqref="D22:X22"/>
    </sheetView>
  </sheetViews>
  <sheetFormatPr defaultColWidth="9.28125" defaultRowHeight="12.6" customHeight="true" zeroHeight="false" outlineLevelRow="0" outlineLevelCol="0"/>
  <cols>
    <col collapsed="false" customWidth="true" hidden="false" outlineLevel="0" max="1" min="1" style="1" width="24.7"/>
    <col collapsed="false" customWidth="true" hidden="false" outlineLevel="0" max="2" min="2" style="1" width="14.7"/>
    <col collapsed="false" customWidth="true" hidden="false" outlineLevel="0" max="3" min="3" style="1" width="9.7"/>
    <col collapsed="false" customWidth="false" hidden="false" outlineLevel="0" max="25" min="4" style="1" width="9.28"/>
    <col collapsed="false" customWidth="false" hidden="true" outlineLevel="0" max="27" min="26" style="1" width="9.28"/>
    <col collapsed="false" customWidth="false" hidden="false" outlineLevel="0" max="28" min="28" style="1" width="9.28"/>
    <col collapsed="false" customWidth="false" hidden="false" outlineLevel="0" max="30" min="29" style="706" width="9.28"/>
    <col collapsed="false" customWidth="false" hidden="false" outlineLevel="0" max="257" min="31" style="4" width="9.28"/>
  </cols>
  <sheetData>
    <row r="1" customFormat="false" ht="20.25" hidden="false" customHeight="true" outlineLevel="0" collapsed="false">
      <c r="A1" s="367" t="str">
        <f aca="false">'Project Assumtions'!$A$2</f>
        <v>WHEATLAND POWER IN, L.L.C.</v>
      </c>
      <c r="B1" s="707"/>
      <c r="C1" s="708"/>
    </row>
    <row r="2" customFormat="false" ht="15.6" hidden="false" customHeight="true" outlineLevel="0" collapsed="false">
      <c r="A2" s="370" t="s">
        <v>542</v>
      </c>
      <c r="B2" s="709"/>
      <c r="C2" s="710"/>
    </row>
    <row r="3" customFormat="false" ht="12.6" hidden="false" customHeight="true" outlineLevel="0" collapsed="false">
      <c r="A3" s="480"/>
      <c r="B3" s="6"/>
      <c r="C3" s="481"/>
      <c r="D3" s="481" t="n">
        <v>1</v>
      </c>
      <c r="E3" s="481" t="n">
        <f aca="false">D3+1</f>
        <v>2</v>
      </c>
      <c r="F3" s="481" t="n">
        <f aca="false">E3+1</f>
        <v>3</v>
      </c>
      <c r="G3" s="481" t="n">
        <f aca="false">F3+1</f>
        <v>4</v>
      </c>
      <c r="H3" s="481" t="n">
        <f aca="false">G3+1</f>
        <v>5</v>
      </c>
      <c r="I3" s="482" t="n">
        <f aca="false">H3+1</f>
        <v>6</v>
      </c>
      <c r="J3" s="481" t="n">
        <f aca="false">I3+1</f>
        <v>7</v>
      </c>
      <c r="K3" s="481" t="n">
        <f aca="false">J3+1</f>
        <v>8</v>
      </c>
      <c r="L3" s="481" t="n">
        <f aca="false">K3+1</f>
        <v>9</v>
      </c>
      <c r="M3" s="481" t="n">
        <f aca="false">L3+1</f>
        <v>10</v>
      </c>
      <c r="N3" s="481" t="n">
        <f aca="false">M3+1</f>
        <v>11</v>
      </c>
      <c r="O3" s="482" t="n">
        <f aca="false">N3+1</f>
        <v>12</v>
      </c>
      <c r="P3" s="481" t="n">
        <f aca="false">O3+1</f>
        <v>13</v>
      </c>
      <c r="Q3" s="481" t="n">
        <f aca="false">P3+1</f>
        <v>14</v>
      </c>
      <c r="R3" s="481" t="n">
        <f aca="false">Q3+1</f>
        <v>15</v>
      </c>
      <c r="S3" s="481" t="n">
        <f aca="false">R3+1</f>
        <v>16</v>
      </c>
      <c r="T3" s="481" t="n">
        <f aca="false">S3+1</f>
        <v>17</v>
      </c>
      <c r="U3" s="482" t="n">
        <f aca="false">T3+1</f>
        <v>18</v>
      </c>
      <c r="V3" s="481" t="n">
        <f aca="false">U3+1</f>
        <v>19</v>
      </c>
      <c r="W3" s="481" t="n">
        <f aca="false">V3+1</f>
        <v>20</v>
      </c>
      <c r="X3" s="481" t="n">
        <f aca="false">W3+1</f>
        <v>21</v>
      </c>
      <c r="Y3" s="481" t="n">
        <f aca="false">X3+1</f>
        <v>22</v>
      </c>
      <c r="Z3" s="481" t="n">
        <f aca="false">Y3+1</f>
        <v>23</v>
      </c>
      <c r="AA3" s="482" t="n">
        <f aca="false">Z3+1</f>
        <v>24</v>
      </c>
      <c r="AB3" s="481" t="n">
        <f aca="false">AA3+1</f>
        <v>25</v>
      </c>
      <c r="AC3" s="639"/>
      <c r="AD3" s="0"/>
      <c r="AE3" s="637"/>
      <c r="AF3" s="637"/>
      <c r="AG3" s="637"/>
      <c r="AH3" s="637"/>
      <c r="AI3" s="637"/>
      <c r="AJ3" s="637"/>
      <c r="AK3" s="637"/>
      <c r="AL3" s="637"/>
      <c r="AM3" s="637"/>
      <c r="AN3" s="637"/>
      <c r="AO3" s="637"/>
      <c r="AP3" s="637"/>
      <c r="AQ3" s="637"/>
      <c r="AR3" s="637"/>
      <c r="AS3" s="637"/>
      <c r="AT3" s="637"/>
      <c r="AU3" s="637"/>
      <c r="AV3" s="637"/>
      <c r="AW3" s="637"/>
      <c r="AX3" s="637"/>
      <c r="AY3" s="637"/>
      <c r="AZ3" s="637"/>
      <c r="BA3" s="637"/>
      <c r="BB3" s="637"/>
      <c r="BC3" s="637"/>
      <c r="BD3" s="637"/>
      <c r="BE3" s="637"/>
      <c r="BF3" s="637"/>
      <c r="BG3" s="637"/>
      <c r="BH3" s="637"/>
      <c r="BI3" s="637"/>
      <c r="BJ3" s="637"/>
      <c r="BK3" s="637"/>
      <c r="BL3" s="637"/>
      <c r="BM3" s="637"/>
      <c r="BN3" s="637"/>
      <c r="BO3" s="637"/>
      <c r="BP3" s="637"/>
      <c r="BQ3" s="637"/>
      <c r="BR3" s="637"/>
      <c r="BS3" s="637"/>
      <c r="BT3" s="637"/>
      <c r="BU3" s="637"/>
      <c r="BV3" s="637"/>
      <c r="BW3" s="637"/>
      <c r="BX3" s="637"/>
      <c r="BY3" s="637"/>
      <c r="BZ3" s="637"/>
      <c r="CA3" s="637"/>
      <c r="CB3" s="637"/>
      <c r="CC3" s="637"/>
      <c r="CD3" s="637"/>
      <c r="CE3" s="637"/>
      <c r="CF3" s="637"/>
      <c r="CG3" s="637"/>
      <c r="CH3" s="637"/>
      <c r="CI3" s="637"/>
      <c r="CJ3" s="637"/>
      <c r="CK3" s="637"/>
      <c r="CL3" s="637"/>
      <c r="CM3" s="637"/>
      <c r="CN3" s="637"/>
      <c r="CO3" s="637"/>
      <c r="CP3" s="637"/>
      <c r="CQ3" s="637"/>
      <c r="CR3" s="637"/>
      <c r="CS3" s="637"/>
      <c r="CT3" s="637"/>
      <c r="CU3" s="637"/>
      <c r="CV3" s="637"/>
      <c r="CW3" s="637"/>
      <c r="CX3" s="637"/>
      <c r="CY3" s="637"/>
      <c r="CZ3" s="637"/>
      <c r="DA3" s="637"/>
      <c r="DB3" s="637"/>
      <c r="DC3" s="637"/>
      <c r="DD3" s="637"/>
      <c r="DE3" s="637"/>
      <c r="DF3" s="637"/>
      <c r="DG3" s="637"/>
      <c r="DH3" s="637"/>
      <c r="DI3" s="637"/>
      <c r="DJ3" s="637"/>
      <c r="DK3" s="637"/>
      <c r="DL3" s="637"/>
      <c r="DM3" s="637"/>
      <c r="DN3" s="637"/>
      <c r="DO3" s="637"/>
      <c r="DP3" s="637"/>
      <c r="DQ3" s="637"/>
      <c r="DR3" s="637"/>
      <c r="DS3" s="637"/>
      <c r="DT3" s="637"/>
      <c r="DU3" s="637"/>
      <c r="DV3" s="637"/>
      <c r="DW3" s="637"/>
      <c r="DX3" s="637"/>
      <c r="DY3" s="637"/>
      <c r="DZ3" s="637"/>
      <c r="EA3" s="637"/>
      <c r="EB3" s="637"/>
      <c r="EC3" s="637"/>
      <c r="ED3" s="637"/>
      <c r="EE3" s="637"/>
      <c r="EF3" s="637"/>
      <c r="EG3" s="637"/>
      <c r="EH3" s="637"/>
      <c r="EI3" s="637"/>
      <c r="EJ3" s="637"/>
      <c r="EK3" s="637"/>
      <c r="EL3" s="637"/>
      <c r="EM3" s="637"/>
      <c r="EN3" s="637"/>
      <c r="EO3" s="637"/>
      <c r="EP3" s="637"/>
      <c r="EQ3" s="637"/>
      <c r="ER3" s="637"/>
      <c r="ES3" s="637"/>
      <c r="ET3" s="637"/>
      <c r="EU3" s="637"/>
      <c r="EV3" s="637"/>
      <c r="EW3" s="637"/>
      <c r="EX3" s="637"/>
      <c r="EY3" s="637"/>
      <c r="EZ3" s="637"/>
      <c r="FA3" s="637"/>
      <c r="FB3" s="637"/>
      <c r="FC3" s="637"/>
      <c r="FD3" s="637"/>
      <c r="FE3" s="637"/>
      <c r="FF3" s="637"/>
      <c r="FG3" s="637"/>
      <c r="FH3" s="637"/>
      <c r="FI3" s="637"/>
      <c r="FJ3" s="637"/>
      <c r="FK3" s="637"/>
      <c r="FL3" s="637"/>
      <c r="FM3" s="637"/>
      <c r="FN3" s="637"/>
      <c r="FO3" s="637"/>
      <c r="FP3" s="637"/>
      <c r="FQ3" s="637"/>
      <c r="FR3" s="637"/>
      <c r="FS3" s="637"/>
      <c r="FT3" s="637"/>
      <c r="FU3" s="637"/>
      <c r="FV3" s="637"/>
      <c r="FW3" s="637"/>
      <c r="FX3" s="637"/>
      <c r="FY3" s="637"/>
      <c r="FZ3" s="637"/>
      <c r="GA3" s="637"/>
      <c r="GB3" s="637"/>
      <c r="GC3" s="637"/>
      <c r="GD3" s="637"/>
      <c r="GE3" s="637"/>
      <c r="GF3" s="637"/>
      <c r="GG3" s="637"/>
      <c r="GH3" s="637"/>
      <c r="GI3" s="637"/>
      <c r="GJ3" s="637"/>
      <c r="GK3" s="637"/>
      <c r="GL3" s="637"/>
      <c r="GM3" s="637"/>
      <c r="GN3" s="637"/>
      <c r="GO3" s="637"/>
      <c r="GP3" s="637"/>
      <c r="GQ3" s="637"/>
      <c r="GR3" s="637"/>
      <c r="GS3" s="637"/>
      <c r="GT3" s="637"/>
      <c r="GU3" s="637"/>
      <c r="GV3" s="637"/>
      <c r="GW3" s="637"/>
      <c r="GX3" s="637"/>
      <c r="GY3" s="637"/>
      <c r="GZ3" s="637"/>
      <c r="HA3" s="637"/>
      <c r="HB3" s="637"/>
      <c r="HC3" s="637"/>
      <c r="HD3" s="637"/>
      <c r="HE3" s="637"/>
      <c r="HF3" s="637"/>
      <c r="HG3" s="637"/>
      <c r="HH3" s="637"/>
      <c r="HI3" s="637"/>
      <c r="HJ3" s="637"/>
      <c r="HK3" s="637"/>
      <c r="HL3" s="637"/>
      <c r="HM3" s="637"/>
      <c r="HN3" s="637"/>
      <c r="HO3" s="637"/>
      <c r="HP3" s="637"/>
      <c r="HQ3" s="637"/>
      <c r="HR3" s="637"/>
      <c r="HS3" s="637"/>
      <c r="HT3" s="637"/>
      <c r="HU3" s="637"/>
      <c r="HV3" s="637"/>
      <c r="HW3" s="637"/>
      <c r="HX3" s="637"/>
      <c r="HY3" s="637"/>
      <c r="HZ3" s="637"/>
      <c r="IA3" s="637"/>
      <c r="IB3" s="637"/>
      <c r="IC3" s="637"/>
      <c r="ID3" s="637"/>
      <c r="IE3" s="637"/>
      <c r="IF3" s="637"/>
      <c r="IG3" s="637"/>
      <c r="IH3" s="637"/>
      <c r="II3" s="637"/>
      <c r="IJ3" s="637"/>
      <c r="IK3" s="637"/>
      <c r="IL3" s="637"/>
      <c r="IM3" s="637"/>
      <c r="IN3" s="637"/>
      <c r="IO3" s="637"/>
      <c r="IP3" s="637"/>
      <c r="IQ3" s="637"/>
      <c r="IR3" s="637"/>
      <c r="IS3" s="637"/>
      <c r="IT3" s="637"/>
      <c r="IU3" s="637"/>
      <c r="IV3" s="637"/>
      <c r="IW3" s="637"/>
    </row>
    <row r="4" customFormat="false" ht="12.6" hidden="false" customHeight="true" outlineLevel="0" collapsed="false">
      <c r="A4" s="484"/>
      <c r="B4" s="485"/>
      <c r="C4" s="711"/>
      <c r="D4" s="375" t="n">
        <f aca="false">YEAR('Project Assumtions'!G16)</f>
        <v>2000</v>
      </c>
      <c r="E4" s="375" t="n">
        <f aca="false">D4+1</f>
        <v>2001</v>
      </c>
      <c r="F4" s="375" t="n">
        <f aca="false">E4+1</f>
        <v>2002</v>
      </c>
      <c r="G4" s="375" t="n">
        <f aca="false">F4+1</f>
        <v>2003</v>
      </c>
      <c r="H4" s="375" t="n">
        <f aca="false">G4+1</f>
        <v>2004</v>
      </c>
      <c r="I4" s="375" t="n">
        <f aca="false">H4+1</f>
        <v>2005</v>
      </c>
      <c r="J4" s="375" t="n">
        <f aca="false">I4+1</f>
        <v>2006</v>
      </c>
      <c r="K4" s="375" t="n">
        <f aca="false">J4+1</f>
        <v>2007</v>
      </c>
      <c r="L4" s="375" t="n">
        <f aca="false">K4+1</f>
        <v>2008</v>
      </c>
      <c r="M4" s="375" t="n">
        <f aca="false">L4+1</f>
        <v>2009</v>
      </c>
      <c r="N4" s="375" t="n">
        <f aca="false">M4+1</f>
        <v>2010</v>
      </c>
      <c r="O4" s="375" t="n">
        <f aca="false">N4+1</f>
        <v>2011</v>
      </c>
      <c r="P4" s="375" t="n">
        <f aca="false">O4+1</f>
        <v>2012</v>
      </c>
      <c r="Q4" s="375" t="n">
        <f aca="false">P4+1</f>
        <v>2013</v>
      </c>
      <c r="R4" s="375" t="n">
        <f aca="false">Q4+1</f>
        <v>2014</v>
      </c>
      <c r="S4" s="375" t="n">
        <f aca="false">R4+1</f>
        <v>2015</v>
      </c>
      <c r="T4" s="375" t="n">
        <f aca="false">S4+1</f>
        <v>2016</v>
      </c>
      <c r="U4" s="375" t="n">
        <f aca="false">T4+1</f>
        <v>2017</v>
      </c>
      <c r="V4" s="375" t="n">
        <f aca="false">U4+1</f>
        <v>2018</v>
      </c>
      <c r="W4" s="375" t="n">
        <f aca="false">V4+1</f>
        <v>2019</v>
      </c>
      <c r="X4" s="375" t="n">
        <f aca="false">W4+1</f>
        <v>2020</v>
      </c>
      <c r="Y4" s="375" t="n">
        <f aca="false">X4+1</f>
        <v>2021</v>
      </c>
      <c r="Z4" s="375" t="n">
        <f aca="false">Y4+1</f>
        <v>2022</v>
      </c>
      <c r="AA4" s="375" t="n">
        <f aca="false">Z4+1</f>
        <v>2023</v>
      </c>
      <c r="AB4" s="376" t="n">
        <f aca="false">AA4+1</f>
        <v>2024</v>
      </c>
      <c r="AC4" s="486"/>
      <c r="AD4" s="0"/>
      <c r="AE4" s="486"/>
      <c r="AF4" s="486"/>
      <c r="AG4" s="486"/>
      <c r="AH4" s="486"/>
      <c r="AI4" s="486"/>
      <c r="AJ4" s="486"/>
      <c r="AK4" s="486"/>
      <c r="AL4" s="486"/>
      <c r="AM4" s="486"/>
      <c r="AN4" s="486"/>
      <c r="AO4" s="486"/>
      <c r="AP4" s="486"/>
      <c r="AQ4" s="486"/>
      <c r="AR4" s="486"/>
      <c r="AS4" s="486"/>
      <c r="AT4" s="486"/>
      <c r="AU4" s="486"/>
      <c r="AV4" s="486"/>
      <c r="AW4" s="486"/>
      <c r="AX4" s="486"/>
      <c r="AY4" s="486"/>
      <c r="AZ4" s="486"/>
      <c r="BA4" s="637"/>
      <c r="BB4" s="637"/>
      <c r="BC4" s="637"/>
      <c r="BD4" s="637"/>
      <c r="BE4" s="637"/>
      <c r="BF4" s="637"/>
      <c r="BG4" s="637"/>
      <c r="BH4" s="637"/>
      <c r="BI4" s="637"/>
      <c r="BJ4" s="637"/>
      <c r="BK4" s="637"/>
      <c r="BL4" s="637"/>
      <c r="BM4" s="637"/>
      <c r="BN4" s="637"/>
      <c r="BO4" s="637"/>
      <c r="BP4" s="637"/>
      <c r="BQ4" s="637"/>
      <c r="BR4" s="637"/>
      <c r="BS4" s="637"/>
      <c r="BT4" s="637"/>
      <c r="BU4" s="637"/>
      <c r="BV4" s="637"/>
      <c r="BW4" s="637"/>
      <c r="BX4" s="637"/>
      <c r="BY4" s="637"/>
      <c r="BZ4" s="637"/>
      <c r="CA4" s="637"/>
      <c r="CB4" s="637"/>
      <c r="CC4" s="637"/>
      <c r="CD4" s="637"/>
      <c r="CE4" s="637"/>
      <c r="CF4" s="637"/>
      <c r="CG4" s="637"/>
      <c r="CH4" s="637"/>
      <c r="CI4" s="637"/>
      <c r="CJ4" s="637"/>
      <c r="CK4" s="637"/>
      <c r="CL4" s="637"/>
      <c r="CM4" s="637"/>
      <c r="CN4" s="637"/>
      <c r="CO4" s="637"/>
      <c r="CP4" s="637"/>
      <c r="CQ4" s="637"/>
      <c r="CR4" s="637"/>
      <c r="CS4" s="637"/>
      <c r="CT4" s="637"/>
      <c r="CU4" s="637"/>
      <c r="CV4" s="637"/>
      <c r="CW4" s="637"/>
      <c r="CX4" s="637"/>
      <c r="CY4" s="637"/>
      <c r="CZ4" s="637"/>
      <c r="DA4" s="637"/>
      <c r="DB4" s="637"/>
      <c r="DC4" s="637"/>
      <c r="DD4" s="637"/>
      <c r="DE4" s="637"/>
      <c r="DF4" s="637"/>
      <c r="DG4" s="637"/>
      <c r="DH4" s="637"/>
      <c r="DI4" s="637"/>
      <c r="DJ4" s="637"/>
      <c r="DK4" s="637"/>
      <c r="DL4" s="637"/>
      <c r="DM4" s="637"/>
      <c r="DN4" s="637"/>
      <c r="DO4" s="637"/>
      <c r="DP4" s="637"/>
      <c r="DQ4" s="637"/>
      <c r="DR4" s="637"/>
      <c r="DS4" s="637"/>
      <c r="DT4" s="637"/>
      <c r="DU4" s="637"/>
      <c r="DV4" s="637"/>
      <c r="DW4" s="637"/>
      <c r="DX4" s="637"/>
      <c r="DY4" s="637"/>
      <c r="DZ4" s="637"/>
      <c r="EA4" s="637"/>
      <c r="EB4" s="637"/>
      <c r="EC4" s="637"/>
      <c r="ED4" s="637"/>
      <c r="EE4" s="637"/>
      <c r="EF4" s="637"/>
      <c r="EG4" s="637"/>
      <c r="EH4" s="637"/>
      <c r="EI4" s="637"/>
      <c r="EJ4" s="637"/>
      <c r="EK4" s="637"/>
      <c r="EL4" s="637"/>
      <c r="EM4" s="637"/>
      <c r="EN4" s="637"/>
      <c r="EO4" s="637"/>
      <c r="EP4" s="637"/>
      <c r="EQ4" s="637"/>
      <c r="ER4" s="637"/>
      <c r="ES4" s="637"/>
      <c r="ET4" s="637"/>
      <c r="EU4" s="637"/>
      <c r="EV4" s="637"/>
      <c r="EW4" s="637"/>
      <c r="EX4" s="637"/>
      <c r="EY4" s="637"/>
      <c r="EZ4" s="637"/>
      <c r="FA4" s="637"/>
      <c r="FB4" s="637"/>
      <c r="FC4" s="637"/>
      <c r="FD4" s="637"/>
      <c r="FE4" s="637"/>
      <c r="FF4" s="637"/>
      <c r="FG4" s="637"/>
      <c r="FH4" s="637"/>
      <c r="FI4" s="637"/>
      <c r="FJ4" s="637"/>
      <c r="FK4" s="637"/>
      <c r="FL4" s="637"/>
      <c r="FM4" s="637"/>
      <c r="FN4" s="637"/>
      <c r="FO4" s="637"/>
      <c r="FP4" s="637"/>
      <c r="FQ4" s="637"/>
      <c r="FR4" s="637"/>
      <c r="FS4" s="637"/>
      <c r="FT4" s="637"/>
      <c r="FU4" s="637"/>
      <c r="FV4" s="637"/>
      <c r="FW4" s="637"/>
      <c r="FX4" s="637"/>
      <c r="FY4" s="637"/>
      <c r="FZ4" s="637"/>
      <c r="GA4" s="637"/>
      <c r="GB4" s="637"/>
      <c r="GC4" s="637"/>
      <c r="GD4" s="637"/>
      <c r="GE4" s="637"/>
      <c r="GF4" s="637"/>
      <c r="GG4" s="637"/>
      <c r="GH4" s="637"/>
      <c r="GI4" s="637"/>
      <c r="GJ4" s="637"/>
      <c r="GK4" s="637"/>
      <c r="GL4" s="637"/>
      <c r="GM4" s="637"/>
      <c r="GN4" s="637"/>
      <c r="GO4" s="637"/>
      <c r="GP4" s="637"/>
      <c r="GQ4" s="637"/>
      <c r="GR4" s="637"/>
      <c r="GS4" s="637"/>
      <c r="GT4" s="637"/>
      <c r="GU4" s="637"/>
      <c r="GV4" s="637"/>
      <c r="GW4" s="637"/>
      <c r="GX4" s="637"/>
      <c r="GY4" s="637"/>
      <c r="GZ4" s="637"/>
      <c r="HA4" s="637"/>
      <c r="HB4" s="637"/>
      <c r="HC4" s="637"/>
      <c r="HD4" s="637"/>
      <c r="HE4" s="637"/>
      <c r="HF4" s="637"/>
      <c r="HG4" s="637"/>
      <c r="HH4" s="637"/>
      <c r="HI4" s="637"/>
      <c r="HJ4" s="637"/>
      <c r="HK4" s="637"/>
      <c r="HL4" s="637"/>
      <c r="HM4" s="637"/>
      <c r="HN4" s="637"/>
      <c r="HO4" s="637"/>
      <c r="HP4" s="637"/>
      <c r="HQ4" s="637"/>
      <c r="HR4" s="637"/>
      <c r="HS4" s="637"/>
      <c r="HT4" s="637"/>
      <c r="HU4" s="637"/>
      <c r="HV4" s="637"/>
      <c r="HW4" s="637"/>
      <c r="HX4" s="637"/>
      <c r="HY4" s="637"/>
      <c r="HZ4" s="637"/>
      <c r="IA4" s="637"/>
      <c r="IB4" s="637"/>
      <c r="IC4" s="637"/>
      <c r="ID4" s="637"/>
      <c r="IE4" s="637"/>
      <c r="IF4" s="637"/>
      <c r="IG4" s="637"/>
      <c r="IH4" s="637"/>
      <c r="II4" s="637"/>
      <c r="IJ4" s="637"/>
      <c r="IK4" s="637"/>
      <c r="IL4" s="637"/>
      <c r="IM4" s="637"/>
      <c r="IN4" s="637"/>
      <c r="IO4" s="637"/>
      <c r="IP4" s="637"/>
      <c r="IQ4" s="637"/>
      <c r="IR4" s="637"/>
      <c r="IS4" s="637"/>
      <c r="IT4" s="637"/>
      <c r="IU4" s="637"/>
      <c r="IV4" s="637"/>
      <c r="IW4" s="637"/>
    </row>
    <row r="5" customFormat="false" ht="12.6" hidden="false" customHeight="true" outlineLevel="0" collapsed="false">
      <c r="A5" s="403"/>
      <c r="B5" s="378"/>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3"/>
      <c r="AC5" s="714"/>
      <c r="AD5" s="714"/>
      <c r="AI5" s="715"/>
      <c r="AM5" s="715"/>
      <c r="AX5" s="715"/>
      <c r="BB5" s="715"/>
    </row>
    <row r="6" customFormat="false" ht="12.6" hidden="false" customHeight="true" outlineLevel="0" collapsed="false">
      <c r="A6" s="716" t="s">
        <v>543</v>
      </c>
      <c r="B6" s="378"/>
      <c r="C6" s="717" t="n">
        <f aca="false">SUM(D6:AD6)</f>
        <v>474362.108155315</v>
      </c>
      <c r="D6" s="618" t="n">
        <f aca="false">IF(D3&gt;'Project Assumtions'!$I$15+1,0,'Book Income Statement'!D72)</f>
        <v>-317.676567650769</v>
      </c>
      <c r="E6" s="618" t="n">
        <f aca="false">IF(E3&gt;'Project Assumtions'!$I$15+1,0,'Book Income Statement'!E72)</f>
        <v>6298.88432939896</v>
      </c>
      <c r="F6" s="618" t="n">
        <f aca="false">IF(F3&gt;'Project Assumtions'!$I$15+1,0,'Book Income Statement'!F72)</f>
        <v>6462.04529180689</v>
      </c>
      <c r="G6" s="618" t="n">
        <f aca="false">IF(G3&gt;'Project Assumtions'!$I$15+1,0,'Book Income Statement'!G72)</f>
        <v>14271.3720421389</v>
      </c>
      <c r="H6" s="618" t="n">
        <f aca="false">IF(H3&gt;'Project Assumtions'!$I$15+1,0,'Book Income Statement'!H72)</f>
        <v>21164.6059041651</v>
      </c>
      <c r="I6" s="618" t="n">
        <f aca="false">IF(I3&gt;'Project Assumtions'!$I$15+1,0,'Book Income Statement'!I72)</f>
        <v>22719.9397302777</v>
      </c>
      <c r="J6" s="618" t="n">
        <f aca="false">IF(J3&gt;'Project Assumtions'!$I$15+1,0,'Book Income Statement'!J72)</f>
        <v>23574.5075224606</v>
      </c>
      <c r="K6" s="618" t="n">
        <f aca="false">IF(K3&gt;'Project Assumtions'!$I$15+1,0,'Book Income Statement'!K72)</f>
        <v>24312.1258682414</v>
      </c>
      <c r="L6" s="618" t="n">
        <f aca="false">IF(L3&gt;'Project Assumtions'!$I$15+1,0,'Book Income Statement'!L72)</f>
        <v>25082.7107269062</v>
      </c>
      <c r="M6" s="618" t="n">
        <f aca="false">IF(M3&gt;'Project Assumtions'!$I$15+1,0,'Book Income Statement'!M72)</f>
        <v>26195.7313164879</v>
      </c>
      <c r="N6" s="618" t="n">
        <f aca="false">IF(N3&gt;'Project Assumtions'!$I$15+1,0,'Book Income Statement'!N72)</f>
        <v>27488.2541173853</v>
      </c>
      <c r="O6" s="618" t="n">
        <f aca="false">IF(O3&gt;'Project Assumtions'!$I$15+1,0,'Book Income Statement'!O72)</f>
        <v>27912.7321734136</v>
      </c>
      <c r="P6" s="618" t="n">
        <f aca="false">IF(P3&gt;'Project Assumtions'!$I$15+1,0,'Book Income Statement'!P72)</f>
        <v>28548.1370689528</v>
      </c>
      <c r="Q6" s="618" t="n">
        <f aca="false">IF(Q3&gt;'Project Assumtions'!$I$15+1,0,'Book Income Statement'!Q72)</f>
        <v>28392.3009951681</v>
      </c>
      <c r="R6" s="618" t="n">
        <f aca="false">IF(R3&gt;'Project Assumtions'!$I$15+1,0,'Book Income Statement'!R72)</f>
        <v>28980.0180982655</v>
      </c>
      <c r="S6" s="618" t="n">
        <f aca="false">IF(S3&gt;'Project Assumtions'!$I$15+1,0,'Book Income Statement'!S72)</f>
        <v>29553.2870355547</v>
      </c>
      <c r="T6" s="618" t="n">
        <f aca="false">IF(T3&gt;'Project Assumtions'!$I$15+1,0,'Book Income Statement'!T72)</f>
        <v>30110.9516670284</v>
      </c>
      <c r="U6" s="618" t="n">
        <f aca="false">IF(U3&gt;'Project Assumtions'!$I$15+1,0,'Book Income Statement'!U72)</f>
        <v>30918.1276365629</v>
      </c>
      <c r="V6" s="618" t="n">
        <f aca="false">IF(V3&gt;'Project Assumtions'!$I$15+1,0,'Book Income Statement'!V72)</f>
        <v>31813.7468433106</v>
      </c>
      <c r="W6" s="618" t="n">
        <f aca="false">IF(W3&gt;'Project Assumtions'!$I$15+1,0,'Book Income Statement'!W72)</f>
        <v>31918.8518842629</v>
      </c>
      <c r="X6" s="618" t="n">
        <f aca="false">IF(X3&gt;'Project Assumtions'!$I$15+1,0,'Book Income Statement'!X72)</f>
        <v>8961.45447117758</v>
      </c>
      <c r="Y6" s="618" t="n">
        <f aca="false">IF(Y3&gt;'Project Assumtions'!$I$15+1,0,'Book Income Statement'!Y72)</f>
        <v>0</v>
      </c>
      <c r="Z6" s="618" t="n">
        <f aca="false">IF(Z3&gt;'Project Assumtions'!$I$15+1,0,'Book Income Statement'!Z72)</f>
        <v>0</v>
      </c>
      <c r="AA6" s="618" t="n">
        <f aca="false">IF(AA3&gt;'Project Assumtions'!$I$15+1,0,'Book Income Statement'!AA72)</f>
        <v>0</v>
      </c>
      <c r="AB6" s="618" t="n">
        <f aca="false">IF(AB3&gt;'Project Assumtions'!$I$15+1,0,'Book Income Statement'!AB72)</f>
        <v>0</v>
      </c>
      <c r="AC6" s="718"/>
      <c r="AD6" s="718"/>
    </row>
    <row r="7" customFormat="false" ht="12.6" hidden="false" customHeight="true" outlineLevel="0" collapsed="false">
      <c r="A7" s="719" t="s">
        <v>544</v>
      </c>
      <c r="B7" s="378"/>
      <c r="C7" s="717" t="n">
        <f aca="false">SUM(D7:AD7)</f>
        <v>99093.2575875</v>
      </c>
      <c r="D7" s="720" t="n">
        <f aca="false">IF(D3&gt;'Project Assumtions'!$I$15+1,0,'Book Income Statement'!D65)</f>
        <v>2958.42630416667</v>
      </c>
      <c r="E7" s="720" t="n">
        <f aca="false">IF(E3&gt;'Project Assumtions'!$I$15+1,0,'Book Income Statement'!E65)</f>
        <v>5071.58795</v>
      </c>
      <c r="F7" s="720" t="n">
        <f aca="false">IF(F3&gt;'Project Assumtions'!$I$15+1,0,'Book Income Statement'!F65)</f>
        <v>5071.58795</v>
      </c>
      <c r="G7" s="720" t="n">
        <f aca="false">IF(G3&gt;'Project Assumtions'!$I$15+1,0,'Book Income Statement'!G65)</f>
        <v>5071.58795</v>
      </c>
      <c r="H7" s="720" t="n">
        <f aca="false">IF(H3&gt;'Project Assumtions'!$I$15+1,0,'Book Income Statement'!H65)</f>
        <v>5071.58795</v>
      </c>
      <c r="I7" s="720" t="n">
        <f aca="false">IF(I3&gt;'Project Assumtions'!$I$15+1,0,'Book Income Statement'!I65)</f>
        <v>4873.30723333333</v>
      </c>
      <c r="J7" s="720" t="n">
        <f aca="false">IF(J3&gt;'Project Assumtions'!$I$15+1,0,'Book Income Statement'!J65)</f>
        <v>4731.67815</v>
      </c>
      <c r="K7" s="720" t="n">
        <f aca="false">IF(K3&gt;'Project Assumtions'!$I$15+1,0,'Book Income Statement'!K65)</f>
        <v>4731.67815</v>
      </c>
      <c r="L7" s="720" t="n">
        <f aca="false">IF(L3&gt;'Project Assumtions'!$I$15+1,0,'Book Income Statement'!L65)</f>
        <v>4731.67815</v>
      </c>
      <c r="M7" s="720" t="n">
        <f aca="false">IF(M3&gt;'Project Assumtions'!$I$15+1,0,'Book Income Statement'!M65)</f>
        <v>4731.67815</v>
      </c>
      <c r="N7" s="720" t="n">
        <f aca="false">IF(N3&gt;'Project Assumtions'!$I$15+1,0,'Book Income Statement'!N65)</f>
        <v>4731.67815</v>
      </c>
      <c r="O7" s="720" t="n">
        <f aca="false">IF(O3&gt;'Project Assumtions'!$I$15+1,0,'Book Income Statement'!O65)</f>
        <v>4731.67815</v>
      </c>
      <c r="P7" s="720" t="n">
        <f aca="false">IF(P3&gt;'Project Assumtions'!$I$15+1,0,'Book Income Statement'!P65)</f>
        <v>4731.67815</v>
      </c>
      <c r="Q7" s="720" t="n">
        <f aca="false">IF(Q3&gt;'Project Assumtions'!$I$15+1,0,'Book Income Statement'!Q65)</f>
        <v>4731.67815</v>
      </c>
      <c r="R7" s="720" t="n">
        <f aca="false">IF(R3&gt;'Project Assumtions'!$I$15+1,0,'Book Income Statement'!R65)</f>
        <v>4731.67815</v>
      </c>
      <c r="S7" s="720" t="n">
        <f aca="false">IF(S3&gt;'Project Assumtions'!$I$15+1,0,'Book Income Statement'!S65)</f>
        <v>4731.67815</v>
      </c>
      <c r="T7" s="720" t="n">
        <f aca="false">IF(T3&gt;'Project Assumtions'!$I$15+1,0,'Book Income Statement'!T65)</f>
        <v>4731.67815</v>
      </c>
      <c r="U7" s="720" t="n">
        <f aca="false">IF(U3&gt;'Project Assumtions'!$I$15+1,0,'Book Income Statement'!U65)</f>
        <v>4731.67815</v>
      </c>
      <c r="V7" s="720" t="n">
        <f aca="false">IF(V3&gt;'Project Assumtions'!$I$15+1,0,'Book Income Statement'!V65)</f>
        <v>4731.67815</v>
      </c>
      <c r="W7" s="720" t="n">
        <f aca="false">IF(W3&gt;'Project Assumtions'!$I$15+1,0,'Book Income Statement'!W65)</f>
        <v>4731.67815</v>
      </c>
      <c r="X7" s="720" t="n">
        <f aca="false">IF(X3&gt;'Project Assumtions'!$I$15+1,0,'Book Income Statement'!X65)</f>
        <v>4731.67815</v>
      </c>
      <c r="Y7" s="720" t="n">
        <f aca="false">IF(Y3&gt;'Project Assumtions'!$I$15+1,0,'Book Income Statement'!Y65)</f>
        <v>0</v>
      </c>
      <c r="Z7" s="720" t="n">
        <f aca="false">IF(Z3&gt;'Project Assumtions'!$I$15+1,0,'Book Income Statement'!Z65)</f>
        <v>0</v>
      </c>
      <c r="AA7" s="720" t="n">
        <f aca="false">IF(AA3&gt;'Project Assumtions'!$I$15+1,0,'Book Income Statement'!AA65)</f>
        <v>0</v>
      </c>
      <c r="AB7" s="721" t="n">
        <f aca="false">IF(AB3&gt;'Project Assumtions'!$I$15+1,0,'Book Income Statement'!AB65)</f>
        <v>0</v>
      </c>
      <c r="AC7" s="718"/>
      <c r="AD7" s="718"/>
      <c r="AF7" s="722"/>
      <c r="AH7" s="722"/>
      <c r="AL7" s="722"/>
      <c r="AU7" s="722"/>
    </row>
    <row r="8" customFormat="false" ht="12.6" hidden="false" customHeight="true" outlineLevel="0" collapsed="false">
      <c r="A8" s="719" t="s">
        <v>545</v>
      </c>
      <c r="B8" s="378"/>
      <c r="C8" s="717"/>
      <c r="D8" s="507" t="n">
        <f aca="false">IF(D3&gt;'Project Assumtions'!$I$15+1,0,'Book Income Statement'!D53)</f>
        <v>146.77966132968</v>
      </c>
      <c r="E8" s="507" t="n">
        <f aca="false">IF(E3&gt;'Project Assumtions'!$I$15+1,0,'Book Income Statement'!E53)</f>
        <v>0</v>
      </c>
      <c r="F8" s="507" t="n">
        <f aca="false">IF(F3&gt;'Project Assumtions'!$I$15+1,0,'Book Income Statement'!F53)</f>
        <v>87.3891860580519</v>
      </c>
      <c r="G8" s="507" t="n">
        <f aca="false">IF(G3&gt;'Project Assumtions'!$I$15+1,0,'Book Income Statement'!G53)</f>
        <v>162.257228121825</v>
      </c>
      <c r="H8" s="507" t="n">
        <f aca="false">IF(H3&gt;'Project Assumtions'!$I$15+1,0,'Book Income Statement'!H53)</f>
        <v>221.387675752945</v>
      </c>
      <c r="I8" s="507" t="n">
        <f aca="false">IF(I3&gt;'Project Assumtions'!$I$15+1,0,'Book Income Statement'!I53)</f>
        <v>267.21788876867</v>
      </c>
      <c r="J8" s="507" t="n">
        <f aca="false">IF(J3&gt;'Project Assumtions'!$I$15+1,0,'Book Income Statement'!J53)</f>
        <v>353.458281782708</v>
      </c>
      <c r="K8" s="507" t="n">
        <f aca="false">IF(K3&gt;'Project Assumtions'!$I$15+1,0,'Book Income Statement'!K53)</f>
        <v>461.590474736253</v>
      </c>
      <c r="L8" s="507" t="n">
        <f aca="false">IF(L3&gt;'Project Assumtions'!$I$15+1,0,'Book Income Statement'!L53)</f>
        <v>530.068172088748</v>
      </c>
      <c r="M8" s="507" t="n">
        <f aca="false">IF(M3&gt;'Project Assumtions'!$I$15+1,0,'Book Income Statement'!M53)</f>
        <v>522.921422366245</v>
      </c>
      <c r="N8" s="507" t="n">
        <f aca="false">IF(N3&gt;'Project Assumtions'!$I$15+1,0,'Book Income Statement'!N53)</f>
        <v>517.609895005798</v>
      </c>
      <c r="O8" s="507" t="n">
        <f aca="false">IF(O3&gt;'Project Assumtions'!$I$15+1,0,'Book Income Statement'!O53)</f>
        <v>683.846840636165</v>
      </c>
      <c r="P8" s="507" t="n">
        <f aca="false">IF(P3&gt;'Project Assumtions'!$I$15+1,0,'Book Income Statement'!P53)</f>
        <v>683.846840636165</v>
      </c>
      <c r="Q8" s="507" t="n">
        <f aca="false">IF(Q3&gt;'Project Assumtions'!$I$15+1,0,'Book Income Statement'!Q53)</f>
        <v>683.846840636165</v>
      </c>
      <c r="R8" s="507" t="n">
        <f aca="false">IF(R3&gt;'Project Assumtions'!$I$15+1,0,'Book Income Statement'!R53)</f>
        <v>683.846840636165</v>
      </c>
      <c r="S8" s="507" t="n">
        <f aca="false">IF(S3&gt;'Project Assumtions'!$I$15+1,0,'Book Income Statement'!S53)</f>
        <v>683.846840636165</v>
      </c>
      <c r="T8" s="507" t="n">
        <f aca="false">IF(T3&gt;'Project Assumtions'!$I$15+1,0,'Book Income Statement'!T53)</f>
        <v>683.846840636165</v>
      </c>
      <c r="U8" s="507" t="n">
        <f aca="false">IF(U3&gt;'Project Assumtions'!$I$15+1,0,'Book Income Statement'!U53)</f>
        <v>683.846840636165</v>
      </c>
      <c r="V8" s="507" t="n">
        <f aca="false">IF(V3&gt;'Project Assumtions'!$I$15+1,0,'Book Income Statement'!V53)</f>
        <v>683.846840636165</v>
      </c>
      <c r="W8" s="507" t="n">
        <f aca="false">IF(W3&gt;'Project Assumtions'!$I$15+1,0,'Book Income Statement'!W53)</f>
        <v>683.846840636165</v>
      </c>
      <c r="X8" s="507" t="n">
        <f aca="false">IF(X3&gt;'Project Assumtions'!$I$15+1,0,'Book Income Statement'!X53)</f>
        <v>683.846840636165</v>
      </c>
      <c r="Y8" s="507" t="n">
        <f aca="false">IF(Y3&gt;'Project Assumtions'!$I$15+1,0,'Book Income Statement'!Y53)</f>
        <v>0</v>
      </c>
      <c r="Z8" s="507" t="n">
        <f aca="false">IF(Z3&gt;'Project Assumtions'!$I$15+1,0,'Book Income Statement'!Z53)</f>
        <v>0</v>
      </c>
      <c r="AA8" s="507" t="n">
        <f aca="false">IF(AA3&gt;'Project Assumtions'!$I$15+1,0,'Book Income Statement'!AA53)</f>
        <v>0</v>
      </c>
      <c r="AB8" s="723" t="n">
        <f aca="false">IF(AB3&gt;'Project Assumtions'!$I$15+1,0,'Book Income Statement'!AB53)</f>
        <v>0</v>
      </c>
      <c r="AC8" s="718"/>
      <c r="AD8" s="718"/>
      <c r="AF8" s="722"/>
      <c r="AH8" s="722"/>
      <c r="AL8" s="722"/>
      <c r="AU8" s="722"/>
    </row>
    <row r="9" customFormat="false" ht="12.6" hidden="false" customHeight="true" outlineLevel="0" collapsed="false">
      <c r="A9" s="719" t="s">
        <v>546</v>
      </c>
      <c r="B9" s="378"/>
      <c r="C9" s="717"/>
      <c r="D9" s="507" t="n">
        <f aca="false">IF(D3&gt;'Project Assumtions'!$I$15+1,0,0)</f>
        <v>0</v>
      </c>
      <c r="E9" s="507" t="n">
        <f aca="false">IF(E3&gt;'Project Assumtions'!$I$15+1,0,Depreciation!D64)</f>
        <v>146.77966132968</v>
      </c>
      <c r="F9" s="507" t="n">
        <f aca="false">IF(F3&gt;'Project Assumtions'!$I$15+1,0,Depreciation!E64)</f>
        <v>0</v>
      </c>
      <c r="G9" s="507" t="n">
        <f aca="false">IF(G3&gt;'Project Assumtions'!$I$15+1,0,Depreciation!F64)</f>
        <v>87.3891860580519</v>
      </c>
      <c r="H9" s="507" t="n">
        <f aca="false">IF(H3&gt;'Project Assumtions'!$I$15+1,0,Depreciation!G64)</f>
        <v>162.257228121825</v>
      </c>
      <c r="I9" s="507" t="n">
        <f aca="false">IF(I3&gt;'Project Assumtions'!$I$15+1,0,Depreciation!H64)</f>
        <v>221.387675752945</v>
      </c>
      <c r="J9" s="507" t="n">
        <f aca="false">IF(J3&gt;'Project Assumtions'!$I$15+1,0,Depreciation!I64)</f>
        <v>267.21788876867</v>
      </c>
      <c r="K9" s="507" t="n">
        <f aca="false">IF(K3&gt;'Project Assumtions'!$I$15+1,0,Depreciation!J64)</f>
        <v>353.458281782708</v>
      </c>
      <c r="L9" s="507" t="n">
        <f aca="false">IF(L3&gt;'Project Assumtions'!$I$15+1,0,Depreciation!K64)</f>
        <v>461.590474736253</v>
      </c>
      <c r="M9" s="507" t="n">
        <f aca="false">IF(M3&gt;'Project Assumtions'!$I$15+1,0,Depreciation!L64)</f>
        <v>530.068172088748</v>
      </c>
      <c r="N9" s="507" t="n">
        <f aca="false">IF(N3&gt;'Project Assumtions'!$I$15+1,0,Depreciation!M64)</f>
        <v>522.921422366245</v>
      </c>
      <c r="O9" s="507" t="n">
        <f aca="false">IF(O3&gt;'Project Assumtions'!$I$15+1,0,Depreciation!N64)</f>
        <v>517.609895005798</v>
      </c>
      <c r="P9" s="507" t="n">
        <f aca="false">IF(P3&gt;'Project Assumtions'!$I$15+1,0,Depreciation!O64)</f>
        <v>683.846840636165</v>
      </c>
      <c r="Q9" s="507" t="n">
        <f aca="false">IF(Q3&gt;'Project Assumtions'!$I$15+1,0,Depreciation!P64)</f>
        <v>683.846840636165</v>
      </c>
      <c r="R9" s="507" t="n">
        <f aca="false">IF(R3&gt;'Project Assumtions'!$I$15+1,0,Depreciation!Q64)</f>
        <v>683.846840636165</v>
      </c>
      <c r="S9" s="507" t="n">
        <f aca="false">IF(S3&gt;'Project Assumtions'!$I$15+1,0,Depreciation!R64)</f>
        <v>683.846840636165</v>
      </c>
      <c r="T9" s="507" t="n">
        <f aca="false">IF(T3&gt;'Project Assumtions'!$I$15+1,0,Depreciation!S64)</f>
        <v>683.846840636165</v>
      </c>
      <c r="U9" s="507" t="n">
        <f aca="false">IF(U3&gt;'Project Assumtions'!$I$15+1,0,Depreciation!T64)</f>
        <v>683.846840636165</v>
      </c>
      <c r="V9" s="507" t="n">
        <f aca="false">IF(V3&gt;'Project Assumtions'!$I$15+1,0,Depreciation!U64)</f>
        <v>683.846840636165</v>
      </c>
      <c r="W9" s="507" t="n">
        <f aca="false">IF(W3&gt;'Project Assumtions'!$I$15+1,0,Depreciation!V64)</f>
        <v>683.846840636165</v>
      </c>
      <c r="X9" s="507" t="n">
        <f aca="false">IF(X3&gt;'Project Assumtions'!$I$15+1,0,Depreciation!W64)</f>
        <v>683.846840636165</v>
      </c>
      <c r="Y9" s="507" t="n">
        <f aca="false">IF(Y3&gt;'Project Assumtions'!$I$15+1,0,Depreciation!X64)</f>
        <v>0</v>
      </c>
      <c r="Z9" s="507" t="n">
        <f aca="false">IF(Z3&gt;'Project Assumtions'!$I$15+1,0,Depreciation!Y64)</f>
        <v>0</v>
      </c>
      <c r="AA9" s="507" t="n">
        <f aca="false">IF(AA3&gt;'Project Assumtions'!$I$15+1,0,Depreciation!Z64)</f>
        <v>0</v>
      </c>
      <c r="AB9" s="723" t="n">
        <f aca="false">IF(AB3&gt;'Project Assumtions'!$I$15+1,0,Depreciation!AA64)</f>
        <v>0</v>
      </c>
      <c r="AC9" s="718"/>
      <c r="AD9" s="718"/>
      <c r="AF9" s="722"/>
      <c r="AP9" s="724"/>
      <c r="AQ9" s="724"/>
      <c r="AR9" s="724"/>
      <c r="AS9" s="724"/>
      <c r="AU9" s="722"/>
    </row>
    <row r="10" customFormat="false" ht="12.6" hidden="false" customHeight="true" outlineLevel="0" collapsed="false">
      <c r="A10" s="719" t="s">
        <v>547</v>
      </c>
      <c r="B10" s="378"/>
      <c r="C10" s="717" t="n">
        <f aca="false">SUM(D10:AD10)</f>
        <v>105624.033945763</v>
      </c>
      <c r="D10" s="725" t="n">
        <f aca="false">IF(D3&gt;'Project Assumtions'!$I$15+1,0,'Book Income Statement'!D69)</f>
        <v>9363.570028425</v>
      </c>
      <c r="E10" s="725" t="n">
        <f aca="false">IF(E3&gt;'Project Assumtions'!$I$15+1,0,'Book Income Statement'!E69)</f>
        <v>9038.950189191</v>
      </c>
      <c r="F10" s="725" t="n">
        <f aca="false">IF(F3&gt;'Project Assumtions'!$I$15+1,0,'Book Income Statement'!F69)</f>
        <v>8714.330349957</v>
      </c>
      <c r="G10" s="725" t="n">
        <f aca="false">IF(G3&gt;'Project Assumtions'!$I$15+1,0,'Book Income Statement'!G69)</f>
        <v>8252.78412608325</v>
      </c>
      <c r="H10" s="725" t="n">
        <f aca="false">IF(H3&gt;'Project Assumtions'!$I$15+1,0,'Book Income Statement'!H69)</f>
        <v>7654.31151756975</v>
      </c>
      <c r="I10" s="725" t="n">
        <f aca="false">IF(I3&gt;'Project Assumtions'!$I$15+1,0,'Book Income Statement'!I69)</f>
        <v>7273.92748871637</v>
      </c>
      <c r="J10" s="725" t="n">
        <f aca="false">IF(J3&gt;'Project Assumtions'!$I$15+1,0,'Book Income Statement'!J69)</f>
        <v>6893.54345986299</v>
      </c>
      <c r="K10" s="725" t="n">
        <f aca="false">IF(K3&gt;'Project Assumtions'!$I$15+1,0,'Book Income Statement'!K69)</f>
        <v>6459.89380122267</v>
      </c>
      <c r="L10" s="725" t="n">
        <f aca="false">IF(L3&gt;'Project Assumtions'!$I$15+1,0,'Book Income Statement'!L69)</f>
        <v>6026.24414258235</v>
      </c>
      <c r="M10" s="725" t="n">
        <f aca="false">IF(M3&gt;'Project Assumtions'!$I$15+1,0,'Book Income Statement'!M69)</f>
        <v>5318.74171466253</v>
      </c>
      <c r="N10" s="725" t="n">
        <f aca="false">IF(N3&gt;'Project Assumtions'!$I$15+1,0,'Book Income Statement'!N69)</f>
        <v>4421.04727231602</v>
      </c>
      <c r="O10" s="725" t="n">
        <f aca="false">IF(O3&gt;'Project Assumtions'!$I$15+1,0,'Book Income Statement'!O69)</f>
        <v>4207.98475316826</v>
      </c>
      <c r="P10" s="725" t="n">
        <f aca="false">IF(P3&gt;'Project Assumtions'!$I$15+1,0,'Book Income Statement'!P69)</f>
        <v>3941.65660423356</v>
      </c>
      <c r="Q10" s="725" t="n">
        <f aca="false">IF(Q3&gt;'Project Assumtions'!$I$15+1,0,'Book Income Statement'!Q69)</f>
        <v>3675.32845529886</v>
      </c>
      <c r="R10" s="725" t="n">
        <f aca="false">IF(R3&gt;'Project Assumtions'!$I$15+1,0,'Book Income Statement'!R69)</f>
        <v>3409.00030636416</v>
      </c>
      <c r="S10" s="725" t="n">
        <f aca="false">IF(S3&gt;'Project Assumtions'!$I$15+1,0,'Book Income Statement'!S69)</f>
        <v>3142.67215742946</v>
      </c>
      <c r="T10" s="725" t="n">
        <f aca="false">IF(T3&gt;'Project Assumtions'!$I$15+1,0,'Book Income Statement'!T69)</f>
        <v>2876.34400849476</v>
      </c>
      <c r="U10" s="725" t="n">
        <f aca="false">IF(U3&gt;'Project Assumtions'!$I$15+1,0,'Book Income Statement'!U69)</f>
        <v>2343.68771062536</v>
      </c>
      <c r="V10" s="725" t="n">
        <f aca="false">IF(V3&gt;'Project Assumtions'!$I$15+1,0,'Book Income Statement'!V69)</f>
        <v>1704.50015318208</v>
      </c>
      <c r="W10" s="725" t="n">
        <f aca="false">IF(W3&gt;'Project Assumtions'!$I$15+1,0,'Book Income Statement'!W69)</f>
        <v>905.51570637798</v>
      </c>
      <c r="X10" s="725" t="n">
        <f aca="false">IF(X3&gt;'Project Assumtions'!$I$15+1,0,'Book Income Statement'!X69)</f>
        <v>0</v>
      </c>
      <c r="Y10" s="725" t="n">
        <f aca="false">IF(Y3&gt;'Project Assumtions'!$I$15+1,0,'Book Income Statement'!Y69)</f>
        <v>0</v>
      </c>
      <c r="Z10" s="725" t="n">
        <f aca="false">IF(Z3&gt;'Project Assumtions'!$I$15+1,0,'Book Income Statement'!Z69)</f>
        <v>0</v>
      </c>
      <c r="AA10" s="725" t="n">
        <f aca="false">IF(AA3&gt;'Project Assumtions'!$I$15+1,0,'Book Income Statement'!AA69)</f>
        <v>0</v>
      </c>
      <c r="AB10" s="726" t="n">
        <f aca="false">IF(AB3&gt;'Project Assumtions'!$I$15+1,0,'Book Income Statement'!AB69)</f>
        <v>0</v>
      </c>
      <c r="AC10" s="718"/>
      <c r="AD10" s="718"/>
      <c r="AF10" s="722"/>
      <c r="AU10" s="722"/>
    </row>
    <row r="11" customFormat="false" ht="12.6" hidden="false" customHeight="true" outlineLevel="0" collapsed="false">
      <c r="A11" s="719"/>
      <c r="B11" s="378"/>
      <c r="C11" s="717"/>
      <c r="D11" s="725"/>
      <c r="E11" s="725"/>
      <c r="F11" s="725"/>
      <c r="G11" s="725"/>
      <c r="H11" s="725"/>
      <c r="I11" s="725"/>
      <c r="J11" s="725"/>
      <c r="K11" s="725"/>
      <c r="L11" s="725"/>
      <c r="M11" s="725"/>
      <c r="N11" s="725"/>
      <c r="O11" s="725"/>
      <c r="P11" s="725"/>
      <c r="Q11" s="725"/>
      <c r="R11" s="725"/>
      <c r="S11" s="725"/>
      <c r="T11" s="725"/>
      <c r="U11" s="725"/>
      <c r="V11" s="725"/>
      <c r="W11" s="725"/>
      <c r="X11" s="725"/>
      <c r="Y11" s="725"/>
      <c r="Z11" s="725"/>
      <c r="AA11" s="725"/>
      <c r="AB11" s="726"/>
      <c r="AC11" s="727"/>
      <c r="AD11" s="727"/>
      <c r="AE11" s="727"/>
      <c r="AF11" s="727"/>
      <c r="AU11" s="722"/>
    </row>
    <row r="12" customFormat="false" ht="12.6" hidden="false" customHeight="true" outlineLevel="0" collapsed="false">
      <c r="A12" s="719" t="s">
        <v>548</v>
      </c>
      <c r="B12" s="378"/>
      <c r="C12" s="717" t="n">
        <f aca="false">SUM(D12:AD12)</f>
        <v>105624.033945763</v>
      </c>
      <c r="D12" s="725" t="n">
        <f aca="false">'Debt Amortization'!E$52</f>
        <v>9363.570028425</v>
      </c>
      <c r="E12" s="725" t="n">
        <f aca="false">'Debt Amortization'!F$52</f>
        <v>9038.950189191</v>
      </c>
      <c r="F12" s="725" t="n">
        <f aca="false">'Debt Amortization'!G$52</f>
        <v>8714.330349957</v>
      </c>
      <c r="G12" s="725" t="n">
        <f aca="false">'Debt Amortization'!H$52</f>
        <v>8252.78412608325</v>
      </c>
      <c r="H12" s="725" t="n">
        <f aca="false">'Debt Amortization'!I$52</f>
        <v>7654.31151756975</v>
      </c>
      <c r="I12" s="725" t="n">
        <f aca="false">'Debt Amortization'!J$52</f>
        <v>7273.92748871637</v>
      </c>
      <c r="J12" s="725" t="n">
        <f aca="false">'Debt Amortization'!K$52</f>
        <v>6893.54345986299</v>
      </c>
      <c r="K12" s="725" t="n">
        <f aca="false">'Debt Amortization'!L$52</f>
        <v>6459.89380122267</v>
      </c>
      <c r="L12" s="725" t="n">
        <f aca="false">'Debt Amortization'!M$52</f>
        <v>6026.24414258235</v>
      </c>
      <c r="M12" s="725" t="n">
        <f aca="false">'Debt Amortization'!N$52</f>
        <v>5318.74171466253</v>
      </c>
      <c r="N12" s="725" t="n">
        <f aca="false">'Debt Amortization'!O$52</f>
        <v>4421.04727231602</v>
      </c>
      <c r="O12" s="725" t="n">
        <f aca="false">'Debt Amortization'!P$52</f>
        <v>4207.98475316826</v>
      </c>
      <c r="P12" s="725" t="n">
        <f aca="false">'Debt Amortization'!Q$52</f>
        <v>3941.65660423356</v>
      </c>
      <c r="Q12" s="725" t="n">
        <f aca="false">'Debt Amortization'!R$52</f>
        <v>3675.32845529886</v>
      </c>
      <c r="R12" s="725" t="n">
        <f aca="false">'Debt Amortization'!S$52</f>
        <v>3409.00030636416</v>
      </c>
      <c r="S12" s="725" t="n">
        <f aca="false">'Debt Amortization'!T$52</f>
        <v>3142.67215742946</v>
      </c>
      <c r="T12" s="725" t="n">
        <f aca="false">'Debt Amortization'!U$52</f>
        <v>2876.34400849476</v>
      </c>
      <c r="U12" s="725" t="n">
        <f aca="false">'Debt Amortization'!V$52</f>
        <v>2343.68771062536</v>
      </c>
      <c r="V12" s="725" t="n">
        <f aca="false">'Debt Amortization'!W$52</f>
        <v>1704.50015318208</v>
      </c>
      <c r="W12" s="725" t="n">
        <f aca="false">'Debt Amortization'!X$52</f>
        <v>905.51570637798</v>
      </c>
      <c r="X12" s="725" t="n">
        <f aca="false">'Debt Amortization'!Y$52</f>
        <v>0</v>
      </c>
      <c r="Y12" s="725" t="n">
        <f aca="false">'Debt Amortization'!Z$52</f>
        <v>0</v>
      </c>
      <c r="Z12" s="725" t="n">
        <f aca="false">'Debt Amortization'!AA$52</f>
        <v>0</v>
      </c>
      <c r="AA12" s="725" t="n">
        <f aca="false">'Debt Amortization'!AB$52</f>
        <v>0</v>
      </c>
      <c r="AB12" s="726" t="n">
        <f aca="false">'Debt Amortization'!AC$52</f>
        <v>0</v>
      </c>
      <c r="AC12" s="718"/>
      <c r="AD12" s="718"/>
      <c r="AF12" s="722"/>
      <c r="AP12" s="724"/>
      <c r="AQ12" s="724"/>
      <c r="AR12" s="724"/>
      <c r="AS12" s="724"/>
      <c r="AU12" s="722"/>
    </row>
    <row r="13" customFormat="false" ht="12.6" hidden="false" customHeight="true" outlineLevel="0" collapsed="false">
      <c r="A13" s="403" t="s">
        <v>549</v>
      </c>
      <c r="B13" s="378"/>
      <c r="C13" s="618" t="n">
        <f aca="false">SUM(D13:AB13)</f>
        <v>120586.8645</v>
      </c>
      <c r="D13" s="728" t="n">
        <f aca="false">IF(D3&gt;'Project Assumtions'!$I$15+1,0,'Debt Amortization'!E$53)</f>
        <v>4823.47458</v>
      </c>
      <c r="E13" s="728" t="n">
        <f aca="false">IF(E3&gt;'Project Assumtions'!$I$15+1,0,'Debt Amortization'!F$53)</f>
        <v>4823.47458</v>
      </c>
      <c r="F13" s="728" t="n">
        <f aca="false">IF(F3&gt;'Project Assumtions'!$I$15+1,0,'Debt Amortization'!G$53)</f>
        <v>6632.2775475</v>
      </c>
      <c r="G13" s="728" t="n">
        <f aca="false">IF(G3&gt;'Project Assumtions'!$I$15+1,0,'Debt Amortization'!H$53)</f>
        <v>8441.080515</v>
      </c>
      <c r="H13" s="728" t="n">
        <f aca="false">IF(H3&gt;'Project Assumtions'!$I$15+1,0,'Debt Amortization'!I$53)</f>
        <v>4919.9440716</v>
      </c>
      <c r="I13" s="728" t="n">
        <f aca="false">IF(I3&gt;'Project Assumtions'!$I$15+1,0,'Debt Amortization'!J$53)</f>
        <v>4919.9440716</v>
      </c>
      <c r="J13" s="728" t="n">
        <f aca="false">IF(J3&gt;'Project Assumtions'!$I$15+1,0,'Debt Amortization'!K$53)</f>
        <v>5571.1131399</v>
      </c>
      <c r="K13" s="728" t="n">
        <f aca="false">IF(K3&gt;'Project Assumtions'!$I$15+1,0,'Debt Amortization'!L$53)</f>
        <v>5571.1131399</v>
      </c>
      <c r="L13" s="728" t="n">
        <f aca="false">IF(L3&gt;'Project Assumtions'!$I$15+1,0,'Debt Amortization'!M$53)</f>
        <v>9188.7190749</v>
      </c>
      <c r="M13" s="728" t="n">
        <f aca="false">IF(M3&gt;'Project Assumtions'!$I$15+1,0,'Debt Amortization'!N$53)</f>
        <v>11648.6911107</v>
      </c>
      <c r="N13" s="728" t="n">
        <f aca="false">IF(N3&gt;'Project Assumtions'!$I$15+1,0,'Debt Amortization'!O$53)</f>
        <v>2604.6762732</v>
      </c>
      <c r="O13" s="728" t="n">
        <f aca="false">IF(O3&gt;'Project Assumtions'!$I$15+1,0,'Debt Amortization'!P$53)</f>
        <v>3255.8453415</v>
      </c>
      <c r="P13" s="728" t="n">
        <f aca="false">IF(P3&gt;'Project Assumtions'!$I$15+1,0,'Debt Amortization'!Q$53)</f>
        <v>3255.8453415</v>
      </c>
      <c r="Q13" s="728" t="n">
        <f aca="false">IF(Q3&gt;'Project Assumtions'!$I$15+1,0,'Debt Amortization'!R$53)</f>
        <v>3255.8453415</v>
      </c>
      <c r="R13" s="728" t="n">
        <f aca="false">IF(R3&gt;'Project Assumtions'!$I$15+1,0,'Debt Amortization'!S$53)</f>
        <v>3255.8453415</v>
      </c>
      <c r="S13" s="728" t="n">
        <f aca="false">IF(S3&gt;'Project Assumtions'!$I$15+1,0,'Debt Amortization'!T$53)</f>
        <v>3255.8453415</v>
      </c>
      <c r="T13" s="728" t="n">
        <f aca="false">IF(T3&gt;'Project Assumtions'!$I$15+1,0,'Debt Amortization'!U$53)</f>
        <v>6511.690683</v>
      </c>
      <c r="U13" s="728" t="n">
        <f aca="false">IF(U3&gt;'Project Assumtions'!$I$15+1,0,'Debt Amortization'!V$53)</f>
        <v>7814.0288196</v>
      </c>
      <c r="V13" s="728" t="n">
        <f aca="false">IF(V3&gt;'Project Assumtions'!$I$15+1,0,'Debt Amortization'!W$53)</f>
        <v>9767.5360245</v>
      </c>
      <c r="W13" s="728" t="n">
        <f aca="false">IF(W3&gt;'Project Assumtions'!$I$15+1,0,'Debt Amortization'!X$53)</f>
        <v>11069.8741611</v>
      </c>
      <c r="X13" s="728" t="n">
        <f aca="false">IF(X3&gt;'Project Assumtions'!$I$15+1,0,'Debt Amortization'!Y$53)</f>
        <v>0</v>
      </c>
      <c r="Y13" s="728" t="n">
        <f aca="false">IF(Y3&gt;'Project Assumtions'!$I$15+1,0,'Debt Amortization'!Z$53)</f>
        <v>0</v>
      </c>
      <c r="Z13" s="728" t="n">
        <f aca="false">IF(Z3&gt;'Project Assumtions'!$I$15+1,0,'Debt Amortization'!AA$53)</f>
        <v>0</v>
      </c>
      <c r="AA13" s="728" t="n">
        <f aca="false">IF(AA3&gt;'Project Assumtions'!$I$15+1,0,'Debt Amortization'!AB$53)</f>
        <v>0</v>
      </c>
      <c r="AB13" s="729" t="n">
        <f aca="false">IF(AB3&gt;'Project Assumtions'!$I$15+1,0,'Debt Amortization'!AC$53)</f>
        <v>0</v>
      </c>
      <c r="AF13" s="722"/>
      <c r="AU13" s="722"/>
    </row>
    <row r="14" customFormat="false" ht="12.6" hidden="false" customHeight="true" outlineLevel="0" collapsed="false">
      <c r="A14" s="427" t="s">
        <v>550</v>
      </c>
      <c r="B14" s="378"/>
      <c r="C14" s="618"/>
      <c r="D14" s="725" t="n">
        <f aca="false">IF(D3&gt;'Project Assumtions'!$I$15+1,0,D6+D7+D8-D9+D10+D11-D12-D13)</f>
        <v>-2035.94518215442</v>
      </c>
      <c r="E14" s="725" t="n">
        <f aca="false">IF(E3&gt;'Project Assumtions'!$I$15+1,0,E6+E7+E8-E9+E10+E11-E12-E13)</f>
        <v>6400.21803806929</v>
      </c>
      <c r="F14" s="725" t="n">
        <f aca="false">IF(F3&gt;'Project Assumtions'!$I$15+1,0,F6+F7+F8-F9+F10+F11-F12-F13)</f>
        <v>4988.74488036494</v>
      </c>
      <c r="G14" s="725" t="n">
        <f aca="false">IF(G3&gt;'Project Assumtions'!$I$15+1,0,G6+G7+G8-G9+G10+G11-G12-G13)</f>
        <v>10976.7475192027</v>
      </c>
      <c r="H14" s="725" t="n">
        <f aca="false">IF(H3&gt;'Project Assumtions'!$I$15+1,0,H6+H7+H8-H9+H10+H11-H12-H13)</f>
        <v>21375.3802301962</v>
      </c>
      <c r="I14" s="725" t="n">
        <f aca="false">IF(I3&gt;'Project Assumtions'!$I$15+1,0,I6+I7+I8-I9+I10+I11-I12-I13)</f>
        <v>22719.1331050268</v>
      </c>
      <c r="J14" s="725" t="n">
        <f aca="false">IF(J3&gt;'Project Assumtions'!$I$15+1,0,J6+J7+J8-J9+J10+J11-J12-J13)</f>
        <v>22821.3129255746</v>
      </c>
      <c r="K14" s="725" t="n">
        <f aca="false">IF(K3&gt;'Project Assumtions'!$I$15+1,0,K6+K7+K8-K9+K10+K11-K12-K13)</f>
        <v>23580.8230712949</v>
      </c>
      <c r="L14" s="725" t="n">
        <f aca="false">IF(L3&gt;'Project Assumtions'!$I$15+1,0,L6+L7+L8-L9+L10+L11-L12-L13)</f>
        <v>20694.1474993586</v>
      </c>
      <c r="M14" s="725" t="n">
        <f aca="false">IF(M3&gt;'Project Assumtions'!$I$15+1,0,M6+M7+M8-M9+M10+M11-M12-M13)</f>
        <v>19271.5716060654</v>
      </c>
      <c r="N14" s="725" t="n">
        <f aca="false">IF(N3&gt;'Project Assumtions'!$I$15+1,0,N6+N7+N8-N9+N10+N11-N12-N13)</f>
        <v>29609.9444668249</v>
      </c>
      <c r="O14" s="725" t="n">
        <f aca="false">IF(O3&gt;'Project Assumtions'!$I$15+1,0,O6+O7+O8-O9+O10+O11-O12-O13)</f>
        <v>29554.8019275439</v>
      </c>
      <c r="P14" s="725" t="n">
        <f aca="false">IF(P3&gt;'Project Assumtions'!$I$15+1,0,P6+P7+P8-P9+P10+P11-P12-P13)</f>
        <v>30023.9698774528</v>
      </c>
      <c r="Q14" s="725" t="n">
        <f aca="false">IF(Q3&gt;'Project Assumtions'!$I$15+1,0,Q6+Q7+Q8-Q9+Q10+Q11-Q12-Q13)</f>
        <v>29868.1338036681</v>
      </c>
      <c r="R14" s="725" t="n">
        <f aca="false">IF(R3&gt;'Project Assumtions'!$I$15+1,0,R6+R7+R8-R9+R10+R11-R12-R13)</f>
        <v>30455.8509067655</v>
      </c>
      <c r="S14" s="725" t="n">
        <f aca="false">IF(S3&gt;'Project Assumtions'!$I$15+1,0,S6+S7+S8-S9+S10+S11-S12-S13)</f>
        <v>31029.1198440547</v>
      </c>
      <c r="T14" s="725" t="n">
        <f aca="false">IF(T3&gt;'Project Assumtions'!$I$15+1,0,T6+T7+T8-T9+T10+T11-T12-T13)</f>
        <v>28330.9391340284</v>
      </c>
      <c r="U14" s="725" t="n">
        <f aca="false">IF(U3&gt;'Project Assumtions'!$I$15+1,0,U6+U7+U8-U9+U10+U11-U12-U13)</f>
        <v>27835.7769669629</v>
      </c>
      <c r="V14" s="725" t="n">
        <f aca="false">IF(V3&gt;'Project Assumtions'!$I$15+1,0,V6+V7+V8-V9+V10+V11-V12-V13)</f>
        <v>26777.8889688106</v>
      </c>
      <c r="W14" s="725" t="n">
        <f aca="false">IF(W3&gt;'Project Assumtions'!$I$15+1,0,W6+W7+W8-W9+W10+W11-W12-W13)</f>
        <v>25580.6558731629</v>
      </c>
      <c r="X14" s="725" t="n">
        <f aca="false">IF(X3&gt;'Project Assumtions'!$I$15+1,0,X6+X7+X8-X9+X10+X11-X12-X13)</f>
        <v>13693.1326211776</v>
      </c>
      <c r="Y14" s="725" t="n">
        <f aca="false">IF(Y3&gt;'Project Assumtions'!$I$15+1,0,Y6+Y7+Y8-Y9+Y10+Y11-Y12-Y13)</f>
        <v>0</v>
      </c>
      <c r="Z14" s="725" t="n">
        <f aca="false">IF(Z3&gt;'Project Assumtions'!$I$15+1,0,Z6+Z7+Z8-Z9+Z10+Z11-Z12-Z13)</f>
        <v>0</v>
      </c>
      <c r="AA14" s="725" t="n">
        <f aca="false">IF(AA3&gt;'Project Assumtions'!$I$15+1,0,AA6+AA7+AA8-AA9+AA10+AA11-AA12-AA13)</f>
        <v>0</v>
      </c>
      <c r="AB14" s="726" t="n">
        <f aca="false">IF(AB3&gt;'Project Assumtions'!$I$15+1,0,AB6+AB7+AB8-AB9+AB10+AB11-AB12-AB13)</f>
        <v>0</v>
      </c>
      <c r="AC14" s="727" t="n">
        <f aca="false">IF(AC3&gt;'Project Assumtions'!$I$15,0,AC6+AC7+AC8-AC9+AC10+AC11-AC12-AC13)</f>
        <v>0</v>
      </c>
      <c r="AD14" s="727" t="n">
        <f aca="false">IF(AD3&gt;'Project Assumtions'!$I$15,0,AD6+AD7+AD8-AD9+AD10+AD11-AD12-AD13)</f>
        <v>0</v>
      </c>
      <c r="AE14" s="727" t="n">
        <f aca="false">IF(AE3&gt;'Project Assumtions'!$I$15,0,AE6+AE7+AE8-AE9+AE10+AE11-AE12-AE13)</f>
        <v>0</v>
      </c>
      <c r="AF14" s="727" t="n">
        <f aca="false">IF(AF3&gt;'Project Assumtions'!$I$15,0,AF6+AF7+AF8-AF9+AF10+AF11-AF12-AF13)</f>
        <v>0</v>
      </c>
      <c r="AG14" s="727" t="n">
        <f aca="false">IF(AG3&gt;'Project Assumtions'!$I$15,0,AG6+AG7+AG8-AG9+AG10+AG11-AG12-AG13)</f>
        <v>0</v>
      </c>
      <c r="AU14" s="722"/>
    </row>
    <row r="15" customFormat="false" ht="12.6" hidden="false" customHeight="true" outlineLevel="0" collapsed="false">
      <c r="A15" s="403"/>
      <c r="B15" s="378"/>
      <c r="C15" s="618"/>
      <c r="D15" s="725"/>
      <c r="E15" s="725"/>
      <c r="F15" s="725"/>
      <c r="G15" s="725"/>
      <c r="H15" s="725"/>
      <c r="I15" s="725"/>
      <c r="J15" s="725"/>
      <c r="K15" s="725"/>
      <c r="L15" s="725"/>
      <c r="M15" s="725"/>
      <c r="N15" s="725"/>
      <c r="O15" s="725"/>
      <c r="P15" s="725"/>
      <c r="Q15" s="725"/>
      <c r="R15" s="725"/>
      <c r="S15" s="725"/>
      <c r="T15" s="725"/>
      <c r="U15" s="725"/>
      <c r="V15" s="725"/>
      <c r="W15" s="725"/>
      <c r="X15" s="725"/>
      <c r="Y15" s="725"/>
      <c r="Z15" s="725"/>
      <c r="AA15" s="725"/>
      <c r="AB15" s="726"/>
      <c r="AF15" s="722"/>
      <c r="AU15" s="722"/>
    </row>
    <row r="16" customFormat="false" ht="12.6" hidden="false" customHeight="true" outlineLevel="0" collapsed="false">
      <c r="A16" s="403" t="s">
        <v>551</v>
      </c>
      <c r="B16" s="378"/>
      <c r="C16" s="618"/>
      <c r="D16" s="725" t="n">
        <v>0</v>
      </c>
      <c r="E16" s="725" t="n">
        <v>0</v>
      </c>
      <c r="F16" s="725" t="n">
        <v>0</v>
      </c>
      <c r="G16" s="725" t="n">
        <v>0</v>
      </c>
      <c r="H16" s="725" t="n">
        <v>0</v>
      </c>
      <c r="I16" s="725" t="n">
        <v>0</v>
      </c>
      <c r="J16" s="725" t="n">
        <v>0</v>
      </c>
      <c r="K16" s="725" t="n">
        <v>0</v>
      </c>
      <c r="L16" s="725" t="n">
        <v>0</v>
      </c>
      <c r="M16" s="725" t="n">
        <v>0</v>
      </c>
      <c r="N16" s="725" t="n">
        <v>0</v>
      </c>
      <c r="O16" s="725" t="n">
        <v>0</v>
      </c>
      <c r="P16" s="725" t="n">
        <v>0</v>
      </c>
      <c r="Q16" s="725" t="n">
        <v>0</v>
      </c>
      <c r="R16" s="725" t="n">
        <v>0</v>
      </c>
      <c r="S16" s="725" t="n">
        <v>0</v>
      </c>
      <c r="T16" s="725" t="n">
        <v>0</v>
      </c>
      <c r="U16" s="725" t="n">
        <v>0</v>
      </c>
      <c r="V16" s="725" t="n">
        <v>0</v>
      </c>
      <c r="W16" s="725" t="n">
        <v>0</v>
      </c>
      <c r="X16" s="725" t="n">
        <v>0</v>
      </c>
      <c r="Y16" s="725" t="n">
        <v>0</v>
      </c>
      <c r="Z16" s="725" t="n">
        <v>0</v>
      </c>
      <c r="AA16" s="725" t="n">
        <v>0</v>
      </c>
      <c r="AB16" s="726" t="n">
        <v>0</v>
      </c>
      <c r="AF16" s="722"/>
      <c r="AU16" s="722"/>
    </row>
    <row r="17" customFormat="false" ht="12.6" hidden="false" customHeight="true" outlineLevel="0" collapsed="false">
      <c r="A17" s="403" t="s">
        <v>552</v>
      </c>
      <c r="B17" s="378"/>
      <c r="C17" s="717" t="n">
        <f aca="false">SUM(D17:AD17)</f>
        <v>0</v>
      </c>
      <c r="D17" s="725" t="n">
        <v>0</v>
      </c>
      <c r="E17" s="725" t="n">
        <v>0</v>
      </c>
      <c r="F17" s="725" t="n">
        <v>0</v>
      </c>
      <c r="G17" s="725" t="n">
        <v>0</v>
      </c>
      <c r="H17" s="725" t="n">
        <v>0</v>
      </c>
      <c r="I17" s="725" t="n">
        <v>0</v>
      </c>
      <c r="J17" s="725" t="n">
        <v>0</v>
      </c>
      <c r="K17" s="725" t="n">
        <v>0</v>
      </c>
      <c r="L17" s="725" t="n">
        <v>0</v>
      </c>
      <c r="M17" s="725" t="n">
        <v>0</v>
      </c>
      <c r="N17" s="725" t="n">
        <v>0</v>
      </c>
      <c r="O17" s="725" t="n">
        <v>0</v>
      </c>
      <c r="P17" s="725" t="n">
        <v>0</v>
      </c>
      <c r="Q17" s="725" t="n">
        <v>0</v>
      </c>
      <c r="R17" s="725" t="n">
        <v>0</v>
      </c>
      <c r="S17" s="725" t="n">
        <v>0</v>
      </c>
      <c r="T17" s="725" t="n">
        <v>0</v>
      </c>
      <c r="U17" s="725" t="n">
        <v>0</v>
      </c>
      <c r="V17" s="725" t="n">
        <v>0</v>
      </c>
      <c r="W17" s="725" t="n">
        <v>0</v>
      </c>
      <c r="X17" s="725" t="n">
        <v>0</v>
      </c>
      <c r="Y17" s="725" t="n">
        <v>0</v>
      </c>
      <c r="Z17" s="725" t="n">
        <v>0</v>
      </c>
      <c r="AA17" s="725" t="n">
        <v>0</v>
      </c>
      <c r="AB17" s="726" t="n">
        <v>0</v>
      </c>
      <c r="AE17" s="706"/>
      <c r="AF17" s="730"/>
      <c r="AG17" s="706"/>
      <c r="AH17" s="706"/>
      <c r="AI17" s="706"/>
      <c r="AJ17" s="706"/>
      <c r="AK17" s="706"/>
      <c r="AL17" s="706"/>
      <c r="AM17" s="706"/>
      <c r="AN17" s="706"/>
      <c r="AO17" s="706"/>
      <c r="AP17" s="706"/>
      <c r="AQ17" s="706"/>
      <c r="AR17" s="706"/>
      <c r="AS17" s="706"/>
      <c r="AT17" s="706"/>
      <c r="AU17" s="730"/>
      <c r="AV17" s="706"/>
      <c r="AW17" s="706"/>
      <c r="AX17" s="706"/>
      <c r="AY17" s="706"/>
      <c r="AZ17" s="706"/>
      <c r="BA17" s="706"/>
      <c r="BB17" s="706"/>
      <c r="BC17" s="706"/>
      <c r="BD17" s="706"/>
      <c r="BE17" s="706"/>
      <c r="BF17" s="706"/>
      <c r="BG17" s="706"/>
      <c r="BH17" s="706"/>
      <c r="BI17" s="706"/>
      <c r="BJ17" s="706"/>
      <c r="BK17" s="706"/>
      <c r="BL17" s="706"/>
      <c r="BM17" s="706"/>
      <c r="BN17" s="706"/>
      <c r="BO17" s="706"/>
      <c r="BP17" s="706"/>
      <c r="BQ17" s="706"/>
      <c r="BR17" s="706"/>
      <c r="BS17" s="706"/>
      <c r="BT17" s="706"/>
      <c r="BU17" s="706"/>
      <c r="BV17" s="706"/>
      <c r="BW17" s="706"/>
      <c r="BX17" s="706"/>
      <c r="BY17" s="706"/>
      <c r="BZ17" s="706"/>
      <c r="CA17" s="706"/>
      <c r="CB17" s="706"/>
      <c r="CC17" s="706"/>
      <c r="CD17" s="706"/>
      <c r="CE17" s="706"/>
      <c r="CF17" s="706"/>
      <c r="CG17" s="706"/>
      <c r="CH17" s="706"/>
      <c r="CI17" s="706"/>
      <c r="CJ17" s="706"/>
      <c r="CK17" s="706"/>
      <c r="CL17" s="706"/>
      <c r="CM17" s="706"/>
      <c r="CN17" s="706"/>
      <c r="CO17" s="706"/>
      <c r="CP17" s="706"/>
      <c r="CQ17" s="706"/>
      <c r="CR17" s="706"/>
      <c r="CS17" s="706"/>
      <c r="CT17" s="706"/>
      <c r="CU17" s="706"/>
      <c r="CV17" s="706"/>
      <c r="CW17" s="706"/>
      <c r="CX17" s="706"/>
      <c r="CY17" s="706"/>
      <c r="CZ17" s="706"/>
      <c r="DA17" s="706"/>
      <c r="DB17" s="706"/>
      <c r="DC17" s="706"/>
      <c r="DD17" s="706"/>
      <c r="DE17" s="706"/>
      <c r="DF17" s="706"/>
      <c r="DG17" s="706"/>
      <c r="DH17" s="706"/>
      <c r="DI17" s="706"/>
      <c r="DJ17" s="706"/>
      <c r="DK17" s="706"/>
      <c r="DL17" s="706"/>
      <c r="DM17" s="706"/>
      <c r="DN17" s="706"/>
      <c r="DO17" s="706"/>
      <c r="DP17" s="706"/>
      <c r="DQ17" s="706"/>
      <c r="DR17" s="706"/>
      <c r="DS17" s="706"/>
      <c r="DT17" s="706"/>
      <c r="DU17" s="706"/>
      <c r="DV17" s="706"/>
      <c r="DW17" s="706"/>
      <c r="DX17" s="706"/>
      <c r="DY17" s="706"/>
      <c r="DZ17" s="706"/>
      <c r="EA17" s="706"/>
      <c r="EB17" s="706"/>
      <c r="EC17" s="706"/>
      <c r="ED17" s="706"/>
      <c r="EE17" s="706"/>
      <c r="EF17" s="706"/>
      <c r="EG17" s="706"/>
      <c r="EH17" s="706"/>
      <c r="EI17" s="706"/>
      <c r="EJ17" s="706"/>
      <c r="EK17" s="706"/>
      <c r="EL17" s="706"/>
      <c r="EM17" s="706"/>
      <c r="EN17" s="706"/>
      <c r="EO17" s="706"/>
      <c r="EP17" s="706"/>
      <c r="EQ17" s="706"/>
      <c r="ER17" s="706"/>
      <c r="ES17" s="706"/>
      <c r="ET17" s="706"/>
      <c r="EU17" s="706"/>
      <c r="EV17" s="706"/>
      <c r="EW17" s="706"/>
      <c r="EX17" s="706"/>
      <c r="EY17" s="706"/>
      <c r="EZ17" s="706"/>
      <c r="FA17" s="706"/>
      <c r="FB17" s="706"/>
      <c r="FC17" s="706"/>
      <c r="FD17" s="706"/>
      <c r="FE17" s="706"/>
      <c r="FF17" s="706"/>
      <c r="FG17" s="706"/>
      <c r="FH17" s="706"/>
      <c r="FI17" s="706"/>
      <c r="FJ17" s="706"/>
      <c r="FK17" s="706"/>
      <c r="FL17" s="706"/>
      <c r="FM17" s="706"/>
      <c r="FN17" s="706"/>
      <c r="FO17" s="706"/>
      <c r="FP17" s="706"/>
      <c r="FQ17" s="706"/>
      <c r="FR17" s="706"/>
      <c r="FS17" s="706"/>
      <c r="FT17" s="706"/>
      <c r="FU17" s="706"/>
      <c r="FV17" s="706"/>
      <c r="FW17" s="706"/>
      <c r="FX17" s="706"/>
      <c r="FY17" s="706"/>
      <c r="FZ17" s="706"/>
      <c r="GA17" s="706"/>
      <c r="GB17" s="706"/>
      <c r="GC17" s="706"/>
      <c r="GD17" s="706"/>
      <c r="GE17" s="706"/>
      <c r="GF17" s="706"/>
      <c r="GG17" s="706"/>
      <c r="GH17" s="706"/>
      <c r="GI17" s="706"/>
      <c r="GJ17" s="706"/>
      <c r="GK17" s="706"/>
      <c r="GL17" s="706"/>
      <c r="GM17" s="706"/>
      <c r="GN17" s="706"/>
      <c r="GO17" s="706"/>
      <c r="GP17" s="706"/>
      <c r="GQ17" s="706"/>
      <c r="GR17" s="706"/>
      <c r="GS17" s="706"/>
      <c r="GT17" s="706"/>
      <c r="GU17" s="706"/>
      <c r="GV17" s="706"/>
      <c r="GW17" s="706"/>
      <c r="GX17" s="706"/>
      <c r="GY17" s="706"/>
      <c r="GZ17" s="706"/>
      <c r="HA17" s="706"/>
      <c r="HB17" s="706"/>
      <c r="HC17" s="706"/>
      <c r="HD17" s="706"/>
      <c r="HE17" s="706"/>
      <c r="HF17" s="706"/>
      <c r="HG17" s="706"/>
      <c r="HH17" s="706"/>
      <c r="HI17" s="706"/>
      <c r="HJ17" s="706"/>
      <c r="HK17" s="706"/>
      <c r="HL17" s="706"/>
      <c r="HM17" s="706"/>
      <c r="HN17" s="706"/>
      <c r="HO17" s="706"/>
      <c r="HP17" s="706"/>
      <c r="HQ17" s="706"/>
      <c r="HR17" s="706"/>
      <c r="HS17" s="706"/>
      <c r="HT17" s="706"/>
      <c r="HU17" s="706"/>
      <c r="HV17" s="706"/>
      <c r="HW17" s="706"/>
      <c r="HX17" s="706"/>
      <c r="HY17" s="706"/>
      <c r="HZ17" s="706"/>
      <c r="IA17" s="706"/>
      <c r="IB17" s="706"/>
      <c r="IC17" s="706"/>
      <c r="ID17" s="706"/>
      <c r="IE17" s="706"/>
      <c r="IF17" s="706"/>
      <c r="IG17" s="706"/>
      <c r="IH17" s="706"/>
      <c r="II17" s="706"/>
      <c r="IJ17" s="706"/>
      <c r="IK17" s="706"/>
      <c r="IL17" s="706"/>
      <c r="IM17" s="706"/>
      <c r="IN17" s="706"/>
      <c r="IO17" s="706"/>
      <c r="IP17" s="706"/>
      <c r="IQ17" s="706"/>
      <c r="IR17" s="706"/>
      <c r="IS17" s="706"/>
      <c r="IT17" s="706"/>
      <c r="IU17" s="706"/>
      <c r="IV17" s="706"/>
      <c r="IW17" s="706"/>
    </row>
    <row r="18" customFormat="false" ht="12.6" hidden="false" customHeight="true" outlineLevel="0" collapsed="false">
      <c r="A18" s="403" t="s">
        <v>553</v>
      </c>
      <c r="B18" s="378"/>
      <c r="C18" s="717"/>
      <c r="D18" s="725" t="n">
        <v>0</v>
      </c>
      <c r="E18" s="725" t="n">
        <v>0</v>
      </c>
      <c r="F18" s="725" t="n">
        <v>0</v>
      </c>
      <c r="G18" s="725" t="n">
        <v>0</v>
      </c>
      <c r="H18" s="725" t="n">
        <v>0</v>
      </c>
      <c r="I18" s="725" t="n">
        <v>0</v>
      </c>
      <c r="J18" s="725" t="n">
        <v>0</v>
      </c>
      <c r="K18" s="725" t="n">
        <v>0</v>
      </c>
      <c r="L18" s="725" t="n">
        <v>0</v>
      </c>
      <c r="M18" s="725" t="n">
        <v>0</v>
      </c>
      <c r="N18" s="725" t="n">
        <v>0</v>
      </c>
      <c r="O18" s="725" t="n">
        <v>0</v>
      </c>
      <c r="P18" s="725" t="n">
        <v>0</v>
      </c>
      <c r="Q18" s="725" t="n">
        <v>0</v>
      </c>
      <c r="R18" s="725" t="n">
        <v>0</v>
      </c>
      <c r="S18" s="725" t="n">
        <v>0</v>
      </c>
      <c r="T18" s="725" t="n">
        <v>0</v>
      </c>
      <c r="U18" s="725" t="n">
        <v>0</v>
      </c>
      <c r="V18" s="725" t="n">
        <v>0</v>
      </c>
      <c r="W18" s="725" t="n">
        <v>0</v>
      </c>
      <c r="X18" s="725" t="n">
        <v>0</v>
      </c>
      <c r="Y18" s="725" t="n">
        <v>0</v>
      </c>
      <c r="Z18" s="725" t="n">
        <v>0</v>
      </c>
      <c r="AA18" s="725" t="n">
        <v>0</v>
      </c>
      <c r="AB18" s="726" t="n">
        <v>0</v>
      </c>
      <c r="AE18" s="706"/>
      <c r="AF18" s="730"/>
      <c r="AG18" s="706"/>
      <c r="AH18" s="706"/>
      <c r="AI18" s="706"/>
      <c r="AJ18" s="706"/>
      <c r="AK18" s="706"/>
      <c r="AL18" s="706"/>
      <c r="AM18" s="706"/>
      <c r="AN18" s="706"/>
      <c r="AO18" s="706"/>
      <c r="AP18" s="706"/>
      <c r="AQ18" s="706"/>
      <c r="AR18" s="706"/>
      <c r="AS18" s="706"/>
      <c r="AT18" s="706"/>
      <c r="AU18" s="730"/>
      <c r="AV18" s="706"/>
      <c r="AW18" s="706"/>
      <c r="AX18" s="706"/>
      <c r="AY18" s="706"/>
      <c r="AZ18" s="706"/>
      <c r="BA18" s="706"/>
      <c r="BB18" s="706"/>
      <c r="BC18" s="706"/>
      <c r="BD18" s="706"/>
      <c r="BE18" s="706"/>
      <c r="BF18" s="706"/>
      <c r="BG18" s="706"/>
      <c r="BH18" s="706"/>
      <c r="BI18" s="706"/>
      <c r="BJ18" s="706"/>
      <c r="BK18" s="706"/>
      <c r="BL18" s="706"/>
      <c r="BM18" s="706"/>
      <c r="BN18" s="706"/>
      <c r="BO18" s="706"/>
      <c r="BP18" s="706"/>
      <c r="BQ18" s="706"/>
      <c r="BR18" s="706"/>
      <c r="BS18" s="706"/>
      <c r="BT18" s="706"/>
      <c r="BU18" s="706"/>
      <c r="BV18" s="706"/>
      <c r="BW18" s="706"/>
      <c r="BX18" s="706"/>
      <c r="BY18" s="706"/>
      <c r="BZ18" s="706"/>
      <c r="CA18" s="706"/>
      <c r="CB18" s="706"/>
      <c r="CC18" s="706"/>
      <c r="CD18" s="706"/>
      <c r="CE18" s="706"/>
      <c r="CF18" s="706"/>
      <c r="CG18" s="706"/>
      <c r="CH18" s="706"/>
      <c r="CI18" s="706"/>
      <c r="CJ18" s="706"/>
      <c r="CK18" s="706"/>
      <c r="CL18" s="706"/>
      <c r="CM18" s="706"/>
      <c r="CN18" s="706"/>
      <c r="CO18" s="706"/>
      <c r="CP18" s="706"/>
      <c r="CQ18" s="706"/>
      <c r="CR18" s="706"/>
      <c r="CS18" s="706"/>
      <c r="CT18" s="706"/>
      <c r="CU18" s="706"/>
      <c r="CV18" s="706"/>
      <c r="CW18" s="706"/>
      <c r="CX18" s="706"/>
      <c r="CY18" s="706"/>
      <c r="CZ18" s="706"/>
      <c r="DA18" s="706"/>
      <c r="DB18" s="706"/>
      <c r="DC18" s="706"/>
      <c r="DD18" s="706"/>
      <c r="DE18" s="706"/>
      <c r="DF18" s="706"/>
      <c r="DG18" s="706"/>
      <c r="DH18" s="706"/>
      <c r="DI18" s="706"/>
      <c r="DJ18" s="706"/>
      <c r="DK18" s="706"/>
      <c r="DL18" s="706"/>
      <c r="DM18" s="706"/>
      <c r="DN18" s="706"/>
      <c r="DO18" s="706"/>
      <c r="DP18" s="706"/>
      <c r="DQ18" s="706"/>
      <c r="DR18" s="706"/>
      <c r="DS18" s="706"/>
      <c r="DT18" s="706"/>
      <c r="DU18" s="706"/>
      <c r="DV18" s="706"/>
      <c r="DW18" s="706"/>
      <c r="DX18" s="706"/>
      <c r="DY18" s="706"/>
      <c r="DZ18" s="706"/>
      <c r="EA18" s="706"/>
      <c r="EB18" s="706"/>
      <c r="EC18" s="706"/>
      <c r="ED18" s="706"/>
      <c r="EE18" s="706"/>
      <c r="EF18" s="706"/>
      <c r="EG18" s="706"/>
      <c r="EH18" s="706"/>
      <c r="EI18" s="706"/>
      <c r="EJ18" s="706"/>
      <c r="EK18" s="706"/>
      <c r="EL18" s="706"/>
      <c r="EM18" s="706"/>
      <c r="EN18" s="706"/>
      <c r="EO18" s="706"/>
      <c r="EP18" s="706"/>
      <c r="EQ18" s="706"/>
      <c r="ER18" s="706"/>
      <c r="ES18" s="706"/>
      <c r="ET18" s="706"/>
      <c r="EU18" s="706"/>
      <c r="EV18" s="706"/>
      <c r="EW18" s="706"/>
      <c r="EX18" s="706"/>
      <c r="EY18" s="706"/>
      <c r="EZ18" s="706"/>
      <c r="FA18" s="706"/>
      <c r="FB18" s="706"/>
      <c r="FC18" s="706"/>
      <c r="FD18" s="706"/>
      <c r="FE18" s="706"/>
      <c r="FF18" s="706"/>
      <c r="FG18" s="706"/>
      <c r="FH18" s="706"/>
      <c r="FI18" s="706"/>
      <c r="FJ18" s="706"/>
      <c r="FK18" s="706"/>
      <c r="FL18" s="706"/>
      <c r="FM18" s="706"/>
      <c r="FN18" s="706"/>
      <c r="FO18" s="706"/>
      <c r="FP18" s="706"/>
      <c r="FQ18" s="706"/>
      <c r="FR18" s="706"/>
      <c r="FS18" s="706"/>
      <c r="FT18" s="706"/>
      <c r="FU18" s="706"/>
      <c r="FV18" s="706"/>
      <c r="FW18" s="706"/>
      <c r="FX18" s="706"/>
      <c r="FY18" s="706"/>
      <c r="FZ18" s="706"/>
      <c r="GA18" s="706"/>
      <c r="GB18" s="706"/>
      <c r="GC18" s="706"/>
      <c r="GD18" s="706"/>
      <c r="GE18" s="706"/>
      <c r="GF18" s="706"/>
      <c r="GG18" s="706"/>
      <c r="GH18" s="706"/>
      <c r="GI18" s="706"/>
      <c r="GJ18" s="706"/>
      <c r="GK18" s="706"/>
      <c r="GL18" s="706"/>
      <c r="GM18" s="706"/>
      <c r="GN18" s="706"/>
      <c r="GO18" s="706"/>
      <c r="GP18" s="706"/>
      <c r="GQ18" s="706"/>
      <c r="GR18" s="706"/>
      <c r="GS18" s="706"/>
      <c r="GT18" s="706"/>
      <c r="GU18" s="706"/>
      <c r="GV18" s="706"/>
      <c r="GW18" s="706"/>
      <c r="GX18" s="706"/>
      <c r="GY18" s="706"/>
      <c r="GZ18" s="706"/>
      <c r="HA18" s="706"/>
      <c r="HB18" s="706"/>
      <c r="HC18" s="706"/>
      <c r="HD18" s="706"/>
      <c r="HE18" s="706"/>
      <c r="HF18" s="706"/>
      <c r="HG18" s="706"/>
      <c r="HH18" s="706"/>
      <c r="HI18" s="706"/>
      <c r="HJ18" s="706"/>
      <c r="HK18" s="706"/>
      <c r="HL18" s="706"/>
      <c r="HM18" s="706"/>
      <c r="HN18" s="706"/>
      <c r="HO18" s="706"/>
      <c r="HP18" s="706"/>
      <c r="HQ18" s="706"/>
      <c r="HR18" s="706"/>
      <c r="HS18" s="706"/>
      <c r="HT18" s="706"/>
      <c r="HU18" s="706"/>
      <c r="HV18" s="706"/>
      <c r="HW18" s="706"/>
      <c r="HX18" s="706"/>
      <c r="HY18" s="706"/>
      <c r="HZ18" s="706"/>
      <c r="IA18" s="706"/>
      <c r="IB18" s="706"/>
      <c r="IC18" s="706"/>
      <c r="ID18" s="706"/>
      <c r="IE18" s="706"/>
      <c r="IF18" s="706"/>
      <c r="IG18" s="706"/>
      <c r="IH18" s="706"/>
      <c r="II18" s="706"/>
      <c r="IJ18" s="706"/>
      <c r="IK18" s="706"/>
      <c r="IL18" s="706"/>
      <c r="IM18" s="706"/>
      <c r="IN18" s="706"/>
      <c r="IO18" s="706"/>
      <c r="IP18" s="706"/>
      <c r="IQ18" s="706"/>
      <c r="IR18" s="706"/>
      <c r="IS18" s="706"/>
      <c r="IT18" s="706"/>
      <c r="IU18" s="706"/>
      <c r="IV18" s="706"/>
      <c r="IW18" s="706"/>
    </row>
    <row r="19" customFormat="false" ht="12.6" hidden="false" customHeight="true" outlineLevel="0" collapsed="false">
      <c r="A19" s="403"/>
      <c r="B19" s="378"/>
      <c r="C19" s="717"/>
      <c r="D19" s="731"/>
      <c r="E19" s="378"/>
      <c r="F19" s="378"/>
      <c r="G19" s="378"/>
      <c r="H19" s="378"/>
      <c r="I19" s="378"/>
      <c r="J19" s="378"/>
      <c r="K19" s="378"/>
      <c r="L19" s="378"/>
      <c r="M19" s="378"/>
      <c r="N19" s="378"/>
      <c r="O19" s="378"/>
      <c r="P19" s="378"/>
      <c r="Q19" s="378"/>
      <c r="R19" s="378"/>
      <c r="S19" s="378"/>
      <c r="T19" s="378"/>
      <c r="U19" s="378"/>
      <c r="V19" s="378"/>
      <c r="W19" s="378"/>
      <c r="X19" s="378"/>
      <c r="Y19" s="378"/>
      <c r="Z19" s="378"/>
      <c r="AA19" s="378"/>
      <c r="AB19" s="408"/>
      <c r="AF19" s="722"/>
      <c r="AU19" s="722"/>
    </row>
    <row r="20" customFormat="false" ht="12.6" hidden="false" customHeight="true" outlineLevel="0" collapsed="false">
      <c r="A20" s="716" t="s">
        <v>554</v>
      </c>
      <c r="B20" s="732"/>
      <c r="C20" s="733" t="n">
        <f aca="false">SUM(C6:C13)</f>
        <v>905290.298134342</v>
      </c>
      <c r="D20" s="720" t="n">
        <f aca="false">IF(D3&gt;'Project Assumtions'!$I$15+1,0,D6+D7+D8-D9+D10+D11-D12-D13-D17-D18-D16)</f>
        <v>-2035.94518215442</v>
      </c>
      <c r="E20" s="720" t="n">
        <f aca="false">IF(E3&gt;'Project Assumtions'!$I$15+1,0,E6+E7+E8-E9+E10+E11-E12-E13-E17-E18-E16)</f>
        <v>6400.21803806929</v>
      </c>
      <c r="F20" s="720" t="n">
        <f aca="false">IF(F3&gt;'Project Assumtions'!$I$15+1,0,F6+F7+F8-F9+F10+F11-F12-F13-F17-F18-F16)</f>
        <v>4988.74488036494</v>
      </c>
      <c r="G20" s="720" t="n">
        <f aca="false">IF(G3&gt;'Project Assumtions'!$I$15+1,0,G6+G7+G8-G9+G10+G11-G12-G13-G17-G18-G16)</f>
        <v>10976.7475192027</v>
      </c>
      <c r="H20" s="720" t="n">
        <f aca="false">IF(H3&gt;'Project Assumtions'!$I$15+1,0,H6+H7+H8-H9+H10+H11-H12-H13-H17-H18-H16)</f>
        <v>21375.3802301962</v>
      </c>
      <c r="I20" s="720" t="n">
        <f aca="false">IF(I3&gt;'Project Assumtions'!$I$15+1,0,I6+I7+I8-I9+I10+I11-I12-I13-I17-I18-I16)</f>
        <v>22719.1331050268</v>
      </c>
      <c r="J20" s="720" t="n">
        <f aca="false">IF(J3&gt;'Project Assumtions'!$I$15+1,0,J6+J7+J8-J9+J10+J11-J12-J13-J17-J18-J16)</f>
        <v>22821.3129255746</v>
      </c>
      <c r="K20" s="720" t="n">
        <f aca="false">IF(K3&gt;'Project Assumtions'!$I$15+1,0,K6+K7+K8-K9+K10+K11-K12-K13-K17-K18-K16)</f>
        <v>23580.8230712949</v>
      </c>
      <c r="L20" s="720" t="n">
        <f aca="false">IF(L3&gt;'Project Assumtions'!$I$15+1,0,L6+L7+L8-L9+L10+L11-L12-L13-L17-L18-L16)</f>
        <v>20694.1474993586</v>
      </c>
      <c r="M20" s="720" t="n">
        <f aca="false">IF(M3&gt;'Project Assumtions'!$I$15+1,0,M6+M7+M8-M9+M10+M11-M12-M13-M17-M18-M16)</f>
        <v>19271.5716060654</v>
      </c>
      <c r="N20" s="720" t="n">
        <f aca="false">IF(N3&gt;'Project Assumtions'!$I$15+1,0,N6+N7+N8-N9+N10+N11-N12-N13-N17-N18-N16)</f>
        <v>29609.9444668249</v>
      </c>
      <c r="O20" s="720" t="n">
        <f aca="false">IF(O3&gt;'Project Assumtions'!$I$15+1,0,O6+O7+O8-O9+O10+O11-O12-O13-O17-O18-O16)</f>
        <v>29554.8019275439</v>
      </c>
      <c r="P20" s="720" t="n">
        <f aca="false">IF(P3&gt;'Project Assumtions'!$I$15+1,0,P6+P7+P8-P9+P10+P11-P12-P13-P17-P18-P16)</f>
        <v>30023.9698774528</v>
      </c>
      <c r="Q20" s="720" t="n">
        <f aca="false">IF(Q3&gt;'Project Assumtions'!$I$15+1,0,Q6+Q7+Q8-Q9+Q10+Q11-Q12-Q13-Q17-Q18-Q16)</f>
        <v>29868.1338036681</v>
      </c>
      <c r="R20" s="720" t="n">
        <f aca="false">IF(R3&gt;'Project Assumtions'!$I$15+1,0,R6+R7+R8-R9+R10+R11-R12-R13-R17-R18-R16)</f>
        <v>30455.8509067655</v>
      </c>
      <c r="S20" s="720" t="n">
        <f aca="false">IF(S3&gt;'Project Assumtions'!$I$15+1,0,S6+S7+S8-S9+S10+S11-S12-S13-S17-S18-S16)</f>
        <v>31029.1198440547</v>
      </c>
      <c r="T20" s="720" t="n">
        <f aca="false">IF(T3&gt;'Project Assumtions'!$I$15+1,0,T6+T7+T8-T9+T10+T11-T12-T13-T17-T18-T16)</f>
        <v>28330.9391340284</v>
      </c>
      <c r="U20" s="720" t="n">
        <f aca="false">IF(U3&gt;'Project Assumtions'!$I$15+1,0,U6+U7+U8-U9+U10+U11-U12-U13-U17-U18-U16)</f>
        <v>27835.7769669629</v>
      </c>
      <c r="V20" s="720" t="n">
        <f aca="false">IF(V3&gt;'Project Assumtions'!$I$15+1,0,V6+V7+V8-V9+V10+V11-V12-V13-V17-V18-V16)</f>
        <v>26777.8889688106</v>
      </c>
      <c r="W20" s="720" t="n">
        <f aca="false">IF(W3&gt;'Project Assumtions'!$I$15+1,0,W6+W7+W8-W9+W10+W11-W12-W13-W17-W18-W16)</f>
        <v>25580.6558731629</v>
      </c>
      <c r="X20" s="720" t="n">
        <f aca="false">IF(X3&gt;'Project Assumtions'!$I$15+1,0,X6+X7+X8-X9+X10+X11-X12-X13-X17-X18-X16)</f>
        <v>13693.1326211776</v>
      </c>
      <c r="Y20" s="720" t="n">
        <f aca="false">IF(Y3&gt;'Project Assumtions'!$I$15+1,0,Y6+Y7+Y8-Y9+Y10+Y11-Y12-Y13-Y17-Y18-Y16)</f>
        <v>0</v>
      </c>
      <c r="Z20" s="720" t="n">
        <f aca="false">IF(Z3&gt;'Project Assumtions'!$I$15+1,0,Z6+Z7+Z8-Z9+Z10+Z11-Z12-Z13-Z17-Z18-Z16)</f>
        <v>0</v>
      </c>
      <c r="AA20" s="720" t="n">
        <f aca="false">IF(AA3&gt;'Project Assumtions'!$I$15+1,0,AA6+AA7+AA8-AA9+AA10+AA11-AA12-AA13-AA17-AA18-AA16)</f>
        <v>0</v>
      </c>
      <c r="AB20" s="721" t="n">
        <f aca="false">IF(AB3&gt;'Project Assumtions'!$I$15+1,0,AB6+AB7+AB8-AB9+AB10+AB11-AB12-AB13-AB17-AB18-AB16)</f>
        <v>0</v>
      </c>
      <c r="AC20" s="718"/>
      <c r="AD20" s="718"/>
      <c r="AF20" s="722"/>
      <c r="AP20" s="724"/>
      <c r="AQ20" s="724"/>
      <c r="AR20" s="724"/>
      <c r="AS20" s="724"/>
      <c r="AU20" s="722"/>
    </row>
    <row r="21" customFormat="false" ht="12.6" hidden="false" customHeight="true" outlineLevel="0" collapsed="false">
      <c r="A21" s="403" t="s">
        <v>555</v>
      </c>
      <c r="B21" s="507"/>
      <c r="C21" s="734"/>
      <c r="D21" s="505" t="n">
        <f aca="false">'Tax Calculations'!D40+'Tax Calculations'!D55</f>
        <v>188.340226</v>
      </c>
      <c r="E21" s="505" t="n">
        <f aca="false">'Tax Calculations'!E40+'Tax Calculations'!E55</f>
        <v>305.53364568</v>
      </c>
      <c r="F21" s="505" t="n">
        <f aca="false">'Tax Calculations'!F40+'Tax Calculations'!F55</f>
        <v>306.5780550504</v>
      </c>
      <c r="G21" s="505" t="n">
        <f aca="false">'Tax Calculations'!G40+'Tax Calculations'!G55</f>
        <v>485.226649432723</v>
      </c>
      <c r="H21" s="505" t="n">
        <f aca="false">'Tax Calculations'!H40+'Tax Calculations'!H55</f>
        <v>3861.90854698388</v>
      </c>
      <c r="I21" s="505" t="n">
        <f aca="false">'Tax Calculations'!I40+'Tax Calculations'!I55</f>
        <v>7186.5813870831</v>
      </c>
      <c r="J21" s="505" t="n">
        <f aca="false">'Tax Calculations'!J40+'Tax Calculations'!J55</f>
        <v>7726.9559536983</v>
      </c>
      <c r="K21" s="505" t="n">
        <f aca="false">'Tax Calculations'!K40+'Tax Calculations'!K55</f>
        <v>8017.01744698279</v>
      </c>
      <c r="L21" s="505" t="n">
        <f aca="false">'Tax Calculations'!L40+'Tax Calculations'!L55</f>
        <v>8332.27330980254</v>
      </c>
      <c r="M21" s="505" t="n">
        <f aca="false">'Tax Calculations'!M40+'Tax Calculations'!M55</f>
        <v>8773.00249363653</v>
      </c>
      <c r="N21" s="505" t="n">
        <f aca="false">'Tax Calculations'!N40+'Tax Calculations'!N55</f>
        <v>9297.73814957136</v>
      </c>
      <c r="O21" s="505" t="n">
        <f aca="false">'Tax Calculations'!O40+'Tax Calculations'!O55</f>
        <v>9462.12078756367</v>
      </c>
      <c r="P21" s="505" t="n">
        <f aca="false">'Tax Calculations'!P40+'Tax Calculations'!P55</f>
        <v>9723.12217218295</v>
      </c>
      <c r="Q21" s="505" t="n">
        <f aca="false">'Tax Calculations'!Q40+'Tax Calculations'!Q55</f>
        <v>9654.59573417486</v>
      </c>
      <c r="R21" s="505" t="n">
        <f aca="false">'Tax Calculations'!R40+'Tax Calculations'!R55</f>
        <v>9896.45762329762</v>
      </c>
      <c r="S21" s="505" t="n">
        <f aca="false">'Tax Calculations'!S40+'Tax Calculations'!S55</f>
        <v>11891.119900693</v>
      </c>
      <c r="T21" s="505" t="n">
        <f aca="false">'Tax Calculations'!T40+'Tax Calculations'!T55</f>
        <v>13879.5193899493</v>
      </c>
      <c r="U21" s="505" t="n">
        <f aca="false">'Tax Calculations'!U40+'Tax Calculations'!U55</f>
        <v>14203.479465322</v>
      </c>
      <c r="V21" s="505" t="n">
        <f aca="false">'Tax Calculations'!V40+'Tax Calculations'!V55</f>
        <v>14562.9362339502</v>
      </c>
      <c r="W21" s="505" t="n">
        <f aca="false">'Tax Calculations'!W40+'Tax Calculations'!W55</f>
        <v>14605.1201421364</v>
      </c>
      <c r="X21" s="505" t="n">
        <f aca="false">'Tax Calculations'!X40+'Tax Calculations'!X55</f>
        <v>4990.64456122518</v>
      </c>
      <c r="Y21" s="505" t="n">
        <f aca="false">'Tax Calculations'!Y40+'Tax Calculations'!Y55</f>
        <v>0</v>
      </c>
      <c r="Z21" s="505" t="n">
        <f aca="false">'Tax Calculations'!Z40+'Tax Calculations'!Z55</f>
        <v>0</v>
      </c>
      <c r="AA21" s="505" t="n">
        <f aca="false">'Tax Calculations'!AA40+'Tax Calculations'!AA55</f>
        <v>0</v>
      </c>
      <c r="AB21" s="506" t="n">
        <f aca="false">'Tax Calculations'!AB40+'Tax Calculations'!AB55</f>
        <v>0</v>
      </c>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c r="IW21" s="32"/>
    </row>
    <row r="22" customFormat="false" ht="12.6" hidden="false" customHeight="true" outlineLevel="0" collapsed="false">
      <c r="A22" s="735" t="s">
        <v>11</v>
      </c>
      <c r="B22" s="656"/>
      <c r="C22" s="736" t="n">
        <f aca="false">C20-C21</f>
        <v>905290.298134342</v>
      </c>
      <c r="D22" s="737" t="n">
        <f aca="false">IF(D3&gt;'Project Assumtions'!$I$15+1,0,D20-D21)</f>
        <v>-2224.28540815442</v>
      </c>
      <c r="E22" s="737" t="n">
        <f aca="false">IF(E3&gt;'Project Assumtions'!$I$15+1,0,E20-E21)</f>
        <v>6094.68439238929</v>
      </c>
      <c r="F22" s="737" t="n">
        <f aca="false">IF(F3&gt;'Project Assumtions'!$I$15+1,0,F20-F21)</f>
        <v>4682.16682531454</v>
      </c>
      <c r="G22" s="737" t="n">
        <f aca="false">IF(G3&gt;'Project Assumtions'!$I$15+1,0,G20-G21)</f>
        <v>10491.52086977</v>
      </c>
      <c r="H22" s="737" t="n">
        <f aca="false">IF(H3&gt;'Project Assumtions'!$I$15+1,0,H20-H21)</f>
        <v>17513.4716832123</v>
      </c>
      <c r="I22" s="737" t="n">
        <f aca="false">IF(I3&gt;'Project Assumtions'!$I$15+1,0,I20-I21)</f>
        <v>15532.5517179437</v>
      </c>
      <c r="J22" s="737" t="n">
        <f aca="false">IF(J3&gt;'Project Assumtions'!$I$15+1,0,J20-J21)</f>
        <v>15094.3569718763</v>
      </c>
      <c r="K22" s="737" t="n">
        <f aca="false">IF(K3&gt;'Project Assumtions'!$I$15+1,0,K20-K21)</f>
        <v>15563.8056243121</v>
      </c>
      <c r="L22" s="737" t="n">
        <f aca="false">IF(L3&gt;'Project Assumtions'!$I$15+1,0,L20-L21)</f>
        <v>12361.8741895561</v>
      </c>
      <c r="M22" s="737" t="n">
        <f aca="false">IF(M3&gt;'Project Assumtions'!$I$15+1,0,M20-M21)</f>
        <v>10498.5691124288</v>
      </c>
      <c r="N22" s="737" t="n">
        <f aca="false">IF(N3&gt;'Project Assumtions'!$I$15+1,0,N20-N21)</f>
        <v>20312.2063172535</v>
      </c>
      <c r="O22" s="737" t="n">
        <f aca="false">IF(O3&gt;'Project Assumtions'!$I$15+1,0,O20-O21)</f>
        <v>20092.6811399803</v>
      </c>
      <c r="P22" s="737" t="n">
        <f aca="false">IF(P3&gt;'Project Assumtions'!$I$15+1,0,P20-P21)</f>
        <v>20300.8477052698</v>
      </c>
      <c r="Q22" s="737" t="n">
        <f aca="false">IF(Q3&gt;'Project Assumtions'!$I$15+1,0,Q20-Q21)</f>
        <v>20213.5380694933</v>
      </c>
      <c r="R22" s="737" t="n">
        <f aca="false">IF(R3&gt;'Project Assumtions'!$I$15+1,0,R20-R21)</f>
        <v>20559.3932834679</v>
      </c>
      <c r="S22" s="737" t="n">
        <f aca="false">IF(S3&gt;'Project Assumtions'!$I$15+1,0,S20-S21)</f>
        <v>19137.9999433617</v>
      </c>
      <c r="T22" s="737" t="n">
        <f aca="false">IF(T3&gt;'Project Assumtions'!$I$15+1,0,T20-T21)</f>
        <v>14451.419744079</v>
      </c>
      <c r="U22" s="737" t="n">
        <f aca="false">IF(U3&gt;'Project Assumtions'!$I$15+1,0,U20-U21)</f>
        <v>13632.2975016409</v>
      </c>
      <c r="V22" s="737" t="n">
        <f aca="false">IF(V3&gt;'Project Assumtions'!$I$15+1,0,V20-V21)</f>
        <v>12214.9527348604</v>
      </c>
      <c r="W22" s="737" t="n">
        <f aca="false">IF(W3&gt;'Project Assumtions'!$I$15+1,0,W20-W21)</f>
        <v>10975.5357310265</v>
      </c>
      <c r="X22" s="737" t="n">
        <f aca="false">IF(X3&gt;'Project Assumtions'!$I$15+1,0,X20-X21)</f>
        <v>8702.4880599524</v>
      </c>
      <c r="Y22" s="737" t="n">
        <f aca="false">IF(Y3&gt;'Project Assumtions'!$I$15+1,0,Y20-Y21)</f>
        <v>0</v>
      </c>
      <c r="Z22" s="737" t="n">
        <f aca="false">IF(Z3&gt;'Project Assumtions'!$I$15+1,0,Z20-Z21)</f>
        <v>0</v>
      </c>
      <c r="AA22" s="737" t="n">
        <f aca="false">IF(AA3&gt;'Project Assumtions'!$I$15+1,0,AA20-AA21)</f>
        <v>0</v>
      </c>
      <c r="AB22" s="738" t="n">
        <f aca="false">IF(AB3&gt;'Project Assumtions'!$I$15+1,0,AB20-AB21)</f>
        <v>0</v>
      </c>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row>
    <row r="23" customFormat="false" ht="12.6" hidden="false" customHeight="true" outlineLevel="0" collapsed="false">
      <c r="A23" s="507"/>
      <c r="B23" s="507"/>
      <c r="C23" s="507"/>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c r="IW23" s="32"/>
    </row>
    <row r="25" customFormat="false" ht="12.6" hidden="false" customHeight="true" outlineLevel="0" collapsed="false">
      <c r="A25" s="739" t="s">
        <v>271</v>
      </c>
      <c r="B25" s="374"/>
      <c r="C25" s="374"/>
      <c r="D25" s="740"/>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511"/>
    </row>
    <row r="26" customFormat="false" ht="12.6" hidden="false" customHeight="true" outlineLevel="0" collapsed="false">
      <c r="A26" s="403"/>
      <c r="B26" s="620"/>
      <c r="C26" s="378"/>
      <c r="D26" s="741"/>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408"/>
    </row>
    <row r="27" customFormat="false" ht="12.6" hidden="false" customHeight="true" outlineLevel="0" collapsed="false">
      <c r="A27" s="403" t="s">
        <v>556</v>
      </c>
      <c r="B27" s="620"/>
      <c r="C27" s="378"/>
      <c r="D27" s="395" t="n">
        <f aca="false">+IF(OR(AND(D3&gt;'Project Assumtions'!$I$51,D30=0),'Project Assumtions'!$I$51=0),0,IF(D22&gt;0,D22,0))</f>
        <v>0</v>
      </c>
      <c r="E27" s="395" t="n">
        <f aca="false">+IF(OR(AND(E3&gt;'Project Assumtions'!$I$51,E30=0),'Project Assumtions'!$I$51=0),0,IF(E22&gt;0,E22,0))</f>
        <v>0</v>
      </c>
      <c r="F27" s="395" t="n">
        <f aca="false">+IF(OR(AND(F3&gt;'Project Assumtions'!$I$51,F30=0),'Project Assumtions'!$I$51=0),0,IF(F22&gt;0,F22,0))</f>
        <v>0</v>
      </c>
      <c r="G27" s="395" t="n">
        <f aca="false">+IF(OR(AND(G3&gt;'Project Assumtions'!$I$51,G30=0),'Project Assumtions'!$I$51=0),0,IF(G22&gt;0,G22,0))</f>
        <v>0</v>
      </c>
      <c r="H27" s="395" t="n">
        <f aca="false">+IF(OR(AND(H3&gt;'Project Assumtions'!$I$51,H30=0),'Project Assumtions'!$I$51=0),0,IF(H22&gt;0,H22,0))</f>
        <v>0</v>
      </c>
      <c r="I27" s="395" t="n">
        <f aca="false">+IF(OR(AND(I3&gt;'Project Assumtions'!$I$51,I30=0),'Project Assumtions'!$I$51=0),0,IF(I22&gt;0,I22,0))</f>
        <v>0</v>
      </c>
      <c r="J27" s="395" t="n">
        <f aca="false">+IF(OR(AND(J3&gt;'Project Assumtions'!$I$51,J30=0),'Project Assumtions'!$I$51=0),0,IF(J22&gt;0,J22,0))</f>
        <v>0</v>
      </c>
      <c r="K27" s="395" t="n">
        <f aca="false">+IF(OR(AND(K3&gt;'Project Assumtions'!$I$51,K30=0),'Project Assumtions'!$I$51=0),0,IF(K22&gt;0,K22,0))</f>
        <v>0</v>
      </c>
      <c r="L27" s="395" t="n">
        <f aca="false">+IF(OR(AND(L3&gt;'Project Assumtions'!$I$51,L30=0),'Project Assumtions'!$I$51=0),0,IF(L22&gt;0,L22,0))</f>
        <v>0</v>
      </c>
      <c r="M27" s="395" t="n">
        <f aca="false">+IF(OR(AND(M3&gt;'Project Assumtions'!$I$51,M30=0),'Project Assumtions'!$I$51=0),0,IF(M22&gt;0,M22,0))</f>
        <v>0</v>
      </c>
      <c r="N27" s="395" t="n">
        <f aca="false">+IF(OR(AND(N3&gt;'Project Assumtions'!$I$51,N30=0),'Project Assumtions'!$I$51=0),0,IF(N22&gt;0,N22,0))</f>
        <v>0</v>
      </c>
      <c r="O27" s="395" t="n">
        <f aca="false">+IF(OR(AND(O3&gt;'Project Assumtions'!$I$51,O30=0),'Project Assumtions'!$I$51=0),0,IF(O22&gt;0,O22,0))</f>
        <v>0</v>
      </c>
      <c r="P27" s="395" t="n">
        <f aca="false">+IF(OR(AND(P3&gt;'Project Assumtions'!$I$51,P30=0),'Project Assumtions'!$I$51=0),0,IF(P22&gt;0,P22,0))</f>
        <v>0</v>
      </c>
      <c r="Q27" s="395" t="n">
        <f aca="false">+IF(OR(AND(Q3&gt;'Project Assumtions'!$I$51,Q30=0),'Project Assumtions'!$I$51=0),0,IF(Q22&gt;0,Q22,0))</f>
        <v>0</v>
      </c>
      <c r="R27" s="395" t="n">
        <f aca="false">+IF(OR(AND(R3&gt;'Project Assumtions'!$I$51,R30=0),'Project Assumtions'!$I$51=0),0,IF(R22&gt;0,R22,0))</f>
        <v>0</v>
      </c>
      <c r="S27" s="395" t="n">
        <f aca="false">+IF(OR(AND(S3&gt;'Project Assumtions'!$I$51,S30=0),'Project Assumtions'!$I$51=0),0,IF(S22&gt;0,S22,0))</f>
        <v>0</v>
      </c>
      <c r="T27" s="395" t="n">
        <f aca="false">+IF(OR(AND(T3&gt;'Project Assumtions'!$I$51,T30=0),'Project Assumtions'!$I$51=0),0,IF(T22&gt;0,T22,0))</f>
        <v>0</v>
      </c>
      <c r="U27" s="395" t="n">
        <f aca="false">+IF(OR(AND(U3&gt;'Project Assumtions'!$I$51,U30=0),'Project Assumtions'!$I$51=0),0,IF(U22&gt;0,U22,0))</f>
        <v>0</v>
      </c>
      <c r="V27" s="395" t="n">
        <f aca="false">+IF(OR(AND(V3&gt;'Project Assumtions'!$I$51,V30=0),'Project Assumtions'!$I$51=0),0,IF(V22&gt;0,V22,0))</f>
        <v>0</v>
      </c>
      <c r="W27" s="395" t="n">
        <f aca="false">+IF(OR(AND(W3&gt;'Project Assumtions'!$I$51,W30=0),'Project Assumtions'!$I$51=0),0,IF(W22&gt;0,W22,0))</f>
        <v>0</v>
      </c>
      <c r="X27" s="395" t="n">
        <f aca="false">+IF(OR(AND(X3&gt;'Project Assumtions'!$I$51,X30=0),'Project Assumtions'!$I$51=0),0,IF(X22&gt;0,X22,0))</f>
        <v>0</v>
      </c>
      <c r="Y27" s="395" t="n">
        <f aca="false">+IF(OR(AND(Y3&gt;'Project Assumtions'!$I$51,Y30=0),'Project Assumtions'!$I$51=0),0,IF(Y22&gt;0,Y22,0))</f>
        <v>0</v>
      </c>
      <c r="Z27" s="395" t="n">
        <f aca="false">+IF(OR(AND(Z3&gt;'Project Assumtions'!$I$51,Z30=0),'Project Assumtions'!$I$51=0),0,IF(Z22&gt;0,Z22,0))</f>
        <v>0</v>
      </c>
      <c r="AA27" s="395" t="n">
        <f aca="false">+IF(OR(AND(AA3&gt;'Project Assumtions'!$I$51,AA30=0),'Project Assumtions'!$I$51=0),0,IF(AA22&gt;0,AA22,0))</f>
        <v>0</v>
      </c>
      <c r="AB27" s="742" t="n">
        <f aca="false">+IF(OR(AND(AB3&gt;'Project Assumtions'!$I$51,AB30=0),'Project Assumtions'!$I$51=0),0,IF(AB22&gt;0,AB22,0))</f>
        <v>0</v>
      </c>
    </row>
    <row r="28" customFormat="false" ht="12.6" hidden="false" customHeight="true" outlineLevel="0" collapsed="false">
      <c r="A28" s="403" t="s">
        <v>447</v>
      </c>
      <c r="B28" s="743"/>
      <c r="C28" s="378"/>
      <c r="D28" s="744" t="n">
        <f aca="false">IF('Project Assumtions'!$I$51=0,0,+'Project Assumtions'!$I$53)</f>
        <v>0</v>
      </c>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408"/>
    </row>
    <row r="29" customFormat="false" ht="12.6" hidden="false" customHeight="true" outlineLevel="0" collapsed="false">
      <c r="A29" s="403" t="s">
        <v>557</v>
      </c>
      <c r="B29" s="620"/>
      <c r="C29" s="378"/>
      <c r="D29" s="720" t="n">
        <f aca="false">D28*'Project Assumtions'!$I$52</f>
        <v>0</v>
      </c>
      <c r="E29" s="720" t="n">
        <f aca="false">+D32*'Project Assumtions'!$I$52</f>
        <v>0</v>
      </c>
      <c r="F29" s="720" t="n">
        <f aca="false">+E32*'Project Assumtions'!$I$52</f>
        <v>0</v>
      </c>
      <c r="G29" s="720" t="n">
        <f aca="false">+F32*'Project Assumtions'!$I$52</f>
        <v>0</v>
      </c>
      <c r="H29" s="720" t="n">
        <f aca="false">+G32*'Project Assumtions'!$I$52</f>
        <v>0</v>
      </c>
      <c r="I29" s="720" t="n">
        <f aca="false">+H32*'Project Assumtions'!$I$52</f>
        <v>0</v>
      </c>
      <c r="J29" s="720" t="n">
        <f aca="false">+I32*'Project Assumtions'!$I$52</f>
        <v>0</v>
      </c>
      <c r="K29" s="720" t="n">
        <f aca="false">+J32*'Project Assumtions'!$I$52</f>
        <v>0</v>
      </c>
      <c r="L29" s="720" t="n">
        <f aca="false">+K32*'Project Assumtions'!$I$52</f>
        <v>0</v>
      </c>
      <c r="M29" s="720" t="n">
        <f aca="false">+L32*'Project Assumtions'!$I$52</f>
        <v>0</v>
      </c>
      <c r="N29" s="720" t="n">
        <f aca="false">+M32*'Project Assumtions'!$I$52</f>
        <v>0</v>
      </c>
      <c r="O29" s="720" t="n">
        <f aca="false">+N32*'Project Assumtions'!$I$52</f>
        <v>0</v>
      </c>
      <c r="P29" s="720" t="n">
        <f aca="false">+O32*'Project Assumtions'!$I$52</f>
        <v>0</v>
      </c>
      <c r="Q29" s="720" t="n">
        <f aca="false">+P32*'Project Assumtions'!$I$52</f>
        <v>0</v>
      </c>
      <c r="R29" s="720" t="n">
        <f aca="false">+Q32*'Project Assumtions'!$I$52</f>
        <v>0</v>
      </c>
      <c r="S29" s="720" t="n">
        <f aca="false">+R32*'Project Assumtions'!$I$52</f>
        <v>0</v>
      </c>
      <c r="T29" s="720" t="n">
        <f aca="false">+S32*'Project Assumtions'!$I$52</f>
        <v>0</v>
      </c>
      <c r="U29" s="720" t="n">
        <f aca="false">+T32*'Project Assumtions'!$I$52</f>
        <v>0</v>
      </c>
      <c r="V29" s="720" t="n">
        <f aca="false">+U32*'Project Assumtions'!$I$52</f>
        <v>0</v>
      </c>
      <c r="W29" s="720" t="n">
        <f aca="false">+V32*'Project Assumtions'!$I$52</f>
        <v>0</v>
      </c>
      <c r="X29" s="720" t="n">
        <f aca="false">+W32*'Project Assumtions'!$I$52</f>
        <v>0</v>
      </c>
      <c r="Y29" s="720" t="n">
        <f aca="false">+X32*'Project Assumtions'!$I$52</f>
        <v>0</v>
      </c>
      <c r="Z29" s="720" t="n">
        <f aca="false">+Y32*'Project Assumtions'!$I$52</f>
        <v>0</v>
      </c>
      <c r="AA29" s="720" t="n">
        <f aca="false">+Z32*'Project Assumtions'!$I$52</f>
        <v>0</v>
      </c>
      <c r="AB29" s="721" t="n">
        <f aca="false">+AA32*'Project Assumtions'!$I$52</f>
        <v>0</v>
      </c>
    </row>
    <row r="30" customFormat="false" ht="12.6" hidden="false" customHeight="true" outlineLevel="0" collapsed="false">
      <c r="A30" s="403" t="s">
        <v>558</v>
      </c>
      <c r="B30" s="620"/>
      <c r="C30" s="633" t="n">
        <v>0</v>
      </c>
      <c r="D30" s="744" t="n">
        <f aca="false">+C30+D29</f>
        <v>0</v>
      </c>
      <c r="E30" s="745" t="n">
        <f aca="false">+D30-D31+E29</f>
        <v>0</v>
      </c>
      <c r="F30" s="745" t="n">
        <f aca="false">+E30-E31+F29</f>
        <v>0</v>
      </c>
      <c r="G30" s="745" t="n">
        <f aca="false">+F30-F31+G29</f>
        <v>0</v>
      </c>
      <c r="H30" s="745" t="n">
        <f aca="false">+G30-G31+H29</f>
        <v>0</v>
      </c>
      <c r="I30" s="745" t="n">
        <f aca="false">+H30-H31+I29</f>
        <v>0</v>
      </c>
      <c r="J30" s="745" t="n">
        <f aca="false">+I30-I31+J29</f>
        <v>0</v>
      </c>
      <c r="K30" s="745" t="n">
        <f aca="false">+J30-J31+K29</f>
        <v>0</v>
      </c>
      <c r="L30" s="745" t="n">
        <f aca="false">+K30-K31+L29</f>
        <v>0</v>
      </c>
      <c r="M30" s="745" t="n">
        <f aca="false">+L30-L31+M29</f>
        <v>0</v>
      </c>
      <c r="N30" s="745" t="n">
        <f aca="false">+M30-M31+N29</f>
        <v>0</v>
      </c>
      <c r="O30" s="745" t="n">
        <f aca="false">+N30-N31+O29</f>
        <v>0</v>
      </c>
      <c r="P30" s="745" t="n">
        <f aca="false">+O30-O31+P29</f>
        <v>0</v>
      </c>
      <c r="Q30" s="745" t="n">
        <f aca="false">+P30-P31+Q29</f>
        <v>0</v>
      </c>
      <c r="R30" s="745" t="n">
        <f aca="false">+Q30-Q31+R29</f>
        <v>0</v>
      </c>
      <c r="S30" s="745" t="n">
        <f aca="false">+R30-R31+S29</f>
        <v>0</v>
      </c>
      <c r="T30" s="745" t="n">
        <f aca="false">+S30-S31+T29</f>
        <v>0</v>
      </c>
      <c r="U30" s="745" t="n">
        <f aca="false">+T30-T31+U29</f>
        <v>0</v>
      </c>
      <c r="V30" s="745" t="n">
        <f aca="false">+U30-U31+V29</f>
        <v>0</v>
      </c>
      <c r="W30" s="745" t="n">
        <f aca="false">+V30-V31+W29</f>
        <v>0</v>
      </c>
      <c r="X30" s="745" t="n">
        <f aca="false">+W30-W31+X29</f>
        <v>0</v>
      </c>
      <c r="Y30" s="745" t="n">
        <f aca="false">+X30-X31+Y29</f>
        <v>0</v>
      </c>
      <c r="Z30" s="745" t="n">
        <f aca="false">+Y30-Y31+Z29</f>
        <v>0</v>
      </c>
      <c r="AA30" s="745" t="n">
        <f aca="false">+Z30-Z31+AA29</f>
        <v>0</v>
      </c>
      <c r="AB30" s="746" t="n">
        <f aca="false">+AA30-AA31+AB29</f>
        <v>0</v>
      </c>
    </row>
    <row r="31" customFormat="false" ht="12.6" hidden="false" customHeight="true" outlineLevel="0" collapsed="false">
      <c r="A31" s="403" t="s">
        <v>559</v>
      </c>
      <c r="B31" s="378"/>
      <c r="C31" s="378"/>
      <c r="D31" s="507" t="n">
        <f aca="false">+IF(D27&gt;D30,D30,D27)</f>
        <v>0</v>
      </c>
      <c r="E31" s="507" t="n">
        <f aca="false">+IF(E27&gt;E30,E30,E27)</f>
        <v>0</v>
      </c>
      <c r="F31" s="507" t="n">
        <f aca="false">+IF(F27&gt;F30,F30,F27)</f>
        <v>0</v>
      </c>
      <c r="G31" s="507" t="n">
        <f aca="false">+IF(G27&gt;G30,G30,G27)</f>
        <v>0</v>
      </c>
      <c r="H31" s="507" t="n">
        <f aca="false">+IF(H27&gt;H30,H30,H27)</f>
        <v>0</v>
      </c>
      <c r="I31" s="507" t="n">
        <f aca="false">+IF(I27&gt;I30,I30,I27)</f>
        <v>0</v>
      </c>
      <c r="J31" s="507" t="n">
        <f aca="false">+IF(J27&gt;J30,J30,J27)</f>
        <v>0</v>
      </c>
      <c r="K31" s="507" t="n">
        <f aca="false">+IF(K27&gt;K30,K30,K27)</f>
        <v>0</v>
      </c>
      <c r="L31" s="507" t="n">
        <f aca="false">+IF(L27&gt;L30,L30,L27)</f>
        <v>0</v>
      </c>
      <c r="M31" s="507" t="n">
        <f aca="false">+IF(M27&gt;M30,M30,M27)</f>
        <v>0</v>
      </c>
      <c r="N31" s="507" t="n">
        <f aca="false">+IF(N27&gt;N30,N30,N27)</f>
        <v>0</v>
      </c>
      <c r="O31" s="507" t="n">
        <f aca="false">+IF(O27&gt;O30,O30,O27)</f>
        <v>0</v>
      </c>
      <c r="P31" s="507" t="n">
        <f aca="false">+IF(P27&gt;P30,P30,P27)</f>
        <v>0</v>
      </c>
      <c r="Q31" s="507" t="n">
        <f aca="false">+IF(Q27&gt;Q30,Q30,Q27)</f>
        <v>0</v>
      </c>
      <c r="R31" s="507" t="n">
        <f aca="false">+IF(R27&gt;R30,R30,R27)</f>
        <v>0</v>
      </c>
      <c r="S31" s="507" t="n">
        <f aca="false">+IF(S27&gt;S30,S30,S27)</f>
        <v>0</v>
      </c>
      <c r="T31" s="507" t="n">
        <f aca="false">+IF(T27&gt;T30,T30,T27)</f>
        <v>0</v>
      </c>
      <c r="U31" s="507" t="n">
        <f aca="false">+IF(U27&gt;U30,U30,U27)</f>
        <v>0</v>
      </c>
      <c r="V31" s="507" t="n">
        <f aca="false">+IF(V27&gt;V30,V30,V27)</f>
        <v>0</v>
      </c>
      <c r="W31" s="507" t="n">
        <f aca="false">+IF(W27&gt;W30,W30,W27)</f>
        <v>0</v>
      </c>
      <c r="X31" s="507" t="n">
        <f aca="false">+IF(X27&gt;X30,X30,X27)</f>
        <v>0</v>
      </c>
      <c r="Y31" s="507" t="n">
        <f aca="false">+IF(Y27&gt;Y30,Y30,Y27)</f>
        <v>0</v>
      </c>
      <c r="Z31" s="507" t="n">
        <f aca="false">+IF(Z27&gt;Z30,Z30,Z27)</f>
        <v>0</v>
      </c>
      <c r="AA31" s="507" t="n">
        <f aca="false">+IF(AA27&gt;AA30,AA30,AA27)</f>
        <v>0</v>
      </c>
      <c r="AB31" s="723" t="n">
        <f aca="false">+IF(AB27&gt;AB30,AB30,AB27)</f>
        <v>0</v>
      </c>
    </row>
    <row r="32" customFormat="false" ht="12.6" hidden="false" customHeight="true" outlineLevel="0" collapsed="false">
      <c r="A32" s="403" t="s">
        <v>560</v>
      </c>
      <c r="B32" s="378"/>
      <c r="C32" s="378"/>
      <c r="D32" s="745" t="n">
        <f aca="false">+IF(D3&lt;'Project Assumtions'!$I$51,'Project Assumtions'!$I$53,0)</f>
        <v>0</v>
      </c>
      <c r="E32" s="745" t="n">
        <f aca="false">+IF(E3&lt;'Project Assumtions'!$I$51,D32,0)</f>
        <v>0</v>
      </c>
      <c r="F32" s="745" t="n">
        <f aca="false">+IF(F3&lt;'Project Assumtions'!$I$51,E32,0)</f>
        <v>0</v>
      </c>
      <c r="G32" s="745" t="n">
        <f aca="false">+IF(G3&lt;'Project Assumtions'!$I$51,F32,0)</f>
        <v>0</v>
      </c>
      <c r="H32" s="745" t="n">
        <f aca="false">+IF(H3&lt;'Project Assumtions'!$I$51,G32,0)</f>
        <v>0</v>
      </c>
      <c r="I32" s="745" t="n">
        <f aca="false">+IF(I3&lt;'Project Assumtions'!$I$51,H32,0)</f>
        <v>0</v>
      </c>
      <c r="J32" s="745" t="n">
        <f aca="false">+IF(J3&lt;'Project Assumtions'!$I$51,I32,0)</f>
        <v>0</v>
      </c>
      <c r="K32" s="745" t="n">
        <f aca="false">+IF(K3&lt;'Project Assumtions'!$I$51,J32,0)</f>
        <v>0</v>
      </c>
      <c r="L32" s="745" t="n">
        <f aca="false">+IF(L3&lt;'Project Assumtions'!$I$51,K32,0)</f>
        <v>0</v>
      </c>
      <c r="M32" s="745" t="n">
        <f aca="false">+IF(M3&lt;'Project Assumtions'!$I$51,L32,0)</f>
        <v>0</v>
      </c>
      <c r="N32" s="745" t="n">
        <f aca="false">+IF(N3&lt;'Project Assumtions'!$I$51,M32,0)</f>
        <v>0</v>
      </c>
      <c r="O32" s="745" t="n">
        <f aca="false">+IF(O3&lt;'Project Assumtions'!$I$51,N32,0)</f>
        <v>0</v>
      </c>
      <c r="P32" s="745" t="n">
        <f aca="false">+IF(P3&lt;'Project Assumtions'!$I$51,O32,0)</f>
        <v>0</v>
      </c>
      <c r="Q32" s="745" t="n">
        <f aca="false">+IF(Q3&lt;'Project Assumtions'!$I$51,P32,0)</f>
        <v>0</v>
      </c>
      <c r="R32" s="745" t="n">
        <f aca="false">+IF(R3&lt;'Project Assumtions'!$I$51,Q32,0)</f>
        <v>0</v>
      </c>
      <c r="S32" s="745" t="n">
        <f aca="false">+IF(S3&lt;'Project Assumtions'!$I$51,R32,0)</f>
        <v>0</v>
      </c>
      <c r="T32" s="745" t="n">
        <f aca="false">+IF(T3&lt;'Project Assumtions'!$I$51,S32,0)</f>
        <v>0</v>
      </c>
      <c r="U32" s="745" t="n">
        <f aca="false">+IF(U3&lt;'Project Assumtions'!$I$51,T32,0)</f>
        <v>0</v>
      </c>
      <c r="V32" s="745" t="n">
        <f aca="false">+IF(V3&lt;'Project Assumtions'!$I$51,U32,0)</f>
        <v>0</v>
      </c>
      <c r="W32" s="745" t="n">
        <f aca="false">+IF(W3&lt;'Project Assumtions'!$I$51,V32,0)</f>
        <v>0</v>
      </c>
      <c r="X32" s="745" t="n">
        <f aca="false">+IF(X3&lt;'Project Assumtions'!$I$51,W32,0)</f>
        <v>0</v>
      </c>
      <c r="Y32" s="745" t="n">
        <f aca="false">+IF(Y3&lt;'Project Assumtions'!$I$51,X32,0)</f>
        <v>0</v>
      </c>
      <c r="Z32" s="745" t="n">
        <f aca="false">+IF(Z3&lt;'Project Assumtions'!$I$51,Y32,0)</f>
        <v>0</v>
      </c>
      <c r="AA32" s="745" t="n">
        <f aca="false">+IF(AA3&lt;'Project Assumtions'!$I$51,Z32,0)</f>
        <v>0</v>
      </c>
      <c r="AB32" s="746" t="n">
        <f aca="false">+IF(AB3&lt;'Project Assumtions'!$I$51,AA32,0)</f>
        <v>0</v>
      </c>
    </row>
    <row r="33" customFormat="false" ht="12.6" hidden="false" customHeight="true" outlineLevel="0" collapsed="false">
      <c r="A33" s="403"/>
      <c r="B33" s="378"/>
      <c r="C33" s="378"/>
      <c r="D33" s="378"/>
      <c r="E33" s="378"/>
      <c r="F33" s="378"/>
      <c r="G33" s="378"/>
      <c r="H33" s="378"/>
      <c r="I33" s="378"/>
      <c r="J33" s="378"/>
      <c r="K33" s="378"/>
      <c r="L33" s="378"/>
      <c r="M33" s="378"/>
      <c r="N33" s="378"/>
      <c r="O33" s="378"/>
      <c r="P33" s="378"/>
      <c r="Q33" s="378"/>
      <c r="R33" s="378"/>
      <c r="S33" s="378"/>
      <c r="T33" s="378"/>
      <c r="U33" s="378"/>
      <c r="V33" s="378"/>
      <c r="W33" s="378"/>
      <c r="X33" s="378"/>
      <c r="Y33" s="378"/>
      <c r="Z33" s="378"/>
      <c r="AA33" s="378"/>
      <c r="AB33" s="408"/>
    </row>
    <row r="34" customFormat="false" ht="12.6" hidden="false" customHeight="true" outlineLevel="0" collapsed="false">
      <c r="A34" s="427" t="s">
        <v>561</v>
      </c>
      <c r="B34" s="378"/>
      <c r="C34" s="378"/>
      <c r="D34" s="378"/>
      <c r="E34" s="378"/>
      <c r="F34" s="378"/>
      <c r="G34" s="378"/>
      <c r="H34" s="378"/>
      <c r="I34" s="378"/>
      <c r="J34" s="378"/>
      <c r="K34" s="378"/>
      <c r="L34" s="378"/>
      <c r="M34" s="378"/>
      <c r="N34" s="378"/>
      <c r="O34" s="378"/>
      <c r="P34" s="378"/>
      <c r="Q34" s="378"/>
      <c r="R34" s="378"/>
      <c r="S34" s="378"/>
      <c r="T34" s="378"/>
      <c r="U34" s="378"/>
      <c r="V34" s="378"/>
      <c r="W34" s="378"/>
      <c r="X34" s="378"/>
      <c r="Y34" s="378"/>
      <c r="Z34" s="378"/>
      <c r="AA34" s="378"/>
      <c r="AB34" s="408"/>
    </row>
    <row r="35" customFormat="false" ht="12.6" hidden="false" customHeight="true" outlineLevel="0" collapsed="false">
      <c r="A35" s="403"/>
      <c r="B35" s="378"/>
      <c r="C35" s="378"/>
      <c r="D35" s="378"/>
      <c r="E35" s="378"/>
      <c r="F35" s="378"/>
      <c r="G35" s="378"/>
      <c r="H35" s="378"/>
      <c r="I35" s="378"/>
      <c r="J35" s="378"/>
      <c r="K35" s="378"/>
      <c r="L35" s="378"/>
      <c r="M35" s="378"/>
      <c r="N35" s="378"/>
      <c r="O35" s="378"/>
      <c r="P35" s="378"/>
      <c r="Q35" s="378"/>
      <c r="R35" s="378"/>
      <c r="S35" s="378"/>
      <c r="T35" s="378"/>
      <c r="U35" s="378"/>
      <c r="V35" s="378"/>
      <c r="W35" s="378"/>
      <c r="X35" s="378"/>
      <c r="Y35" s="378"/>
      <c r="Z35" s="378"/>
      <c r="AA35" s="378"/>
      <c r="AB35" s="408"/>
    </row>
    <row r="36" customFormat="false" ht="12.6" hidden="false" customHeight="true" outlineLevel="0" collapsed="false">
      <c r="A36" s="457" t="s">
        <v>562</v>
      </c>
      <c r="B36" s="630"/>
      <c r="C36" s="630"/>
      <c r="D36" s="747" t="n">
        <f aca="false">+D22-D31+(D32-'Project Assumtions'!$I$53)</f>
        <v>-2224.28540815442</v>
      </c>
      <c r="E36" s="748" t="n">
        <f aca="false">+E22-E31+(E32-D32)</f>
        <v>6094.68439238929</v>
      </c>
      <c r="F36" s="748" t="n">
        <f aca="false">+F22-F31+(F32-E32)</f>
        <v>4682.16682531454</v>
      </c>
      <c r="G36" s="748" t="n">
        <f aca="false">+G22-G31+(G32-F32)</f>
        <v>10491.52086977</v>
      </c>
      <c r="H36" s="748" t="n">
        <f aca="false">+H22-H31+(H32-G32)</f>
        <v>17513.4716832123</v>
      </c>
      <c r="I36" s="748" t="n">
        <f aca="false">+I22-I31+(I32-H32)</f>
        <v>15532.5517179437</v>
      </c>
      <c r="J36" s="748" t="n">
        <f aca="false">+J22-J31+(J32-I32)</f>
        <v>15094.3569718763</v>
      </c>
      <c r="K36" s="748" t="n">
        <f aca="false">+K22-K31+(K32-J32)</f>
        <v>15563.8056243121</v>
      </c>
      <c r="L36" s="748" t="n">
        <f aca="false">+L22-L31+(L32-K32)</f>
        <v>12361.8741895561</v>
      </c>
      <c r="M36" s="748" t="n">
        <f aca="false">+M22-M31+(M32-L32)</f>
        <v>10498.5691124288</v>
      </c>
      <c r="N36" s="748" t="n">
        <f aca="false">+N22-N31+(N32-M32)</f>
        <v>20312.2063172535</v>
      </c>
      <c r="O36" s="748" t="n">
        <f aca="false">+O22-O31+(O32-N32)</f>
        <v>20092.6811399803</v>
      </c>
      <c r="P36" s="748" t="n">
        <f aca="false">+P22-P31+(P32-O32)</f>
        <v>20300.8477052698</v>
      </c>
      <c r="Q36" s="748" t="n">
        <f aca="false">+Q22-Q31+(Q32-P32)</f>
        <v>20213.5380694933</v>
      </c>
      <c r="R36" s="748" t="n">
        <f aca="false">+R22-R31+(R32-Q32)</f>
        <v>20559.3932834679</v>
      </c>
      <c r="S36" s="748" t="n">
        <f aca="false">+S22-S31+(S32-R32)</f>
        <v>19137.9999433617</v>
      </c>
      <c r="T36" s="748" t="n">
        <f aca="false">+T22-T31+(T32-S32)</f>
        <v>14451.419744079</v>
      </c>
      <c r="U36" s="748" t="n">
        <f aca="false">+U22-U31+(U32-T32)</f>
        <v>13632.2975016409</v>
      </c>
      <c r="V36" s="748" t="n">
        <f aca="false">+V22-V31+(V32-U32)</f>
        <v>12214.9527348604</v>
      </c>
      <c r="W36" s="748" t="n">
        <f aca="false">+W22-W31+(W32-V32)</f>
        <v>10975.5357310265</v>
      </c>
      <c r="X36" s="748" t="n">
        <f aca="false">+X22-X31+(X32-W32)</f>
        <v>8702.4880599524</v>
      </c>
      <c r="Y36" s="748" t="n">
        <f aca="false">+Y22-Y31+(Y32-X32)</f>
        <v>0</v>
      </c>
      <c r="Z36" s="748" t="n">
        <f aca="false">+Z22-Z31+(Z32-Y32)</f>
        <v>0</v>
      </c>
      <c r="AA36" s="748" t="n">
        <f aca="false">+AA22-AA31+(AA32-Z32)</f>
        <v>0</v>
      </c>
      <c r="AB36" s="749" t="n">
        <f aca="false">+AB22-AB31+(AB32-AA32)</f>
        <v>0</v>
      </c>
    </row>
    <row r="38" customFormat="false" ht="12.6" hidden="false" customHeight="true" outlineLevel="0" collapsed="false">
      <c r="D38" s="507"/>
      <c r="E38" s="507"/>
      <c r="F38" s="507"/>
      <c r="G38" s="507"/>
      <c r="H38" s="507"/>
      <c r="I38" s="507"/>
      <c r="J38" s="507"/>
      <c r="K38" s="507"/>
      <c r="L38" s="507"/>
      <c r="M38" s="507"/>
      <c r="N38" s="507"/>
      <c r="O38" s="507"/>
      <c r="P38" s="507"/>
      <c r="Q38" s="507"/>
      <c r="R38" s="507"/>
      <c r="S38" s="507"/>
      <c r="T38" s="507"/>
      <c r="U38" s="507"/>
      <c r="V38" s="507"/>
      <c r="W38" s="507"/>
      <c r="X38" s="507"/>
      <c r="Y38" s="507"/>
      <c r="Z38" s="507"/>
      <c r="AA38" s="507"/>
      <c r="AB38" s="507"/>
    </row>
    <row r="39" customFormat="false" ht="12.6" hidden="false" customHeight="true" outlineLevel="0" collapsed="false">
      <c r="D39" s="750"/>
    </row>
    <row r="42" customFormat="false" ht="12.6" hidden="false" customHeight="true" outlineLevel="0" collapsed="false">
      <c r="AF42" s="722"/>
      <c r="AU42" s="722"/>
    </row>
    <row r="43" customFormat="false" ht="12.6" hidden="false" customHeight="true" outlineLevel="0" collapsed="false">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6" hidden="false" customHeight="true" outlineLevel="0" collapsed="false">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6" hidden="false" customHeight="true" outlineLevel="0" collapsed="false">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6" hidden="false" customHeight="true" outlineLevel="0" collapsed="false">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6" hidden="false" customHeight="true" outlineLevel="0" collapsed="false">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6" hidden="false" customHeight="true" outlineLevel="0" collapsed="false">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6" hidden="false" customHeight="true" outlineLevel="0" collapsed="false">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6" hidden="false" customHeight="true" outlineLevel="0" collapsed="false">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6" hidden="false" customHeight="true" outlineLevel="0" collapsed="false">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6" hidden="false" customHeight="true" outlineLevel="0" collapsed="false">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38"/>
  <sheetViews>
    <sheetView showFormulas="false" showGridLines="true" showRowColHeaders="true" showZeros="true" rightToLeft="false" tabSelected="false" showOutlineSymbols="true" defaultGridColor="true" view="normal" topLeftCell="A9" colorId="64" zoomScale="100" zoomScaleNormal="100" zoomScalePageLayoutView="100" workbookViewId="0">
      <selection pane="topLeft" activeCell="D34" activeCellId="0" sqref="D34"/>
    </sheetView>
  </sheetViews>
  <sheetFormatPr defaultColWidth="9.13671875" defaultRowHeight="12.75" customHeight="true" zeroHeight="false" outlineLevelRow="0" outlineLevelCol="0"/>
  <cols>
    <col collapsed="false" customWidth="false" hidden="false" outlineLevel="0" max="257" min="1" style="6" width="9.14"/>
  </cols>
  <sheetData>
    <row r="1" customFormat="false" ht="20.25" hidden="false" customHeight="false" outlineLevel="0" collapsed="false">
      <c r="A1" s="367" t="str">
        <f aca="false">'Project Assumtions'!$A$2</f>
        <v>WHEATLAND POWER IN, L.L.C.</v>
      </c>
      <c r="B1" s="478"/>
      <c r="C1" s="478"/>
      <c r="D1" s="478"/>
      <c r="E1" s="478"/>
      <c r="F1" s="368"/>
    </row>
    <row r="2" customFormat="false" ht="12.75" hidden="false" customHeight="false" outlineLevel="0" collapsed="false">
      <c r="A2" s="370" t="s">
        <v>563</v>
      </c>
      <c r="B2" s="479"/>
      <c r="C2" s="479"/>
      <c r="D2" s="479"/>
      <c r="E2" s="479"/>
      <c r="F2" s="371"/>
    </row>
    <row r="3" customFormat="false" ht="12.75" hidden="false" customHeight="false" outlineLevel="0" collapsed="false">
      <c r="D3" s="751" t="n">
        <f aca="false">'PPA Assumptions &amp;Summary'!C3</f>
        <v>1</v>
      </c>
      <c r="E3" s="751" t="n">
        <f aca="false">'PPA Assumptions &amp;Summary'!D3</f>
        <v>2</v>
      </c>
      <c r="F3" s="751" t="n">
        <f aca="false">'PPA Assumptions &amp;Summary'!E3</f>
        <v>3</v>
      </c>
      <c r="G3" s="751" t="n">
        <f aca="false">'PPA Assumptions &amp;Summary'!F3</f>
        <v>4</v>
      </c>
      <c r="H3" s="751" t="n">
        <f aca="false">'PPA Assumptions &amp;Summary'!G3</f>
        <v>5</v>
      </c>
      <c r="I3" s="751" t="n">
        <f aca="false">'PPA Assumptions &amp;Summary'!H3</f>
        <v>6</v>
      </c>
      <c r="J3" s="751" t="n">
        <f aca="false">'PPA Assumptions &amp;Summary'!I3</f>
        <v>7</v>
      </c>
      <c r="K3" s="751" t="n">
        <f aca="false">'PPA Assumptions &amp;Summary'!J3</f>
        <v>8</v>
      </c>
      <c r="L3" s="751" t="n">
        <f aca="false">'PPA Assumptions &amp;Summary'!K3</f>
        <v>9</v>
      </c>
      <c r="M3" s="751" t="n">
        <f aca="false">'PPA Assumptions &amp;Summary'!L3</f>
        <v>10</v>
      </c>
      <c r="N3" s="751" t="n">
        <f aca="false">'PPA Assumptions &amp;Summary'!M3</f>
        <v>11</v>
      </c>
      <c r="O3" s="751" t="n">
        <f aca="false">'PPA Assumptions &amp;Summary'!N3</f>
        <v>12</v>
      </c>
      <c r="P3" s="751" t="n">
        <f aca="false">'PPA Assumptions &amp;Summary'!O3</f>
        <v>13</v>
      </c>
      <c r="Q3" s="751" t="n">
        <f aca="false">'PPA Assumptions &amp;Summary'!P3</f>
        <v>14</v>
      </c>
      <c r="R3" s="751" t="n">
        <f aca="false">'PPA Assumptions &amp;Summary'!Q3</f>
        <v>15</v>
      </c>
      <c r="S3" s="751" t="n">
        <f aca="false">'PPA Assumptions &amp;Summary'!R3</f>
        <v>16</v>
      </c>
      <c r="T3" s="751" t="n">
        <f aca="false">'PPA Assumptions &amp;Summary'!S3</f>
        <v>17</v>
      </c>
      <c r="U3" s="751" t="n">
        <f aca="false">'PPA Assumptions &amp;Summary'!T3</f>
        <v>18</v>
      </c>
      <c r="V3" s="751" t="n">
        <f aca="false">'PPA Assumptions &amp;Summary'!U3</f>
        <v>19</v>
      </c>
      <c r="W3" s="751" t="n">
        <f aca="false">'PPA Assumptions &amp;Summary'!V3</f>
        <v>20</v>
      </c>
      <c r="X3" s="751" t="n">
        <f aca="false">'PPA Assumptions &amp;Summary'!W3</f>
        <v>21</v>
      </c>
    </row>
    <row r="4" customFormat="false" ht="12.75" hidden="false" customHeight="false" outlineLevel="0" collapsed="false">
      <c r="A4" s="373"/>
      <c r="B4" s="463"/>
      <c r="C4" s="463"/>
      <c r="D4" s="752" t="n">
        <f aca="false">'PPA Assumptions &amp;Summary'!C4</f>
        <v>2000</v>
      </c>
      <c r="E4" s="752" t="n">
        <f aca="false">'PPA Assumptions &amp;Summary'!D4</f>
        <v>2001</v>
      </c>
      <c r="F4" s="752" t="n">
        <f aca="false">'PPA Assumptions &amp;Summary'!E4</f>
        <v>2002</v>
      </c>
      <c r="G4" s="752" t="n">
        <f aca="false">'PPA Assumptions &amp;Summary'!F4</f>
        <v>2003</v>
      </c>
      <c r="H4" s="752" t="n">
        <f aca="false">'PPA Assumptions &amp;Summary'!G4</f>
        <v>2004</v>
      </c>
      <c r="I4" s="752" t="n">
        <f aca="false">'PPA Assumptions &amp;Summary'!H4</f>
        <v>2005</v>
      </c>
      <c r="J4" s="752" t="n">
        <f aca="false">'PPA Assumptions &amp;Summary'!I4</f>
        <v>2006</v>
      </c>
      <c r="K4" s="752" t="n">
        <f aca="false">'PPA Assumptions &amp;Summary'!J4</f>
        <v>2007</v>
      </c>
      <c r="L4" s="752" t="n">
        <f aca="false">'PPA Assumptions &amp;Summary'!K4</f>
        <v>2008</v>
      </c>
      <c r="M4" s="752" t="n">
        <f aca="false">'PPA Assumptions &amp;Summary'!L4</f>
        <v>2009</v>
      </c>
      <c r="N4" s="752" t="n">
        <f aca="false">'PPA Assumptions &amp;Summary'!M4</f>
        <v>2010</v>
      </c>
      <c r="O4" s="752" t="n">
        <f aca="false">'PPA Assumptions &amp;Summary'!N4</f>
        <v>2011</v>
      </c>
      <c r="P4" s="752" t="n">
        <f aca="false">'PPA Assumptions &amp;Summary'!O4</f>
        <v>2012</v>
      </c>
      <c r="Q4" s="752" t="n">
        <f aca="false">'PPA Assumptions &amp;Summary'!P4</f>
        <v>2013</v>
      </c>
      <c r="R4" s="752" t="n">
        <f aca="false">'PPA Assumptions &amp;Summary'!Q4</f>
        <v>2014</v>
      </c>
      <c r="S4" s="752" t="n">
        <f aca="false">'PPA Assumptions &amp;Summary'!R4</f>
        <v>2015</v>
      </c>
      <c r="T4" s="752" t="n">
        <f aca="false">'PPA Assumptions &amp;Summary'!S4</f>
        <v>2016</v>
      </c>
      <c r="U4" s="752" t="n">
        <f aca="false">'PPA Assumptions &amp;Summary'!T4</f>
        <v>2017</v>
      </c>
      <c r="V4" s="752" t="n">
        <f aca="false">'PPA Assumptions &amp;Summary'!U4</f>
        <v>2018</v>
      </c>
      <c r="W4" s="752" t="n">
        <f aca="false">'PPA Assumptions &amp;Summary'!V4</f>
        <v>2019</v>
      </c>
      <c r="X4" s="753" t="n">
        <f aca="false">'PPA Assumptions &amp;Summary'!W4</f>
        <v>2020</v>
      </c>
    </row>
    <row r="5" customFormat="false" ht="12.75" hidden="false" customHeight="false" outlineLevel="0" collapsed="false">
      <c r="A5" s="754" t="s">
        <v>564</v>
      </c>
      <c r="B5" s="265"/>
      <c r="C5" s="265"/>
      <c r="D5" s="265"/>
      <c r="E5" s="265"/>
      <c r="F5" s="265"/>
      <c r="G5" s="265"/>
      <c r="H5" s="265"/>
      <c r="I5" s="265"/>
      <c r="J5" s="265"/>
      <c r="K5" s="265"/>
      <c r="L5" s="265"/>
      <c r="M5" s="265"/>
      <c r="N5" s="265"/>
      <c r="O5" s="265"/>
      <c r="P5" s="265"/>
      <c r="Q5" s="265"/>
      <c r="R5" s="265"/>
      <c r="S5" s="265"/>
      <c r="T5" s="265"/>
      <c r="U5" s="265"/>
      <c r="V5" s="265"/>
      <c r="W5" s="265"/>
      <c r="X5" s="441"/>
    </row>
    <row r="6" customFormat="false" ht="12.75" hidden="false" customHeight="false" outlineLevel="0" collapsed="false">
      <c r="A6" s="393"/>
      <c r="B6" s="507" t="s">
        <v>565</v>
      </c>
      <c r="C6" s="265"/>
      <c r="D6" s="265"/>
      <c r="E6" s="265"/>
      <c r="F6" s="265"/>
      <c r="G6" s="265"/>
      <c r="H6" s="265"/>
      <c r="I6" s="265"/>
      <c r="J6" s="265"/>
      <c r="K6" s="265"/>
      <c r="L6" s="265"/>
      <c r="M6" s="265"/>
      <c r="N6" s="265"/>
      <c r="O6" s="265"/>
      <c r="P6" s="265"/>
      <c r="Q6" s="265"/>
      <c r="R6" s="265"/>
      <c r="S6" s="265"/>
      <c r="T6" s="265"/>
      <c r="U6" s="265"/>
      <c r="V6" s="265"/>
      <c r="W6" s="265"/>
      <c r="X6" s="441"/>
    </row>
    <row r="7" customFormat="false" ht="12.75" hidden="false" customHeight="false" outlineLevel="0" collapsed="false">
      <c r="A7" s="393"/>
      <c r="B7" s="507" t="s">
        <v>566</v>
      </c>
      <c r="C7" s="265"/>
      <c r="D7" s="265"/>
      <c r="E7" s="265"/>
      <c r="F7" s="265"/>
      <c r="G7" s="265"/>
      <c r="H7" s="265"/>
      <c r="I7" s="265"/>
      <c r="J7" s="265"/>
      <c r="K7" s="265"/>
      <c r="L7" s="265"/>
      <c r="M7" s="265"/>
      <c r="N7" s="265"/>
      <c r="O7" s="265"/>
      <c r="P7" s="265"/>
      <c r="Q7" s="265"/>
      <c r="R7" s="265"/>
      <c r="S7" s="265"/>
      <c r="T7" s="265"/>
      <c r="U7" s="265"/>
      <c r="V7" s="265"/>
      <c r="W7" s="265"/>
      <c r="X7" s="441"/>
    </row>
    <row r="8" customFormat="false" ht="12.75" hidden="false" customHeight="false" outlineLevel="0" collapsed="false">
      <c r="A8" s="393"/>
      <c r="B8" s="507" t="s">
        <v>567</v>
      </c>
      <c r="C8" s="265"/>
      <c r="D8" s="265"/>
      <c r="E8" s="265"/>
      <c r="F8" s="265"/>
      <c r="G8" s="265"/>
      <c r="H8" s="265"/>
      <c r="I8" s="265"/>
      <c r="J8" s="265"/>
      <c r="K8" s="265"/>
      <c r="L8" s="265"/>
      <c r="M8" s="265"/>
      <c r="N8" s="265"/>
      <c r="O8" s="265"/>
      <c r="P8" s="265"/>
      <c r="Q8" s="265"/>
      <c r="R8" s="265"/>
      <c r="S8" s="265"/>
      <c r="T8" s="265"/>
      <c r="U8" s="265"/>
      <c r="V8" s="265"/>
      <c r="W8" s="265"/>
      <c r="X8" s="441"/>
    </row>
    <row r="9" customFormat="false" ht="12.75" hidden="false" customHeight="false" outlineLevel="0" collapsed="false">
      <c r="A9" s="393"/>
      <c r="B9" s="507" t="s">
        <v>568</v>
      </c>
      <c r="C9" s="265"/>
      <c r="D9" s="265"/>
      <c r="E9" s="265"/>
      <c r="F9" s="265"/>
      <c r="G9" s="265"/>
      <c r="H9" s="265"/>
      <c r="I9" s="265"/>
      <c r="J9" s="265"/>
      <c r="K9" s="265"/>
      <c r="L9" s="265"/>
      <c r="M9" s="265"/>
      <c r="N9" s="265"/>
      <c r="O9" s="265"/>
      <c r="P9" s="265"/>
      <c r="Q9" s="265"/>
      <c r="R9" s="265"/>
      <c r="S9" s="265"/>
      <c r="T9" s="265"/>
      <c r="U9" s="265"/>
      <c r="V9" s="265"/>
      <c r="W9" s="265"/>
      <c r="X9" s="441"/>
    </row>
    <row r="10" customFormat="false" ht="12.75" hidden="false" customHeight="false" outlineLevel="0" collapsed="false">
      <c r="A10" s="393"/>
      <c r="B10" s="507" t="s">
        <v>569</v>
      </c>
      <c r="C10" s="265"/>
      <c r="D10" s="755" t="n">
        <f aca="false">IF(D3&gt;ProjectLife+1,0,'Project Assumtions'!$C$49+'Cash Flow Statement'!D17-'Cash Flow Statement'!D16)</f>
        <v>0</v>
      </c>
      <c r="E10" s="755" t="n">
        <f aca="false">IF(E3&gt;ProjectLife+1,0,'Project Assumtions'!$C$49+'Cash Flow Statement'!E17-'Cash Flow Statement'!E16)</f>
        <v>0</v>
      </c>
      <c r="F10" s="755" t="n">
        <f aca="false">IF(F3&gt;ProjectLife+1,0,'Project Assumtions'!$C$49+'Cash Flow Statement'!F17-'Cash Flow Statement'!F16)</f>
        <v>0</v>
      </c>
      <c r="G10" s="755" t="n">
        <f aca="false">IF(G3&gt;ProjectLife+1,0,'Project Assumtions'!$C$49+'Cash Flow Statement'!G17-'Cash Flow Statement'!G16)</f>
        <v>0</v>
      </c>
      <c r="H10" s="755" t="n">
        <f aca="false">IF(H3&gt;ProjectLife+1,0,'Project Assumtions'!$C$49+'Cash Flow Statement'!H17-'Cash Flow Statement'!H16)</f>
        <v>0</v>
      </c>
      <c r="I10" s="755" t="n">
        <f aca="false">IF(I3&gt;ProjectLife+1,0,'Project Assumtions'!$C$49+'Cash Flow Statement'!I17-'Cash Flow Statement'!I16)</f>
        <v>0</v>
      </c>
      <c r="J10" s="755" t="n">
        <f aca="false">IF(J3&gt;ProjectLife+1,0,'Project Assumtions'!$C$49+'Cash Flow Statement'!J17-'Cash Flow Statement'!J16)</f>
        <v>0</v>
      </c>
      <c r="K10" s="755" t="n">
        <f aca="false">IF(K3&gt;ProjectLife+1,0,'Project Assumtions'!$C$49+'Cash Flow Statement'!K17-'Cash Flow Statement'!K16)</f>
        <v>0</v>
      </c>
      <c r="L10" s="755" t="n">
        <f aca="false">IF(L3&gt;ProjectLife+1,0,'Project Assumtions'!$C$49+'Cash Flow Statement'!L17-'Cash Flow Statement'!L16)</f>
        <v>0</v>
      </c>
      <c r="M10" s="755" t="n">
        <f aca="false">IF(M3&gt;ProjectLife+1,0,'Project Assumtions'!$C$49+'Cash Flow Statement'!M17-'Cash Flow Statement'!M16)</f>
        <v>0</v>
      </c>
      <c r="N10" s="755" t="n">
        <f aca="false">IF(N3&gt;ProjectLife+1,0,'Project Assumtions'!$C$49+'Cash Flow Statement'!N17-'Cash Flow Statement'!N16)</f>
        <v>0</v>
      </c>
      <c r="O10" s="755" t="n">
        <f aca="false">IF(O3&gt;ProjectLife+1,0,'Project Assumtions'!$C$49+'Cash Flow Statement'!O17-'Cash Flow Statement'!O16)</f>
        <v>0</v>
      </c>
      <c r="P10" s="755" t="n">
        <f aca="false">IF(P3&gt;ProjectLife+1,0,'Project Assumtions'!$C$49+'Cash Flow Statement'!P17-'Cash Flow Statement'!P16)</f>
        <v>0</v>
      </c>
      <c r="Q10" s="755" t="n">
        <f aca="false">IF(Q3&gt;ProjectLife+1,0,'Project Assumtions'!$C$49+'Cash Flow Statement'!Q17-'Cash Flow Statement'!Q16)</f>
        <v>0</v>
      </c>
      <c r="R10" s="755" t="n">
        <f aca="false">IF(R3&gt;ProjectLife+1,0,'Project Assumtions'!$C$49+'Cash Flow Statement'!R17-'Cash Flow Statement'!R16)</f>
        <v>0</v>
      </c>
      <c r="S10" s="755" t="n">
        <f aca="false">IF(S3&gt;ProjectLife+1,0,'Project Assumtions'!$C$49+'Cash Flow Statement'!S17-'Cash Flow Statement'!S16)</f>
        <v>0</v>
      </c>
      <c r="T10" s="755" t="n">
        <f aca="false">IF(T3&gt;ProjectLife+1,0,'Project Assumtions'!$C$49+'Cash Flow Statement'!T17-'Cash Flow Statement'!T16)</f>
        <v>0</v>
      </c>
      <c r="U10" s="755" t="n">
        <f aca="false">IF(U3&gt;ProjectLife+1,0,'Project Assumtions'!$C$49+'Cash Flow Statement'!U17-'Cash Flow Statement'!U16)</f>
        <v>0</v>
      </c>
      <c r="V10" s="755" t="n">
        <f aca="false">IF(V3&gt;ProjectLife+1,0,'Project Assumtions'!$C$49+'Cash Flow Statement'!V17-'Cash Flow Statement'!V16)</f>
        <v>0</v>
      </c>
      <c r="W10" s="755" t="n">
        <f aca="false">IF(W3&gt;ProjectLife+1,0,'Project Assumtions'!$C$49+'Cash Flow Statement'!W17-'Cash Flow Statement'!W16)</f>
        <v>0</v>
      </c>
      <c r="X10" s="756" t="n">
        <f aca="false">IF(X3&gt;ProjectLife+1,0,'Project Assumtions'!$C$49+'Cash Flow Statement'!X17-'Cash Flow Statement'!X16)</f>
        <v>0</v>
      </c>
    </row>
    <row r="11" customFormat="false" ht="12.75" hidden="false" customHeight="false" outlineLevel="0" collapsed="false">
      <c r="A11" s="393"/>
      <c r="B11" s="507" t="s">
        <v>570</v>
      </c>
      <c r="C11" s="265"/>
      <c r="D11" s="757" t="n">
        <f aca="false">'Maintenance Reserves'!D13</f>
        <v>2140.752</v>
      </c>
      <c r="E11" s="757" t="n">
        <f aca="false">'Maintenance Reserves'!E13</f>
        <v>4345.72656</v>
      </c>
      <c r="F11" s="757" t="n">
        <f aca="false">'Maintenance Reserves'!F13</f>
        <v>6616.8503568</v>
      </c>
      <c r="G11" s="757" t="n">
        <f aca="false">'Maintenance Reserves'!G13</f>
        <v>6441.1809417352</v>
      </c>
      <c r="H11" s="757" t="n">
        <f aca="false">'Maintenance Reserves'!H13</f>
        <v>8850.61617776032</v>
      </c>
      <c r="I11" s="757" t="n">
        <f aca="false">'Maintenance Reserves'!I13</f>
        <v>11332.3344708662</v>
      </c>
      <c r="J11" s="757" t="n">
        <f aca="false">'Maintenance Reserves'!J13</f>
        <v>6666.19302544425</v>
      </c>
      <c r="K11" s="757" t="n">
        <f aca="false">'Maintenance Reserves'!K13</f>
        <v>9299.04796260027</v>
      </c>
      <c r="L11" s="757" t="n">
        <f aca="false">'Maintenance Reserves'!L13</f>
        <v>12010.888547871</v>
      </c>
      <c r="M11" s="757" t="n">
        <f aca="false">'Maintenance Reserves'!M13</f>
        <v>11801.1300793829</v>
      </c>
      <c r="N11" s="757" t="n">
        <f aca="false">'Maintenance Reserves'!N13</f>
        <v>14678.1217562966</v>
      </c>
      <c r="O11" s="757" t="n">
        <f aca="false">'Maintenance Reserves'!O13</f>
        <v>17641.4231835177</v>
      </c>
      <c r="P11" s="757" t="n">
        <f aca="false">'Maintenance Reserves'!P13</f>
        <v>20693.6236535555</v>
      </c>
      <c r="Q11" s="757" t="n">
        <f aca="false">'Maintenance Reserves'!Q13</f>
        <v>-6492.45398921044</v>
      </c>
      <c r="R11" s="757" t="n">
        <f aca="false">'Maintenance Reserves'!R13</f>
        <v>-3254.37451054741</v>
      </c>
      <c r="S11" s="757" t="n">
        <f aca="false">'Maintenance Reserves'!S13</f>
        <v>80.8473524755145</v>
      </c>
      <c r="T11" s="757" t="n">
        <f aca="false">'Maintenance Reserves'!T13</f>
        <v>-4536.15110960712</v>
      </c>
      <c r="U11" s="757" t="n">
        <f aca="false">'Maintenance Reserves'!U13</f>
        <v>-997.814235126099</v>
      </c>
      <c r="V11" s="757" t="n">
        <f aca="false">'Maintenance Reserves'!V13</f>
        <v>2646.67274558935</v>
      </c>
      <c r="W11" s="757" t="n">
        <f aca="false">'Maintenance Reserves'!W13</f>
        <v>-11595.5980065198</v>
      </c>
      <c r="X11" s="758" t="n">
        <f aca="false">'Maintenance Reserves'!X13</f>
        <v>-7729.16176867876</v>
      </c>
    </row>
    <row r="12" customFormat="false" ht="12.75" hidden="false" customHeight="false" outlineLevel="0" collapsed="false">
      <c r="A12" s="393"/>
      <c r="B12" s="507" t="s">
        <v>571</v>
      </c>
      <c r="C12" s="265"/>
      <c r="D12" s="23" t="n">
        <f aca="false">SUM(D6:D11)</f>
        <v>2140.752</v>
      </c>
      <c r="E12" s="23" t="n">
        <f aca="false">SUM(E6:E11)</f>
        <v>4345.72656</v>
      </c>
      <c r="F12" s="23" t="n">
        <f aca="false">SUM(F6:F11)</f>
        <v>6616.8503568</v>
      </c>
      <c r="G12" s="23" t="n">
        <f aca="false">SUM(G6:G11)</f>
        <v>6441.1809417352</v>
      </c>
      <c r="H12" s="23" t="n">
        <f aca="false">SUM(H6:H11)</f>
        <v>8850.61617776032</v>
      </c>
      <c r="I12" s="23" t="n">
        <f aca="false">SUM(I6:I11)</f>
        <v>11332.3344708662</v>
      </c>
      <c r="J12" s="23" t="n">
        <f aca="false">SUM(J6:J11)</f>
        <v>6666.19302544425</v>
      </c>
      <c r="K12" s="23" t="n">
        <f aca="false">SUM(K6:K11)</f>
        <v>9299.04796260027</v>
      </c>
      <c r="L12" s="23" t="n">
        <f aca="false">SUM(L6:L11)</f>
        <v>12010.888547871</v>
      </c>
      <c r="M12" s="23" t="n">
        <f aca="false">SUM(M6:M11)</f>
        <v>11801.1300793829</v>
      </c>
      <c r="N12" s="23" t="n">
        <f aca="false">SUM(N6:N11)</f>
        <v>14678.1217562966</v>
      </c>
      <c r="O12" s="23" t="n">
        <f aca="false">SUM(O6:O11)</f>
        <v>17641.4231835177</v>
      </c>
      <c r="P12" s="23" t="n">
        <f aca="false">SUM(P6:P11)</f>
        <v>20693.6236535555</v>
      </c>
      <c r="Q12" s="23" t="n">
        <f aca="false">SUM(Q6:Q11)</f>
        <v>-6492.45398921044</v>
      </c>
      <c r="R12" s="23" t="n">
        <f aca="false">SUM(R6:R11)</f>
        <v>-3254.37451054741</v>
      </c>
      <c r="S12" s="23" t="n">
        <f aca="false">SUM(S6:S11)</f>
        <v>80.8473524755145</v>
      </c>
      <c r="T12" s="23" t="n">
        <f aca="false">SUM(T6:T11)</f>
        <v>-4536.15110960712</v>
      </c>
      <c r="U12" s="23" t="n">
        <f aca="false">SUM(U6:U11)</f>
        <v>-997.814235126099</v>
      </c>
      <c r="V12" s="23" t="n">
        <f aca="false">SUM(V6:V11)</f>
        <v>2646.67274558935</v>
      </c>
      <c r="W12" s="23" t="n">
        <f aca="false">SUM(W6:W11)</f>
        <v>-11595.5980065198</v>
      </c>
      <c r="X12" s="24" t="n">
        <f aca="false">SUM(X6:X11)</f>
        <v>-7729.16176867876</v>
      </c>
    </row>
    <row r="13" customFormat="false" ht="12.75" hidden="false" customHeight="false" outlineLevel="0" collapsed="false">
      <c r="A13" s="759"/>
      <c r="B13" s="265"/>
      <c r="C13" s="265"/>
      <c r="D13" s="265"/>
      <c r="E13" s="265"/>
      <c r="F13" s="265"/>
      <c r="G13" s="265"/>
      <c r="H13" s="265"/>
      <c r="I13" s="265"/>
      <c r="J13" s="265"/>
      <c r="K13" s="265"/>
      <c r="L13" s="265"/>
      <c r="M13" s="265"/>
      <c r="N13" s="265"/>
      <c r="O13" s="265"/>
      <c r="P13" s="265"/>
      <c r="Q13" s="265"/>
      <c r="R13" s="265"/>
      <c r="S13" s="265"/>
      <c r="T13" s="265"/>
      <c r="U13" s="265"/>
      <c r="V13" s="265"/>
      <c r="W13" s="265"/>
      <c r="X13" s="441"/>
    </row>
    <row r="14" customFormat="false" ht="12.75" hidden="false" customHeight="false" outlineLevel="0" collapsed="false">
      <c r="A14" s="759"/>
      <c r="B14" s="265"/>
      <c r="C14" s="265"/>
      <c r="D14" s="265"/>
      <c r="E14" s="265"/>
      <c r="F14" s="265"/>
      <c r="G14" s="265"/>
      <c r="H14" s="265"/>
      <c r="I14" s="265"/>
      <c r="J14" s="265"/>
      <c r="K14" s="265"/>
      <c r="L14" s="265"/>
      <c r="M14" s="265"/>
      <c r="N14" s="265"/>
      <c r="O14" s="265"/>
      <c r="P14" s="265"/>
      <c r="Q14" s="265"/>
      <c r="R14" s="265"/>
      <c r="S14" s="265"/>
      <c r="T14" s="265"/>
      <c r="U14" s="265"/>
      <c r="V14" s="265"/>
      <c r="W14" s="265"/>
      <c r="X14" s="441"/>
    </row>
    <row r="15" customFormat="false" ht="12.75" hidden="false" customHeight="false" outlineLevel="0" collapsed="false">
      <c r="A15" s="393"/>
      <c r="B15" s="507" t="s">
        <v>572</v>
      </c>
      <c r="C15" s="265"/>
      <c r="D15" s="23" t="n">
        <f aca="false">Depreciation!$B$40</f>
        <v>159422.154</v>
      </c>
      <c r="E15" s="23" t="n">
        <f aca="false">Depreciation!$B$40</f>
        <v>159422.154</v>
      </c>
      <c r="F15" s="23" t="n">
        <f aca="false">Depreciation!$B$40</f>
        <v>159422.154</v>
      </c>
      <c r="G15" s="23" t="n">
        <f aca="false">Depreciation!$B$40</f>
        <v>159422.154</v>
      </c>
      <c r="H15" s="23" t="n">
        <f aca="false">Depreciation!$B$40</f>
        <v>159422.154</v>
      </c>
      <c r="I15" s="23" t="n">
        <f aca="false">Depreciation!$B$40</f>
        <v>159422.154</v>
      </c>
      <c r="J15" s="23" t="n">
        <f aca="false">Depreciation!$B$40</f>
        <v>159422.154</v>
      </c>
      <c r="K15" s="23" t="n">
        <f aca="false">Depreciation!$B$40</f>
        <v>159422.154</v>
      </c>
      <c r="L15" s="23" t="n">
        <f aca="false">Depreciation!$B$40</f>
        <v>159422.154</v>
      </c>
      <c r="M15" s="23" t="n">
        <f aca="false">Depreciation!$B$40</f>
        <v>159422.154</v>
      </c>
      <c r="N15" s="23" t="n">
        <f aca="false">Depreciation!$B$40</f>
        <v>159422.154</v>
      </c>
      <c r="O15" s="23" t="n">
        <f aca="false">Depreciation!$B$40</f>
        <v>159422.154</v>
      </c>
      <c r="P15" s="23" t="n">
        <f aca="false">Depreciation!$B$40</f>
        <v>159422.154</v>
      </c>
      <c r="Q15" s="23" t="n">
        <f aca="false">Depreciation!$B$40</f>
        <v>159422.154</v>
      </c>
      <c r="R15" s="23" t="n">
        <f aca="false">Depreciation!$B$40</f>
        <v>159422.154</v>
      </c>
      <c r="S15" s="23" t="n">
        <f aca="false">Depreciation!$B$40</f>
        <v>159422.154</v>
      </c>
      <c r="T15" s="23" t="n">
        <f aca="false">Depreciation!$B$40</f>
        <v>159422.154</v>
      </c>
      <c r="U15" s="23" t="n">
        <f aca="false">Depreciation!$B$40</f>
        <v>159422.154</v>
      </c>
      <c r="V15" s="23" t="n">
        <f aca="false">Depreciation!$B$40</f>
        <v>159422.154</v>
      </c>
      <c r="W15" s="23" t="n">
        <f aca="false">Depreciation!$B$40</f>
        <v>159422.154</v>
      </c>
      <c r="X15" s="24" t="n">
        <f aca="false">Depreciation!$B$40</f>
        <v>159422.154</v>
      </c>
    </row>
    <row r="16" customFormat="false" ht="12.75" hidden="false" customHeight="false" outlineLevel="0" collapsed="false">
      <c r="A16" s="393"/>
      <c r="B16" s="507" t="s">
        <v>573</v>
      </c>
      <c r="C16" s="265"/>
      <c r="D16" s="760" t="n">
        <f aca="false">SUM(Depreciation!$D$40:D40)</f>
        <v>2958.42630416667</v>
      </c>
      <c r="E16" s="760" t="n">
        <f aca="false">SUM(Depreciation!$D$40:E40)</f>
        <v>8030.01425416667</v>
      </c>
      <c r="F16" s="760" t="n">
        <f aca="false">SUM(Depreciation!$D$40:F40)</f>
        <v>13101.6022041667</v>
      </c>
      <c r="G16" s="760" t="n">
        <f aca="false">SUM(Depreciation!$D$40:G40)</f>
        <v>18173.1901541667</v>
      </c>
      <c r="H16" s="760" t="n">
        <f aca="false">SUM(Depreciation!$D$40:H40)</f>
        <v>23244.7781041667</v>
      </c>
      <c r="I16" s="760" t="n">
        <f aca="false">SUM(Depreciation!$D$40:I40)</f>
        <v>28118.0853375</v>
      </c>
      <c r="J16" s="760" t="n">
        <f aca="false">SUM(Depreciation!$D$40:J40)</f>
        <v>32849.7634875</v>
      </c>
      <c r="K16" s="760" t="n">
        <f aca="false">SUM(Depreciation!$D$40:K40)</f>
        <v>37581.4416375</v>
      </c>
      <c r="L16" s="760" t="n">
        <f aca="false">SUM(Depreciation!$D$40:L40)</f>
        <v>42313.1197875</v>
      </c>
      <c r="M16" s="760" t="n">
        <f aca="false">SUM(Depreciation!$D$40:M40)</f>
        <v>47044.7979375</v>
      </c>
      <c r="N16" s="760" t="n">
        <f aca="false">SUM(Depreciation!$D$40:N40)</f>
        <v>51776.4760875</v>
      </c>
      <c r="O16" s="760" t="n">
        <f aca="false">SUM(Depreciation!$D$40:O40)</f>
        <v>56508.1542375</v>
      </c>
      <c r="P16" s="760" t="n">
        <f aca="false">SUM(Depreciation!$D$40:P40)</f>
        <v>61239.8323875</v>
      </c>
      <c r="Q16" s="760" t="n">
        <f aca="false">SUM(Depreciation!$D$40:Q40)</f>
        <v>65971.5105375</v>
      </c>
      <c r="R16" s="760" t="n">
        <f aca="false">SUM(Depreciation!$D$40:R40)</f>
        <v>70703.1886875</v>
      </c>
      <c r="S16" s="760" t="n">
        <f aca="false">SUM(Depreciation!$D$40:S40)</f>
        <v>75434.8668375</v>
      </c>
      <c r="T16" s="760" t="n">
        <f aca="false">SUM(Depreciation!$D$40:T40)</f>
        <v>80166.5449875</v>
      </c>
      <c r="U16" s="760" t="n">
        <f aca="false">SUM(Depreciation!$D$40:U40)</f>
        <v>84898.2231375</v>
      </c>
      <c r="V16" s="760" t="n">
        <f aca="false">SUM(Depreciation!$D$40:V40)</f>
        <v>89629.9012875</v>
      </c>
      <c r="W16" s="760" t="n">
        <f aca="false">SUM(Depreciation!$D$40:W40)</f>
        <v>94361.5794375</v>
      </c>
      <c r="X16" s="761" t="n">
        <f aca="false">SUM(Depreciation!$D$40:X40)</f>
        <v>99093.2575875</v>
      </c>
    </row>
    <row r="17" customFormat="false" ht="12.75" hidden="false" customHeight="false" outlineLevel="0" collapsed="false">
      <c r="A17" s="393"/>
      <c r="B17" s="507" t="s">
        <v>574</v>
      </c>
      <c r="C17" s="265"/>
      <c r="D17" s="23" t="n">
        <f aca="false">D15-D16</f>
        <v>156463.727695833</v>
      </c>
      <c r="E17" s="23" t="n">
        <f aca="false">E15-E16</f>
        <v>151392.139745833</v>
      </c>
      <c r="F17" s="23" t="n">
        <f aca="false">F15-F16</f>
        <v>146320.551795833</v>
      </c>
      <c r="G17" s="23" t="n">
        <f aca="false">G15-G16</f>
        <v>141248.963845833</v>
      </c>
      <c r="H17" s="23" t="n">
        <f aca="false">H15-H16</f>
        <v>136177.375895833</v>
      </c>
      <c r="I17" s="23" t="n">
        <f aca="false">I15-I16</f>
        <v>131304.0686625</v>
      </c>
      <c r="J17" s="23" t="n">
        <f aca="false">J15-J16</f>
        <v>126572.3905125</v>
      </c>
      <c r="K17" s="23" t="n">
        <f aca="false">K15-K16</f>
        <v>121840.7123625</v>
      </c>
      <c r="L17" s="23" t="n">
        <f aca="false">L15-L16</f>
        <v>117109.0342125</v>
      </c>
      <c r="M17" s="23" t="n">
        <f aca="false">M15-M16</f>
        <v>112377.3560625</v>
      </c>
      <c r="N17" s="23" t="n">
        <f aca="false">N15-N16</f>
        <v>107645.6779125</v>
      </c>
      <c r="O17" s="23" t="n">
        <f aca="false">O15-O16</f>
        <v>102913.9997625</v>
      </c>
      <c r="P17" s="23" t="n">
        <f aca="false">P15-P16</f>
        <v>98182.3216125</v>
      </c>
      <c r="Q17" s="23" t="n">
        <f aca="false">Q15-Q16</f>
        <v>93450.6434625</v>
      </c>
      <c r="R17" s="23" t="n">
        <f aca="false">R15-R16</f>
        <v>88718.9653125</v>
      </c>
      <c r="S17" s="23" t="n">
        <f aca="false">S15-S16</f>
        <v>83987.2871625</v>
      </c>
      <c r="T17" s="23" t="n">
        <f aca="false">T15-T16</f>
        <v>79255.6090125</v>
      </c>
      <c r="U17" s="23" t="n">
        <f aca="false">U15-U16</f>
        <v>74523.9308625</v>
      </c>
      <c r="V17" s="23" t="n">
        <f aca="false">V15-V16</f>
        <v>69792.2527125</v>
      </c>
      <c r="W17" s="23" t="n">
        <f aca="false">W15-W16</f>
        <v>65060.5745625</v>
      </c>
      <c r="X17" s="24" t="n">
        <f aca="false">X15-X16</f>
        <v>60328.8964125</v>
      </c>
    </row>
    <row r="18" customFormat="false" ht="12.75" hidden="false" customHeight="false" outlineLevel="0" collapsed="false">
      <c r="A18" s="393"/>
      <c r="B18" s="507" t="s">
        <v>575</v>
      </c>
      <c r="C18" s="265"/>
      <c r="D18" s="265" t="n">
        <f aca="false">'Project Assumtions'!$C$25</f>
        <v>1112.944</v>
      </c>
      <c r="E18" s="265" t="n">
        <f aca="false">'Project Assumtions'!$C$25</f>
        <v>1112.944</v>
      </c>
      <c r="F18" s="265" t="n">
        <f aca="false">'Project Assumtions'!$C$25</f>
        <v>1112.944</v>
      </c>
      <c r="G18" s="265" t="n">
        <f aca="false">'Project Assumtions'!$C$25</f>
        <v>1112.944</v>
      </c>
      <c r="H18" s="265" t="n">
        <f aca="false">'Project Assumtions'!$C$25</f>
        <v>1112.944</v>
      </c>
      <c r="I18" s="265" t="n">
        <f aca="false">'Project Assumtions'!$C$25</f>
        <v>1112.944</v>
      </c>
      <c r="J18" s="265" t="n">
        <f aca="false">'Project Assumtions'!$C$25</f>
        <v>1112.944</v>
      </c>
      <c r="K18" s="265" t="n">
        <f aca="false">'Project Assumtions'!$C$25</f>
        <v>1112.944</v>
      </c>
      <c r="L18" s="265" t="n">
        <f aca="false">'Project Assumtions'!$C$25</f>
        <v>1112.944</v>
      </c>
      <c r="M18" s="265" t="n">
        <f aca="false">'Project Assumtions'!$C$25</f>
        <v>1112.944</v>
      </c>
      <c r="N18" s="265" t="n">
        <f aca="false">'Project Assumtions'!$C$25</f>
        <v>1112.944</v>
      </c>
      <c r="O18" s="265" t="n">
        <f aca="false">'Project Assumtions'!$C$25</f>
        <v>1112.944</v>
      </c>
      <c r="P18" s="265" t="n">
        <f aca="false">'Project Assumtions'!$C$25</f>
        <v>1112.944</v>
      </c>
      <c r="Q18" s="265" t="n">
        <f aca="false">'Project Assumtions'!$C$25</f>
        <v>1112.944</v>
      </c>
      <c r="R18" s="265" t="n">
        <f aca="false">'Project Assumtions'!$C$25</f>
        <v>1112.944</v>
      </c>
      <c r="S18" s="265" t="n">
        <f aca="false">'Project Assumtions'!$C$25</f>
        <v>1112.944</v>
      </c>
      <c r="T18" s="265" t="n">
        <f aca="false">'Project Assumtions'!$C$25</f>
        <v>1112.944</v>
      </c>
      <c r="U18" s="265" t="n">
        <f aca="false">'Project Assumtions'!$C$25</f>
        <v>1112.944</v>
      </c>
      <c r="V18" s="265" t="n">
        <f aca="false">'Project Assumtions'!$C$25</f>
        <v>1112.944</v>
      </c>
      <c r="W18" s="265" t="n">
        <f aca="false">'Project Assumtions'!$C$25</f>
        <v>1112.944</v>
      </c>
      <c r="X18" s="441" t="n">
        <f aca="false">'Project Assumtions'!$C$25</f>
        <v>1112.944</v>
      </c>
    </row>
    <row r="19" customFormat="false" ht="12.75" hidden="false" customHeight="false" outlineLevel="0" collapsed="false">
      <c r="A19" s="393"/>
      <c r="B19" s="507" t="s">
        <v>576</v>
      </c>
      <c r="C19" s="265"/>
      <c r="D19" s="757" t="n">
        <v>0</v>
      </c>
      <c r="E19" s="757" t="n">
        <v>0</v>
      </c>
      <c r="F19" s="757" t="n">
        <v>0</v>
      </c>
      <c r="G19" s="757" t="n">
        <v>0</v>
      </c>
      <c r="H19" s="757" t="n">
        <v>0</v>
      </c>
      <c r="I19" s="757" t="n">
        <v>0</v>
      </c>
      <c r="J19" s="757" t="n">
        <v>0</v>
      </c>
      <c r="K19" s="757" t="n">
        <v>0</v>
      </c>
      <c r="L19" s="757" t="n">
        <v>0</v>
      </c>
      <c r="M19" s="757" t="n">
        <v>0</v>
      </c>
      <c r="N19" s="757" t="n">
        <v>0</v>
      </c>
      <c r="O19" s="757" t="n">
        <v>0</v>
      </c>
      <c r="P19" s="757" t="n">
        <v>0</v>
      </c>
      <c r="Q19" s="757" t="n">
        <v>0</v>
      </c>
      <c r="R19" s="757" t="n">
        <v>0</v>
      </c>
      <c r="S19" s="757" t="n">
        <v>0</v>
      </c>
      <c r="T19" s="757" t="n">
        <v>0</v>
      </c>
      <c r="U19" s="757" t="n">
        <v>0</v>
      </c>
      <c r="V19" s="757" t="n">
        <v>0</v>
      </c>
      <c r="W19" s="757" t="n">
        <v>0</v>
      </c>
      <c r="X19" s="758" t="n">
        <v>0</v>
      </c>
    </row>
    <row r="20" customFormat="false" ht="12.75" hidden="false" customHeight="false" outlineLevel="0" collapsed="false">
      <c r="A20" s="759"/>
      <c r="B20" s="265"/>
      <c r="C20" s="265"/>
      <c r="D20" s="265"/>
      <c r="E20" s="265"/>
      <c r="F20" s="265"/>
      <c r="G20" s="265"/>
      <c r="H20" s="265"/>
      <c r="I20" s="265"/>
      <c r="J20" s="265"/>
      <c r="K20" s="265"/>
      <c r="L20" s="265"/>
      <c r="M20" s="265"/>
      <c r="N20" s="265"/>
      <c r="O20" s="265"/>
      <c r="P20" s="265"/>
      <c r="Q20" s="265"/>
      <c r="R20" s="265"/>
      <c r="S20" s="265"/>
      <c r="T20" s="265"/>
      <c r="U20" s="265"/>
      <c r="V20" s="265"/>
      <c r="W20" s="265"/>
      <c r="X20" s="441"/>
    </row>
    <row r="21" customFormat="false" ht="12.75" hidden="false" customHeight="false" outlineLevel="0" collapsed="false">
      <c r="A21" s="762" t="s">
        <v>577</v>
      </c>
      <c r="B21" s="475"/>
      <c r="C21" s="475"/>
      <c r="D21" s="28" t="n">
        <f aca="false">D12+SUM(D17:D19)</f>
        <v>159717.423695833</v>
      </c>
      <c r="E21" s="28" t="n">
        <f aca="false">E12+SUM(E17:E19)</f>
        <v>156850.810305833</v>
      </c>
      <c r="F21" s="28" t="n">
        <f aca="false">F12+SUM(F17:F19)</f>
        <v>154050.346152633</v>
      </c>
      <c r="G21" s="28" t="n">
        <f aca="false">G12+SUM(G17:G19)</f>
        <v>148803.088787569</v>
      </c>
      <c r="H21" s="28" t="n">
        <f aca="false">H12+SUM(H17:H19)</f>
        <v>146140.936073594</v>
      </c>
      <c r="I21" s="28" t="n">
        <f aca="false">I12+SUM(I17:I19)</f>
        <v>143749.347133366</v>
      </c>
      <c r="J21" s="28" t="n">
        <f aca="false">J12+SUM(J17:J19)</f>
        <v>134351.527537944</v>
      </c>
      <c r="K21" s="28" t="n">
        <f aca="false">K12+SUM(K17:K19)</f>
        <v>132252.7043251</v>
      </c>
      <c r="L21" s="28" t="n">
        <f aca="false">L12+SUM(L17:L19)</f>
        <v>130232.866760371</v>
      </c>
      <c r="M21" s="28" t="n">
        <f aca="false">M12+SUM(M17:M19)</f>
        <v>125291.430141883</v>
      </c>
      <c r="N21" s="28" t="n">
        <f aca="false">N12+SUM(N17:N19)</f>
        <v>123436.743668797</v>
      </c>
      <c r="O21" s="28" t="n">
        <f aca="false">O12+SUM(O17:O19)</f>
        <v>121668.366946018</v>
      </c>
      <c r="P21" s="28" t="n">
        <f aca="false">P12+SUM(P17:P19)</f>
        <v>119988.889266055</v>
      </c>
      <c r="Q21" s="28" t="n">
        <f aca="false">Q12+SUM(Q17:Q19)</f>
        <v>88071.1334732896</v>
      </c>
      <c r="R21" s="28" t="n">
        <f aca="false">R12+SUM(R17:R19)</f>
        <v>86577.5348019526</v>
      </c>
      <c r="S21" s="28" t="n">
        <f aca="false">S12+SUM(S17:S19)</f>
        <v>85181.0785149755</v>
      </c>
      <c r="T21" s="28" t="n">
        <f aca="false">T12+SUM(T17:T19)</f>
        <v>75832.4019028929</v>
      </c>
      <c r="U21" s="28" t="n">
        <f aca="false">U12+SUM(U17:U19)</f>
        <v>74639.0606273739</v>
      </c>
      <c r="V21" s="28" t="n">
        <f aca="false">V12+SUM(V17:V19)</f>
        <v>73551.8694580894</v>
      </c>
      <c r="W21" s="28" t="n">
        <f aca="false">W12+SUM(W17:W19)</f>
        <v>54577.9205559802</v>
      </c>
      <c r="X21" s="29" t="n">
        <f aca="false">X12+SUM(X17:X19)</f>
        <v>53712.6786438212</v>
      </c>
    </row>
    <row r="22" customFormat="false" ht="12.75" hidden="false" customHeight="false" outlineLevel="0" collapsed="false">
      <c r="A22" s="507"/>
    </row>
    <row r="23" customFormat="false" ht="12.75" hidden="false" customHeight="false" outlineLevel="0" collapsed="false">
      <c r="A23" s="763" t="s">
        <v>578</v>
      </c>
      <c r="B23" s="463"/>
      <c r="C23" s="463"/>
      <c r="D23" s="463"/>
      <c r="E23" s="463"/>
      <c r="F23" s="463"/>
      <c r="G23" s="463"/>
      <c r="H23" s="463"/>
      <c r="I23" s="463"/>
      <c r="J23" s="463"/>
      <c r="K23" s="463"/>
      <c r="L23" s="463"/>
      <c r="M23" s="463"/>
      <c r="N23" s="463"/>
      <c r="O23" s="463"/>
      <c r="P23" s="463"/>
      <c r="Q23" s="463"/>
      <c r="R23" s="463"/>
      <c r="S23" s="463"/>
      <c r="T23" s="463"/>
      <c r="U23" s="463"/>
      <c r="V23" s="463"/>
      <c r="W23" s="463"/>
      <c r="X23" s="464"/>
    </row>
    <row r="24" customFormat="false" ht="12.75" hidden="false" customHeight="false" outlineLevel="0" collapsed="false">
      <c r="A24" s="393"/>
      <c r="B24" s="507" t="s">
        <v>579</v>
      </c>
      <c r="C24" s="265"/>
      <c r="D24" s="764" t="n">
        <f aca="false">'Maintenance Reserves'!D13</f>
        <v>2140.752</v>
      </c>
      <c r="E24" s="764" t="n">
        <f aca="false">'Maintenance Reserves'!E13</f>
        <v>4345.72656</v>
      </c>
      <c r="F24" s="764" t="n">
        <f aca="false">'Maintenance Reserves'!F13</f>
        <v>6616.8503568</v>
      </c>
      <c r="G24" s="764" t="n">
        <f aca="false">'Maintenance Reserves'!G13</f>
        <v>6441.1809417352</v>
      </c>
      <c r="H24" s="764" t="n">
        <f aca="false">'Maintenance Reserves'!H13</f>
        <v>8850.61617776032</v>
      </c>
      <c r="I24" s="764" t="n">
        <f aca="false">'Maintenance Reserves'!I13</f>
        <v>11332.3344708662</v>
      </c>
      <c r="J24" s="764" t="n">
        <f aca="false">'Maintenance Reserves'!J13</f>
        <v>6666.19302544425</v>
      </c>
      <c r="K24" s="764" t="n">
        <f aca="false">'Maintenance Reserves'!K13</f>
        <v>9299.04796260027</v>
      </c>
      <c r="L24" s="764" t="n">
        <f aca="false">'Maintenance Reserves'!L13</f>
        <v>12010.888547871</v>
      </c>
      <c r="M24" s="764" t="n">
        <f aca="false">'Maintenance Reserves'!M13</f>
        <v>11801.1300793829</v>
      </c>
      <c r="N24" s="764" t="n">
        <f aca="false">'Maintenance Reserves'!N13</f>
        <v>14678.1217562966</v>
      </c>
      <c r="O24" s="764" t="n">
        <f aca="false">'Maintenance Reserves'!O13</f>
        <v>17641.4231835177</v>
      </c>
      <c r="P24" s="764" t="n">
        <f aca="false">'Maintenance Reserves'!P13</f>
        <v>20693.6236535555</v>
      </c>
      <c r="Q24" s="764" t="n">
        <f aca="false">'Maintenance Reserves'!Q13</f>
        <v>-6492.45398921044</v>
      </c>
      <c r="R24" s="764" t="n">
        <f aca="false">'Maintenance Reserves'!R13</f>
        <v>-3254.37451054741</v>
      </c>
      <c r="S24" s="764" t="n">
        <f aca="false">'Maintenance Reserves'!S13</f>
        <v>80.8473524755145</v>
      </c>
      <c r="T24" s="764" t="n">
        <f aca="false">'Maintenance Reserves'!T13</f>
        <v>-4536.15110960712</v>
      </c>
      <c r="U24" s="764" t="n">
        <f aca="false">'Maintenance Reserves'!U13</f>
        <v>-997.814235126099</v>
      </c>
      <c r="V24" s="764" t="n">
        <f aca="false">'Maintenance Reserves'!V13</f>
        <v>2646.67274558935</v>
      </c>
      <c r="W24" s="764" t="n">
        <f aca="false">'Maintenance Reserves'!W13</f>
        <v>-11595.5980065198</v>
      </c>
      <c r="X24" s="765" t="n">
        <f aca="false">'Maintenance Reserves'!X13</f>
        <v>-7729.16176867876</v>
      </c>
    </row>
    <row r="25" customFormat="false" ht="12.75" hidden="false" customHeight="false" outlineLevel="0" collapsed="false">
      <c r="A25" s="393"/>
      <c r="B25" s="507" t="s">
        <v>580</v>
      </c>
      <c r="C25" s="265"/>
      <c r="D25" s="265"/>
      <c r="E25" s="265"/>
      <c r="F25" s="265"/>
      <c r="G25" s="265"/>
      <c r="H25" s="265"/>
      <c r="I25" s="265"/>
      <c r="J25" s="265"/>
      <c r="K25" s="265"/>
      <c r="L25" s="265"/>
      <c r="M25" s="265"/>
      <c r="N25" s="265"/>
      <c r="O25" s="265"/>
      <c r="P25" s="265"/>
      <c r="Q25" s="265"/>
      <c r="R25" s="265"/>
      <c r="S25" s="265"/>
      <c r="T25" s="265"/>
      <c r="U25" s="265"/>
      <c r="V25" s="265"/>
      <c r="W25" s="265"/>
      <c r="X25" s="441"/>
    </row>
    <row r="26" customFormat="false" ht="12.75" hidden="false" customHeight="false" outlineLevel="0" collapsed="false">
      <c r="A26" s="393"/>
      <c r="B26" s="507" t="s">
        <v>581</v>
      </c>
      <c r="C26" s="265"/>
      <c r="D26" s="23" t="n">
        <f aca="false">'Tax Calculations'!D64</f>
        <v>-39.6182560518743</v>
      </c>
      <c r="E26" s="23" t="n">
        <f aca="false">'Tax Calculations'!E64</f>
        <v>2095.517188555</v>
      </c>
      <c r="F26" s="23" t="n">
        <f aca="false">'Tax Calculations'!F64</f>
        <v>4526.33473226318</v>
      </c>
      <c r="G26" s="23" t="n">
        <f aca="false">'Tax Calculations'!G64</f>
        <v>9843.79129400667</v>
      </c>
      <c r="H26" s="23" t="n">
        <f aca="false">'Tax Calculations'!H64</f>
        <v>14535.4277742906</v>
      </c>
      <c r="I26" s="23" t="n">
        <f aca="false">'Tax Calculations'!I64</f>
        <v>16513.3244109702</v>
      </c>
      <c r="J26" s="23" t="n">
        <f aca="false">'Tax Calculations'!J64</f>
        <v>18334.2374444255</v>
      </c>
      <c r="K26" s="23" t="n">
        <f aca="false">'Tax Calculations'!K64</f>
        <v>20183.0239076149</v>
      </c>
      <c r="L26" s="23" t="n">
        <f aca="false">'Tax Calculations'!L64</f>
        <v>21986.1742454086</v>
      </c>
      <c r="M26" s="23" t="n">
        <f aca="false">'Tax Calculations'!M64</f>
        <v>23719.681765922</v>
      </c>
      <c r="N26" s="23" t="n">
        <f aca="false">'Tax Calculations'!N64</f>
        <v>25449.0428790028</v>
      </c>
      <c r="O26" s="23" t="n">
        <f aca="false">'Tax Calculations'!O64</f>
        <v>27355.934094869</v>
      </c>
      <c r="P26" s="23" t="n">
        <f aca="false">'Tax Calculations'!P64</f>
        <v>29090.6067353103</v>
      </c>
      <c r="Q26" s="23" t="n">
        <f aca="false">'Tax Calculations'!Q64</f>
        <v>30831.2610055462</v>
      </c>
      <c r="R26" s="23" t="n">
        <f aca="false">'Tax Calculations'!R64</f>
        <v>32565.9336459874</v>
      </c>
      <c r="S26" s="23" t="n">
        <f aca="false">'Tax Calculations'!S64</f>
        <v>32536.0254970143</v>
      </c>
      <c r="T26" s="23" t="n">
        <f aca="false">'Tax Calculations'!T64</f>
        <v>30741.5365586268</v>
      </c>
      <c r="U26" s="23" t="n">
        <f aca="false">'Tax Calculations'!U64</f>
        <v>28947.0476202393</v>
      </c>
      <c r="V26" s="23" t="n">
        <f aca="false">'Tax Calculations'!V64</f>
        <v>27152.5586818518</v>
      </c>
      <c r="W26" s="23" t="n">
        <f aca="false">'Tax Calculations'!W64</f>
        <v>25358.0697434643</v>
      </c>
      <c r="X26" s="24" t="n">
        <f aca="false">'Tax Calculations'!X64</f>
        <v>23964.1049342462</v>
      </c>
    </row>
    <row r="27" customFormat="false" ht="12.75" hidden="false" customHeight="false" outlineLevel="0" collapsed="false">
      <c r="A27" s="393"/>
      <c r="B27" s="507" t="s">
        <v>582</v>
      </c>
      <c r="C27" s="265"/>
      <c r="D27" s="265"/>
      <c r="E27" s="265"/>
      <c r="F27" s="265"/>
      <c r="G27" s="265"/>
      <c r="H27" s="265"/>
      <c r="I27" s="265"/>
      <c r="J27" s="265"/>
      <c r="K27" s="265"/>
      <c r="L27" s="265"/>
      <c r="M27" s="265"/>
      <c r="N27" s="265"/>
      <c r="O27" s="265"/>
      <c r="P27" s="265"/>
      <c r="Q27" s="265"/>
      <c r="R27" s="265"/>
      <c r="S27" s="265"/>
      <c r="T27" s="265"/>
      <c r="U27" s="265"/>
      <c r="V27" s="265"/>
      <c r="W27" s="265"/>
      <c r="X27" s="441"/>
    </row>
    <row r="28" customFormat="false" ht="12.75" hidden="false" customHeight="false" outlineLevel="0" collapsed="false">
      <c r="A28" s="393"/>
      <c r="B28" s="507" t="s">
        <v>583</v>
      </c>
      <c r="C28" s="265"/>
      <c r="D28" s="23" t="n">
        <f aca="false">'Debt Amortization'!E55</f>
        <v>115763.38992</v>
      </c>
      <c r="E28" s="23" t="n">
        <f aca="false">'Debt Amortization'!F55</f>
        <v>110939.91534</v>
      </c>
      <c r="F28" s="23" t="n">
        <f aca="false">'Debt Amortization'!G55</f>
        <v>104307.6377925</v>
      </c>
      <c r="G28" s="23" t="n">
        <f aca="false">'Debt Amortization'!H55</f>
        <v>95866.5572775</v>
      </c>
      <c r="H28" s="23" t="n">
        <f aca="false">'Debt Amortization'!I55</f>
        <v>90946.6132059</v>
      </c>
      <c r="I28" s="23" t="n">
        <f aca="false">'Debt Amortization'!J55</f>
        <v>86026.6691343</v>
      </c>
      <c r="J28" s="23" t="n">
        <f aca="false">'Debt Amortization'!K55</f>
        <v>80455.5559944</v>
      </c>
      <c r="K28" s="23" t="n">
        <f aca="false">'Debt Amortization'!L55</f>
        <v>74884.4428545</v>
      </c>
      <c r="L28" s="23" t="n">
        <f aca="false">'Debt Amortization'!M55</f>
        <v>65695.7237796</v>
      </c>
      <c r="M28" s="23" t="n">
        <f aca="false">'Debt Amortization'!N55</f>
        <v>54047.0326689</v>
      </c>
      <c r="N28" s="23" t="n">
        <f aca="false">'Debt Amortization'!O55</f>
        <v>51442.3563957</v>
      </c>
      <c r="O28" s="23" t="n">
        <f aca="false">'Debt Amortization'!P55</f>
        <v>48186.5110542</v>
      </c>
      <c r="P28" s="23" t="n">
        <f aca="false">'Debt Amortization'!Q55</f>
        <v>44930.6657127</v>
      </c>
      <c r="Q28" s="23" t="n">
        <f aca="false">'Debt Amortization'!R55</f>
        <v>41674.8203712</v>
      </c>
      <c r="R28" s="23" t="n">
        <f aca="false">'Debt Amortization'!S55</f>
        <v>38418.9750297</v>
      </c>
      <c r="S28" s="23" t="n">
        <f aca="false">'Debt Amortization'!T55</f>
        <v>35163.1296882</v>
      </c>
      <c r="T28" s="23" t="n">
        <f aca="false">'Debt Amortization'!U55</f>
        <v>28651.4390052</v>
      </c>
      <c r="U28" s="23" t="n">
        <f aca="false">'Debt Amortization'!V55</f>
        <v>20837.4101856</v>
      </c>
      <c r="V28" s="23" t="n">
        <f aca="false">'Debt Amortization'!W55</f>
        <v>11069.8741611</v>
      </c>
      <c r="W28" s="23" t="n">
        <f aca="false">'Debt Amortization'!X55</f>
        <v>0</v>
      </c>
      <c r="X28" s="24" t="n">
        <f aca="false">'Debt Amortization'!Y55</f>
        <v>0</v>
      </c>
    </row>
    <row r="29" customFormat="false" ht="12.75" hidden="false" customHeight="false" outlineLevel="0" collapsed="false">
      <c r="A29" s="393"/>
      <c r="B29" s="507" t="s">
        <v>584</v>
      </c>
      <c r="C29" s="265"/>
      <c r="D29" s="757" t="n">
        <v>0</v>
      </c>
      <c r="E29" s="757" t="n">
        <v>0</v>
      </c>
      <c r="F29" s="757" t="n">
        <v>0</v>
      </c>
      <c r="G29" s="757" t="n">
        <v>0</v>
      </c>
      <c r="H29" s="757" t="n">
        <v>0</v>
      </c>
      <c r="I29" s="757" t="n">
        <v>0</v>
      </c>
      <c r="J29" s="757" t="n">
        <v>0</v>
      </c>
      <c r="K29" s="757" t="n">
        <v>0</v>
      </c>
      <c r="L29" s="757" t="n">
        <v>0</v>
      </c>
      <c r="M29" s="757" t="n">
        <v>0</v>
      </c>
      <c r="N29" s="757" t="n">
        <v>0</v>
      </c>
      <c r="O29" s="757" t="n">
        <v>0</v>
      </c>
      <c r="P29" s="757" t="n">
        <v>0</v>
      </c>
      <c r="Q29" s="757" t="n">
        <v>0</v>
      </c>
      <c r="R29" s="757" t="n">
        <v>0</v>
      </c>
      <c r="S29" s="757" t="n">
        <v>0</v>
      </c>
      <c r="T29" s="757" t="n">
        <v>0</v>
      </c>
      <c r="U29" s="757" t="n">
        <v>0</v>
      </c>
      <c r="V29" s="757" t="n">
        <v>0</v>
      </c>
      <c r="W29" s="757" t="n">
        <v>0</v>
      </c>
      <c r="X29" s="758" t="n">
        <v>0</v>
      </c>
    </row>
    <row r="30" customFormat="false" ht="12.75" hidden="false" customHeight="false" outlineLevel="0" collapsed="false">
      <c r="A30" s="766" t="s">
        <v>585</v>
      </c>
      <c r="B30" s="265"/>
      <c r="C30" s="265"/>
      <c r="D30" s="23" t="n">
        <f aca="false">SUM(D24:D29)</f>
        <v>117864.523663948</v>
      </c>
      <c r="E30" s="23" t="n">
        <f aca="false">SUM(E24:E29)</f>
        <v>117381.159088555</v>
      </c>
      <c r="F30" s="23" t="n">
        <f aca="false">SUM(F24:F29)</f>
        <v>115450.822881563</v>
      </c>
      <c r="G30" s="23" t="n">
        <f aca="false">SUM(G24:G29)</f>
        <v>112151.529513242</v>
      </c>
      <c r="H30" s="23" t="n">
        <f aca="false">SUM(H24:H29)</f>
        <v>114332.657157951</v>
      </c>
      <c r="I30" s="23" t="n">
        <f aca="false">SUM(I24:I29)</f>
        <v>113872.328016136</v>
      </c>
      <c r="J30" s="23" t="n">
        <f aca="false">SUM(J24:J29)</f>
        <v>105455.98646427</v>
      </c>
      <c r="K30" s="23" t="n">
        <f aca="false">SUM(K24:K29)</f>
        <v>104366.514724715</v>
      </c>
      <c r="L30" s="23" t="n">
        <f aca="false">SUM(L24:L29)</f>
        <v>99692.7865728796</v>
      </c>
      <c r="M30" s="23" t="n">
        <f aca="false">SUM(M24:M29)</f>
        <v>89567.8445142049</v>
      </c>
      <c r="N30" s="23" t="n">
        <f aca="false">SUM(N24:N29)</f>
        <v>91569.5210309994</v>
      </c>
      <c r="O30" s="23" t="n">
        <f aca="false">SUM(O24:O29)</f>
        <v>93183.8683325868</v>
      </c>
      <c r="P30" s="23" t="n">
        <f aca="false">SUM(P24:P29)</f>
        <v>94714.8961015657</v>
      </c>
      <c r="Q30" s="23" t="n">
        <f aca="false">SUM(Q24:Q29)</f>
        <v>66013.6273875357</v>
      </c>
      <c r="R30" s="23" t="n">
        <f aca="false">SUM(R24:R29)</f>
        <v>67730.53416514</v>
      </c>
      <c r="S30" s="23" t="n">
        <f aca="false">SUM(S24:S29)</f>
        <v>67780.0025376898</v>
      </c>
      <c r="T30" s="23" t="n">
        <f aca="false">SUM(T24:T29)</f>
        <v>54856.8244542197</v>
      </c>
      <c r="U30" s="23" t="n">
        <f aca="false">SUM(U24:U29)</f>
        <v>48786.6435707132</v>
      </c>
      <c r="V30" s="23" t="n">
        <f aca="false">SUM(V24:V29)</f>
        <v>40869.1055885411</v>
      </c>
      <c r="W30" s="23" t="n">
        <f aca="false">SUM(W24:W29)</f>
        <v>13762.4717369445</v>
      </c>
      <c r="X30" s="24" t="n">
        <f aca="false">SUM(X24:X29)</f>
        <v>16234.9431655675</v>
      </c>
    </row>
    <row r="31" customFormat="false" ht="12.75" hidden="false" customHeight="false" outlineLevel="0" collapsed="false">
      <c r="A31" s="759"/>
      <c r="B31" s="265"/>
      <c r="C31" s="265"/>
      <c r="D31" s="265"/>
      <c r="E31" s="265"/>
      <c r="F31" s="265"/>
      <c r="G31" s="265"/>
      <c r="H31" s="265"/>
      <c r="I31" s="265"/>
      <c r="J31" s="265"/>
      <c r="K31" s="265"/>
      <c r="L31" s="265"/>
      <c r="M31" s="265"/>
      <c r="N31" s="265"/>
      <c r="O31" s="265"/>
      <c r="P31" s="265"/>
      <c r="Q31" s="265"/>
      <c r="R31" s="265"/>
      <c r="S31" s="265"/>
      <c r="T31" s="265"/>
      <c r="U31" s="265"/>
      <c r="V31" s="265"/>
      <c r="W31" s="265"/>
      <c r="X31" s="441"/>
    </row>
    <row r="32" customFormat="false" ht="12.75" hidden="false" customHeight="false" outlineLevel="0" collapsed="false">
      <c r="A32" s="754" t="s">
        <v>586</v>
      </c>
      <c r="B32" s="265"/>
      <c r="C32" s="265"/>
      <c r="D32" s="265"/>
      <c r="E32" s="265"/>
      <c r="F32" s="265"/>
      <c r="G32" s="265"/>
      <c r="H32" s="265"/>
      <c r="I32" s="265"/>
      <c r="J32" s="265"/>
      <c r="K32" s="265"/>
      <c r="L32" s="265"/>
      <c r="M32" s="265"/>
      <c r="N32" s="265"/>
      <c r="O32" s="265"/>
      <c r="P32" s="265"/>
      <c r="Q32" s="265"/>
      <c r="R32" s="265"/>
      <c r="S32" s="265"/>
      <c r="T32" s="265"/>
      <c r="U32" s="265"/>
      <c r="V32" s="265"/>
      <c r="W32" s="265"/>
      <c r="X32" s="441"/>
    </row>
    <row r="33" customFormat="false" ht="12.75" hidden="false" customHeight="false" outlineLevel="0" collapsed="false">
      <c r="A33" s="393"/>
      <c r="B33" s="378" t="s">
        <v>587</v>
      </c>
      <c r="C33" s="265"/>
      <c r="D33" s="23" t="n">
        <f aca="false">'Project Assumtions'!$C$8-SUM('Book Income Statement'!$D$66:'Book Income Statement'!D66)</f>
        <v>39948.2335</v>
      </c>
      <c r="E33" s="23" t="n">
        <f aca="false">'Project Assumtions'!$C$8-SUM('Book Income Statement'!$D$66:'Book Income Statement'!E66)</f>
        <v>39948.2335</v>
      </c>
      <c r="F33" s="23" t="n">
        <f aca="false">'Project Assumtions'!$C$8-SUM('Book Income Statement'!$D$66:'Book Income Statement'!F66)</f>
        <v>39948.2335</v>
      </c>
      <c r="G33" s="23" t="n">
        <f aca="false">'Project Assumtions'!$C$8-SUM('Book Income Statement'!$D$66:'Book Income Statement'!G66)</f>
        <v>39948.2335</v>
      </c>
      <c r="H33" s="23" t="n">
        <f aca="false">'Project Assumtions'!$C$8-SUM('Book Income Statement'!$D$66:'Book Income Statement'!H66)</f>
        <v>39948.2335</v>
      </c>
      <c r="I33" s="23" t="n">
        <f aca="false">'Project Assumtions'!$C$8-SUM('Book Income Statement'!$D$66:'Book Income Statement'!I66)</f>
        <v>39948.2335</v>
      </c>
      <c r="J33" s="23" t="n">
        <f aca="false">'Project Assumtions'!$C$8-SUM('Book Income Statement'!$D$66:'Book Income Statement'!J66)</f>
        <v>39948.2335</v>
      </c>
      <c r="K33" s="23" t="n">
        <f aca="false">'Project Assumtions'!$C$8-SUM('Book Income Statement'!$D$66:'Book Income Statement'!K66)</f>
        <v>39948.2335</v>
      </c>
      <c r="L33" s="23" t="n">
        <f aca="false">'Project Assumtions'!$C$8-SUM('Book Income Statement'!$D$66:'Book Income Statement'!L66)</f>
        <v>39948.2335</v>
      </c>
      <c r="M33" s="23" t="n">
        <f aca="false">'Project Assumtions'!$C$8-SUM('Book Income Statement'!$D$66:'Book Income Statement'!M66)</f>
        <v>39948.2335</v>
      </c>
      <c r="N33" s="23" t="n">
        <f aca="false">'Project Assumtions'!$C$8-SUM('Book Income Statement'!$D$66:'Book Income Statement'!N66)</f>
        <v>39948.2335</v>
      </c>
      <c r="O33" s="23" t="n">
        <f aca="false">'Project Assumtions'!$C$8-SUM('Book Income Statement'!$D$66:'Book Income Statement'!O66)</f>
        <v>39948.2335</v>
      </c>
      <c r="P33" s="23" t="n">
        <f aca="false">'Project Assumtions'!$C$8-SUM('Book Income Statement'!$D$66:'Book Income Statement'!P66)</f>
        <v>39948.2335</v>
      </c>
      <c r="Q33" s="23" t="n">
        <f aca="false">'Project Assumtions'!$C$8-SUM('Book Income Statement'!$D$66:'Book Income Statement'!Q66)</f>
        <v>39948.2335</v>
      </c>
      <c r="R33" s="23" t="n">
        <f aca="false">'Project Assumtions'!$C$8-SUM('Book Income Statement'!$D$66:'Book Income Statement'!R66)</f>
        <v>39948.2335</v>
      </c>
      <c r="S33" s="23" t="n">
        <f aca="false">'Project Assumtions'!$C$8-SUM('Book Income Statement'!$D$66:'Book Income Statement'!S66)</f>
        <v>39948.2335</v>
      </c>
      <c r="T33" s="23" t="n">
        <f aca="false">'Project Assumtions'!$C$8-SUM('Book Income Statement'!$D$66:'Book Income Statement'!T66)</f>
        <v>39948.2335</v>
      </c>
      <c r="U33" s="23" t="n">
        <f aca="false">'Project Assumtions'!$C$8-SUM('Book Income Statement'!$D$66:'Book Income Statement'!U66)</f>
        <v>39948.2335</v>
      </c>
      <c r="V33" s="23" t="n">
        <f aca="false">'Project Assumtions'!$C$8-SUM('Book Income Statement'!$D$66:'Book Income Statement'!V66)</f>
        <v>39948.2335</v>
      </c>
      <c r="W33" s="23" t="n">
        <f aca="false">'Project Assumtions'!$C$8-SUM('Book Income Statement'!$D$66:'Book Income Statement'!W66)</f>
        <v>39948.2335</v>
      </c>
      <c r="X33" s="23" t="n">
        <f aca="false">'Project Assumtions'!$C$8-SUM('Book Income Statement'!$D$66:'Book Income Statement'!X66)</f>
        <v>39948.2335</v>
      </c>
    </row>
    <row r="34" customFormat="false" ht="12.75" hidden="false" customHeight="false" outlineLevel="0" collapsed="false">
      <c r="A34" s="393"/>
      <c r="B34" s="378" t="s">
        <v>588</v>
      </c>
      <c r="C34" s="265"/>
      <c r="D34" s="622" t="n">
        <f aca="false">'Book Income Statement'!D81-'Cash Flow Statement'!D36</f>
        <v>1904.66653188521</v>
      </c>
      <c r="E34" s="622" t="n">
        <f aca="false">'Book Income Statement'!E81-'Cash Flow Statement'!E36+D34</f>
        <v>-478.582282721673</v>
      </c>
      <c r="F34" s="622" t="n">
        <f aca="false">'Book Income Statement'!F81-'Cash Flow Statement'!F36+E34</f>
        <v>-1348.71022892985</v>
      </c>
      <c r="G34" s="622" t="n">
        <f aca="false">'Book Income Statement'!G81-'Cash Flow Statement'!G36+F34</f>
        <v>-3296.67422567335</v>
      </c>
      <c r="H34" s="622" t="n">
        <f aca="false">'Book Income Statement'!H81-'Cash Flow Statement'!H36+G34</f>
        <v>-8139.95458435725</v>
      </c>
      <c r="I34" s="622" t="n">
        <f aca="false">'Book Income Statement'!I81-'Cash Flow Statement'!I36+H34</f>
        <v>-10071.2143827702</v>
      </c>
      <c r="J34" s="622" t="n">
        <f aca="false">'Book Income Statement'!J81-'Cash Flow Statement'!J36+I34</f>
        <v>-11052.6924263255</v>
      </c>
      <c r="K34" s="622" t="n">
        <f aca="false">'Book Income Statement'!K81-'Cash Flow Statement'!K36+J34</f>
        <v>-12062.0438996149</v>
      </c>
      <c r="L34" s="622" t="n">
        <f aca="false">'Book Income Statement'!L81-'Cash Flow Statement'!L36+K34</f>
        <v>-9408.15331250864</v>
      </c>
      <c r="M34" s="622" t="n">
        <f aca="false">'Book Income Statement'!M81-'Cash Flow Statement'!M36+L34</f>
        <v>-4224.64787232201</v>
      </c>
      <c r="N34" s="622" t="n">
        <f aca="false">'Book Income Statement'!N81-'Cash Flow Statement'!N36+M34</f>
        <v>-8081.01086220281</v>
      </c>
      <c r="O34" s="622" t="n">
        <f aca="false">'Book Income Statement'!O81-'Cash Flow Statement'!O36+N34</f>
        <v>-11463.734886569</v>
      </c>
      <c r="P34" s="622" t="n">
        <f aca="false">'Book Income Statement'!P81-'Cash Flow Statement'!P36+O34</f>
        <v>-14674.2403355103</v>
      </c>
      <c r="Q34" s="622" t="n">
        <f aca="false">'Book Income Statement'!Q81-'Cash Flow Statement'!Q36+P34</f>
        <v>-17890.7274142462</v>
      </c>
      <c r="R34" s="622" t="n">
        <f aca="false">'Book Income Statement'!R81-'Cash Flow Statement'!R36+Q34</f>
        <v>-21101.2328631874</v>
      </c>
      <c r="S34" s="622" t="n">
        <f aca="false">'Book Income Statement'!S81-'Cash Flow Statement'!S36+R34</f>
        <v>-22547.1575227143</v>
      </c>
      <c r="T34" s="622" t="n">
        <f aca="false">'Book Income Statement'!T81-'Cash Flow Statement'!T36+S34</f>
        <v>-18972.6560513268</v>
      </c>
      <c r="U34" s="622" t="n">
        <f aca="false">'Book Income Statement'!U81-'Cash Flow Statement'!U36+T34</f>
        <v>-14095.8164433393</v>
      </c>
      <c r="V34" s="622" t="n">
        <f aca="false">'Book Income Statement'!V81-'Cash Flow Statement'!V36+U34</f>
        <v>-7265.4696304518</v>
      </c>
      <c r="W34" s="622" t="n">
        <f aca="false">'Book Income Statement'!W81-'Cash Flow Statement'!W36+V34</f>
        <v>867.215319035693</v>
      </c>
      <c r="X34" s="767" t="n">
        <f aca="false">'Book Income Statement'!X81-'Cash Flow Statement'!X36+W34</f>
        <v>-2470.49802174625</v>
      </c>
    </row>
    <row r="35" customFormat="false" ht="12.75" hidden="false" customHeight="false" outlineLevel="0" collapsed="false">
      <c r="A35" s="393"/>
      <c r="B35" s="378" t="s">
        <v>589</v>
      </c>
      <c r="C35" s="265"/>
      <c r="D35" s="760" t="n">
        <f aca="false">SUM(D33:D34)</f>
        <v>41852.9000318852</v>
      </c>
      <c r="E35" s="760" t="n">
        <f aca="false">SUM(E33:E34)</f>
        <v>39469.6512172783</v>
      </c>
      <c r="F35" s="760" t="n">
        <f aca="false">SUM(F33:F34)</f>
        <v>38599.5232710702</v>
      </c>
      <c r="G35" s="760" t="n">
        <f aca="false">SUM(G33:G34)</f>
        <v>36651.5592743267</v>
      </c>
      <c r="H35" s="760" t="n">
        <f aca="false">SUM(H33:H34)</f>
        <v>31808.2789156428</v>
      </c>
      <c r="I35" s="760" t="n">
        <f aca="false">SUM(I33:I34)</f>
        <v>29877.0191172298</v>
      </c>
      <c r="J35" s="760" t="n">
        <f aca="false">SUM(J33:J34)</f>
        <v>28895.5410736745</v>
      </c>
      <c r="K35" s="760" t="n">
        <f aca="false">SUM(K33:K34)</f>
        <v>27886.1896003851</v>
      </c>
      <c r="L35" s="760" t="n">
        <f aca="false">SUM(L33:L34)</f>
        <v>30540.0801874914</v>
      </c>
      <c r="M35" s="760" t="n">
        <f aca="false">SUM(M33:M34)</f>
        <v>35723.585627678</v>
      </c>
      <c r="N35" s="760" t="n">
        <f aca="false">SUM(N33:N34)</f>
        <v>31867.2226377972</v>
      </c>
      <c r="O35" s="760" t="n">
        <f aca="false">SUM(O33:O34)</f>
        <v>28484.498613431</v>
      </c>
      <c r="P35" s="760" t="n">
        <f aca="false">SUM(P33:P34)</f>
        <v>25273.9931644897</v>
      </c>
      <c r="Q35" s="760" t="n">
        <f aca="false">SUM(Q33:Q34)</f>
        <v>22057.5060857538</v>
      </c>
      <c r="R35" s="760" t="n">
        <f aca="false">SUM(R33:R34)</f>
        <v>18847.0006368126</v>
      </c>
      <c r="S35" s="760" t="n">
        <f aca="false">SUM(S33:S34)</f>
        <v>17401.0759772857</v>
      </c>
      <c r="T35" s="760" t="n">
        <f aca="false">SUM(T33:T34)</f>
        <v>20975.5774486732</v>
      </c>
      <c r="U35" s="760" t="n">
        <f aca="false">SUM(U33:U34)</f>
        <v>25852.4170566607</v>
      </c>
      <c r="V35" s="760" t="n">
        <f aca="false">SUM(V33:V34)</f>
        <v>32682.7638695482</v>
      </c>
      <c r="W35" s="760" t="n">
        <f aca="false">SUM(W33:W34)</f>
        <v>40815.4488190357</v>
      </c>
      <c r="X35" s="761" t="n">
        <f aca="false">SUM(X33:X34)</f>
        <v>37477.7354782538</v>
      </c>
    </row>
    <row r="36" customFormat="false" ht="12.75" hidden="false" customHeight="false" outlineLevel="0" collapsed="false">
      <c r="A36" s="766" t="s">
        <v>590</v>
      </c>
      <c r="B36" s="265"/>
      <c r="C36" s="265"/>
      <c r="D36" s="23" t="n">
        <f aca="false">D30+D35</f>
        <v>159717.423695833</v>
      </c>
      <c r="E36" s="23" t="n">
        <f aca="false">E30+E35</f>
        <v>156850.810305833</v>
      </c>
      <c r="F36" s="23" t="n">
        <f aca="false">F30+F35</f>
        <v>154050.346152633</v>
      </c>
      <c r="G36" s="23" t="n">
        <f aca="false">G30+G35</f>
        <v>148803.088787569</v>
      </c>
      <c r="H36" s="23" t="n">
        <f aca="false">H30+H35</f>
        <v>146140.936073594</v>
      </c>
      <c r="I36" s="23" t="n">
        <f aca="false">I30+I35</f>
        <v>143749.347133366</v>
      </c>
      <c r="J36" s="23" t="n">
        <f aca="false">J30+J35</f>
        <v>134351.527537944</v>
      </c>
      <c r="K36" s="23" t="n">
        <f aca="false">K30+K35</f>
        <v>132252.7043251</v>
      </c>
      <c r="L36" s="23" t="n">
        <f aca="false">L30+L35</f>
        <v>130232.866760371</v>
      </c>
      <c r="M36" s="23" t="n">
        <f aca="false">M30+M35</f>
        <v>125291.430141883</v>
      </c>
      <c r="N36" s="23" t="n">
        <f aca="false">N30+N35</f>
        <v>123436.743668797</v>
      </c>
      <c r="O36" s="23" t="n">
        <f aca="false">O30+O35</f>
        <v>121668.366946018</v>
      </c>
      <c r="P36" s="23" t="n">
        <f aca="false">P30+P35</f>
        <v>119988.889266055</v>
      </c>
      <c r="Q36" s="23" t="n">
        <f aca="false">Q30+Q35</f>
        <v>88071.1334732896</v>
      </c>
      <c r="R36" s="23" t="n">
        <f aca="false">R30+R35</f>
        <v>86577.5348019526</v>
      </c>
      <c r="S36" s="23" t="n">
        <f aca="false">S30+S35</f>
        <v>85181.0785149755</v>
      </c>
      <c r="T36" s="23" t="n">
        <f aca="false">T30+T35</f>
        <v>75832.4019028929</v>
      </c>
      <c r="U36" s="23" t="n">
        <f aca="false">U30+U35</f>
        <v>74639.0606273739</v>
      </c>
      <c r="V36" s="23" t="n">
        <f aca="false">V30+V35</f>
        <v>73551.8694580894</v>
      </c>
      <c r="W36" s="23" t="n">
        <f aca="false">W30+W35</f>
        <v>54577.9205559802</v>
      </c>
      <c r="X36" s="24" t="n">
        <f aca="false">X30+X35</f>
        <v>53712.6786438212</v>
      </c>
    </row>
    <row r="37" customFormat="false" ht="12.75" hidden="false" customHeight="false" outlineLevel="0" collapsed="false">
      <c r="A37" s="759"/>
      <c r="B37" s="265"/>
      <c r="C37" s="265"/>
      <c r="D37" s="265"/>
      <c r="E37" s="265"/>
      <c r="F37" s="265"/>
      <c r="G37" s="265"/>
      <c r="H37" s="265"/>
      <c r="I37" s="265"/>
      <c r="J37" s="265"/>
      <c r="K37" s="265"/>
      <c r="L37" s="265"/>
      <c r="M37" s="265"/>
      <c r="N37" s="265"/>
      <c r="O37" s="265"/>
      <c r="P37" s="265"/>
      <c r="Q37" s="265"/>
      <c r="R37" s="265"/>
      <c r="S37" s="265"/>
      <c r="T37" s="265"/>
      <c r="U37" s="265"/>
      <c r="V37" s="265"/>
      <c r="W37" s="265"/>
      <c r="X37" s="441"/>
    </row>
    <row r="38" customFormat="false" ht="12.75" hidden="false" customHeight="false" outlineLevel="0" collapsed="false">
      <c r="A38" s="768" t="s">
        <v>591</v>
      </c>
      <c r="B38" s="769"/>
      <c r="C38" s="769"/>
      <c r="D38" s="770" t="n">
        <f aca="false">IF(D3&gt;ProjectLife+1,0,D21-D36)</f>
        <v>0</v>
      </c>
      <c r="E38" s="770" t="n">
        <f aca="false">IF(E3&gt;ProjectLife+1,0,E21-E36)</f>
        <v>0</v>
      </c>
      <c r="F38" s="770" t="n">
        <f aca="false">IF(F3&gt;ProjectLife+1,0,F21-F36)</f>
        <v>0</v>
      </c>
      <c r="G38" s="770" t="n">
        <f aca="false">IF(G3&gt;ProjectLife+1,0,G21-G36)</f>
        <v>0</v>
      </c>
      <c r="H38" s="770" t="n">
        <f aca="false">IF(H3&gt;ProjectLife+1,0,H21-H36)</f>
        <v>0</v>
      </c>
      <c r="I38" s="770" t="n">
        <f aca="false">IF(I3&gt;ProjectLife+1,0,I21-I36)</f>
        <v>0</v>
      </c>
      <c r="J38" s="770" t="n">
        <f aca="false">IF(J3&gt;ProjectLife+1,0,J21-J36)</f>
        <v>0</v>
      </c>
      <c r="K38" s="770" t="n">
        <f aca="false">IF(K3&gt;ProjectLife+1,0,K21-K36)</f>
        <v>0</v>
      </c>
      <c r="L38" s="770" t="n">
        <f aca="false">IF(L3&gt;ProjectLife+1,0,L21-L36)</f>
        <v>0</v>
      </c>
      <c r="M38" s="770" t="n">
        <f aca="false">IF(M3&gt;ProjectLife+1,0,M21-M36)</f>
        <v>0</v>
      </c>
      <c r="N38" s="770" t="n">
        <f aca="false">IF(N3&gt;ProjectLife+1,0,N21-N36)</f>
        <v>0</v>
      </c>
      <c r="O38" s="770" t="n">
        <f aca="false">IF(O3&gt;ProjectLife+1,0,O21-O36)</f>
        <v>0</v>
      </c>
      <c r="P38" s="770" t="n">
        <f aca="false">IF(P3&gt;ProjectLife+1,0,P21-P36)</f>
        <v>0</v>
      </c>
      <c r="Q38" s="770" t="n">
        <f aca="false">IF(Q3&gt;ProjectLife+1,0,Q21-Q36)</f>
        <v>0</v>
      </c>
      <c r="R38" s="770" t="n">
        <f aca="false">IF(R3&gt;ProjectLife+1,0,R21-R36)</f>
        <v>0</v>
      </c>
      <c r="S38" s="770" t="n">
        <f aca="false">IF(S3&gt;ProjectLife+1,0,S21-S36)</f>
        <v>0</v>
      </c>
      <c r="T38" s="770" t="n">
        <f aca="false">IF(T3&gt;ProjectLife+1,0,T21-T36)</f>
        <v>0</v>
      </c>
      <c r="U38" s="770" t="n">
        <f aca="false">IF(U3&gt;ProjectLife+1,0,U21-U36)</f>
        <v>0</v>
      </c>
      <c r="V38" s="770" t="n">
        <f aca="false">IF(V3&gt;ProjectLife+1,0,V21-V36)</f>
        <v>0</v>
      </c>
      <c r="W38" s="770" t="n">
        <f aca="false">IF(W3&gt;ProjectLife+1,0,W21-W36)</f>
        <v>0</v>
      </c>
      <c r="X38" s="771" t="n">
        <f aca="false">IF(X3&gt;ProjectLife+1,0,X21-X36)</f>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64"/>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D17" activeCellId="0" sqref="D17"/>
    </sheetView>
  </sheetViews>
  <sheetFormatPr defaultColWidth="9.28125" defaultRowHeight="11.25" customHeight="true" zeroHeight="false" outlineLevelRow="0" outlineLevelCol="0"/>
  <cols>
    <col collapsed="false" customWidth="true" hidden="false" outlineLevel="0" max="1" min="1" style="1" width="15.85"/>
    <col collapsed="false" customWidth="true" hidden="false" outlineLevel="0" max="2" min="2" style="1" width="14.99"/>
    <col collapsed="false" customWidth="true" hidden="false" outlineLevel="0" max="3" min="3" style="1" width="16.56"/>
    <col collapsed="false" customWidth="false" hidden="false" outlineLevel="0" max="25" min="4" style="1" width="9.28"/>
    <col collapsed="false" customWidth="false" hidden="true" outlineLevel="0" max="27" min="26" style="1" width="9.28"/>
    <col collapsed="false" customWidth="false" hidden="false" outlineLevel="0" max="33" min="28" style="1" width="9.28"/>
    <col collapsed="false" customWidth="false" hidden="false" outlineLevel="0" max="257" min="34" style="4" width="9.28"/>
  </cols>
  <sheetData>
    <row r="1" customFormat="false" ht="21.75" hidden="false" customHeight="true" outlineLevel="0" collapsed="false">
      <c r="A1" s="367" t="str">
        <f aca="false">'Project Assumtions'!$A$2</f>
        <v>WHEATLAND POWER IN, L.L.C.</v>
      </c>
      <c r="B1" s="772"/>
      <c r="C1" s="708"/>
      <c r="AC1" s="482"/>
      <c r="AD1" s="378"/>
    </row>
    <row r="2" customFormat="false" ht="15.6" hidden="false" customHeight="true" outlineLevel="0" collapsed="false">
      <c r="A2" s="370" t="s">
        <v>592</v>
      </c>
      <c r="B2" s="709"/>
      <c r="C2" s="710"/>
      <c r="D2" s="481"/>
      <c r="E2" s="481"/>
      <c r="F2" s="481"/>
      <c r="G2" s="481"/>
      <c r="H2" s="481"/>
      <c r="I2" s="481"/>
      <c r="J2" s="481"/>
      <c r="K2" s="482"/>
      <c r="L2" s="481"/>
      <c r="M2" s="481"/>
      <c r="N2" s="481"/>
      <c r="O2" s="481"/>
      <c r="P2" s="481"/>
      <c r="Q2" s="482"/>
      <c r="R2" s="481"/>
      <c r="S2" s="481"/>
      <c r="T2" s="481"/>
      <c r="U2" s="481"/>
      <c r="V2" s="481"/>
      <c r="W2" s="482"/>
      <c r="X2" s="481"/>
      <c r="Y2" s="481"/>
      <c r="Z2" s="481"/>
      <c r="AA2" s="481"/>
      <c r="AB2" s="481"/>
      <c r="AC2" s="482"/>
      <c r="AD2" s="378"/>
    </row>
    <row r="3" customFormat="false" ht="12.6" hidden="false" customHeight="true" outlineLevel="0" collapsed="false">
      <c r="A3" s="480"/>
      <c r="B3" s="6"/>
      <c r="C3" s="481"/>
      <c r="D3" s="481" t="n">
        <v>1</v>
      </c>
      <c r="E3" s="481" t="n">
        <f aca="false">D3+1</f>
        <v>2</v>
      </c>
      <c r="F3" s="481" t="n">
        <f aca="false">E3+1</f>
        <v>3</v>
      </c>
      <c r="G3" s="481" t="n">
        <f aca="false">F3+1</f>
        <v>4</v>
      </c>
      <c r="H3" s="481" t="n">
        <f aca="false">G3+1</f>
        <v>5</v>
      </c>
      <c r="I3" s="482" t="n">
        <f aca="false">H3+1</f>
        <v>6</v>
      </c>
      <c r="J3" s="481" t="n">
        <f aca="false">I3+1</f>
        <v>7</v>
      </c>
      <c r="K3" s="481" t="n">
        <f aca="false">J3+1</f>
        <v>8</v>
      </c>
      <c r="L3" s="481" t="n">
        <f aca="false">K3+1</f>
        <v>9</v>
      </c>
      <c r="M3" s="481" t="n">
        <f aca="false">L3+1</f>
        <v>10</v>
      </c>
      <c r="N3" s="481" t="n">
        <f aca="false">M3+1</f>
        <v>11</v>
      </c>
      <c r="O3" s="482" t="n">
        <f aca="false">N3+1</f>
        <v>12</v>
      </c>
      <c r="P3" s="481" t="n">
        <f aca="false">O3+1</f>
        <v>13</v>
      </c>
      <c r="Q3" s="481" t="n">
        <f aca="false">P3+1</f>
        <v>14</v>
      </c>
      <c r="R3" s="481" t="n">
        <f aca="false">Q3+1</f>
        <v>15</v>
      </c>
      <c r="S3" s="481" t="n">
        <f aca="false">R3+1</f>
        <v>16</v>
      </c>
      <c r="T3" s="481" t="n">
        <f aca="false">S3+1</f>
        <v>17</v>
      </c>
      <c r="U3" s="482" t="n">
        <f aca="false">T3+1</f>
        <v>18</v>
      </c>
      <c r="V3" s="481" t="n">
        <f aca="false">U3+1</f>
        <v>19</v>
      </c>
      <c r="W3" s="481" t="n">
        <f aca="false">V3+1</f>
        <v>20</v>
      </c>
      <c r="X3" s="481" t="n">
        <f aca="false">W3+1</f>
        <v>21</v>
      </c>
      <c r="Y3" s="481" t="n">
        <f aca="false">X3+1</f>
        <v>22</v>
      </c>
      <c r="Z3" s="481" t="n">
        <f aca="false">Y3+1</f>
        <v>23</v>
      </c>
      <c r="AA3" s="482" t="n">
        <f aca="false">Z3+1</f>
        <v>24</v>
      </c>
      <c r="AB3" s="481" t="n">
        <f aca="false">AA3+1</f>
        <v>25</v>
      </c>
      <c r="AC3" s="483"/>
      <c r="AD3" s="6"/>
      <c r="AE3" s="481"/>
      <c r="AF3" s="481"/>
      <c r="AG3" s="481"/>
      <c r="AH3" s="637"/>
      <c r="AI3" s="637"/>
      <c r="AJ3" s="637"/>
      <c r="AK3" s="637"/>
      <c r="AL3" s="637"/>
      <c r="AM3" s="637"/>
      <c r="AN3" s="637"/>
      <c r="AO3" s="637"/>
      <c r="AP3" s="637"/>
      <c r="AQ3" s="637"/>
      <c r="AR3" s="637"/>
      <c r="AS3" s="637"/>
      <c r="AT3" s="637"/>
      <c r="AU3" s="637"/>
      <c r="AV3" s="637"/>
      <c r="AW3" s="637"/>
      <c r="AX3" s="637"/>
      <c r="AY3" s="637"/>
      <c r="AZ3" s="637"/>
      <c r="BA3" s="637"/>
      <c r="BB3" s="637"/>
      <c r="BC3" s="637"/>
      <c r="BD3" s="637"/>
      <c r="BE3" s="637"/>
      <c r="BF3" s="637"/>
      <c r="BG3" s="637"/>
      <c r="BH3" s="637"/>
      <c r="BI3" s="637"/>
      <c r="BJ3" s="637"/>
      <c r="BK3" s="637"/>
      <c r="BL3" s="637"/>
      <c r="BM3" s="637"/>
      <c r="BN3" s="637"/>
      <c r="BO3" s="637"/>
      <c r="BP3" s="637"/>
      <c r="BQ3" s="637"/>
      <c r="BR3" s="637"/>
      <c r="BS3" s="637"/>
      <c r="BT3" s="637"/>
      <c r="BU3" s="637"/>
      <c r="BV3" s="637"/>
      <c r="BW3" s="637"/>
      <c r="BX3" s="637"/>
      <c r="BY3" s="637"/>
      <c r="BZ3" s="637"/>
      <c r="CA3" s="637"/>
      <c r="CB3" s="637"/>
      <c r="CC3" s="637"/>
      <c r="CD3" s="637"/>
      <c r="CE3" s="637"/>
      <c r="CF3" s="637"/>
      <c r="CG3" s="637"/>
      <c r="CH3" s="637"/>
      <c r="CI3" s="637"/>
      <c r="CJ3" s="637"/>
      <c r="CK3" s="637"/>
      <c r="CL3" s="637"/>
      <c r="CM3" s="637"/>
      <c r="CN3" s="637"/>
      <c r="CO3" s="637"/>
      <c r="CP3" s="637"/>
      <c r="CQ3" s="637"/>
      <c r="CR3" s="637"/>
      <c r="CS3" s="637"/>
      <c r="CT3" s="637"/>
      <c r="CU3" s="637"/>
      <c r="CV3" s="637"/>
      <c r="CW3" s="637"/>
      <c r="CX3" s="637"/>
      <c r="CY3" s="637"/>
      <c r="CZ3" s="637"/>
      <c r="DA3" s="637"/>
      <c r="DB3" s="637"/>
      <c r="DC3" s="637"/>
      <c r="DD3" s="637"/>
      <c r="DE3" s="637"/>
      <c r="DF3" s="637"/>
      <c r="DG3" s="637"/>
      <c r="DH3" s="637"/>
      <c r="DI3" s="637"/>
      <c r="DJ3" s="637"/>
      <c r="DK3" s="637"/>
      <c r="DL3" s="637"/>
      <c r="DM3" s="637"/>
      <c r="DN3" s="637"/>
      <c r="DO3" s="637"/>
      <c r="DP3" s="637"/>
      <c r="DQ3" s="637"/>
      <c r="DR3" s="637"/>
      <c r="DS3" s="637"/>
      <c r="DT3" s="637"/>
      <c r="DU3" s="637"/>
      <c r="DV3" s="637"/>
      <c r="DW3" s="637"/>
      <c r="DX3" s="637"/>
      <c r="DY3" s="637"/>
      <c r="DZ3" s="637"/>
      <c r="EA3" s="637"/>
      <c r="EB3" s="637"/>
      <c r="EC3" s="637"/>
      <c r="ED3" s="637"/>
      <c r="EE3" s="637"/>
      <c r="EF3" s="637"/>
      <c r="EG3" s="637"/>
      <c r="EH3" s="637"/>
      <c r="EI3" s="637"/>
      <c r="EJ3" s="637"/>
      <c r="EK3" s="637"/>
      <c r="EL3" s="637"/>
      <c r="EM3" s="637"/>
      <c r="EN3" s="637"/>
      <c r="EO3" s="637"/>
      <c r="EP3" s="637"/>
      <c r="EQ3" s="637"/>
      <c r="ER3" s="637"/>
      <c r="ES3" s="637"/>
      <c r="ET3" s="637"/>
      <c r="EU3" s="637"/>
      <c r="EV3" s="637"/>
      <c r="EW3" s="637"/>
      <c r="EX3" s="637"/>
      <c r="EY3" s="637"/>
      <c r="EZ3" s="637"/>
      <c r="FA3" s="637"/>
      <c r="FB3" s="637"/>
      <c r="FC3" s="637"/>
      <c r="FD3" s="637"/>
      <c r="FE3" s="637"/>
      <c r="FF3" s="637"/>
      <c r="FG3" s="637"/>
      <c r="FH3" s="637"/>
      <c r="FI3" s="637"/>
      <c r="FJ3" s="637"/>
      <c r="FK3" s="637"/>
      <c r="FL3" s="637"/>
      <c r="FM3" s="637"/>
      <c r="FN3" s="637"/>
      <c r="FO3" s="637"/>
      <c r="FP3" s="637"/>
      <c r="FQ3" s="637"/>
      <c r="FR3" s="637"/>
      <c r="FS3" s="637"/>
      <c r="FT3" s="637"/>
      <c r="FU3" s="637"/>
      <c r="FV3" s="637"/>
      <c r="FW3" s="637"/>
      <c r="FX3" s="637"/>
      <c r="FY3" s="637"/>
      <c r="FZ3" s="637"/>
      <c r="GA3" s="637"/>
      <c r="GB3" s="637"/>
      <c r="GC3" s="637"/>
      <c r="GD3" s="637"/>
      <c r="GE3" s="637"/>
      <c r="GF3" s="637"/>
      <c r="GG3" s="637"/>
      <c r="GH3" s="637"/>
      <c r="GI3" s="637"/>
      <c r="GJ3" s="637"/>
      <c r="GK3" s="637"/>
      <c r="GL3" s="637"/>
      <c r="GM3" s="637"/>
      <c r="GN3" s="637"/>
      <c r="GO3" s="637"/>
      <c r="GP3" s="637"/>
      <c r="GQ3" s="637"/>
      <c r="GR3" s="637"/>
      <c r="GS3" s="637"/>
      <c r="GT3" s="637"/>
      <c r="GU3" s="637"/>
      <c r="GV3" s="637"/>
      <c r="GW3" s="637"/>
      <c r="GX3" s="637"/>
      <c r="GY3" s="637"/>
      <c r="GZ3" s="637"/>
      <c r="HA3" s="637"/>
      <c r="HB3" s="637"/>
      <c r="HC3" s="637"/>
      <c r="HD3" s="637"/>
      <c r="HE3" s="637"/>
      <c r="HF3" s="637"/>
      <c r="HG3" s="637"/>
      <c r="HH3" s="637"/>
      <c r="HI3" s="637"/>
      <c r="HJ3" s="637"/>
      <c r="HK3" s="637"/>
      <c r="HL3" s="637"/>
      <c r="HM3" s="637"/>
      <c r="HN3" s="637"/>
      <c r="HO3" s="637"/>
      <c r="HP3" s="637"/>
      <c r="HQ3" s="637"/>
      <c r="HR3" s="637"/>
      <c r="HS3" s="637"/>
      <c r="HT3" s="637"/>
      <c r="HU3" s="637"/>
      <c r="HV3" s="637"/>
      <c r="HW3" s="637"/>
      <c r="HX3" s="637"/>
      <c r="HY3" s="637"/>
      <c r="HZ3" s="637"/>
      <c r="IA3" s="637"/>
      <c r="IB3" s="637"/>
      <c r="IC3" s="637"/>
      <c r="ID3" s="637"/>
      <c r="IE3" s="637"/>
      <c r="IF3" s="637"/>
      <c r="IG3" s="637"/>
      <c r="IH3" s="637"/>
      <c r="II3" s="637"/>
      <c r="IJ3" s="637"/>
      <c r="IK3" s="637"/>
      <c r="IL3" s="637"/>
      <c r="IM3" s="637"/>
      <c r="IN3" s="637"/>
      <c r="IO3" s="637"/>
      <c r="IP3" s="637"/>
      <c r="IQ3" s="637"/>
      <c r="IR3" s="637"/>
      <c r="IS3" s="637"/>
      <c r="IT3" s="637"/>
      <c r="IU3" s="637"/>
      <c r="IV3" s="637"/>
      <c r="IW3" s="637"/>
    </row>
    <row r="4" customFormat="false" ht="12.6" hidden="false" customHeight="true" outlineLevel="0" collapsed="false">
      <c r="A4" s="484"/>
      <c r="B4" s="485"/>
      <c r="C4" s="711"/>
      <c r="D4" s="711" t="n">
        <f aca="false">YEAR('Project Assumtions'!G16)</f>
        <v>2000</v>
      </c>
      <c r="E4" s="711" t="n">
        <f aca="false">D4+1</f>
        <v>2001</v>
      </c>
      <c r="F4" s="711" t="n">
        <f aca="false">E4+1</f>
        <v>2002</v>
      </c>
      <c r="G4" s="711" t="n">
        <f aca="false">F4+1</f>
        <v>2003</v>
      </c>
      <c r="H4" s="711" t="n">
        <f aca="false">G4+1</f>
        <v>2004</v>
      </c>
      <c r="I4" s="711" t="n">
        <f aca="false">H4+1</f>
        <v>2005</v>
      </c>
      <c r="J4" s="711" t="n">
        <f aca="false">I4+1</f>
        <v>2006</v>
      </c>
      <c r="K4" s="711" t="n">
        <f aca="false">J4+1</f>
        <v>2007</v>
      </c>
      <c r="L4" s="711" t="n">
        <f aca="false">K4+1</f>
        <v>2008</v>
      </c>
      <c r="M4" s="711" t="n">
        <f aca="false">L4+1</f>
        <v>2009</v>
      </c>
      <c r="N4" s="711" t="n">
        <f aca="false">M4+1</f>
        <v>2010</v>
      </c>
      <c r="O4" s="711" t="n">
        <f aca="false">N4+1</f>
        <v>2011</v>
      </c>
      <c r="P4" s="711" t="n">
        <f aca="false">O4+1</f>
        <v>2012</v>
      </c>
      <c r="Q4" s="711" t="n">
        <f aca="false">P4+1</f>
        <v>2013</v>
      </c>
      <c r="R4" s="711" t="n">
        <f aca="false">Q4+1</f>
        <v>2014</v>
      </c>
      <c r="S4" s="711" t="n">
        <f aca="false">R4+1</f>
        <v>2015</v>
      </c>
      <c r="T4" s="711" t="n">
        <f aca="false">S4+1</f>
        <v>2016</v>
      </c>
      <c r="U4" s="711" t="n">
        <f aca="false">T4+1</f>
        <v>2017</v>
      </c>
      <c r="V4" s="711" t="n">
        <f aca="false">U4+1</f>
        <v>2018</v>
      </c>
      <c r="W4" s="711" t="n">
        <f aca="false">V4+1</f>
        <v>2019</v>
      </c>
      <c r="X4" s="711" t="n">
        <f aca="false">W4+1</f>
        <v>2020</v>
      </c>
      <c r="Y4" s="711" t="n">
        <f aca="false">X4+1</f>
        <v>2021</v>
      </c>
      <c r="Z4" s="711" t="n">
        <f aca="false">Y4+1</f>
        <v>2022</v>
      </c>
      <c r="AA4" s="711" t="n">
        <f aca="false">Z4+1</f>
        <v>2023</v>
      </c>
      <c r="AB4" s="773" t="n">
        <f aca="false">AA4+1</f>
        <v>2024</v>
      </c>
      <c r="AC4" s="390"/>
      <c r="AD4" s="6"/>
      <c r="AE4" s="390"/>
      <c r="AF4" s="390"/>
      <c r="AG4" s="390"/>
      <c r="AH4" s="486"/>
      <c r="AI4" s="486"/>
      <c r="AJ4" s="486"/>
      <c r="AK4" s="486"/>
      <c r="AL4" s="486"/>
      <c r="AM4" s="486"/>
      <c r="AN4" s="486"/>
      <c r="AO4" s="486"/>
      <c r="AP4" s="486"/>
      <c r="AQ4" s="486"/>
      <c r="AR4" s="486"/>
      <c r="AS4" s="486"/>
      <c r="AT4" s="486"/>
      <c r="AU4" s="486"/>
      <c r="AV4" s="486"/>
      <c r="AW4" s="486"/>
      <c r="AX4" s="486"/>
      <c r="AY4" s="486"/>
      <c r="AZ4" s="486"/>
      <c r="BA4" s="637"/>
      <c r="BB4" s="637"/>
      <c r="BC4" s="637"/>
      <c r="BD4" s="637"/>
      <c r="BE4" s="637"/>
      <c r="BF4" s="637"/>
      <c r="BG4" s="637"/>
      <c r="BH4" s="637"/>
      <c r="BI4" s="637"/>
      <c r="BJ4" s="637"/>
      <c r="BK4" s="637"/>
      <c r="BL4" s="637"/>
      <c r="BM4" s="637"/>
      <c r="BN4" s="637"/>
      <c r="BO4" s="637"/>
      <c r="BP4" s="637"/>
      <c r="BQ4" s="637"/>
      <c r="BR4" s="637"/>
      <c r="BS4" s="637"/>
      <c r="BT4" s="637"/>
      <c r="BU4" s="637"/>
      <c r="BV4" s="637"/>
      <c r="BW4" s="637"/>
      <c r="BX4" s="637"/>
      <c r="BY4" s="637"/>
      <c r="BZ4" s="637"/>
      <c r="CA4" s="637"/>
      <c r="CB4" s="637"/>
      <c r="CC4" s="637"/>
      <c r="CD4" s="637"/>
      <c r="CE4" s="637"/>
      <c r="CF4" s="637"/>
      <c r="CG4" s="637"/>
      <c r="CH4" s="637"/>
      <c r="CI4" s="637"/>
      <c r="CJ4" s="637"/>
      <c r="CK4" s="637"/>
      <c r="CL4" s="637"/>
      <c r="CM4" s="637"/>
      <c r="CN4" s="637"/>
      <c r="CO4" s="637"/>
      <c r="CP4" s="637"/>
      <c r="CQ4" s="637"/>
      <c r="CR4" s="637"/>
      <c r="CS4" s="637"/>
      <c r="CT4" s="637"/>
      <c r="CU4" s="637"/>
      <c r="CV4" s="637"/>
      <c r="CW4" s="637"/>
      <c r="CX4" s="637"/>
      <c r="CY4" s="637"/>
      <c r="CZ4" s="637"/>
      <c r="DA4" s="637"/>
      <c r="DB4" s="637"/>
      <c r="DC4" s="637"/>
      <c r="DD4" s="637"/>
      <c r="DE4" s="637"/>
      <c r="DF4" s="637"/>
      <c r="DG4" s="637"/>
      <c r="DH4" s="637"/>
      <c r="DI4" s="637"/>
      <c r="DJ4" s="637"/>
      <c r="DK4" s="637"/>
      <c r="DL4" s="637"/>
      <c r="DM4" s="637"/>
      <c r="DN4" s="637"/>
      <c r="DO4" s="637"/>
      <c r="DP4" s="637"/>
      <c r="DQ4" s="637"/>
      <c r="DR4" s="637"/>
      <c r="DS4" s="637"/>
      <c r="DT4" s="637"/>
      <c r="DU4" s="637"/>
      <c r="DV4" s="637"/>
      <c r="DW4" s="637"/>
      <c r="DX4" s="637"/>
      <c r="DY4" s="637"/>
      <c r="DZ4" s="637"/>
      <c r="EA4" s="637"/>
      <c r="EB4" s="637"/>
      <c r="EC4" s="637"/>
      <c r="ED4" s="637"/>
      <c r="EE4" s="637"/>
      <c r="EF4" s="637"/>
      <c r="EG4" s="637"/>
      <c r="EH4" s="637"/>
      <c r="EI4" s="637"/>
      <c r="EJ4" s="637"/>
      <c r="EK4" s="637"/>
      <c r="EL4" s="637"/>
      <c r="EM4" s="637"/>
      <c r="EN4" s="637"/>
      <c r="EO4" s="637"/>
      <c r="EP4" s="637"/>
      <c r="EQ4" s="637"/>
      <c r="ER4" s="637"/>
      <c r="ES4" s="637"/>
      <c r="ET4" s="637"/>
      <c r="EU4" s="637"/>
      <c r="EV4" s="637"/>
      <c r="EW4" s="637"/>
      <c r="EX4" s="637"/>
      <c r="EY4" s="637"/>
      <c r="EZ4" s="637"/>
      <c r="FA4" s="637"/>
      <c r="FB4" s="637"/>
      <c r="FC4" s="637"/>
      <c r="FD4" s="637"/>
      <c r="FE4" s="637"/>
      <c r="FF4" s="637"/>
      <c r="FG4" s="637"/>
      <c r="FH4" s="637"/>
      <c r="FI4" s="637"/>
      <c r="FJ4" s="637"/>
      <c r="FK4" s="637"/>
      <c r="FL4" s="637"/>
      <c r="FM4" s="637"/>
      <c r="FN4" s="637"/>
      <c r="FO4" s="637"/>
      <c r="FP4" s="637"/>
      <c r="FQ4" s="637"/>
      <c r="FR4" s="637"/>
      <c r="FS4" s="637"/>
      <c r="FT4" s="637"/>
      <c r="FU4" s="637"/>
      <c r="FV4" s="637"/>
      <c r="FW4" s="637"/>
      <c r="FX4" s="637"/>
      <c r="FY4" s="637"/>
      <c r="FZ4" s="637"/>
      <c r="GA4" s="637"/>
      <c r="GB4" s="637"/>
      <c r="GC4" s="637"/>
      <c r="GD4" s="637"/>
      <c r="GE4" s="637"/>
      <c r="GF4" s="637"/>
      <c r="GG4" s="637"/>
      <c r="GH4" s="637"/>
      <c r="GI4" s="637"/>
      <c r="GJ4" s="637"/>
      <c r="GK4" s="637"/>
      <c r="GL4" s="637"/>
      <c r="GM4" s="637"/>
      <c r="GN4" s="637"/>
      <c r="GO4" s="637"/>
      <c r="GP4" s="637"/>
      <c r="GQ4" s="637"/>
      <c r="GR4" s="637"/>
      <c r="GS4" s="637"/>
      <c r="GT4" s="637"/>
      <c r="GU4" s="637"/>
      <c r="GV4" s="637"/>
      <c r="GW4" s="637"/>
      <c r="GX4" s="637"/>
      <c r="GY4" s="637"/>
      <c r="GZ4" s="637"/>
      <c r="HA4" s="637"/>
      <c r="HB4" s="637"/>
      <c r="HC4" s="637"/>
      <c r="HD4" s="637"/>
      <c r="HE4" s="637"/>
      <c r="HF4" s="637"/>
      <c r="HG4" s="637"/>
      <c r="HH4" s="637"/>
      <c r="HI4" s="637"/>
      <c r="HJ4" s="637"/>
      <c r="HK4" s="637"/>
      <c r="HL4" s="637"/>
      <c r="HM4" s="637"/>
      <c r="HN4" s="637"/>
      <c r="HO4" s="637"/>
      <c r="HP4" s="637"/>
      <c r="HQ4" s="637"/>
      <c r="HR4" s="637"/>
      <c r="HS4" s="637"/>
      <c r="HT4" s="637"/>
      <c r="HU4" s="637"/>
      <c r="HV4" s="637"/>
      <c r="HW4" s="637"/>
      <c r="HX4" s="637"/>
      <c r="HY4" s="637"/>
      <c r="HZ4" s="637"/>
      <c r="IA4" s="637"/>
      <c r="IB4" s="637"/>
      <c r="IC4" s="637"/>
      <c r="ID4" s="637"/>
      <c r="IE4" s="637"/>
      <c r="IF4" s="637"/>
      <c r="IG4" s="637"/>
      <c r="IH4" s="637"/>
      <c r="II4" s="637"/>
      <c r="IJ4" s="637"/>
      <c r="IK4" s="637"/>
      <c r="IL4" s="637"/>
      <c r="IM4" s="637"/>
      <c r="IN4" s="637"/>
      <c r="IO4" s="637"/>
      <c r="IP4" s="637"/>
      <c r="IQ4" s="637"/>
      <c r="IR4" s="637"/>
      <c r="IS4" s="637"/>
      <c r="IT4" s="637"/>
      <c r="IU4" s="637"/>
      <c r="IV4" s="637"/>
      <c r="IW4" s="637"/>
    </row>
    <row r="5" customFormat="false" ht="12" hidden="false" customHeight="true" outlineLevel="0" collapsed="false">
      <c r="A5" s="774" t="s">
        <v>593</v>
      </c>
      <c r="B5" s="378"/>
      <c r="C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408"/>
      <c r="AC5" s="378"/>
      <c r="AD5" s="378"/>
    </row>
    <row r="6" customFormat="false" ht="12" hidden="false" customHeight="true" outlineLevel="0" collapsed="false">
      <c r="A6" s="774"/>
      <c r="B6" s="378"/>
      <c r="C6" s="378"/>
      <c r="D6" s="378"/>
      <c r="E6" s="378"/>
      <c r="F6" s="378"/>
      <c r="G6" s="378"/>
      <c r="H6" s="378"/>
      <c r="I6" s="378"/>
      <c r="J6" s="378"/>
      <c r="K6" s="378"/>
      <c r="L6" s="378"/>
      <c r="M6" s="378"/>
      <c r="N6" s="378"/>
      <c r="O6" s="378"/>
      <c r="P6" s="378"/>
      <c r="Q6" s="378"/>
      <c r="R6" s="378"/>
      <c r="S6" s="378"/>
      <c r="T6" s="378"/>
      <c r="U6" s="378"/>
      <c r="V6" s="378"/>
      <c r="W6" s="378"/>
      <c r="X6" s="378"/>
      <c r="Y6" s="378"/>
      <c r="Z6" s="378"/>
      <c r="AA6" s="378"/>
      <c r="AB6" s="408"/>
      <c r="AC6" s="378"/>
      <c r="AD6" s="378"/>
    </row>
    <row r="7" customFormat="false" ht="12" hidden="false" customHeight="true" outlineLevel="0" collapsed="false">
      <c r="A7" s="775" t="s">
        <v>594</v>
      </c>
      <c r="B7" s="378"/>
      <c r="C7" s="378"/>
      <c r="D7" s="431"/>
      <c r="E7" s="431"/>
      <c r="F7" s="431"/>
      <c r="G7" s="431"/>
      <c r="H7" s="431"/>
      <c r="I7" s="431"/>
      <c r="J7" s="431"/>
      <c r="K7" s="431"/>
      <c r="L7" s="431"/>
      <c r="M7" s="431"/>
      <c r="N7" s="431"/>
      <c r="O7" s="431"/>
      <c r="P7" s="431"/>
      <c r="Q7" s="431"/>
      <c r="R7" s="431"/>
      <c r="S7" s="431"/>
      <c r="T7" s="431"/>
      <c r="U7" s="431"/>
      <c r="V7" s="431"/>
      <c r="W7" s="431"/>
      <c r="X7" s="431"/>
      <c r="Y7" s="431"/>
      <c r="Z7" s="431"/>
      <c r="AA7" s="431"/>
      <c r="AB7" s="432"/>
      <c r="AC7" s="378"/>
      <c r="AD7" s="378"/>
      <c r="AE7" s="776"/>
      <c r="AF7" s="776"/>
      <c r="AG7" s="776"/>
      <c r="AH7" s="777"/>
      <c r="AI7" s="777"/>
      <c r="AJ7" s="777"/>
      <c r="AK7" s="777"/>
      <c r="AL7" s="777"/>
      <c r="AM7" s="777"/>
      <c r="AN7" s="777"/>
      <c r="AO7" s="777"/>
      <c r="AP7" s="777"/>
      <c r="AQ7" s="777"/>
      <c r="AR7" s="777"/>
      <c r="AS7" s="777"/>
      <c r="AT7" s="777"/>
      <c r="AU7" s="777"/>
      <c r="AV7" s="777"/>
      <c r="AW7" s="777"/>
      <c r="AX7" s="777"/>
      <c r="AY7" s="777"/>
      <c r="AZ7" s="777"/>
      <c r="BA7" s="777"/>
      <c r="BB7" s="777"/>
      <c r="BC7" s="777"/>
      <c r="BD7" s="777"/>
      <c r="BE7" s="777"/>
      <c r="BF7" s="777"/>
      <c r="BG7" s="777"/>
      <c r="BH7" s="777"/>
      <c r="BI7" s="777"/>
      <c r="BJ7" s="777"/>
      <c r="BK7" s="777"/>
      <c r="BL7" s="777"/>
      <c r="BM7" s="777"/>
      <c r="BN7" s="777"/>
      <c r="BO7" s="777"/>
      <c r="BP7" s="777"/>
      <c r="BQ7" s="777"/>
      <c r="BR7" s="777"/>
      <c r="BS7" s="777"/>
      <c r="BT7" s="777"/>
      <c r="BU7" s="777"/>
      <c r="BV7" s="777"/>
      <c r="BW7" s="777"/>
      <c r="BX7" s="777"/>
      <c r="BY7" s="777"/>
      <c r="BZ7" s="777"/>
      <c r="CA7" s="777"/>
      <c r="CB7" s="777"/>
      <c r="CC7" s="777"/>
      <c r="CD7" s="777"/>
      <c r="CE7" s="777"/>
      <c r="CF7" s="777"/>
      <c r="CG7" s="777"/>
      <c r="CH7" s="777"/>
      <c r="CI7" s="777"/>
      <c r="CJ7" s="777"/>
      <c r="CK7" s="777"/>
      <c r="CL7" s="777"/>
      <c r="CM7" s="777"/>
      <c r="CN7" s="777"/>
      <c r="CO7" s="777"/>
      <c r="CP7" s="777"/>
      <c r="CQ7" s="777"/>
      <c r="CR7" s="777"/>
      <c r="CS7" s="777"/>
      <c r="CT7" s="777"/>
      <c r="CU7" s="777"/>
      <c r="CV7" s="777"/>
      <c r="CW7" s="777"/>
      <c r="CX7" s="777"/>
      <c r="CY7" s="777"/>
      <c r="CZ7" s="777"/>
      <c r="DA7" s="777"/>
      <c r="DB7" s="777"/>
      <c r="DC7" s="777"/>
      <c r="DD7" s="777"/>
      <c r="DE7" s="777"/>
      <c r="DF7" s="777"/>
      <c r="DG7" s="777"/>
      <c r="DH7" s="777"/>
      <c r="DI7" s="777"/>
      <c r="DJ7" s="777"/>
      <c r="DK7" s="777"/>
      <c r="DL7" s="777"/>
      <c r="DM7" s="777"/>
      <c r="DN7" s="777"/>
      <c r="DO7" s="777"/>
      <c r="DP7" s="777"/>
      <c r="DQ7" s="777"/>
      <c r="DR7" s="777"/>
      <c r="DS7" s="777"/>
      <c r="DT7" s="777"/>
      <c r="DU7" s="777"/>
      <c r="DV7" s="777"/>
      <c r="DW7" s="777"/>
      <c r="DX7" s="777"/>
      <c r="DY7" s="777"/>
      <c r="DZ7" s="777"/>
      <c r="EA7" s="777"/>
      <c r="EB7" s="777"/>
      <c r="EC7" s="777"/>
      <c r="ED7" s="777"/>
      <c r="EE7" s="777"/>
      <c r="EF7" s="777"/>
      <c r="EG7" s="777"/>
      <c r="EH7" s="777"/>
      <c r="EI7" s="777"/>
      <c r="EJ7" s="777"/>
      <c r="EK7" s="777"/>
      <c r="EL7" s="777"/>
      <c r="EM7" s="777"/>
      <c r="EN7" s="777"/>
      <c r="EO7" s="777"/>
      <c r="EP7" s="777"/>
      <c r="EQ7" s="777"/>
      <c r="ER7" s="777"/>
      <c r="ES7" s="777"/>
      <c r="ET7" s="777"/>
      <c r="EU7" s="777"/>
      <c r="EV7" s="777"/>
      <c r="EW7" s="777"/>
      <c r="EX7" s="777"/>
      <c r="EY7" s="777"/>
      <c r="EZ7" s="777"/>
      <c r="FA7" s="777"/>
      <c r="FB7" s="777"/>
      <c r="FC7" s="777"/>
      <c r="FD7" s="777"/>
      <c r="FE7" s="777"/>
      <c r="FF7" s="777"/>
      <c r="FG7" s="777"/>
      <c r="FH7" s="777"/>
      <c r="FI7" s="777"/>
      <c r="FJ7" s="777"/>
      <c r="FK7" s="777"/>
      <c r="FL7" s="777"/>
      <c r="FM7" s="777"/>
      <c r="FN7" s="777"/>
      <c r="FO7" s="777"/>
      <c r="FP7" s="777"/>
      <c r="FQ7" s="777"/>
      <c r="FR7" s="777"/>
      <c r="FS7" s="777"/>
      <c r="FT7" s="777"/>
      <c r="FU7" s="777"/>
      <c r="FV7" s="777"/>
      <c r="FW7" s="777"/>
      <c r="FX7" s="777"/>
      <c r="FY7" s="777"/>
      <c r="FZ7" s="777"/>
      <c r="GA7" s="777"/>
      <c r="GB7" s="777"/>
      <c r="GC7" s="777"/>
      <c r="GD7" s="777"/>
      <c r="GE7" s="777"/>
      <c r="GF7" s="777"/>
      <c r="GG7" s="777"/>
      <c r="GH7" s="777"/>
      <c r="GI7" s="777"/>
      <c r="GJ7" s="777"/>
      <c r="GK7" s="777"/>
      <c r="GL7" s="777"/>
      <c r="GM7" s="777"/>
      <c r="GN7" s="777"/>
      <c r="GO7" s="777"/>
      <c r="GP7" s="777"/>
      <c r="GQ7" s="777"/>
      <c r="GR7" s="777"/>
      <c r="GS7" s="777"/>
      <c r="GT7" s="777"/>
      <c r="GU7" s="777"/>
      <c r="GV7" s="777"/>
      <c r="GW7" s="777"/>
      <c r="GX7" s="777"/>
      <c r="GY7" s="777"/>
      <c r="GZ7" s="777"/>
      <c r="HA7" s="777"/>
      <c r="HB7" s="777"/>
      <c r="HC7" s="777"/>
      <c r="HD7" s="777"/>
      <c r="HE7" s="777"/>
      <c r="HF7" s="777"/>
      <c r="HG7" s="777"/>
      <c r="HH7" s="777"/>
      <c r="HI7" s="777"/>
      <c r="HJ7" s="777"/>
      <c r="HK7" s="777"/>
      <c r="HL7" s="777"/>
      <c r="HM7" s="777"/>
      <c r="HN7" s="777"/>
      <c r="HO7" s="777"/>
      <c r="HP7" s="777"/>
      <c r="HQ7" s="777"/>
      <c r="HR7" s="777"/>
      <c r="HS7" s="777"/>
      <c r="HT7" s="777"/>
      <c r="HU7" s="777"/>
      <c r="HV7" s="777"/>
      <c r="HW7" s="777"/>
      <c r="HX7" s="777"/>
      <c r="HY7" s="777"/>
      <c r="HZ7" s="777"/>
      <c r="IA7" s="777"/>
      <c r="IB7" s="777"/>
      <c r="IC7" s="777"/>
      <c r="ID7" s="777"/>
      <c r="IE7" s="777"/>
      <c r="IF7" s="777"/>
      <c r="IG7" s="777"/>
      <c r="IH7" s="777"/>
      <c r="II7" s="777"/>
      <c r="IJ7" s="777"/>
      <c r="IK7" s="777"/>
      <c r="IL7" s="777"/>
      <c r="IM7" s="777"/>
      <c r="IN7" s="777"/>
      <c r="IO7" s="777"/>
      <c r="IP7" s="777"/>
      <c r="IQ7" s="777"/>
      <c r="IR7" s="777"/>
      <c r="IS7" s="777"/>
      <c r="IT7" s="777"/>
      <c r="IU7" s="777"/>
      <c r="IV7" s="777"/>
      <c r="IW7" s="32"/>
    </row>
    <row r="8" customFormat="false" ht="12" hidden="false" customHeight="true" outlineLevel="0" collapsed="false">
      <c r="A8" s="719" t="s">
        <v>595</v>
      </c>
      <c r="B8" s="378"/>
      <c r="C8" s="378"/>
      <c r="D8" s="431" t="n">
        <f aca="false">'Book Income Statement'!D72</f>
        <v>-317.676567650769</v>
      </c>
      <c r="E8" s="431" t="n">
        <f aca="false">'Book Income Statement'!E72</f>
        <v>6298.88432939896</v>
      </c>
      <c r="F8" s="431" t="n">
        <f aca="false">'Book Income Statement'!F72</f>
        <v>6462.04529180689</v>
      </c>
      <c r="G8" s="431" t="n">
        <f aca="false">'Book Income Statement'!G72</f>
        <v>14271.3720421389</v>
      </c>
      <c r="H8" s="431" t="n">
        <f aca="false">'Book Income Statement'!H72</f>
        <v>21164.6059041651</v>
      </c>
      <c r="I8" s="431" t="n">
        <f aca="false">'Book Income Statement'!I72</f>
        <v>22719.9397302777</v>
      </c>
      <c r="J8" s="431" t="n">
        <f aca="false">'Book Income Statement'!J72</f>
        <v>23574.5075224606</v>
      </c>
      <c r="K8" s="431" t="n">
        <f aca="false">'Book Income Statement'!K72</f>
        <v>24312.1258682414</v>
      </c>
      <c r="L8" s="431" t="n">
        <f aca="false">'Book Income Statement'!L72</f>
        <v>25082.7107269062</v>
      </c>
      <c r="M8" s="431" t="n">
        <f aca="false">'Book Income Statement'!M72</f>
        <v>26195.7313164879</v>
      </c>
      <c r="N8" s="431" t="n">
        <f aca="false">'Book Income Statement'!N72</f>
        <v>27488.2541173853</v>
      </c>
      <c r="O8" s="431" t="n">
        <f aca="false">'Book Income Statement'!O72</f>
        <v>27912.7321734136</v>
      </c>
      <c r="P8" s="431" t="n">
        <f aca="false">'Book Income Statement'!P72</f>
        <v>28548.1370689528</v>
      </c>
      <c r="Q8" s="431" t="n">
        <f aca="false">'Book Income Statement'!Q72</f>
        <v>28392.3009951681</v>
      </c>
      <c r="R8" s="431" t="n">
        <f aca="false">'Book Income Statement'!R72</f>
        <v>28980.0180982655</v>
      </c>
      <c r="S8" s="431" t="n">
        <f aca="false">'Book Income Statement'!S72</f>
        <v>29553.2870355547</v>
      </c>
      <c r="T8" s="431" t="n">
        <f aca="false">'Book Income Statement'!T72</f>
        <v>30110.9516670284</v>
      </c>
      <c r="U8" s="431" t="n">
        <f aca="false">'Book Income Statement'!U72</f>
        <v>30918.1276365629</v>
      </c>
      <c r="V8" s="431" t="n">
        <f aca="false">'Book Income Statement'!V72</f>
        <v>31813.7468433106</v>
      </c>
      <c r="W8" s="431" t="n">
        <f aca="false">'Book Income Statement'!W72</f>
        <v>31918.8518842629</v>
      </c>
      <c r="X8" s="431" t="n">
        <f aca="false">'Book Income Statement'!X72</f>
        <v>8961.45447117758</v>
      </c>
      <c r="Y8" s="431" t="n">
        <f aca="false">'Book Income Statement'!Y72</f>
        <v>0</v>
      </c>
      <c r="Z8" s="431" t="n">
        <f aca="false">'Book Income Statement'!Z72</f>
        <v>0</v>
      </c>
      <c r="AA8" s="431" t="n">
        <f aca="false">'Book Income Statement'!AA72</f>
        <v>0</v>
      </c>
      <c r="AB8" s="431" t="n">
        <f aca="false">'Book Income Statement'!AB72</f>
        <v>0</v>
      </c>
      <c r="AC8" s="378"/>
      <c r="AD8" s="378"/>
      <c r="AE8" s="776"/>
      <c r="AF8" s="776"/>
      <c r="AG8" s="776"/>
      <c r="AH8" s="777"/>
      <c r="AI8" s="777"/>
      <c r="AJ8" s="777"/>
      <c r="AK8" s="777"/>
      <c r="AL8" s="777"/>
      <c r="AM8" s="777"/>
      <c r="AN8" s="777"/>
      <c r="AO8" s="777"/>
      <c r="AP8" s="777"/>
      <c r="AQ8" s="777"/>
      <c r="AR8" s="777"/>
      <c r="AS8" s="777"/>
      <c r="AT8" s="777"/>
      <c r="AU8" s="777"/>
      <c r="AV8" s="777"/>
      <c r="AW8" s="777"/>
      <c r="AX8" s="777"/>
      <c r="AY8" s="777"/>
      <c r="AZ8" s="777"/>
      <c r="BA8" s="777"/>
      <c r="BB8" s="777"/>
      <c r="BC8" s="777"/>
      <c r="BD8" s="777"/>
      <c r="BE8" s="777"/>
      <c r="BF8" s="777"/>
      <c r="BG8" s="777"/>
      <c r="BH8" s="777"/>
      <c r="BI8" s="777"/>
      <c r="BJ8" s="777"/>
      <c r="BK8" s="777"/>
      <c r="BL8" s="777"/>
      <c r="BM8" s="777"/>
      <c r="BN8" s="777"/>
      <c r="BO8" s="777"/>
      <c r="BP8" s="777"/>
      <c r="BQ8" s="777"/>
      <c r="BR8" s="777"/>
      <c r="BS8" s="777"/>
      <c r="BT8" s="777"/>
      <c r="BU8" s="777"/>
      <c r="BV8" s="777"/>
      <c r="BW8" s="777"/>
      <c r="BX8" s="777"/>
      <c r="BY8" s="777"/>
      <c r="BZ8" s="777"/>
      <c r="CA8" s="777"/>
      <c r="CB8" s="777"/>
      <c r="CC8" s="777"/>
      <c r="CD8" s="777"/>
      <c r="CE8" s="777"/>
      <c r="CF8" s="777"/>
      <c r="CG8" s="777"/>
      <c r="CH8" s="777"/>
      <c r="CI8" s="777"/>
      <c r="CJ8" s="777"/>
      <c r="CK8" s="777"/>
      <c r="CL8" s="777"/>
      <c r="CM8" s="777"/>
      <c r="CN8" s="777"/>
      <c r="CO8" s="777"/>
      <c r="CP8" s="777"/>
      <c r="CQ8" s="777"/>
      <c r="CR8" s="777"/>
      <c r="CS8" s="777"/>
      <c r="CT8" s="777"/>
      <c r="CU8" s="777"/>
      <c r="CV8" s="777"/>
      <c r="CW8" s="777"/>
      <c r="CX8" s="777"/>
      <c r="CY8" s="777"/>
      <c r="CZ8" s="777"/>
      <c r="DA8" s="777"/>
      <c r="DB8" s="777"/>
      <c r="DC8" s="777"/>
      <c r="DD8" s="777"/>
      <c r="DE8" s="777"/>
      <c r="DF8" s="777"/>
      <c r="DG8" s="777"/>
      <c r="DH8" s="777"/>
      <c r="DI8" s="777"/>
      <c r="DJ8" s="777"/>
      <c r="DK8" s="777"/>
      <c r="DL8" s="777"/>
      <c r="DM8" s="777"/>
      <c r="DN8" s="777"/>
      <c r="DO8" s="777"/>
      <c r="DP8" s="777"/>
      <c r="DQ8" s="777"/>
      <c r="DR8" s="777"/>
      <c r="DS8" s="777"/>
      <c r="DT8" s="777"/>
      <c r="DU8" s="777"/>
      <c r="DV8" s="777"/>
      <c r="DW8" s="777"/>
      <c r="DX8" s="777"/>
      <c r="DY8" s="777"/>
      <c r="DZ8" s="777"/>
      <c r="EA8" s="777"/>
      <c r="EB8" s="777"/>
      <c r="EC8" s="777"/>
      <c r="ED8" s="777"/>
      <c r="EE8" s="777"/>
      <c r="EF8" s="777"/>
      <c r="EG8" s="777"/>
      <c r="EH8" s="777"/>
      <c r="EI8" s="777"/>
      <c r="EJ8" s="777"/>
      <c r="EK8" s="777"/>
      <c r="EL8" s="777"/>
      <c r="EM8" s="777"/>
      <c r="EN8" s="777"/>
      <c r="EO8" s="777"/>
      <c r="EP8" s="777"/>
      <c r="EQ8" s="777"/>
      <c r="ER8" s="777"/>
      <c r="ES8" s="777"/>
      <c r="ET8" s="777"/>
      <c r="EU8" s="777"/>
      <c r="EV8" s="777"/>
      <c r="EW8" s="777"/>
      <c r="EX8" s="777"/>
      <c r="EY8" s="777"/>
      <c r="EZ8" s="777"/>
      <c r="FA8" s="777"/>
      <c r="FB8" s="777"/>
      <c r="FC8" s="777"/>
      <c r="FD8" s="777"/>
      <c r="FE8" s="777"/>
      <c r="FF8" s="777"/>
      <c r="FG8" s="777"/>
      <c r="FH8" s="777"/>
      <c r="FI8" s="777"/>
      <c r="FJ8" s="777"/>
      <c r="FK8" s="777"/>
      <c r="FL8" s="777"/>
      <c r="FM8" s="777"/>
      <c r="FN8" s="777"/>
      <c r="FO8" s="777"/>
      <c r="FP8" s="777"/>
      <c r="FQ8" s="777"/>
      <c r="FR8" s="777"/>
      <c r="FS8" s="777"/>
      <c r="FT8" s="777"/>
      <c r="FU8" s="777"/>
      <c r="FV8" s="777"/>
      <c r="FW8" s="777"/>
      <c r="FX8" s="777"/>
      <c r="FY8" s="777"/>
      <c r="FZ8" s="777"/>
      <c r="GA8" s="777"/>
      <c r="GB8" s="777"/>
      <c r="GC8" s="777"/>
      <c r="GD8" s="777"/>
      <c r="GE8" s="777"/>
      <c r="GF8" s="777"/>
      <c r="GG8" s="777"/>
      <c r="GH8" s="777"/>
      <c r="GI8" s="777"/>
      <c r="GJ8" s="777"/>
      <c r="GK8" s="777"/>
      <c r="GL8" s="777"/>
      <c r="GM8" s="777"/>
      <c r="GN8" s="777"/>
      <c r="GO8" s="777"/>
      <c r="GP8" s="777"/>
      <c r="GQ8" s="777"/>
      <c r="GR8" s="777"/>
      <c r="GS8" s="777"/>
      <c r="GT8" s="777"/>
      <c r="GU8" s="777"/>
      <c r="GV8" s="777"/>
      <c r="GW8" s="777"/>
      <c r="GX8" s="777"/>
      <c r="GY8" s="777"/>
      <c r="GZ8" s="777"/>
      <c r="HA8" s="777"/>
      <c r="HB8" s="777"/>
      <c r="HC8" s="777"/>
      <c r="HD8" s="777"/>
      <c r="HE8" s="777"/>
      <c r="HF8" s="777"/>
      <c r="HG8" s="777"/>
      <c r="HH8" s="777"/>
      <c r="HI8" s="777"/>
      <c r="HJ8" s="777"/>
      <c r="HK8" s="777"/>
      <c r="HL8" s="777"/>
      <c r="HM8" s="777"/>
      <c r="HN8" s="777"/>
      <c r="HO8" s="777"/>
      <c r="HP8" s="777"/>
      <c r="HQ8" s="777"/>
      <c r="HR8" s="777"/>
      <c r="HS8" s="777"/>
      <c r="HT8" s="777"/>
      <c r="HU8" s="777"/>
      <c r="HV8" s="777"/>
      <c r="HW8" s="777"/>
      <c r="HX8" s="777"/>
      <c r="HY8" s="777"/>
      <c r="HZ8" s="777"/>
      <c r="IA8" s="777"/>
      <c r="IB8" s="777"/>
      <c r="IC8" s="777"/>
      <c r="ID8" s="777"/>
      <c r="IE8" s="777"/>
      <c r="IF8" s="777"/>
      <c r="IG8" s="777"/>
      <c r="IH8" s="777"/>
      <c r="II8" s="777"/>
      <c r="IJ8" s="777"/>
      <c r="IK8" s="777"/>
      <c r="IL8" s="777"/>
      <c r="IM8" s="777"/>
      <c r="IN8" s="777"/>
      <c r="IO8" s="777"/>
      <c r="IP8" s="777"/>
      <c r="IQ8" s="777"/>
      <c r="IR8" s="777"/>
      <c r="IS8" s="777"/>
      <c r="IT8" s="777"/>
      <c r="IU8" s="777"/>
      <c r="IV8" s="777"/>
      <c r="IW8" s="32"/>
    </row>
    <row r="9" customFormat="false" ht="12" hidden="false" customHeight="true" outlineLevel="0" collapsed="false">
      <c r="A9" s="719" t="s">
        <v>596</v>
      </c>
      <c r="B9" s="378"/>
      <c r="C9" s="378"/>
      <c r="D9" s="778" t="n">
        <f aca="false">'Project Assumtions'!$N$68</f>
        <v>0.034</v>
      </c>
      <c r="E9" s="778" t="n">
        <f aca="false">'Project Assumtions'!$N$68</f>
        <v>0.034</v>
      </c>
      <c r="F9" s="778" t="n">
        <f aca="false">'Project Assumtions'!$N$68</f>
        <v>0.034</v>
      </c>
      <c r="G9" s="778" t="n">
        <f aca="false">'Project Assumtions'!$N$68</f>
        <v>0.034</v>
      </c>
      <c r="H9" s="778" t="n">
        <f aca="false">'Project Assumtions'!$N$68</f>
        <v>0.034</v>
      </c>
      <c r="I9" s="778" t="n">
        <f aca="false">'Project Assumtions'!$N$68</f>
        <v>0.034</v>
      </c>
      <c r="J9" s="778" t="n">
        <f aca="false">'Project Assumtions'!$N$68</f>
        <v>0.034</v>
      </c>
      <c r="K9" s="778" t="n">
        <f aca="false">'Project Assumtions'!$N$68</f>
        <v>0.034</v>
      </c>
      <c r="L9" s="778" t="n">
        <f aca="false">'Project Assumtions'!$N$68</f>
        <v>0.034</v>
      </c>
      <c r="M9" s="778" t="n">
        <f aca="false">'Project Assumtions'!$N$68</f>
        <v>0.034</v>
      </c>
      <c r="N9" s="778" t="n">
        <f aca="false">'Project Assumtions'!$N$68</f>
        <v>0.034</v>
      </c>
      <c r="O9" s="778" t="n">
        <f aca="false">'Project Assumtions'!$N$68</f>
        <v>0.034</v>
      </c>
      <c r="P9" s="778" t="n">
        <f aca="false">'Project Assumtions'!$N$68</f>
        <v>0.034</v>
      </c>
      <c r="Q9" s="778" t="n">
        <f aca="false">'Project Assumtions'!$N$68</f>
        <v>0.034</v>
      </c>
      <c r="R9" s="778" t="n">
        <f aca="false">'Project Assumtions'!$N$68</f>
        <v>0.034</v>
      </c>
      <c r="S9" s="778" t="n">
        <f aca="false">'Project Assumtions'!$N$68</f>
        <v>0.034</v>
      </c>
      <c r="T9" s="778" t="n">
        <f aca="false">'Project Assumtions'!$N$68</f>
        <v>0.034</v>
      </c>
      <c r="U9" s="778" t="n">
        <f aca="false">'Project Assumtions'!$N$68</f>
        <v>0.034</v>
      </c>
      <c r="V9" s="778" t="n">
        <f aca="false">'Project Assumtions'!$N$68</f>
        <v>0.034</v>
      </c>
      <c r="W9" s="778" t="n">
        <f aca="false">'Project Assumtions'!$N$68</f>
        <v>0.034</v>
      </c>
      <c r="X9" s="778" t="n">
        <f aca="false">'Project Assumtions'!$N$68</f>
        <v>0.034</v>
      </c>
      <c r="Y9" s="778" t="n">
        <f aca="false">'Project Assumtions'!$N$68</f>
        <v>0.034</v>
      </c>
      <c r="Z9" s="778" t="n">
        <f aca="false">'Project Assumtions'!$N$68</f>
        <v>0.034</v>
      </c>
      <c r="AA9" s="778" t="n">
        <f aca="false">'Project Assumtions'!$N$68</f>
        <v>0.034</v>
      </c>
      <c r="AB9" s="779" t="n">
        <f aca="false">'Project Assumtions'!$N$68</f>
        <v>0.034</v>
      </c>
      <c r="AC9" s="776"/>
      <c r="AD9" s="776"/>
      <c r="AE9" s="776"/>
      <c r="AF9" s="776"/>
      <c r="AG9" s="776"/>
      <c r="AH9" s="777"/>
      <c r="AI9" s="777"/>
      <c r="AJ9" s="777"/>
      <c r="AK9" s="777"/>
      <c r="AL9" s="777"/>
      <c r="AM9" s="777"/>
      <c r="AN9" s="777"/>
      <c r="AO9" s="777"/>
      <c r="AP9" s="777"/>
      <c r="AQ9" s="777"/>
      <c r="AR9" s="777"/>
      <c r="AS9" s="777"/>
      <c r="AT9" s="777"/>
      <c r="AU9" s="777"/>
      <c r="AV9" s="777"/>
      <c r="AW9" s="777"/>
      <c r="AX9" s="777"/>
      <c r="AY9" s="777"/>
      <c r="AZ9" s="777"/>
      <c r="BA9" s="777"/>
      <c r="BB9" s="777"/>
      <c r="BC9" s="777"/>
      <c r="BD9" s="777"/>
      <c r="BE9" s="777"/>
      <c r="BF9" s="777"/>
      <c r="BG9" s="777"/>
      <c r="BH9" s="777"/>
      <c r="BI9" s="777"/>
      <c r="BJ9" s="777"/>
      <c r="BK9" s="777"/>
      <c r="BL9" s="777"/>
      <c r="BM9" s="777"/>
      <c r="BN9" s="777"/>
      <c r="BO9" s="777"/>
      <c r="BP9" s="777"/>
      <c r="BQ9" s="777"/>
      <c r="BR9" s="777"/>
      <c r="BS9" s="777"/>
      <c r="BT9" s="777"/>
      <c r="BU9" s="777"/>
      <c r="BV9" s="777"/>
      <c r="BW9" s="777"/>
      <c r="BX9" s="777"/>
      <c r="BY9" s="777"/>
      <c r="BZ9" s="777"/>
      <c r="CA9" s="777"/>
      <c r="CB9" s="777"/>
      <c r="CC9" s="777"/>
      <c r="CD9" s="777"/>
      <c r="CE9" s="777"/>
      <c r="CF9" s="777"/>
      <c r="CG9" s="777"/>
      <c r="CH9" s="777"/>
      <c r="CI9" s="777"/>
      <c r="CJ9" s="777"/>
      <c r="CK9" s="777"/>
      <c r="CL9" s="777"/>
      <c r="CM9" s="777"/>
      <c r="CN9" s="777"/>
      <c r="CO9" s="777"/>
      <c r="CP9" s="777"/>
      <c r="CQ9" s="777"/>
      <c r="CR9" s="777"/>
      <c r="CS9" s="777"/>
      <c r="CT9" s="777"/>
      <c r="CU9" s="777"/>
      <c r="CV9" s="777"/>
      <c r="CW9" s="777"/>
      <c r="CX9" s="777"/>
      <c r="CY9" s="777"/>
      <c r="CZ9" s="777"/>
      <c r="DA9" s="777"/>
      <c r="DB9" s="777"/>
      <c r="DC9" s="777"/>
      <c r="DD9" s="777"/>
      <c r="DE9" s="777"/>
      <c r="DF9" s="777"/>
      <c r="DG9" s="777"/>
      <c r="DH9" s="777"/>
      <c r="DI9" s="777"/>
      <c r="DJ9" s="777"/>
      <c r="DK9" s="777"/>
      <c r="DL9" s="777"/>
      <c r="DM9" s="777"/>
      <c r="DN9" s="777"/>
      <c r="DO9" s="777"/>
      <c r="DP9" s="777"/>
      <c r="DQ9" s="777"/>
      <c r="DR9" s="777"/>
      <c r="DS9" s="777"/>
      <c r="DT9" s="777"/>
      <c r="DU9" s="777"/>
      <c r="DV9" s="777"/>
      <c r="DW9" s="777"/>
      <c r="DX9" s="777"/>
      <c r="DY9" s="777"/>
      <c r="DZ9" s="777"/>
      <c r="EA9" s="777"/>
      <c r="EB9" s="777"/>
      <c r="EC9" s="777"/>
      <c r="ED9" s="777"/>
      <c r="EE9" s="777"/>
      <c r="EF9" s="777"/>
      <c r="EG9" s="777"/>
      <c r="EH9" s="777"/>
      <c r="EI9" s="777"/>
      <c r="EJ9" s="777"/>
      <c r="EK9" s="777"/>
      <c r="EL9" s="777"/>
      <c r="EM9" s="777"/>
      <c r="EN9" s="777"/>
      <c r="EO9" s="777"/>
      <c r="EP9" s="777"/>
      <c r="EQ9" s="777"/>
      <c r="ER9" s="777"/>
      <c r="ES9" s="777"/>
      <c r="ET9" s="777"/>
      <c r="EU9" s="777"/>
      <c r="EV9" s="777"/>
      <c r="EW9" s="777"/>
      <c r="EX9" s="777"/>
      <c r="EY9" s="777"/>
      <c r="EZ9" s="777"/>
      <c r="FA9" s="777"/>
      <c r="FB9" s="777"/>
      <c r="FC9" s="777"/>
      <c r="FD9" s="777"/>
      <c r="FE9" s="777"/>
      <c r="FF9" s="777"/>
      <c r="FG9" s="777"/>
      <c r="FH9" s="777"/>
      <c r="FI9" s="777"/>
      <c r="FJ9" s="777"/>
      <c r="FK9" s="777"/>
      <c r="FL9" s="777"/>
      <c r="FM9" s="777"/>
      <c r="FN9" s="777"/>
      <c r="FO9" s="777"/>
      <c r="FP9" s="777"/>
      <c r="FQ9" s="777"/>
      <c r="FR9" s="777"/>
      <c r="FS9" s="777"/>
      <c r="FT9" s="777"/>
      <c r="FU9" s="777"/>
      <c r="FV9" s="777"/>
      <c r="FW9" s="777"/>
      <c r="FX9" s="777"/>
      <c r="FY9" s="777"/>
      <c r="FZ9" s="777"/>
      <c r="GA9" s="777"/>
      <c r="GB9" s="777"/>
      <c r="GC9" s="777"/>
      <c r="GD9" s="777"/>
      <c r="GE9" s="777"/>
      <c r="GF9" s="777"/>
      <c r="GG9" s="777"/>
      <c r="GH9" s="777"/>
      <c r="GI9" s="777"/>
      <c r="GJ9" s="777"/>
      <c r="GK9" s="777"/>
      <c r="GL9" s="777"/>
      <c r="GM9" s="777"/>
      <c r="GN9" s="777"/>
      <c r="GO9" s="777"/>
      <c r="GP9" s="777"/>
      <c r="GQ9" s="777"/>
      <c r="GR9" s="777"/>
      <c r="GS9" s="777"/>
      <c r="GT9" s="777"/>
      <c r="GU9" s="777"/>
      <c r="GV9" s="777"/>
      <c r="GW9" s="777"/>
      <c r="GX9" s="777"/>
      <c r="GY9" s="777"/>
      <c r="GZ9" s="777"/>
      <c r="HA9" s="777"/>
      <c r="HB9" s="777"/>
      <c r="HC9" s="777"/>
      <c r="HD9" s="777"/>
      <c r="HE9" s="777"/>
      <c r="HF9" s="777"/>
      <c r="HG9" s="777"/>
      <c r="HH9" s="777"/>
      <c r="HI9" s="777"/>
      <c r="HJ9" s="777"/>
      <c r="HK9" s="777"/>
      <c r="HL9" s="777"/>
      <c r="HM9" s="777"/>
      <c r="HN9" s="777"/>
      <c r="HO9" s="777"/>
      <c r="HP9" s="777"/>
      <c r="HQ9" s="777"/>
      <c r="HR9" s="777"/>
      <c r="HS9" s="777"/>
      <c r="HT9" s="777"/>
      <c r="HU9" s="777"/>
      <c r="HV9" s="777"/>
      <c r="HW9" s="777"/>
      <c r="HX9" s="777"/>
      <c r="HY9" s="777"/>
      <c r="HZ9" s="777"/>
      <c r="IA9" s="777"/>
      <c r="IB9" s="777"/>
      <c r="IC9" s="777"/>
      <c r="ID9" s="777"/>
      <c r="IE9" s="777"/>
      <c r="IF9" s="777"/>
      <c r="IG9" s="777"/>
      <c r="IH9" s="777"/>
      <c r="II9" s="777"/>
      <c r="IJ9" s="777"/>
      <c r="IK9" s="777"/>
      <c r="IL9" s="777"/>
      <c r="IM9" s="777"/>
      <c r="IN9" s="777"/>
      <c r="IO9" s="777"/>
      <c r="IP9" s="777"/>
      <c r="IQ9" s="777"/>
      <c r="IR9" s="777"/>
      <c r="IS9" s="777"/>
      <c r="IT9" s="706"/>
      <c r="IU9" s="706"/>
      <c r="IV9" s="706"/>
      <c r="IW9" s="706"/>
    </row>
    <row r="10" customFormat="false" ht="12" hidden="false" customHeight="true" outlineLevel="0" collapsed="false">
      <c r="A10" s="427" t="s">
        <v>597</v>
      </c>
      <c r="B10" s="428"/>
      <c r="C10" s="428"/>
      <c r="D10" s="666" t="n">
        <f aca="false">D8*D9</f>
        <v>-10.8010033001262</v>
      </c>
      <c r="E10" s="666" t="n">
        <f aca="false">E8*E9</f>
        <v>214.162067199565</v>
      </c>
      <c r="F10" s="666" t="n">
        <f aca="false">F8*F9</f>
        <v>219.709539921434</v>
      </c>
      <c r="G10" s="666" t="n">
        <f aca="false">G8*G9</f>
        <v>485.226649432723</v>
      </c>
      <c r="H10" s="666" t="n">
        <f aca="false">H8*H9</f>
        <v>719.596600741613</v>
      </c>
      <c r="I10" s="666" t="n">
        <f aca="false">I8*I9</f>
        <v>772.477950829443</v>
      </c>
      <c r="J10" s="666" t="n">
        <f aca="false">J8*J9</f>
        <v>801.53325576366</v>
      </c>
      <c r="K10" s="666" t="n">
        <f aca="false">K8*K9</f>
        <v>826.612279520206</v>
      </c>
      <c r="L10" s="666" t="n">
        <f aca="false">L8*L9</f>
        <v>852.812164714809</v>
      </c>
      <c r="M10" s="666" t="n">
        <f aca="false">M8*M9</f>
        <v>890.654864760587</v>
      </c>
      <c r="N10" s="666" t="n">
        <f aca="false">N8*N9</f>
        <v>934.600639991102</v>
      </c>
      <c r="O10" s="666" t="n">
        <f aca="false">O8*O9</f>
        <v>949.032893896062</v>
      </c>
      <c r="P10" s="666" t="n">
        <f aca="false">P8*P9</f>
        <v>970.636660344395</v>
      </c>
      <c r="Q10" s="666" t="n">
        <f aca="false">Q8*Q9</f>
        <v>965.338233835717</v>
      </c>
      <c r="R10" s="666" t="n">
        <f aca="false">R8*R9</f>
        <v>985.320615341028</v>
      </c>
      <c r="S10" s="666" t="n">
        <f aca="false">S8*S9</f>
        <v>1004.81175920886</v>
      </c>
      <c r="T10" s="666" t="n">
        <f aca="false">T8*T9</f>
        <v>1023.77235667897</v>
      </c>
      <c r="U10" s="666" t="n">
        <f aca="false">U8*U9</f>
        <v>1051.21633964314</v>
      </c>
      <c r="V10" s="666" t="n">
        <f aca="false">V8*V9</f>
        <v>1081.66739267256</v>
      </c>
      <c r="W10" s="666" t="n">
        <f aca="false">W8*W9</f>
        <v>1085.24096406494</v>
      </c>
      <c r="X10" s="666" t="n">
        <f aca="false">X8*X9</f>
        <v>304.689452020038</v>
      </c>
      <c r="Y10" s="666" t="n">
        <f aca="false">Y8*Y9</f>
        <v>0</v>
      </c>
      <c r="Z10" s="666" t="n">
        <f aca="false">Z8*Z9</f>
        <v>0</v>
      </c>
      <c r="AA10" s="666" t="n">
        <f aca="false">AA8*AA9</f>
        <v>0</v>
      </c>
      <c r="AB10" s="667" t="n">
        <f aca="false">AB8*AB9</f>
        <v>0</v>
      </c>
      <c r="AC10" s="378"/>
      <c r="AD10" s="776"/>
      <c r="AE10" s="776"/>
      <c r="AF10" s="776"/>
      <c r="AG10" s="776"/>
      <c r="AH10" s="777"/>
      <c r="AI10" s="777"/>
      <c r="AJ10" s="777"/>
      <c r="AK10" s="777"/>
      <c r="AL10" s="777"/>
      <c r="AM10" s="777"/>
      <c r="AN10" s="777"/>
      <c r="AO10" s="777"/>
      <c r="AP10" s="777"/>
      <c r="AQ10" s="777"/>
      <c r="AR10" s="777"/>
      <c r="AS10" s="777"/>
      <c r="AT10" s="777"/>
      <c r="AU10" s="777"/>
      <c r="AV10" s="777"/>
      <c r="AW10" s="777"/>
      <c r="AX10" s="777"/>
      <c r="AY10" s="777"/>
      <c r="AZ10" s="777"/>
      <c r="BA10" s="777"/>
      <c r="BB10" s="777"/>
      <c r="BC10" s="777"/>
      <c r="BD10" s="777"/>
      <c r="BE10" s="777"/>
      <c r="BF10" s="777"/>
      <c r="BG10" s="777"/>
      <c r="BH10" s="777"/>
      <c r="BI10" s="777"/>
      <c r="BJ10" s="777"/>
      <c r="BK10" s="777"/>
      <c r="BL10" s="777"/>
      <c r="BM10" s="777"/>
      <c r="BN10" s="777"/>
      <c r="BO10" s="777"/>
      <c r="BP10" s="777"/>
      <c r="BQ10" s="777"/>
      <c r="BR10" s="777"/>
      <c r="BS10" s="777"/>
      <c r="BT10" s="777"/>
      <c r="BU10" s="777"/>
      <c r="BV10" s="777"/>
      <c r="BW10" s="777"/>
      <c r="BX10" s="777"/>
      <c r="BY10" s="777"/>
      <c r="BZ10" s="777"/>
      <c r="CA10" s="777"/>
      <c r="CB10" s="777"/>
      <c r="CC10" s="777"/>
      <c r="CD10" s="777"/>
      <c r="CE10" s="777"/>
      <c r="CF10" s="777"/>
      <c r="CG10" s="777"/>
      <c r="CH10" s="777"/>
      <c r="CI10" s="777"/>
      <c r="CJ10" s="777"/>
      <c r="CK10" s="777"/>
      <c r="CL10" s="777"/>
      <c r="CM10" s="777"/>
      <c r="CN10" s="777"/>
      <c r="CO10" s="777"/>
      <c r="CP10" s="777"/>
      <c r="CQ10" s="777"/>
      <c r="CR10" s="777"/>
      <c r="CS10" s="777"/>
      <c r="CT10" s="777"/>
      <c r="CU10" s="777"/>
      <c r="CV10" s="777"/>
      <c r="CW10" s="777"/>
      <c r="CX10" s="777"/>
      <c r="CY10" s="777"/>
      <c r="CZ10" s="777"/>
      <c r="DA10" s="777"/>
      <c r="DB10" s="777"/>
      <c r="DC10" s="777"/>
      <c r="DD10" s="777"/>
      <c r="DE10" s="777"/>
      <c r="DF10" s="777"/>
      <c r="DG10" s="777"/>
      <c r="DH10" s="777"/>
      <c r="DI10" s="777"/>
      <c r="DJ10" s="777"/>
      <c r="DK10" s="777"/>
      <c r="DL10" s="777"/>
      <c r="DM10" s="777"/>
      <c r="DN10" s="777"/>
      <c r="DO10" s="777"/>
      <c r="DP10" s="777"/>
      <c r="DQ10" s="777"/>
      <c r="DR10" s="777"/>
      <c r="DS10" s="777"/>
      <c r="DT10" s="777"/>
      <c r="DU10" s="777"/>
      <c r="DV10" s="777"/>
      <c r="DW10" s="777"/>
      <c r="DX10" s="777"/>
      <c r="DY10" s="777"/>
      <c r="DZ10" s="777"/>
      <c r="EA10" s="777"/>
      <c r="EB10" s="777"/>
      <c r="EC10" s="777"/>
      <c r="ED10" s="777"/>
      <c r="EE10" s="777"/>
      <c r="EF10" s="777"/>
      <c r="EG10" s="777"/>
      <c r="EH10" s="777"/>
      <c r="EI10" s="777"/>
      <c r="EJ10" s="777"/>
      <c r="EK10" s="777"/>
      <c r="EL10" s="777"/>
      <c r="EM10" s="777"/>
      <c r="EN10" s="777"/>
      <c r="EO10" s="777"/>
      <c r="EP10" s="777"/>
      <c r="EQ10" s="777"/>
      <c r="ER10" s="777"/>
      <c r="ES10" s="777"/>
      <c r="ET10" s="777"/>
      <c r="EU10" s="777"/>
      <c r="EV10" s="777"/>
      <c r="EW10" s="777"/>
      <c r="EX10" s="777"/>
      <c r="EY10" s="777"/>
      <c r="EZ10" s="777"/>
      <c r="FA10" s="777"/>
      <c r="FB10" s="777"/>
      <c r="FC10" s="777"/>
      <c r="FD10" s="777"/>
      <c r="FE10" s="777"/>
      <c r="FF10" s="777"/>
      <c r="FG10" s="777"/>
      <c r="FH10" s="777"/>
      <c r="FI10" s="777"/>
      <c r="FJ10" s="777"/>
      <c r="FK10" s="777"/>
      <c r="FL10" s="777"/>
      <c r="FM10" s="777"/>
      <c r="FN10" s="777"/>
      <c r="FO10" s="777"/>
      <c r="FP10" s="777"/>
      <c r="FQ10" s="777"/>
      <c r="FR10" s="777"/>
      <c r="FS10" s="777"/>
      <c r="FT10" s="777"/>
      <c r="FU10" s="777"/>
      <c r="FV10" s="777"/>
      <c r="FW10" s="777"/>
      <c r="FX10" s="777"/>
      <c r="FY10" s="777"/>
      <c r="FZ10" s="777"/>
      <c r="GA10" s="777"/>
      <c r="GB10" s="777"/>
      <c r="GC10" s="777"/>
      <c r="GD10" s="777"/>
      <c r="GE10" s="777"/>
      <c r="GF10" s="777"/>
      <c r="GG10" s="777"/>
      <c r="GH10" s="777"/>
      <c r="GI10" s="777"/>
      <c r="GJ10" s="777"/>
      <c r="GK10" s="777"/>
      <c r="GL10" s="777"/>
      <c r="GM10" s="777"/>
      <c r="GN10" s="777"/>
      <c r="GO10" s="777"/>
      <c r="GP10" s="777"/>
      <c r="GQ10" s="777"/>
      <c r="GR10" s="777"/>
      <c r="GS10" s="777"/>
      <c r="GT10" s="777"/>
      <c r="GU10" s="777"/>
      <c r="GV10" s="777"/>
      <c r="GW10" s="777"/>
      <c r="GX10" s="777"/>
      <c r="GY10" s="777"/>
      <c r="GZ10" s="777"/>
      <c r="HA10" s="777"/>
      <c r="HB10" s="777"/>
      <c r="HC10" s="777"/>
      <c r="HD10" s="777"/>
      <c r="HE10" s="777"/>
      <c r="HF10" s="777"/>
      <c r="HG10" s="777"/>
      <c r="HH10" s="777"/>
      <c r="HI10" s="777"/>
      <c r="HJ10" s="777"/>
      <c r="HK10" s="777"/>
      <c r="HL10" s="777"/>
      <c r="HM10" s="777"/>
      <c r="HN10" s="777"/>
      <c r="HO10" s="777"/>
      <c r="HP10" s="777"/>
      <c r="HQ10" s="777"/>
      <c r="HR10" s="777"/>
      <c r="HS10" s="777"/>
      <c r="HT10" s="777"/>
      <c r="HU10" s="777"/>
      <c r="HV10" s="777"/>
      <c r="HW10" s="777"/>
      <c r="HX10" s="777"/>
      <c r="HY10" s="777"/>
      <c r="HZ10" s="777"/>
      <c r="IA10" s="777"/>
      <c r="IB10" s="777"/>
      <c r="IC10" s="777"/>
      <c r="ID10" s="777"/>
      <c r="IE10" s="777"/>
      <c r="IF10" s="777"/>
      <c r="IG10" s="777"/>
      <c r="IH10" s="777"/>
      <c r="II10" s="777"/>
      <c r="IJ10" s="777"/>
      <c r="IK10" s="777"/>
      <c r="IL10" s="777"/>
      <c r="IM10" s="777"/>
      <c r="IN10" s="777"/>
      <c r="IO10" s="777"/>
      <c r="IP10" s="777"/>
      <c r="IQ10" s="777"/>
      <c r="IR10" s="777"/>
      <c r="IS10" s="777"/>
      <c r="IT10" s="777"/>
      <c r="IU10" s="777"/>
      <c r="IV10" s="706"/>
      <c r="IW10" s="706"/>
    </row>
    <row r="11" customFormat="false" ht="12" hidden="false" customHeight="true" outlineLevel="0" collapsed="false">
      <c r="A11" s="403"/>
      <c r="B11" s="378"/>
      <c r="C11" s="780"/>
      <c r="D11" s="780"/>
      <c r="E11" s="780"/>
      <c r="F11" s="780"/>
      <c r="G11" s="780"/>
      <c r="H11" s="780"/>
      <c r="I11" s="780"/>
      <c r="J11" s="780"/>
      <c r="K11" s="780"/>
      <c r="L11" s="780"/>
      <c r="M11" s="780"/>
      <c r="N11" s="780"/>
      <c r="O11" s="780"/>
      <c r="P11" s="780"/>
      <c r="Q11" s="780"/>
      <c r="R11" s="780"/>
      <c r="S11" s="780"/>
      <c r="T11" s="780"/>
      <c r="U11" s="780"/>
      <c r="V11" s="780"/>
      <c r="W11" s="780"/>
      <c r="X11" s="780"/>
      <c r="Y11" s="780"/>
      <c r="Z11" s="780"/>
      <c r="AA11" s="780"/>
      <c r="AB11" s="781"/>
      <c r="AC11" s="780"/>
      <c r="AD11" s="780"/>
      <c r="AE11" s="378"/>
      <c r="AF11" s="378"/>
      <c r="AG11" s="378"/>
      <c r="AH11" s="706"/>
      <c r="AI11" s="706"/>
      <c r="AJ11" s="706"/>
      <c r="AK11" s="706"/>
      <c r="AL11" s="706"/>
      <c r="AM11" s="706"/>
      <c r="AN11" s="706"/>
      <c r="AO11" s="706"/>
      <c r="AP11" s="706"/>
      <c r="AQ11" s="706"/>
      <c r="AR11" s="706"/>
      <c r="AS11" s="706"/>
      <c r="AT11" s="706"/>
      <c r="AU11" s="706"/>
      <c r="AV11" s="706"/>
      <c r="AW11" s="706"/>
      <c r="AX11" s="706"/>
      <c r="AY11" s="706"/>
      <c r="AZ11" s="706"/>
      <c r="BA11" s="706"/>
      <c r="BB11" s="706"/>
      <c r="BC11" s="706"/>
      <c r="BD11" s="706"/>
      <c r="BE11" s="706"/>
      <c r="BF11" s="706"/>
      <c r="BG11" s="706"/>
      <c r="BH11" s="706"/>
      <c r="BI11" s="706"/>
      <c r="BJ11" s="706"/>
      <c r="BK11" s="706"/>
      <c r="BL11" s="706"/>
      <c r="BM11" s="706"/>
      <c r="BN11" s="706"/>
      <c r="BO11" s="706"/>
      <c r="BP11" s="706"/>
      <c r="BQ11" s="706"/>
      <c r="BR11" s="706"/>
      <c r="BS11" s="706"/>
      <c r="BT11" s="706"/>
      <c r="BU11" s="706"/>
      <c r="BV11" s="706"/>
      <c r="BW11" s="706"/>
      <c r="BX11" s="706"/>
      <c r="BY11" s="706"/>
      <c r="BZ11" s="706"/>
      <c r="CA11" s="706"/>
      <c r="CB11" s="706"/>
      <c r="CC11" s="706"/>
      <c r="CD11" s="706"/>
      <c r="CE11" s="706"/>
      <c r="CF11" s="706"/>
      <c r="CG11" s="706"/>
      <c r="CH11" s="706"/>
      <c r="CI11" s="706"/>
      <c r="CJ11" s="706"/>
      <c r="CK11" s="706"/>
      <c r="CL11" s="706"/>
      <c r="CM11" s="706"/>
      <c r="CN11" s="706"/>
      <c r="CO11" s="706"/>
      <c r="CP11" s="706"/>
      <c r="CQ11" s="706"/>
      <c r="CR11" s="706"/>
      <c r="CS11" s="706"/>
      <c r="CT11" s="706"/>
      <c r="CU11" s="706"/>
      <c r="CV11" s="706"/>
      <c r="CW11" s="706"/>
      <c r="CX11" s="706"/>
      <c r="CY11" s="706"/>
      <c r="CZ11" s="706"/>
      <c r="DA11" s="706"/>
      <c r="DB11" s="706"/>
      <c r="DC11" s="706"/>
      <c r="DD11" s="706"/>
      <c r="DE11" s="706"/>
      <c r="DF11" s="706"/>
      <c r="DG11" s="706"/>
      <c r="DH11" s="706"/>
      <c r="DI11" s="706"/>
      <c r="DJ11" s="706"/>
      <c r="DK11" s="706"/>
      <c r="DL11" s="706"/>
      <c r="DM11" s="706"/>
      <c r="DN11" s="706"/>
      <c r="DO11" s="706"/>
      <c r="DP11" s="706"/>
      <c r="DQ11" s="706"/>
      <c r="DR11" s="706"/>
      <c r="DS11" s="706"/>
      <c r="DT11" s="706"/>
      <c r="DU11" s="706"/>
      <c r="DV11" s="706"/>
      <c r="DW11" s="706"/>
      <c r="DX11" s="706"/>
      <c r="DY11" s="706"/>
      <c r="DZ11" s="706"/>
      <c r="EA11" s="706"/>
      <c r="EB11" s="706"/>
      <c r="EC11" s="706"/>
      <c r="ED11" s="706"/>
      <c r="EE11" s="706"/>
      <c r="EF11" s="706"/>
      <c r="EG11" s="706"/>
      <c r="EH11" s="706"/>
      <c r="EI11" s="706"/>
      <c r="EJ11" s="706"/>
      <c r="EK11" s="706"/>
      <c r="EL11" s="706"/>
      <c r="EM11" s="706"/>
      <c r="EN11" s="706"/>
      <c r="EO11" s="706"/>
      <c r="EP11" s="706"/>
      <c r="EQ11" s="706"/>
      <c r="ER11" s="706"/>
      <c r="ES11" s="706"/>
      <c r="ET11" s="706"/>
      <c r="EU11" s="706"/>
      <c r="EV11" s="706"/>
      <c r="EW11" s="706"/>
      <c r="EX11" s="706"/>
      <c r="EY11" s="706"/>
      <c r="EZ11" s="706"/>
      <c r="FA11" s="706"/>
      <c r="FB11" s="706"/>
      <c r="FC11" s="706"/>
      <c r="FD11" s="706"/>
      <c r="FE11" s="706"/>
      <c r="FF11" s="706"/>
      <c r="FG11" s="706"/>
      <c r="FH11" s="706"/>
      <c r="FI11" s="706"/>
      <c r="FJ11" s="706"/>
      <c r="FK11" s="706"/>
      <c r="FL11" s="706"/>
      <c r="FM11" s="706"/>
      <c r="FN11" s="706"/>
      <c r="FO11" s="706"/>
      <c r="FP11" s="706"/>
      <c r="FQ11" s="706"/>
      <c r="FR11" s="706"/>
      <c r="FS11" s="706"/>
      <c r="FT11" s="706"/>
      <c r="FU11" s="706"/>
      <c r="FV11" s="706"/>
      <c r="FW11" s="706"/>
      <c r="FX11" s="706"/>
      <c r="FY11" s="706"/>
      <c r="FZ11" s="706"/>
      <c r="GA11" s="706"/>
      <c r="GB11" s="706"/>
      <c r="GC11" s="706"/>
      <c r="GD11" s="706"/>
      <c r="GE11" s="706"/>
      <c r="GF11" s="706"/>
      <c r="GG11" s="706"/>
      <c r="GH11" s="706"/>
      <c r="GI11" s="706"/>
      <c r="GJ11" s="706"/>
      <c r="GK11" s="706"/>
      <c r="GL11" s="706"/>
      <c r="GM11" s="706"/>
      <c r="GN11" s="706"/>
      <c r="GO11" s="706"/>
      <c r="GP11" s="706"/>
      <c r="GQ11" s="706"/>
      <c r="GR11" s="706"/>
      <c r="GS11" s="706"/>
      <c r="GT11" s="706"/>
      <c r="GU11" s="706"/>
      <c r="GV11" s="706"/>
      <c r="GW11" s="706"/>
      <c r="GX11" s="706"/>
      <c r="GY11" s="706"/>
      <c r="GZ11" s="706"/>
      <c r="HA11" s="706"/>
      <c r="HB11" s="706"/>
      <c r="HC11" s="706"/>
      <c r="HD11" s="706"/>
      <c r="HE11" s="706"/>
      <c r="HF11" s="706"/>
      <c r="HG11" s="706"/>
      <c r="HH11" s="706"/>
      <c r="HI11" s="706"/>
      <c r="HJ11" s="706"/>
      <c r="HK11" s="706"/>
      <c r="HL11" s="706"/>
      <c r="HM11" s="706"/>
      <c r="HN11" s="706"/>
      <c r="HO11" s="706"/>
      <c r="HP11" s="706"/>
      <c r="HQ11" s="706"/>
      <c r="HR11" s="706"/>
      <c r="HS11" s="706"/>
      <c r="HT11" s="706"/>
      <c r="HU11" s="706"/>
      <c r="HV11" s="706"/>
      <c r="HW11" s="706"/>
      <c r="HX11" s="706"/>
      <c r="HY11" s="706"/>
      <c r="HZ11" s="706"/>
      <c r="IA11" s="706"/>
      <c r="IB11" s="706"/>
      <c r="IC11" s="706"/>
      <c r="ID11" s="706"/>
      <c r="IE11" s="706"/>
      <c r="IF11" s="706"/>
      <c r="IG11" s="706"/>
      <c r="IH11" s="706"/>
      <c r="II11" s="706"/>
      <c r="IJ11" s="706"/>
      <c r="IK11" s="706"/>
      <c r="IL11" s="706"/>
      <c r="IM11" s="706"/>
      <c r="IN11" s="706"/>
      <c r="IO11" s="706"/>
      <c r="IP11" s="706"/>
      <c r="IQ11" s="706"/>
      <c r="IR11" s="706"/>
      <c r="IS11" s="706"/>
      <c r="IT11" s="706"/>
      <c r="IU11" s="706"/>
      <c r="IV11" s="706"/>
      <c r="IW11" s="706"/>
    </row>
    <row r="12" customFormat="false" ht="12" hidden="false" customHeight="true" outlineLevel="0" collapsed="false">
      <c r="A12" s="775" t="s">
        <v>598</v>
      </c>
      <c r="B12" s="378"/>
      <c r="C12" s="378"/>
      <c r="D12" s="744"/>
      <c r="E12" s="744"/>
      <c r="F12" s="744"/>
      <c r="G12" s="744"/>
      <c r="H12" s="744"/>
      <c r="I12" s="744"/>
      <c r="J12" s="744"/>
      <c r="K12" s="744"/>
      <c r="L12" s="744"/>
      <c r="M12" s="744"/>
      <c r="N12" s="744"/>
      <c r="O12" s="744"/>
      <c r="P12" s="744"/>
      <c r="Q12" s="744"/>
      <c r="R12" s="744"/>
      <c r="S12" s="744"/>
      <c r="T12" s="744"/>
      <c r="U12" s="744"/>
      <c r="V12" s="744"/>
      <c r="W12" s="744"/>
      <c r="X12" s="744"/>
      <c r="Y12" s="744"/>
      <c r="Z12" s="744"/>
      <c r="AA12" s="744"/>
      <c r="AB12" s="782"/>
      <c r="AC12" s="378"/>
      <c r="AD12" s="378"/>
      <c r="AE12" s="776"/>
      <c r="AF12" s="776"/>
      <c r="AG12" s="776"/>
      <c r="AH12" s="777"/>
      <c r="AI12" s="777"/>
      <c r="AJ12" s="777"/>
      <c r="AK12" s="777"/>
      <c r="AL12" s="777"/>
      <c r="AM12" s="777"/>
      <c r="AN12" s="777"/>
      <c r="AO12" s="777"/>
      <c r="AP12" s="777"/>
      <c r="AQ12" s="777"/>
      <c r="AR12" s="777"/>
      <c r="AS12" s="777"/>
      <c r="AT12" s="777"/>
      <c r="AU12" s="777"/>
      <c r="AV12" s="777"/>
      <c r="AW12" s="777"/>
      <c r="AX12" s="777"/>
      <c r="AY12" s="777"/>
      <c r="AZ12" s="777"/>
      <c r="BA12" s="777"/>
      <c r="BB12" s="777"/>
      <c r="BC12" s="777"/>
      <c r="BD12" s="777"/>
      <c r="BE12" s="777"/>
      <c r="BF12" s="777"/>
      <c r="BG12" s="777"/>
      <c r="BH12" s="777"/>
      <c r="BI12" s="777"/>
      <c r="BJ12" s="777"/>
      <c r="BK12" s="777"/>
      <c r="BL12" s="777"/>
      <c r="BM12" s="777"/>
      <c r="BN12" s="777"/>
      <c r="BO12" s="777"/>
      <c r="BP12" s="777"/>
      <c r="BQ12" s="777"/>
      <c r="BR12" s="777"/>
      <c r="BS12" s="777"/>
      <c r="BT12" s="777"/>
      <c r="BU12" s="777"/>
      <c r="BV12" s="777"/>
      <c r="BW12" s="777"/>
      <c r="BX12" s="777"/>
      <c r="BY12" s="777"/>
      <c r="BZ12" s="777"/>
      <c r="CA12" s="777"/>
      <c r="CB12" s="777"/>
      <c r="CC12" s="777"/>
      <c r="CD12" s="777"/>
      <c r="CE12" s="777"/>
      <c r="CF12" s="777"/>
      <c r="CG12" s="777"/>
      <c r="CH12" s="777"/>
      <c r="CI12" s="777"/>
      <c r="CJ12" s="777"/>
      <c r="CK12" s="777"/>
      <c r="CL12" s="777"/>
      <c r="CM12" s="777"/>
      <c r="CN12" s="777"/>
      <c r="CO12" s="777"/>
      <c r="CP12" s="777"/>
      <c r="CQ12" s="777"/>
      <c r="CR12" s="777"/>
      <c r="CS12" s="777"/>
      <c r="CT12" s="777"/>
      <c r="CU12" s="777"/>
      <c r="CV12" s="777"/>
      <c r="CW12" s="777"/>
      <c r="CX12" s="777"/>
      <c r="CY12" s="777"/>
      <c r="CZ12" s="777"/>
      <c r="DA12" s="777"/>
      <c r="DB12" s="777"/>
      <c r="DC12" s="777"/>
      <c r="DD12" s="777"/>
      <c r="DE12" s="777"/>
      <c r="DF12" s="777"/>
      <c r="DG12" s="777"/>
      <c r="DH12" s="777"/>
      <c r="DI12" s="777"/>
      <c r="DJ12" s="777"/>
      <c r="DK12" s="777"/>
      <c r="DL12" s="777"/>
      <c r="DM12" s="777"/>
      <c r="DN12" s="777"/>
      <c r="DO12" s="777"/>
      <c r="DP12" s="777"/>
      <c r="DQ12" s="777"/>
      <c r="DR12" s="777"/>
      <c r="DS12" s="777"/>
      <c r="DT12" s="777"/>
      <c r="DU12" s="777"/>
      <c r="DV12" s="777"/>
      <c r="DW12" s="777"/>
      <c r="DX12" s="777"/>
      <c r="DY12" s="777"/>
      <c r="DZ12" s="777"/>
      <c r="EA12" s="777"/>
      <c r="EB12" s="777"/>
      <c r="EC12" s="777"/>
      <c r="ED12" s="777"/>
      <c r="EE12" s="777"/>
      <c r="EF12" s="777"/>
      <c r="EG12" s="777"/>
      <c r="EH12" s="777"/>
      <c r="EI12" s="777"/>
      <c r="EJ12" s="777"/>
      <c r="EK12" s="777"/>
      <c r="EL12" s="777"/>
      <c r="EM12" s="777"/>
      <c r="EN12" s="777"/>
      <c r="EO12" s="777"/>
      <c r="EP12" s="777"/>
      <c r="EQ12" s="777"/>
      <c r="ER12" s="777"/>
      <c r="ES12" s="777"/>
      <c r="ET12" s="777"/>
      <c r="EU12" s="777"/>
      <c r="EV12" s="777"/>
      <c r="EW12" s="777"/>
      <c r="EX12" s="777"/>
      <c r="EY12" s="777"/>
      <c r="EZ12" s="777"/>
      <c r="FA12" s="777"/>
      <c r="FB12" s="777"/>
      <c r="FC12" s="777"/>
      <c r="FD12" s="777"/>
      <c r="FE12" s="777"/>
      <c r="FF12" s="777"/>
      <c r="FG12" s="777"/>
      <c r="FH12" s="777"/>
      <c r="FI12" s="777"/>
      <c r="FJ12" s="777"/>
      <c r="FK12" s="777"/>
      <c r="FL12" s="777"/>
      <c r="FM12" s="777"/>
      <c r="FN12" s="777"/>
      <c r="FO12" s="777"/>
      <c r="FP12" s="777"/>
      <c r="FQ12" s="777"/>
      <c r="FR12" s="777"/>
      <c r="FS12" s="777"/>
      <c r="FT12" s="777"/>
      <c r="FU12" s="777"/>
      <c r="FV12" s="777"/>
      <c r="FW12" s="777"/>
      <c r="FX12" s="777"/>
      <c r="FY12" s="777"/>
      <c r="FZ12" s="777"/>
      <c r="GA12" s="777"/>
      <c r="GB12" s="777"/>
      <c r="GC12" s="777"/>
      <c r="GD12" s="777"/>
      <c r="GE12" s="777"/>
      <c r="GF12" s="777"/>
      <c r="GG12" s="777"/>
      <c r="GH12" s="777"/>
      <c r="GI12" s="777"/>
      <c r="GJ12" s="777"/>
      <c r="GK12" s="777"/>
      <c r="GL12" s="777"/>
      <c r="GM12" s="777"/>
      <c r="GN12" s="777"/>
      <c r="GO12" s="777"/>
      <c r="GP12" s="777"/>
      <c r="GQ12" s="777"/>
      <c r="GR12" s="777"/>
      <c r="GS12" s="777"/>
      <c r="GT12" s="777"/>
      <c r="GU12" s="777"/>
      <c r="GV12" s="777"/>
      <c r="GW12" s="777"/>
      <c r="GX12" s="777"/>
      <c r="GY12" s="777"/>
      <c r="GZ12" s="777"/>
      <c r="HA12" s="777"/>
      <c r="HB12" s="777"/>
      <c r="HC12" s="777"/>
      <c r="HD12" s="777"/>
      <c r="HE12" s="777"/>
      <c r="HF12" s="777"/>
      <c r="HG12" s="777"/>
      <c r="HH12" s="777"/>
      <c r="HI12" s="777"/>
      <c r="HJ12" s="777"/>
      <c r="HK12" s="777"/>
      <c r="HL12" s="777"/>
      <c r="HM12" s="777"/>
      <c r="HN12" s="777"/>
      <c r="HO12" s="777"/>
      <c r="HP12" s="777"/>
      <c r="HQ12" s="777"/>
      <c r="HR12" s="777"/>
      <c r="HS12" s="777"/>
      <c r="HT12" s="777"/>
      <c r="HU12" s="777"/>
      <c r="HV12" s="777"/>
      <c r="HW12" s="777"/>
      <c r="HX12" s="777"/>
      <c r="HY12" s="777"/>
      <c r="HZ12" s="777"/>
      <c r="IA12" s="777"/>
      <c r="IB12" s="777"/>
      <c r="IC12" s="777"/>
      <c r="ID12" s="777"/>
      <c r="IE12" s="777"/>
      <c r="IF12" s="777"/>
      <c r="IG12" s="777"/>
      <c r="IH12" s="777"/>
      <c r="II12" s="777"/>
      <c r="IJ12" s="777"/>
      <c r="IK12" s="777"/>
      <c r="IL12" s="777"/>
      <c r="IM12" s="777"/>
      <c r="IN12" s="777"/>
      <c r="IO12" s="777"/>
      <c r="IP12" s="777"/>
      <c r="IQ12" s="777"/>
      <c r="IR12" s="777"/>
      <c r="IS12" s="777"/>
      <c r="IT12" s="777"/>
      <c r="IU12" s="777"/>
      <c r="IV12" s="777"/>
      <c r="IW12" s="32"/>
    </row>
    <row r="13" customFormat="false" ht="12" hidden="false" customHeight="true" outlineLevel="0" collapsed="false">
      <c r="A13" s="719" t="s">
        <v>599</v>
      </c>
      <c r="B13" s="378"/>
      <c r="C13" s="378"/>
      <c r="D13" s="431" t="n">
        <f aca="false">'Book Income Statement'!D17-'Book Income Statement'!D10</f>
        <v>15695.0188333333</v>
      </c>
      <c r="E13" s="431" t="n">
        <f aca="false">'Book Income Statement'!E17-'Book Income Statement'!E10</f>
        <v>25461.13714</v>
      </c>
      <c r="F13" s="431" t="n">
        <f aca="false">'Book Income Statement'!F17-'Book Income Statement'!F10</f>
        <v>25548.1712542</v>
      </c>
      <c r="G13" s="431" t="n">
        <f aca="false">'Book Income Statement'!G17-'Book Income Statement'!G10</f>
        <v>33331.4450360051</v>
      </c>
      <c r="H13" s="431" t="n">
        <f aca="false">'Book Income Statement'!H17-'Book Income Statement'!H10</f>
        <v>39989.7301214556</v>
      </c>
      <c r="I13" s="431" t="n">
        <f aca="false">'Book Income Statement'!I17-'Book Income Statement'!I10</f>
        <v>41189.0589233393</v>
      </c>
      <c r="J13" s="431" t="n">
        <f aca="false">'Book Income Statement'!J17-'Book Income Statement'!J10</f>
        <v>41798.3021487991</v>
      </c>
      <c r="K13" s="431" t="n">
        <f aca="false">'Book Income Statement'!K17-'Book Income Statement'!K10</f>
        <v>42407.0407078084</v>
      </c>
      <c r="L13" s="431" t="n">
        <f aca="false">'Book Income Statement'!L17-'Book Income Statement'!L10</f>
        <v>43014.696001477</v>
      </c>
      <c r="M13" s="431" t="n">
        <f aca="false">'Book Income Statement'!M17-'Book Income Statement'!M10</f>
        <v>43620.6551691816</v>
      </c>
      <c r="N13" s="431" t="n">
        <f aca="false">'Book Income Statement'!N17-'Book Income Statement'!N10</f>
        <v>44224.2695535999</v>
      </c>
      <c r="O13" s="431" t="n">
        <f aca="false">'Book Income Statement'!O17-'Book Income Statement'!O10</f>
        <v>44824.8531044838</v>
      </c>
      <c r="P13" s="431" t="n">
        <f aca="false">'Book Income Statement'!P17-'Book Income Statement'!P10</f>
        <v>45421.6807188753</v>
      </c>
      <c r="Q13" s="431" t="n">
        <f aca="false">'Book Income Statement'!Q17-'Book Income Statement'!Q10</f>
        <v>45244.0049920966</v>
      </c>
      <c r="R13" s="431" t="n">
        <f aca="false">'Book Income Statement'!R17-'Book Income Statement'!R10</f>
        <v>45807.8810711083</v>
      </c>
      <c r="S13" s="431" t="n">
        <f aca="false">'Book Income Statement'!S17-'Book Income Statement'!S10</f>
        <v>46364.8810034206</v>
      </c>
      <c r="T13" s="431" t="n">
        <f aca="false">'Book Income Statement'!T17-'Book Income Statement'!T10</f>
        <v>46914.0847317604</v>
      </c>
      <c r="U13" s="431" t="n">
        <f aca="false">'Book Income Statement'!U17-'Book Income Statement'!U10</f>
        <v>47454.5231839503</v>
      </c>
      <c r="V13" s="431" t="n">
        <f aca="false">'Book Income Statement'!V17-'Book Income Statement'!V10</f>
        <v>47985.1761600658</v>
      </c>
      <c r="W13" s="431" t="n">
        <f aca="false">'Book Income Statement'!W17-'Book Income Statement'!W10</f>
        <v>47585.5719307632</v>
      </c>
      <c r="X13" s="431" t="n">
        <f aca="false">'Book Income Statement'!X17-'Book Income Statement'!X10</f>
        <v>21540.3494598934</v>
      </c>
      <c r="Y13" s="431" t="n">
        <f aca="false">'Book Income Statement'!Y17-'Book Income Statement'!Y10</f>
        <v>0</v>
      </c>
      <c r="Z13" s="431" t="n">
        <f aca="false">'Book Income Statement'!Z17-'Book Income Statement'!Z10</f>
        <v>0</v>
      </c>
      <c r="AA13" s="431" t="n">
        <f aca="false">'Book Income Statement'!AA17-'Book Income Statement'!AA10</f>
        <v>0</v>
      </c>
      <c r="AB13" s="431" t="n">
        <f aca="false">'Book Income Statement'!AB17-'Book Income Statement'!AB10</f>
        <v>0</v>
      </c>
      <c r="AC13" s="378"/>
      <c r="AD13" s="378"/>
      <c r="AE13" s="776"/>
      <c r="AF13" s="776"/>
      <c r="AG13" s="776"/>
      <c r="AH13" s="777"/>
      <c r="AI13" s="777"/>
      <c r="AJ13" s="777"/>
      <c r="AK13" s="777"/>
      <c r="AL13" s="777"/>
      <c r="AM13" s="777"/>
      <c r="AN13" s="777"/>
      <c r="AO13" s="777"/>
      <c r="AP13" s="777"/>
      <c r="AQ13" s="777"/>
      <c r="AR13" s="777"/>
      <c r="AS13" s="777"/>
      <c r="AT13" s="777"/>
      <c r="AU13" s="777"/>
      <c r="AV13" s="777"/>
      <c r="AW13" s="777"/>
      <c r="AX13" s="777"/>
      <c r="AY13" s="777"/>
      <c r="AZ13" s="777"/>
      <c r="BA13" s="777"/>
      <c r="BB13" s="777"/>
      <c r="BC13" s="777"/>
      <c r="BD13" s="777"/>
      <c r="BE13" s="777"/>
      <c r="BF13" s="777"/>
      <c r="BG13" s="777"/>
      <c r="BH13" s="777"/>
      <c r="BI13" s="777"/>
      <c r="BJ13" s="777"/>
      <c r="BK13" s="777"/>
      <c r="BL13" s="777"/>
      <c r="BM13" s="777"/>
      <c r="BN13" s="777"/>
      <c r="BO13" s="777"/>
      <c r="BP13" s="777"/>
      <c r="BQ13" s="777"/>
      <c r="BR13" s="777"/>
      <c r="BS13" s="777"/>
      <c r="BT13" s="777"/>
      <c r="BU13" s="777"/>
      <c r="BV13" s="777"/>
      <c r="BW13" s="777"/>
      <c r="BX13" s="777"/>
      <c r="BY13" s="777"/>
      <c r="BZ13" s="777"/>
      <c r="CA13" s="777"/>
      <c r="CB13" s="777"/>
      <c r="CC13" s="777"/>
      <c r="CD13" s="777"/>
      <c r="CE13" s="777"/>
      <c r="CF13" s="777"/>
      <c r="CG13" s="777"/>
      <c r="CH13" s="777"/>
      <c r="CI13" s="777"/>
      <c r="CJ13" s="777"/>
      <c r="CK13" s="777"/>
      <c r="CL13" s="777"/>
      <c r="CM13" s="777"/>
      <c r="CN13" s="777"/>
      <c r="CO13" s="777"/>
      <c r="CP13" s="777"/>
      <c r="CQ13" s="777"/>
      <c r="CR13" s="777"/>
      <c r="CS13" s="777"/>
      <c r="CT13" s="777"/>
      <c r="CU13" s="777"/>
      <c r="CV13" s="777"/>
      <c r="CW13" s="777"/>
      <c r="CX13" s="777"/>
      <c r="CY13" s="777"/>
      <c r="CZ13" s="777"/>
      <c r="DA13" s="777"/>
      <c r="DB13" s="777"/>
      <c r="DC13" s="777"/>
      <c r="DD13" s="777"/>
      <c r="DE13" s="777"/>
      <c r="DF13" s="777"/>
      <c r="DG13" s="777"/>
      <c r="DH13" s="777"/>
      <c r="DI13" s="777"/>
      <c r="DJ13" s="777"/>
      <c r="DK13" s="777"/>
      <c r="DL13" s="777"/>
      <c r="DM13" s="777"/>
      <c r="DN13" s="777"/>
      <c r="DO13" s="777"/>
      <c r="DP13" s="777"/>
      <c r="DQ13" s="777"/>
      <c r="DR13" s="777"/>
      <c r="DS13" s="777"/>
      <c r="DT13" s="777"/>
      <c r="DU13" s="777"/>
      <c r="DV13" s="777"/>
      <c r="DW13" s="777"/>
      <c r="DX13" s="777"/>
      <c r="DY13" s="777"/>
      <c r="DZ13" s="777"/>
      <c r="EA13" s="777"/>
      <c r="EB13" s="777"/>
      <c r="EC13" s="777"/>
      <c r="ED13" s="777"/>
      <c r="EE13" s="777"/>
      <c r="EF13" s="777"/>
      <c r="EG13" s="777"/>
      <c r="EH13" s="777"/>
      <c r="EI13" s="777"/>
      <c r="EJ13" s="777"/>
      <c r="EK13" s="777"/>
      <c r="EL13" s="777"/>
      <c r="EM13" s="777"/>
      <c r="EN13" s="777"/>
      <c r="EO13" s="777"/>
      <c r="EP13" s="777"/>
      <c r="EQ13" s="777"/>
      <c r="ER13" s="777"/>
      <c r="ES13" s="777"/>
      <c r="ET13" s="777"/>
      <c r="EU13" s="777"/>
      <c r="EV13" s="777"/>
      <c r="EW13" s="777"/>
      <c r="EX13" s="777"/>
      <c r="EY13" s="777"/>
      <c r="EZ13" s="777"/>
      <c r="FA13" s="777"/>
      <c r="FB13" s="777"/>
      <c r="FC13" s="777"/>
      <c r="FD13" s="777"/>
      <c r="FE13" s="777"/>
      <c r="FF13" s="777"/>
      <c r="FG13" s="777"/>
      <c r="FH13" s="777"/>
      <c r="FI13" s="777"/>
      <c r="FJ13" s="777"/>
      <c r="FK13" s="777"/>
      <c r="FL13" s="777"/>
      <c r="FM13" s="777"/>
      <c r="FN13" s="777"/>
      <c r="FO13" s="777"/>
      <c r="FP13" s="777"/>
      <c r="FQ13" s="777"/>
      <c r="FR13" s="777"/>
      <c r="FS13" s="777"/>
      <c r="FT13" s="777"/>
      <c r="FU13" s="777"/>
      <c r="FV13" s="777"/>
      <c r="FW13" s="777"/>
      <c r="FX13" s="777"/>
      <c r="FY13" s="777"/>
      <c r="FZ13" s="777"/>
      <c r="GA13" s="777"/>
      <c r="GB13" s="777"/>
      <c r="GC13" s="777"/>
      <c r="GD13" s="777"/>
      <c r="GE13" s="777"/>
      <c r="GF13" s="777"/>
      <c r="GG13" s="777"/>
      <c r="GH13" s="777"/>
      <c r="GI13" s="777"/>
      <c r="GJ13" s="777"/>
      <c r="GK13" s="777"/>
      <c r="GL13" s="777"/>
      <c r="GM13" s="777"/>
      <c r="GN13" s="777"/>
      <c r="GO13" s="777"/>
      <c r="GP13" s="777"/>
      <c r="GQ13" s="777"/>
      <c r="GR13" s="777"/>
      <c r="GS13" s="777"/>
      <c r="GT13" s="777"/>
      <c r="GU13" s="777"/>
      <c r="GV13" s="777"/>
      <c r="GW13" s="777"/>
      <c r="GX13" s="777"/>
      <c r="GY13" s="777"/>
      <c r="GZ13" s="777"/>
      <c r="HA13" s="777"/>
      <c r="HB13" s="777"/>
      <c r="HC13" s="777"/>
      <c r="HD13" s="777"/>
      <c r="HE13" s="777"/>
      <c r="HF13" s="777"/>
      <c r="HG13" s="777"/>
      <c r="HH13" s="777"/>
      <c r="HI13" s="777"/>
      <c r="HJ13" s="777"/>
      <c r="HK13" s="777"/>
      <c r="HL13" s="777"/>
      <c r="HM13" s="777"/>
      <c r="HN13" s="777"/>
      <c r="HO13" s="777"/>
      <c r="HP13" s="777"/>
      <c r="HQ13" s="777"/>
      <c r="HR13" s="777"/>
      <c r="HS13" s="777"/>
      <c r="HT13" s="777"/>
      <c r="HU13" s="777"/>
      <c r="HV13" s="777"/>
      <c r="HW13" s="777"/>
      <c r="HX13" s="777"/>
      <c r="HY13" s="777"/>
      <c r="HZ13" s="777"/>
      <c r="IA13" s="777"/>
      <c r="IB13" s="777"/>
      <c r="IC13" s="777"/>
      <c r="ID13" s="777"/>
      <c r="IE13" s="777"/>
      <c r="IF13" s="777"/>
      <c r="IG13" s="777"/>
      <c r="IH13" s="777"/>
      <c r="II13" s="777"/>
      <c r="IJ13" s="777"/>
      <c r="IK13" s="777"/>
      <c r="IL13" s="777"/>
      <c r="IM13" s="777"/>
      <c r="IN13" s="777"/>
      <c r="IO13" s="777"/>
      <c r="IP13" s="777"/>
      <c r="IQ13" s="777"/>
      <c r="IR13" s="777"/>
      <c r="IS13" s="777"/>
      <c r="IT13" s="777"/>
      <c r="IU13" s="777"/>
      <c r="IV13" s="777"/>
      <c r="IW13" s="32"/>
    </row>
    <row r="14" customFormat="false" ht="12" hidden="false" customHeight="true" outlineLevel="0" collapsed="false">
      <c r="A14" s="719" t="s">
        <v>600</v>
      </c>
      <c r="B14" s="378"/>
      <c r="C14" s="378"/>
      <c r="D14" s="778" t="n">
        <f aca="false">IF(D$3&gt;'Project Assumtions'!$I$15+1,0,'Project Assumtions'!$N$69)</f>
        <v>0.012</v>
      </c>
      <c r="E14" s="778" t="n">
        <f aca="false">IF(E3&gt;'Project Assumtions'!$I$15+1,0,'Project Assumtions'!$N$69)</f>
        <v>0.012</v>
      </c>
      <c r="F14" s="778" t="n">
        <f aca="false">IF(F3&gt;'Project Assumtions'!$I$15+1,0,'Project Assumtions'!$N$69)</f>
        <v>0.012</v>
      </c>
      <c r="G14" s="778" t="n">
        <f aca="false">IF(G3&gt;'Project Assumtions'!$I$15+1,0,'Project Assumtions'!$N$69)</f>
        <v>0.012</v>
      </c>
      <c r="H14" s="778" t="n">
        <f aca="false">IF(H3&gt;'Project Assumtions'!$I$15+1,0,'Project Assumtions'!$N$69)</f>
        <v>0.012</v>
      </c>
      <c r="I14" s="778" t="n">
        <f aca="false">IF(I3&gt;'Project Assumtions'!$I$15+1,0,'Project Assumtions'!$N$69)</f>
        <v>0.012</v>
      </c>
      <c r="J14" s="778" t="n">
        <f aca="false">IF(J3&gt;'Project Assumtions'!$I$15+1,0,'Project Assumtions'!$N$69)</f>
        <v>0.012</v>
      </c>
      <c r="K14" s="778" t="n">
        <f aca="false">IF(K3&gt;'Project Assumtions'!$I$15+1,0,'Project Assumtions'!$N$69)</f>
        <v>0.012</v>
      </c>
      <c r="L14" s="778" t="n">
        <f aca="false">IF(L3&gt;'Project Assumtions'!$I$15+1,0,'Project Assumtions'!$N$69)</f>
        <v>0.012</v>
      </c>
      <c r="M14" s="778" t="n">
        <f aca="false">IF(M3&gt;'Project Assumtions'!$I$15+1,0,'Project Assumtions'!$N$69)</f>
        <v>0.012</v>
      </c>
      <c r="N14" s="778" t="n">
        <f aca="false">IF(N3&gt;'Project Assumtions'!$I$15+1,0,'Project Assumtions'!$N$69)</f>
        <v>0.012</v>
      </c>
      <c r="O14" s="778" t="n">
        <f aca="false">IF(O3&gt;'Project Assumtions'!$I$15+1,0,'Project Assumtions'!$N$69)</f>
        <v>0.012</v>
      </c>
      <c r="P14" s="778" t="n">
        <f aca="false">IF(P3&gt;'Project Assumtions'!$I$15+1,0,'Project Assumtions'!$N$69)</f>
        <v>0.012</v>
      </c>
      <c r="Q14" s="778" t="n">
        <f aca="false">IF(Q3&gt;'Project Assumtions'!$I$15+1,0,'Project Assumtions'!$N$69)</f>
        <v>0.012</v>
      </c>
      <c r="R14" s="778" t="n">
        <f aca="false">IF(R3&gt;'Project Assumtions'!$I$15+1,0,'Project Assumtions'!$N$69)</f>
        <v>0.012</v>
      </c>
      <c r="S14" s="778" t="n">
        <f aca="false">IF(S3&gt;'Project Assumtions'!$I$15+1,0,'Project Assumtions'!$N$69)</f>
        <v>0.012</v>
      </c>
      <c r="T14" s="778" t="n">
        <f aca="false">IF(T3&gt;'Project Assumtions'!$I$15+1,0,'Project Assumtions'!$N$69)</f>
        <v>0.012</v>
      </c>
      <c r="U14" s="778" t="n">
        <f aca="false">IF(U3&gt;'Project Assumtions'!$I$15+1,0,'Project Assumtions'!$N$69)</f>
        <v>0.012</v>
      </c>
      <c r="V14" s="778" t="n">
        <f aca="false">IF(V3&gt;'Project Assumtions'!$I$15+1,0,'Project Assumtions'!$N$69)</f>
        <v>0.012</v>
      </c>
      <c r="W14" s="778" t="n">
        <f aca="false">IF(W3&gt;'Project Assumtions'!$I$15+1,0,'Project Assumtions'!$N$69)</f>
        <v>0.012</v>
      </c>
      <c r="X14" s="778" t="n">
        <f aca="false">IF(X3&gt;'Project Assumtions'!$I$15,0,'Project Assumtions'!$N$69)</f>
        <v>0</v>
      </c>
      <c r="Y14" s="778" t="n">
        <f aca="false">IF(Y3&gt;'Project Assumtions'!$I$15,0,'Project Assumtions'!$N$69)</f>
        <v>0</v>
      </c>
      <c r="Z14" s="778" t="n">
        <f aca="false">IF(Z3&gt;'Project Assumtions'!$I$15,0,'Project Assumtions'!$N$69)</f>
        <v>0</v>
      </c>
      <c r="AA14" s="778" t="n">
        <f aca="false">IF(AA3&gt;'Project Assumtions'!$I$15,0,'Project Assumtions'!$N$69)</f>
        <v>0</v>
      </c>
      <c r="AB14" s="779" t="n">
        <f aca="false">IF(AB3&gt;'Project Assumtions'!$I$15,0,'Project Assumtions'!$N$69)</f>
        <v>0</v>
      </c>
      <c r="AC14" s="378"/>
      <c r="AD14" s="378"/>
      <c r="AE14" s="776"/>
      <c r="AF14" s="776"/>
      <c r="AG14" s="776"/>
      <c r="AH14" s="777"/>
      <c r="AI14" s="777"/>
      <c r="AJ14" s="777"/>
      <c r="AK14" s="777"/>
      <c r="AL14" s="777"/>
      <c r="AM14" s="777"/>
      <c r="AN14" s="777"/>
      <c r="AO14" s="777"/>
      <c r="AP14" s="777"/>
      <c r="AQ14" s="777"/>
      <c r="AR14" s="777"/>
      <c r="AS14" s="777"/>
      <c r="AT14" s="777"/>
      <c r="AU14" s="777"/>
      <c r="AV14" s="777"/>
      <c r="AW14" s="777"/>
      <c r="AX14" s="777"/>
      <c r="AY14" s="777"/>
      <c r="AZ14" s="777"/>
      <c r="BA14" s="777"/>
      <c r="BB14" s="777"/>
      <c r="BC14" s="777"/>
      <c r="BD14" s="777"/>
      <c r="BE14" s="777"/>
      <c r="BF14" s="777"/>
      <c r="BG14" s="777"/>
      <c r="BH14" s="777"/>
      <c r="BI14" s="777"/>
      <c r="BJ14" s="777"/>
      <c r="BK14" s="777"/>
      <c r="BL14" s="777"/>
      <c r="BM14" s="777"/>
      <c r="BN14" s="777"/>
      <c r="BO14" s="777"/>
      <c r="BP14" s="777"/>
      <c r="BQ14" s="777"/>
      <c r="BR14" s="777"/>
      <c r="BS14" s="777"/>
      <c r="BT14" s="777"/>
      <c r="BU14" s="777"/>
      <c r="BV14" s="777"/>
      <c r="BW14" s="777"/>
      <c r="BX14" s="777"/>
      <c r="BY14" s="777"/>
      <c r="BZ14" s="777"/>
      <c r="CA14" s="777"/>
      <c r="CB14" s="777"/>
      <c r="CC14" s="777"/>
      <c r="CD14" s="777"/>
      <c r="CE14" s="777"/>
      <c r="CF14" s="777"/>
      <c r="CG14" s="777"/>
      <c r="CH14" s="777"/>
      <c r="CI14" s="777"/>
      <c r="CJ14" s="777"/>
      <c r="CK14" s="777"/>
      <c r="CL14" s="777"/>
      <c r="CM14" s="777"/>
      <c r="CN14" s="777"/>
      <c r="CO14" s="777"/>
      <c r="CP14" s="777"/>
      <c r="CQ14" s="777"/>
      <c r="CR14" s="777"/>
      <c r="CS14" s="777"/>
      <c r="CT14" s="777"/>
      <c r="CU14" s="777"/>
      <c r="CV14" s="777"/>
      <c r="CW14" s="777"/>
      <c r="CX14" s="777"/>
      <c r="CY14" s="777"/>
      <c r="CZ14" s="777"/>
      <c r="DA14" s="777"/>
      <c r="DB14" s="777"/>
      <c r="DC14" s="777"/>
      <c r="DD14" s="777"/>
      <c r="DE14" s="777"/>
      <c r="DF14" s="777"/>
      <c r="DG14" s="777"/>
      <c r="DH14" s="777"/>
      <c r="DI14" s="777"/>
      <c r="DJ14" s="777"/>
      <c r="DK14" s="777"/>
      <c r="DL14" s="777"/>
      <c r="DM14" s="777"/>
      <c r="DN14" s="777"/>
      <c r="DO14" s="777"/>
      <c r="DP14" s="777"/>
      <c r="DQ14" s="777"/>
      <c r="DR14" s="777"/>
      <c r="DS14" s="777"/>
      <c r="DT14" s="777"/>
      <c r="DU14" s="777"/>
      <c r="DV14" s="777"/>
      <c r="DW14" s="777"/>
      <c r="DX14" s="777"/>
      <c r="DY14" s="777"/>
      <c r="DZ14" s="777"/>
      <c r="EA14" s="777"/>
      <c r="EB14" s="777"/>
      <c r="EC14" s="777"/>
      <c r="ED14" s="777"/>
      <c r="EE14" s="777"/>
      <c r="EF14" s="777"/>
      <c r="EG14" s="777"/>
      <c r="EH14" s="777"/>
      <c r="EI14" s="777"/>
      <c r="EJ14" s="777"/>
      <c r="EK14" s="777"/>
      <c r="EL14" s="777"/>
      <c r="EM14" s="777"/>
      <c r="EN14" s="777"/>
      <c r="EO14" s="777"/>
      <c r="EP14" s="777"/>
      <c r="EQ14" s="777"/>
      <c r="ER14" s="777"/>
      <c r="ES14" s="777"/>
      <c r="ET14" s="777"/>
      <c r="EU14" s="777"/>
      <c r="EV14" s="777"/>
      <c r="EW14" s="777"/>
      <c r="EX14" s="777"/>
      <c r="EY14" s="777"/>
      <c r="EZ14" s="777"/>
      <c r="FA14" s="777"/>
      <c r="FB14" s="777"/>
      <c r="FC14" s="777"/>
      <c r="FD14" s="777"/>
      <c r="FE14" s="777"/>
      <c r="FF14" s="777"/>
      <c r="FG14" s="777"/>
      <c r="FH14" s="777"/>
      <c r="FI14" s="777"/>
      <c r="FJ14" s="777"/>
      <c r="FK14" s="777"/>
      <c r="FL14" s="777"/>
      <c r="FM14" s="777"/>
      <c r="FN14" s="777"/>
      <c r="FO14" s="777"/>
      <c r="FP14" s="777"/>
      <c r="FQ14" s="777"/>
      <c r="FR14" s="777"/>
      <c r="FS14" s="777"/>
      <c r="FT14" s="777"/>
      <c r="FU14" s="777"/>
      <c r="FV14" s="777"/>
      <c r="FW14" s="777"/>
      <c r="FX14" s="777"/>
      <c r="FY14" s="777"/>
      <c r="FZ14" s="777"/>
      <c r="GA14" s="777"/>
      <c r="GB14" s="777"/>
      <c r="GC14" s="777"/>
      <c r="GD14" s="777"/>
      <c r="GE14" s="777"/>
      <c r="GF14" s="777"/>
      <c r="GG14" s="777"/>
      <c r="GH14" s="777"/>
      <c r="GI14" s="777"/>
      <c r="GJ14" s="777"/>
      <c r="GK14" s="777"/>
      <c r="GL14" s="777"/>
      <c r="GM14" s="777"/>
      <c r="GN14" s="777"/>
      <c r="GO14" s="777"/>
      <c r="GP14" s="777"/>
      <c r="GQ14" s="777"/>
      <c r="GR14" s="777"/>
      <c r="GS14" s="777"/>
      <c r="GT14" s="777"/>
      <c r="GU14" s="777"/>
      <c r="GV14" s="777"/>
      <c r="GW14" s="777"/>
      <c r="GX14" s="777"/>
      <c r="GY14" s="777"/>
      <c r="GZ14" s="777"/>
      <c r="HA14" s="777"/>
      <c r="HB14" s="777"/>
      <c r="HC14" s="777"/>
      <c r="HD14" s="777"/>
      <c r="HE14" s="777"/>
      <c r="HF14" s="777"/>
      <c r="HG14" s="777"/>
      <c r="HH14" s="777"/>
      <c r="HI14" s="777"/>
      <c r="HJ14" s="777"/>
      <c r="HK14" s="777"/>
      <c r="HL14" s="777"/>
      <c r="HM14" s="777"/>
      <c r="HN14" s="777"/>
      <c r="HO14" s="777"/>
      <c r="HP14" s="777"/>
      <c r="HQ14" s="777"/>
      <c r="HR14" s="777"/>
      <c r="HS14" s="777"/>
      <c r="HT14" s="777"/>
      <c r="HU14" s="777"/>
      <c r="HV14" s="777"/>
      <c r="HW14" s="777"/>
      <c r="HX14" s="777"/>
      <c r="HY14" s="777"/>
      <c r="HZ14" s="777"/>
      <c r="IA14" s="777"/>
      <c r="IB14" s="777"/>
      <c r="IC14" s="777"/>
      <c r="ID14" s="777"/>
      <c r="IE14" s="777"/>
      <c r="IF14" s="777"/>
      <c r="IG14" s="777"/>
      <c r="IH14" s="777"/>
      <c r="II14" s="777"/>
      <c r="IJ14" s="777"/>
      <c r="IK14" s="777"/>
      <c r="IL14" s="777"/>
      <c r="IM14" s="777"/>
      <c r="IN14" s="777"/>
      <c r="IO14" s="777"/>
      <c r="IP14" s="777"/>
      <c r="IQ14" s="777"/>
      <c r="IR14" s="777"/>
      <c r="IS14" s="777"/>
      <c r="IT14" s="777"/>
      <c r="IU14" s="777"/>
      <c r="IV14" s="777"/>
      <c r="IW14" s="32"/>
    </row>
    <row r="15" customFormat="false" ht="12" hidden="false" customHeight="true" outlineLevel="0" collapsed="false">
      <c r="A15" s="716" t="s">
        <v>601</v>
      </c>
      <c r="B15" s="428"/>
      <c r="C15" s="428"/>
      <c r="D15" s="666" t="n">
        <f aca="false">D13*D14</f>
        <v>188.340226</v>
      </c>
      <c r="E15" s="666" t="n">
        <f aca="false">E13*E14</f>
        <v>305.53364568</v>
      </c>
      <c r="F15" s="666" t="n">
        <f aca="false">F13*F14</f>
        <v>306.5780550504</v>
      </c>
      <c r="G15" s="666" t="n">
        <f aca="false">G13*G14</f>
        <v>399.977340432061</v>
      </c>
      <c r="H15" s="666" t="n">
        <f aca="false">H13*H14</f>
        <v>479.876761457467</v>
      </c>
      <c r="I15" s="666" t="n">
        <f aca="false">I13*I14</f>
        <v>494.268707080072</v>
      </c>
      <c r="J15" s="666" t="n">
        <f aca="false">J13*J14</f>
        <v>501.57962578559</v>
      </c>
      <c r="K15" s="666" t="n">
        <f aca="false">K13*K14</f>
        <v>508.8844884937</v>
      </c>
      <c r="L15" s="666" t="n">
        <f aca="false">L13*L14</f>
        <v>516.176352017724</v>
      </c>
      <c r="M15" s="666" t="n">
        <f aca="false">M13*M14</f>
        <v>523.447862030179</v>
      </c>
      <c r="N15" s="666" t="n">
        <f aca="false">N13*N14</f>
        <v>530.691234643199</v>
      </c>
      <c r="O15" s="666" t="n">
        <f aca="false">O13*O14</f>
        <v>537.898237253806</v>
      </c>
      <c r="P15" s="666" t="n">
        <f aca="false">P13*P14</f>
        <v>545.060168626504</v>
      </c>
      <c r="Q15" s="666" t="n">
        <f aca="false">Q13*Q14</f>
        <v>542.92805990516</v>
      </c>
      <c r="R15" s="666" t="n">
        <f aca="false">R13*R14</f>
        <v>549.6945728533</v>
      </c>
      <c r="S15" s="666" t="n">
        <f aca="false">S13*S14</f>
        <v>556.378572041047</v>
      </c>
      <c r="T15" s="666" t="n">
        <f aca="false">T13*T14</f>
        <v>562.969016781124</v>
      </c>
      <c r="U15" s="666" t="n">
        <f aca="false">U13*U14</f>
        <v>569.454278207403</v>
      </c>
      <c r="V15" s="666" t="n">
        <f aca="false">V13*V14</f>
        <v>575.82211392079</v>
      </c>
      <c r="W15" s="666" t="n">
        <f aca="false">W13*W14</f>
        <v>571.026863169158</v>
      </c>
      <c r="X15" s="666" t="n">
        <f aca="false">X13*X14</f>
        <v>0</v>
      </c>
      <c r="Y15" s="666" t="n">
        <f aca="false">Y13*Y14</f>
        <v>0</v>
      </c>
      <c r="Z15" s="666" t="n">
        <f aca="false">Z13*Z14</f>
        <v>0</v>
      </c>
      <c r="AA15" s="666" t="n">
        <f aca="false">AA13*AA14</f>
        <v>0</v>
      </c>
      <c r="AB15" s="667" t="n">
        <f aca="false">AB13*AB14</f>
        <v>0</v>
      </c>
      <c r="AC15" s="378"/>
      <c r="AD15" s="378"/>
      <c r="AE15" s="776"/>
      <c r="AF15" s="776"/>
      <c r="AG15" s="776"/>
      <c r="AH15" s="777"/>
      <c r="AI15" s="777"/>
      <c r="AJ15" s="777"/>
      <c r="AK15" s="777"/>
      <c r="AL15" s="777"/>
      <c r="AM15" s="777"/>
      <c r="AN15" s="777"/>
      <c r="AO15" s="777"/>
      <c r="AP15" s="777"/>
      <c r="AQ15" s="777"/>
      <c r="AR15" s="777"/>
      <c r="AS15" s="777"/>
      <c r="AT15" s="777"/>
      <c r="AU15" s="777"/>
      <c r="AV15" s="777"/>
      <c r="AW15" s="777"/>
      <c r="AX15" s="777"/>
      <c r="AY15" s="777"/>
      <c r="AZ15" s="777"/>
      <c r="BA15" s="777"/>
      <c r="BB15" s="777"/>
      <c r="BC15" s="777"/>
      <c r="BD15" s="777"/>
      <c r="BE15" s="777"/>
      <c r="BF15" s="777"/>
      <c r="BG15" s="777"/>
      <c r="BH15" s="777"/>
      <c r="BI15" s="777"/>
      <c r="BJ15" s="777"/>
      <c r="BK15" s="777"/>
      <c r="BL15" s="777"/>
      <c r="BM15" s="777"/>
      <c r="BN15" s="777"/>
      <c r="BO15" s="777"/>
      <c r="BP15" s="777"/>
      <c r="BQ15" s="777"/>
      <c r="BR15" s="777"/>
      <c r="BS15" s="777"/>
      <c r="BT15" s="777"/>
      <c r="BU15" s="777"/>
      <c r="BV15" s="777"/>
      <c r="BW15" s="777"/>
      <c r="BX15" s="777"/>
      <c r="BY15" s="777"/>
      <c r="BZ15" s="777"/>
      <c r="CA15" s="777"/>
      <c r="CB15" s="777"/>
      <c r="CC15" s="777"/>
      <c r="CD15" s="777"/>
      <c r="CE15" s="777"/>
      <c r="CF15" s="777"/>
      <c r="CG15" s="777"/>
      <c r="CH15" s="777"/>
      <c r="CI15" s="777"/>
      <c r="CJ15" s="777"/>
      <c r="CK15" s="777"/>
      <c r="CL15" s="777"/>
      <c r="CM15" s="777"/>
      <c r="CN15" s="777"/>
      <c r="CO15" s="777"/>
      <c r="CP15" s="777"/>
      <c r="CQ15" s="777"/>
      <c r="CR15" s="777"/>
      <c r="CS15" s="777"/>
      <c r="CT15" s="777"/>
      <c r="CU15" s="777"/>
      <c r="CV15" s="777"/>
      <c r="CW15" s="777"/>
      <c r="CX15" s="777"/>
      <c r="CY15" s="777"/>
      <c r="CZ15" s="777"/>
      <c r="DA15" s="777"/>
      <c r="DB15" s="777"/>
      <c r="DC15" s="777"/>
      <c r="DD15" s="777"/>
      <c r="DE15" s="777"/>
      <c r="DF15" s="777"/>
      <c r="DG15" s="777"/>
      <c r="DH15" s="777"/>
      <c r="DI15" s="777"/>
      <c r="DJ15" s="777"/>
      <c r="DK15" s="777"/>
      <c r="DL15" s="777"/>
      <c r="DM15" s="777"/>
      <c r="DN15" s="777"/>
      <c r="DO15" s="777"/>
      <c r="DP15" s="777"/>
      <c r="DQ15" s="777"/>
      <c r="DR15" s="777"/>
      <c r="DS15" s="777"/>
      <c r="DT15" s="777"/>
      <c r="DU15" s="777"/>
      <c r="DV15" s="777"/>
      <c r="DW15" s="777"/>
      <c r="DX15" s="777"/>
      <c r="DY15" s="777"/>
      <c r="DZ15" s="777"/>
      <c r="EA15" s="777"/>
      <c r="EB15" s="777"/>
      <c r="EC15" s="777"/>
      <c r="ED15" s="777"/>
      <c r="EE15" s="777"/>
      <c r="EF15" s="777"/>
      <c r="EG15" s="777"/>
      <c r="EH15" s="777"/>
      <c r="EI15" s="777"/>
      <c r="EJ15" s="777"/>
      <c r="EK15" s="777"/>
      <c r="EL15" s="777"/>
      <c r="EM15" s="777"/>
      <c r="EN15" s="777"/>
      <c r="EO15" s="777"/>
      <c r="EP15" s="777"/>
      <c r="EQ15" s="777"/>
      <c r="ER15" s="777"/>
      <c r="ES15" s="777"/>
      <c r="ET15" s="777"/>
      <c r="EU15" s="777"/>
      <c r="EV15" s="777"/>
      <c r="EW15" s="777"/>
      <c r="EX15" s="777"/>
      <c r="EY15" s="777"/>
      <c r="EZ15" s="777"/>
      <c r="FA15" s="777"/>
      <c r="FB15" s="777"/>
      <c r="FC15" s="777"/>
      <c r="FD15" s="777"/>
      <c r="FE15" s="777"/>
      <c r="FF15" s="777"/>
      <c r="FG15" s="777"/>
      <c r="FH15" s="777"/>
      <c r="FI15" s="777"/>
      <c r="FJ15" s="777"/>
      <c r="FK15" s="777"/>
      <c r="FL15" s="777"/>
      <c r="FM15" s="777"/>
      <c r="FN15" s="777"/>
      <c r="FO15" s="777"/>
      <c r="FP15" s="777"/>
      <c r="FQ15" s="777"/>
      <c r="FR15" s="777"/>
      <c r="FS15" s="777"/>
      <c r="FT15" s="777"/>
      <c r="FU15" s="777"/>
      <c r="FV15" s="777"/>
      <c r="FW15" s="777"/>
      <c r="FX15" s="777"/>
      <c r="FY15" s="777"/>
      <c r="FZ15" s="777"/>
      <c r="GA15" s="777"/>
      <c r="GB15" s="777"/>
      <c r="GC15" s="777"/>
      <c r="GD15" s="777"/>
      <c r="GE15" s="777"/>
      <c r="GF15" s="777"/>
      <c r="GG15" s="777"/>
      <c r="GH15" s="777"/>
      <c r="GI15" s="777"/>
      <c r="GJ15" s="777"/>
      <c r="GK15" s="777"/>
      <c r="GL15" s="777"/>
      <c r="GM15" s="777"/>
      <c r="GN15" s="777"/>
      <c r="GO15" s="777"/>
      <c r="GP15" s="777"/>
      <c r="GQ15" s="777"/>
      <c r="GR15" s="777"/>
      <c r="GS15" s="777"/>
      <c r="GT15" s="777"/>
      <c r="GU15" s="777"/>
      <c r="GV15" s="777"/>
      <c r="GW15" s="777"/>
      <c r="GX15" s="777"/>
      <c r="GY15" s="777"/>
      <c r="GZ15" s="777"/>
      <c r="HA15" s="777"/>
      <c r="HB15" s="777"/>
      <c r="HC15" s="777"/>
      <c r="HD15" s="777"/>
      <c r="HE15" s="777"/>
      <c r="HF15" s="777"/>
      <c r="HG15" s="777"/>
      <c r="HH15" s="777"/>
      <c r="HI15" s="777"/>
      <c r="HJ15" s="777"/>
      <c r="HK15" s="777"/>
      <c r="HL15" s="777"/>
      <c r="HM15" s="777"/>
      <c r="HN15" s="777"/>
      <c r="HO15" s="777"/>
      <c r="HP15" s="777"/>
      <c r="HQ15" s="777"/>
      <c r="HR15" s="777"/>
      <c r="HS15" s="777"/>
      <c r="HT15" s="777"/>
      <c r="HU15" s="777"/>
      <c r="HV15" s="777"/>
      <c r="HW15" s="777"/>
      <c r="HX15" s="777"/>
      <c r="HY15" s="777"/>
      <c r="HZ15" s="777"/>
      <c r="IA15" s="777"/>
      <c r="IB15" s="777"/>
      <c r="IC15" s="777"/>
      <c r="ID15" s="777"/>
      <c r="IE15" s="777"/>
      <c r="IF15" s="777"/>
      <c r="IG15" s="777"/>
      <c r="IH15" s="777"/>
      <c r="II15" s="777"/>
      <c r="IJ15" s="777"/>
      <c r="IK15" s="777"/>
      <c r="IL15" s="777"/>
      <c r="IM15" s="777"/>
      <c r="IN15" s="777"/>
      <c r="IO15" s="777"/>
      <c r="IP15" s="777"/>
      <c r="IQ15" s="777"/>
      <c r="IR15" s="777"/>
      <c r="IS15" s="777"/>
      <c r="IT15" s="777"/>
      <c r="IU15" s="777"/>
      <c r="IV15" s="777"/>
      <c r="IW15" s="32"/>
    </row>
    <row r="16" customFormat="false" ht="12" hidden="false" customHeight="true" outlineLevel="0" collapsed="false">
      <c r="A16" s="716"/>
      <c r="B16" s="428"/>
      <c r="C16" s="428"/>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7"/>
      <c r="AC16" s="378"/>
      <c r="AD16" s="378"/>
      <c r="AE16" s="776"/>
      <c r="AF16" s="776"/>
      <c r="AG16" s="776"/>
      <c r="AH16" s="777"/>
      <c r="AI16" s="777"/>
      <c r="AJ16" s="777"/>
      <c r="AK16" s="777"/>
      <c r="AL16" s="777"/>
      <c r="AM16" s="777"/>
      <c r="AN16" s="777"/>
      <c r="AO16" s="777"/>
      <c r="AP16" s="777"/>
      <c r="AQ16" s="777"/>
      <c r="AR16" s="777"/>
      <c r="AS16" s="777"/>
      <c r="AT16" s="777"/>
      <c r="AU16" s="777"/>
      <c r="AV16" s="777"/>
      <c r="AW16" s="777"/>
      <c r="AX16" s="777"/>
      <c r="AY16" s="777"/>
      <c r="AZ16" s="777"/>
      <c r="BA16" s="777"/>
      <c r="BB16" s="777"/>
      <c r="BC16" s="777"/>
      <c r="BD16" s="777"/>
      <c r="BE16" s="777"/>
      <c r="BF16" s="777"/>
      <c r="BG16" s="777"/>
      <c r="BH16" s="777"/>
      <c r="BI16" s="777"/>
      <c r="BJ16" s="777"/>
      <c r="BK16" s="777"/>
      <c r="BL16" s="777"/>
      <c r="BM16" s="777"/>
      <c r="BN16" s="777"/>
      <c r="BO16" s="777"/>
      <c r="BP16" s="777"/>
      <c r="BQ16" s="777"/>
      <c r="BR16" s="777"/>
      <c r="BS16" s="777"/>
      <c r="BT16" s="777"/>
      <c r="BU16" s="777"/>
      <c r="BV16" s="777"/>
      <c r="BW16" s="777"/>
      <c r="BX16" s="777"/>
      <c r="BY16" s="777"/>
      <c r="BZ16" s="777"/>
      <c r="CA16" s="777"/>
      <c r="CB16" s="777"/>
      <c r="CC16" s="777"/>
      <c r="CD16" s="777"/>
      <c r="CE16" s="777"/>
      <c r="CF16" s="777"/>
      <c r="CG16" s="777"/>
      <c r="CH16" s="777"/>
      <c r="CI16" s="777"/>
      <c r="CJ16" s="777"/>
      <c r="CK16" s="777"/>
      <c r="CL16" s="777"/>
      <c r="CM16" s="777"/>
      <c r="CN16" s="777"/>
      <c r="CO16" s="777"/>
      <c r="CP16" s="777"/>
      <c r="CQ16" s="777"/>
      <c r="CR16" s="777"/>
      <c r="CS16" s="777"/>
      <c r="CT16" s="777"/>
      <c r="CU16" s="777"/>
      <c r="CV16" s="777"/>
      <c r="CW16" s="777"/>
      <c r="CX16" s="777"/>
      <c r="CY16" s="777"/>
      <c r="CZ16" s="777"/>
      <c r="DA16" s="777"/>
      <c r="DB16" s="777"/>
      <c r="DC16" s="777"/>
      <c r="DD16" s="777"/>
      <c r="DE16" s="777"/>
      <c r="DF16" s="777"/>
      <c r="DG16" s="777"/>
      <c r="DH16" s="777"/>
      <c r="DI16" s="777"/>
      <c r="DJ16" s="777"/>
      <c r="DK16" s="777"/>
      <c r="DL16" s="777"/>
      <c r="DM16" s="777"/>
      <c r="DN16" s="777"/>
      <c r="DO16" s="777"/>
      <c r="DP16" s="777"/>
      <c r="DQ16" s="777"/>
      <c r="DR16" s="777"/>
      <c r="DS16" s="777"/>
      <c r="DT16" s="777"/>
      <c r="DU16" s="777"/>
      <c r="DV16" s="777"/>
      <c r="DW16" s="777"/>
      <c r="DX16" s="777"/>
      <c r="DY16" s="777"/>
      <c r="DZ16" s="777"/>
      <c r="EA16" s="777"/>
      <c r="EB16" s="777"/>
      <c r="EC16" s="777"/>
      <c r="ED16" s="777"/>
      <c r="EE16" s="777"/>
      <c r="EF16" s="777"/>
      <c r="EG16" s="777"/>
      <c r="EH16" s="777"/>
      <c r="EI16" s="777"/>
      <c r="EJ16" s="777"/>
      <c r="EK16" s="777"/>
      <c r="EL16" s="777"/>
      <c r="EM16" s="777"/>
      <c r="EN16" s="777"/>
      <c r="EO16" s="777"/>
      <c r="EP16" s="777"/>
      <c r="EQ16" s="777"/>
      <c r="ER16" s="777"/>
      <c r="ES16" s="777"/>
      <c r="ET16" s="777"/>
      <c r="EU16" s="777"/>
      <c r="EV16" s="777"/>
      <c r="EW16" s="777"/>
      <c r="EX16" s="777"/>
      <c r="EY16" s="777"/>
      <c r="EZ16" s="777"/>
      <c r="FA16" s="777"/>
      <c r="FB16" s="777"/>
      <c r="FC16" s="777"/>
      <c r="FD16" s="777"/>
      <c r="FE16" s="777"/>
      <c r="FF16" s="777"/>
      <c r="FG16" s="777"/>
      <c r="FH16" s="777"/>
      <c r="FI16" s="777"/>
      <c r="FJ16" s="777"/>
      <c r="FK16" s="777"/>
      <c r="FL16" s="777"/>
      <c r="FM16" s="777"/>
      <c r="FN16" s="777"/>
      <c r="FO16" s="777"/>
      <c r="FP16" s="777"/>
      <c r="FQ16" s="777"/>
      <c r="FR16" s="777"/>
      <c r="FS16" s="777"/>
      <c r="FT16" s="777"/>
      <c r="FU16" s="777"/>
      <c r="FV16" s="777"/>
      <c r="FW16" s="777"/>
      <c r="FX16" s="777"/>
      <c r="FY16" s="777"/>
      <c r="FZ16" s="777"/>
      <c r="GA16" s="777"/>
      <c r="GB16" s="777"/>
      <c r="GC16" s="777"/>
      <c r="GD16" s="777"/>
      <c r="GE16" s="777"/>
      <c r="GF16" s="777"/>
      <c r="GG16" s="777"/>
      <c r="GH16" s="777"/>
      <c r="GI16" s="777"/>
      <c r="GJ16" s="777"/>
      <c r="GK16" s="777"/>
      <c r="GL16" s="777"/>
      <c r="GM16" s="777"/>
      <c r="GN16" s="777"/>
      <c r="GO16" s="777"/>
      <c r="GP16" s="777"/>
      <c r="GQ16" s="777"/>
      <c r="GR16" s="777"/>
      <c r="GS16" s="777"/>
      <c r="GT16" s="777"/>
      <c r="GU16" s="777"/>
      <c r="GV16" s="777"/>
      <c r="GW16" s="777"/>
      <c r="GX16" s="777"/>
      <c r="GY16" s="777"/>
      <c r="GZ16" s="777"/>
      <c r="HA16" s="777"/>
      <c r="HB16" s="777"/>
      <c r="HC16" s="777"/>
      <c r="HD16" s="777"/>
      <c r="HE16" s="777"/>
      <c r="HF16" s="777"/>
      <c r="HG16" s="777"/>
      <c r="HH16" s="777"/>
      <c r="HI16" s="777"/>
      <c r="HJ16" s="777"/>
      <c r="HK16" s="777"/>
      <c r="HL16" s="777"/>
      <c r="HM16" s="777"/>
      <c r="HN16" s="777"/>
      <c r="HO16" s="777"/>
      <c r="HP16" s="777"/>
      <c r="HQ16" s="777"/>
      <c r="HR16" s="777"/>
      <c r="HS16" s="777"/>
      <c r="HT16" s="777"/>
      <c r="HU16" s="777"/>
      <c r="HV16" s="777"/>
      <c r="HW16" s="777"/>
      <c r="HX16" s="777"/>
      <c r="HY16" s="777"/>
      <c r="HZ16" s="777"/>
      <c r="IA16" s="777"/>
      <c r="IB16" s="777"/>
      <c r="IC16" s="777"/>
      <c r="ID16" s="777"/>
      <c r="IE16" s="777"/>
      <c r="IF16" s="777"/>
      <c r="IG16" s="777"/>
      <c r="IH16" s="777"/>
      <c r="II16" s="777"/>
      <c r="IJ16" s="777"/>
      <c r="IK16" s="777"/>
      <c r="IL16" s="777"/>
      <c r="IM16" s="777"/>
      <c r="IN16" s="777"/>
      <c r="IO16" s="777"/>
      <c r="IP16" s="777"/>
      <c r="IQ16" s="777"/>
      <c r="IR16" s="777"/>
      <c r="IS16" s="777"/>
      <c r="IT16" s="777"/>
      <c r="IU16" s="777"/>
      <c r="IV16" s="777"/>
      <c r="IW16" s="32"/>
    </row>
    <row r="17" customFormat="false" ht="12" hidden="false" customHeight="true" outlineLevel="0" collapsed="false">
      <c r="A17" s="716" t="s">
        <v>602</v>
      </c>
      <c r="B17" s="428"/>
      <c r="C17" s="428"/>
      <c r="D17" s="666" t="n">
        <f aca="false">MAX(D10,D15)</f>
        <v>188.340226</v>
      </c>
      <c r="E17" s="666" t="n">
        <f aca="false">MAX(E10,E15)</f>
        <v>305.53364568</v>
      </c>
      <c r="F17" s="666" t="n">
        <f aca="false">MAX(F10,F15)</f>
        <v>306.5780550504</v>
      </c>
      <c r="G17" s="666" t="n">
        <f aca="false">MAX(G10,G15)</f>
        <v>485.226649432723</v>
      </c>
      <c r="H17" s="666" t="n">
        <f aca="false">MAX(H10,H15)</f>
        <v>719.596600741613</v>
      </c>
      <c r="I17" s="666" t="n">
        <f aca="false">MAX(I10,I15)</f>
        <v>772.477950829443</v>
      </c>
      <c r="J17" s="666" t="n">
        <f aca="false">MAX(J10,J15)</f>
        <v>801.53325576366</v>
      </c>
      <c r="K17" s="666" t="n">
        <f aca="false">MAX(K10,K15)</f>
        <v>826.612279520206</v>
      </c>
      <c r="L17" s="666" t="n">
        <f aca="false">MAX(L10,L15)</f>
        <v>852.812164714809</v>
      </c>
      <c r="M17" s="666" t="n">
        <f aca="false">MAX(M10,M15)</f>
        <v>890.654864760587</v>
      </c>
      <c r="N17" s="666" t="n">
        <f aca="false">MAX(N10,N15)</f>
        <v>934.600639991102</v>
      </c>
      <c r="O17" s="666" t="n">
        <f aca="false">MAX(O10,O15)</f>
        <v>949.032893896062</v>
      </c>
      <c r="P17" s="666" t="n">
        <f aca="false">MAX(P10,P15)</f>
        <v>970.636660344395</v>
      </c>
      <c r="Q17" s="666" t="n">
        <f aca="false">MAX(Q10,Q15)</f>
        <v>965.338233835717</v>
      </c>
      <c r="R17" s="666" t="n">
        <f aca="false">MAX(R10,R15)</f>
        <v>985.320615341028</v>
      </c>
      <c r="S17" s="666" t="n">
        <f aca="false">MAX(S10,S15)</f>
        <v>1004.81175920886</v>
      </c>
      <c r="T17" s="666" t="n">
        <f aca="false">MAX(T10,T15)</f>
        <v>1023.77235667897</v>
      </c>
      <c r="U17" s="666" t="n">
        <f aca="false">MAX(U10,U15)</f>
        <v>1051.21633964314</v>
      </c>
      <c r="V17" s="666" t="n">
        <f aca="false">MAX(V10,V15)</f>
        <v>1081.66739267256</v>
      </c>
      <c r="W17" s="666" t="n">
        <f aca="false">MAX(W10,W15)</f>
        <v>1085.24096406494</v>
      </c>
      <c r="X17" s="666" t="n">
        <f aca="false">MAX(X10,X15)</f>
        <v>304.689452020038</v>
      </c>
      <c r="Y17" s="666" t="n">
        <f aca="false">MAX(Y10,Y15)</f>
        <v>0</v>
      </c>
      <c r="Z17" s="666" t="n">
        <f aca="false">MAX(Z10,Z15)</f>
        <v>0</v>
      </c>
      <c r="AA17" s="666" t="n">
        <f aca="false">MAX(AA10,AA15)</f>
        <v>0</v>
      </c>
      <c r="AB17" s="667" t="n">
        <f aca="false">MAX(AB10,AB15)</f>
        <v>0</v>
      </c>
      <c r="AC17" s="378"/>
      <c r="AD17" s="378"/>
      <c r="AE17" s="776"/>
      <c r="AF17" s="776"/>
      <c r="AG17" s="776"/>
      <c r="AH17" s="777"/>
      <c r="AI17" s="777"/>
      <c r="AJ17" s="777"/>
      <c r="AK17" s="777"/>
      <c r="AL17" s="777"/>
      <c r="AM17" s="777"/>
      <c r="AN17" s="777"/>
      <c r="AO17" s="777"/>
      <c r="AP17" s="777"/>
      <c r="AQ17" s="777"/>
      <c r="AR17" s="777"/>
      <c r="AS17" s="777"/>
      <c r="AT17" s="777"/>
      <c r="AU17" s="777"/>
      <c r="AV17" s="777"/>
      <c r="AW17" s="777"/>
      <c r="AX17" s="777"/>
      <c r="AY17" s="777"/>
      <c r="AZ17" s="777"/>
      <c r="BA17" s="777"/>
      <c r="BB17" s="777"/>
      <c r="BC17" s="777"/>
      <c r="BD17" s="777"/>
      <c r="BE17" s="777"/>
      <c r="BF17" s="777"/>
      <c r="BG17" s="777"/>
      <c r="BH17" s="777"/>
      <c r="BI17" s="777"/>
      <c r="BJ17" s="777"/>
      <c r="BK17" s="777"/>
      <c r="BL17" s="777"/>
      <c r="BM17" s="777"/>
      <c r="BN17" s="777"/>
      <c r="BO17" s="777"/>
      <c r="BP17" s="777"/>
      <c r="BQ17" s="777"/>
      <c r="BR17" s="777"/>
      <c r="BS17" s="777"/>
      <c r="BT17" s="777"/>
      <c r="BU17" s="777"/>
      <c r="BV17" s="777"/>
      <c r="BW17" s="777"/>
      <c r="BX17" s="777"/>
      <c r="BY17" s="777"/>
      <c r="BZ17" s="777"/>
      <c r="CA17" s="777"/>
      <c r="CB17" s="777"/>
      <c r="CC17" s="777"/>
      <c r="CD17" s="777"/>
      <c r="CE17" s="777"/>
      <c r="CF17" s="777"/>
      <c r="CG17" s="777"/>
      <c r="CH17" s="777"/>
      <c r="CI17" s="777"/>
      <c r="CJ17" s="777"/>
      <c r="CK17" s="777"/>
      <c r="CL17" s="777"/>
      <c r="CM17" s="777"/>
      <c r="CN17" s="777"/>
      <c r="CO17" s="777"/>
      <c r="CP17" s="777"/>
      <c r="CQ17" s="777"/>
      <c r="CR17" s="777"/>
      <c r="CS17" s="777"/>
      <c r="CT17" s="777"/>
      <c r="CU17" s="777"/>
      <c r="CV17" s="777"/>
      <c r="CW17" s="777"/>
      <c r="CX17" s="777"/>
      <c r="CY17" s="777"/>
      <c r="CZ17" s="777"/>
      <c r="DA17" s="777"/>
      <c r="DB17" s="777"/>
      <c r="DC17" s="777"/>
      <c r="DD17" s="777"/>
      <c r="DE17" s="777"/>
      <c r="DF17" s="777"/>
      <c r="DG17" s="777"/>
      <c r="DH17" s="777"/>
      <c r="DI17" s="777"/>
      <c r="DJ17" s="777"/>
      <c r="DK17" s="777"/>
      <c r="DL17" s="777"/>
      <c r="DM17" s="777"/>
      <c r="DN17" s="777"/>
      <c r="DO17" s="777"/>
      <c r="DP17" s="777"/>
      <c r="DQ17" s="777"/>
      <c r="DR17" s="777"/>
      <c r="DS17" s="777"/>
      <c r="DT17" s="777"/>
      <c r="DU17" s="777"/>
      <c r="DV17" s="777"/>
      <c r="DW17" s="777"/>
      <c r="DX17" s="777"/>
      <c r="DY17" s="777"/>
      <c r="DZ17" s="777"/>
      <c r="EA17" s="777"/>
      <c r="EB17" s="777"/>
      <c r="EC17" s="777"/>
      <c r="ED17" s="777"/>
      <c r="EE17" s="777"/>
      <c r="EF17" s="777"/>
      <c r="EG17" s="777"/>
      <c r="EH17" s="777"/>
      <c r="EI17" s="777"/>
      <c r="EJ17" s="777"/>
      <c r="EK17" s="777"/>
      <c r="EL17" s="777"/>
      <c r="EM17" s="777"/>
      <c r="EN17" s="777"/>
      <c r="EO17" s="777"/>
      <c r="EP17" s="777"/>
      <c r="EQ17" s="777"/>
      <c r="ER17" s="777"/>
      <c r="ES17" s="777"/>
      <c r="ET17" s="777"/>
      <c r="EU17" s="777"/>
      <c r="EV17" s="777"/>
      <c r="EW17" s="777"/>
      <c r="EX17" s="777"/>
      <c r="EY17" s="777"/>
      <c r="EZ17" s="777"/>
      <c r="FA17" s="777"/>
      <c r="FB17" s="777"/>
      <c r="FC17" s="777"/>
      <c r="FD17" s="777"/>
      <c r="FE17" s="777"/>
      <c r="FF17" s="777"/>
      <c r="FG17" s="777"/>
      <c r="FH17" s="777"/>
      <c r="FI17" s="777"/>
      <c r="FJ17" s="777"/>
      <c r="FK17" s="777"/>
      <c r="FL17" s="777"/>
      <c r="FM17" s="777"/>
      <c r="FN17" s="777"/>
      <c r="FO17" s="777"/>
      <c r="FP17" s="777"/>
      <c r="FQ17" s="777"/>
      <c r="FR17" s="777"/>
      <c r="FS17" s="777"/>
      <c r="FT17" s="777"/>
      <c r="FU17" s="777"/>
      <c r="FV17" s="777"/>
      <c r="FW17" s="777"/>
      <c r="FX17" s="777"/>
      <c r="FY17" s="777"/>
      <c r="FZ17" s="777"/>
      <c r="GA17" s="777"/>
      <c r="GB17" s="777"/>
      <c r="GC17" s="777"/>
      <c r="GD17" s="777"/>
      <c r="GE17" s="777"/>
      <c r="GF17" s="777"/>
      <c r="GG17" s="777"/>
      <c r="GH17" s="777"/>
      <c r="GI17" s="777"/>
      <c r="GJ17" s="777"/>
      <c r="GK17" s="777"/>
      <c r="GL17" s="777"/>
      <c r="GM17" s="777"/>
      <c r="GN17" s="777"/>
      <c r="GO17" s="777"/>
      <c r="GP17" s="777"/>
      <c r="GQ17" s="777"/>
      <c r="GR17" s="777"/>
      <c r="GS17" s="777"/>
      <c r="GT17" s="777"/>
      <c r="GU17" s="777"/>
      <c r="GV17" s="777"/>
      <c r="GW17" s="777"/>
      <c r="GX17" s="777"/>
      <c r="GY17" s="777"/>
      <c r="GZ17" s="777"/>
      <c r="HA17" s="777"/>
      <c r="HB17" s="777"/>
      <c r="HC17" s="777"/>
      <c r="HD17" s="777"/>
      <c r="HE17" s="777"/>
      <c r="HF17" s="777"/>
      <c r="HG17" s="777"/>
      <c r="HH17" s="777"/>
      <c r="HI17" s="777"/>
      <c r="HJ17" s="777"/>
      <c r="HK17" s="777"/>
      <c r="HL17" s="777"/>
      <c r="HM17" s="777"/>
      <c r="HN17" s="777"/>
      <c r="HO17" s="777"/>
      <c r="HP17" s="777"/>
      <c r="HQ17" s="777"/>
      <c r="HR17" s="777"/>
      <c r="HS17" s="777"/>
      <c r="HT17" s="777"/>
      <c r="HU17" s="777"/>
      <c r="HV17" s="777"/>
      <c r="HW17" s="777"/>
      <c r="HX17" s="777"/>
      <c r="HY17" s="777"/>
      <c r="HZ17" s="777"/>
      <c r="IA17" s="777"/>
      <c r="IB17" s="777"/>
      <c r="IC17" s="777"/>
      <c r="ID17" s="777"/>
      <c r="IE17" s="777"/>
      <c r="IF17" s="777"/>
      <c r="IG17" s="777"/>
      <c r="IH17" s="777"/>
      <c r="II17" s="777"/>
      <c r="IJ17" s="777"/>
      <c r="IK17" s="777"/>
      <c r="IL17" s="777"/>
      <c r="IM17" s="777"/>
      <c r="IN17" s="777"/>
      <c r="IO17" s="777"/>
      <c r="IP17" s="777"/>
      <c r="IQ17" s="777"/>
      <c r="IR17" s="777"/>
      <c r="IS17" s="777"/>
      <c r="IT17" s="777"/>
      <c r="IU17" s="777"/>
      <c r="IV17" s="777"/>
      <c r="IW17" s="32"/>
    </row>
    <row r="18" customFormat="false" ht="12" hidden="false" customHeight="true" outlineLevel="0" collapsed="false">
      <c r="A18" s="774"/>
      <c r="B18" s="378"/>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408"/>
      <c r="AC18" s="378"/>
      <c r="AD18" s="378"/>
    </row>
    <row r="19" customFormat="false" ht="12" hidden="false" customHeight="true" outlineLevel="0" collapsed="false">
      <c r="A19" s="775" t="s">
        <v>603</v>
      </c>
      <c r="B19" s="378"/>
      <c r="C19" s="378"/>
      <c r="D19" s="378"/>
      <c r="E19" s="378"/>
      <c r="F19" s="378"/>
      <c r="G19" s="378"/>
      <c r="H19" s="378"/>
      <c r="I19" s="378"/>
      <c r="J19" s="378"/>
      <c r="K19" s="378"/>
      <c r="L19" s="378"/>
      <c r="M19" s="378"/>
      <c r="N19" s="378"/>
      <c r="O19" s="378"/>
      <c r="P19" s="378"/>
      <c r="Q19" s="378"/>
      <c r="R19" s="378"/>
      <c r="S19" s="378"/>
      <c r="T19" s="378"/>
      <c r="U19" s="378"/>
      <c r="V19" s="378"/>
      <c r="W19" s="378"/>
      <c r="X19" s="378"/>
      <c r="Y19" s="378"/>
      <c r="Z19" s="378"/>
      <c r="AA19" s="378"/>
      <c r="AB19" s="408"/>
      <c r="AC19" s="378"/>
      <c r="AD19" s="378"/>
    </row>
    <row r="20" customFormat="false" ht="12" hidden="false" customHeight="true" outlineLevel="0" collapsed="false">
      <c r="A20" s="719" t="s">
        <v>604</v>
      </c>
      <c r="B20" s="431"/>
      <c r="C20" s="431"/>
      <c r="D20" s="431" t="n">
        <f aca="false">'Book Income Statement'!D72</f>
        <v>-317.676567650769</v>
      </c>
      <c r="E20" s="431" t="n">
        <f aca="false">'Book Income Statement'!E72</f>
        <v>6298.88432939896</v>
      </c>
      <c r="F20" s="431" t="n">
        <f aca="false">'Book Income Statement'!F72</f>
        <v>6462.04529180689</v>
      </c>
      <c r="G20" s="431" t="n">
        <f aca="false">'Book Income Statement'!G72</f>
        <v>14271.3720421389</v>
      </c>
      <c r="H20" s="431" t="n">
        <f aca="false">'Book Income Statement'!H72</f>
        <v>21164.6059041651</v>
      </c>
      <c r="I20" s="431" t="n">
        <f aca="false">'Book Income Statement'!I72</f>
        <v>22719.9397302777</v>
      </c>
      <c r="J20" s="431" t="n">
        <f aca="false">'Book Income Statement'!J72</f>
        <v>23574.5075224606</v>
      </c>
      <c r="K20" s="431" t="n">
        <f aca="false">'Book Income Statement'!K72</f>
        <v>24312.1258682414</v>
      </c>
      <c r="L20" s="431" t="n">
        <f aca="false">'Book Income Statement'!L72</f>
        <v>25082.7107269062</v>
      </c>
      <c r="M20" s="431" t="n">
        <f aca="false">'Book Income Statement'!M72</f>
        <v>26195.7313164879</v>
      </c>
      <c r="N20" s="431" t="n">
        <f aca="false">'Book Income Statement'!N72</f>
        <v>27488.2541173853</v>
      </c>
      <c r="O20" s="431" t="n">
        <f aca="false">'Book Income Statement'!O72</f>
        <v>27912.7321734136</v>
      </c>
      <c r="P20" s="431" t="n">
        <f aca="false">'Book Income Statement'!P72</f>
        <v>28548.1370689528</v>
      </c>
      <c r="Q20" s="431" t="n">
        <f aca="false">'Book Income Statement'!Q72</f>
        <v>28392.3009951681</v>
      </c>
      <c r="R20" s="431" t="n">
        <f aca="false">'Book Income Statement'!R72</f>
        <v>28980.0180982655</v>
      </c>
      <c r="S20" s="431" t="n">
        <f aca="false">'Book Income Statement'!S72</f>
        <v>29553.2870355547</v>
      </c>
      <c r="T20" s="431" t="n">
        <f aca="false">'Book Income Statement'!T72</f>
        <v>30110.9516670284</v>
      </c>
      <c r="U20" s="431" t="n">
        <f aca="false">'Book Income Statement'!U72</f>
        <v>30918.1276365629</v>
      </c>
      <c r="V20" s="431" t="n">
        <f aca="false">'Book Income Statement'!V72</f>
        <v>31813.7468433106</v>
      </c>
      <c r="W20" s="431" t="n">
        <f aca="false">'Book Income Statement'!W72</f>
        <v>31918.8518842629</v>
      </c>
      <c r="X20" s="431" t="n">
        <f aca="false">'Book Income Statement'!X72</f>
        <v>8961.45447117758</v>
      </c>
      <c r="Y20" s="431" t="n">
        <f aca="false">'Book Income Statement'!Y72</f>
        <v>0</v>
      </c>
      <c r="Z20" s="431" t="n">
        <f aca="false">'Book Income Statement'!Z72</f>
        <v>0</v>
      </c>
      <c r="AA20" s="431" t="n">
        <f aca="false">'Book Income Statement'!AA72</f>
        <v>0</v>
      </c>
      <c r="AB20" s="432" t="n">
        <f aca="false">'Book Income Statement'!AB72</f>
        <v>0</v>
      </c>
      <c r="AC20" s="431"/>
      <c r="AD20" s="431"/>
      <c r="AE20" s="431"/>
      <c r="AF20" s="431"/>
      <c r="AG20" s="4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c r="IW20" s="31"/>
    </row>
    <row r="21" customFormat="false" ht="12" hidden="false" customHeight="true" outlineLevel="0" collapsed="false">
      <c r="A21" s="719" t="s">
        <v>605</v>
      </c>
      <c r="B21" s="431"/>
      <c r="C21" s="431"/>
      <c r="D21" s="431" t="n">
        <v>0</v>
      </c>
      <c r="E21" s="431" t="n">
        <v>0</v>
      </c>
      <c r="F21" s="431" t="n">
        <v>0</v>
      </c>
      <c r="G21" s="431" t="n">
        <v>0</v>
      </c>
      <c r="H21" s="431" t="n">
        <v>0</v>
      </c>
      <c r="I21" s="431" t="n">
        <v>0</v>
      </c>
      <c r="J21" s="431" t="n">
        <v>0</v>
      </c>
      <c r="K21" s="431" t="n">
        <v>0</v>
      </c>
      <c r="L21" s="431" t="n">
        <v>0</v>
      </c>
      <c r="M21" s="431" t="n">
        <v>0</v>
      </c>
      <c r="N21" s="431" t="n">
        <v>0</v>
      </c>
      <c r="O21" s="431" t="n">
        <v>0</v>
      </c>
      <c r="P21" s="431" t="n">
        <v>0</v>
      </c>
      <c r="Q21" s="431" t="n">
        <v>0</v>
      </c>
      <c r="R21" s="431" t="n">
        <v>0</v>
      </c>
      <c r="S21" s="431" t="n">
        <v>0</v>
      </c>
      <c r="T21" s="431" t="n">
        <v>0</v>
      </c>
      <c r="U21" s="431" t="n">
        <v>0</v>
      </c>
      <c r="V21" s="431" t="n">
        <v>0</v>
      </c>
      <c r="W21" s="431" t="n">
        <v>0</v>
      </c>
      <c r="X21" s="431" t="n">
        <v>0</v>
      </c>
      <c r="Y21" s="431" t="n">
        <v>0</v>
      </c>
      <c r="Z21" s="431" t="n">
        <v>0</v>
      </c>
      <c r="AA21" s="431" t="n">
        <v>0</v>
      </c>
      <c r="AB21" s="431" t="n">
        <v>0</v>
      </c>
      <c r="AC21" s="431"/>
      <c r="AD21" s="431"/>
      <c r="AE21" s="431"/>
      <c r="AF21" s="431"/>
      <c r="AG21" s="4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row>
    <row r="22" customFormat="false" ht="12" hidden="false" customHeight="true" outlineLevel="0" collapsed="false">
      <c r="A22" s="719" t="s">
        <v>605</v>
      </c>
      <c r="B22" s="431"/>
      <c r="C22" s="431"/>
      <c r="D22" s="437" t="n">
        <v>0</v>
      </c>
      <c r="E22" s="437" t="n">
        <v>0</v>
      </c>
      <c r="F22" s="437" t="n">
        <v>0</v>
      </c>
      <c r="G22" s="437" t="n">
        <v>0</v>
      </c>
      <c r="H22" s="437" t="n">
        <v>0</v>
      </c>
      <c r="I22" s="437" t="n">
        <v>0</v>
      </c>
      <c r="J22" s="437" t="n">
        <v>0</v>
      </c>
      <c r="K22" s="437" t="n">
        <v>0</v>
      </c>
      <c r="L22" s="437" t="n">
        <v>0</v>
      </c>
      <c r="M22" s="437" t="n">
        <v>0</v>
      </c>
      <c r="N22" s="437" t="n">
        <v>0</v>
      </c>
      <c r="O22" s="437" t="n">
        <v>0</v>
      </c>
      <c r="P22" s="437" t="n">
        <v>0</v>
      </c>
      <c r="Q22" s="437" t="n">
        <v>0</v>
      </c>
      <c r="R22" s="437" t="n">
        <v>0</v>
      </c>
      <c r="S22" s="437" t="n">
        <v>0</v>
      </c>
      <c r="T22" s="437" t="n">
        <v>0</v>
      </c>
      <c r="U22" s="437" t="n">
        <v>0</v>
      </c>
      <c r="V22" s="437" t="n">
        <v>0</v>
      </c>
      <c r="W22" s="437" t="n">
        <v>0</v>
      </c>
      <c r="X22" s="437" t="n">
        <v>0</v>
      </c>
      <c r="Y22" s="437" t="n">
        <v>0</v>
      </c>
      <c r="Z22" s="437" t="n">
        <v>0</v>
      </c>
      <c r="AA22" s="437" t="n">
        <v>0</v>
      </c>
      <c r="AB22" s="665" t="n">
        <v>0</v>
      </c>
      <c r="AC22" s="431"/>
      <c r="AD22" s="431"/>
      <c r="AE22" s="431"/>
      <c r="AF22" s="431"/>
      <c r="AG22" s="4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row>
    <row r="23" customFormat="false" ht="12" hidden="false" customHeight="true" outlineLevel="0" collapsed="false">
      <c r="A23" s="719" t="s">
        <v>606</v>
      </c>
      <c r="B23" s="431"/>
      <c r="C23" s="431"/>
      <c r="D23" s="431" t="n">
        <f aca="false">SUM(D20:D22)</f>
        <v>-317.676567650769</v>
      </c>
      <c r="E23" s="431" t="n">
        <f aca="false">SUM(E20:E22)</f>
        <v>6298.88432939896</v>
      </c>
      <c r="F23" s="431" t="n">
        <f aca="false">SUM(F20:F22)</f>
        <v>6462.04529180689</v>
      </c>
      <c r="G23" s="431" t="n">
        <f aca="false">SUM(G20:G22)</f>
        <v>14271.3720421389</v>
      </c>
      <c r="H23" s="431" t="n">
        <f aca="false">SUM(H20:H22)</f>
        <v>21164.6059041651</v>
      </c>
      <c r="I23" s="431" t="n">
        <f aca="false">SUM(I20:I22)</f>
        <v>22719.9397302777</v>
      </c>
      <c r="J23" s="431" t="n">
        <f aca="false">SUM(J20:J22)</f>
        <v>23574.5075224606</v>
      </c>
      <c r="K23" s="431" t="n">
        <f aca="false">SUM(K20:K22)</f>
        <v>24312.1258682414</v>
      </c>
      <c r="L23" s="431" t="n">
        <f aca="false">SUM(L20:L22)</f>
        <v>25082.7107269062</v>
      </c>
      <c r="M23" s="431" t="n">
        <f aca="false">SUM(M20:M22)</f>
        <v>26195.7313164879</v>
      </c>
      <c r="N23" s="431" t="n">
        <f aca="false">SUM(N20:N22)</f>
        <v>27488.2541173853</v>
      </c>
      <c r="O23" s="431" t="n">
        <f aca="false">SUM(O20:O22)</f>
        <v>27912.7321734136</v>
      </c>
      <c r="P23" s="431" t="n">
        <f aca="false">SUM(P20:P22)</f>
        <v>28548.1370689528</v>
      </c>
      <c r="Q23" s="431" t="n">
        <f aca="false">SUM(Q20:Q22)</f>
        <v>28392.3009951681</v>
      </c>
      <c r="R23" s="431" t="n">
        <f aca="false">SUM(R20:R22)</f>
        <v>28980.0180982655</v>
      </c>
      <c r="S23" s="431" t="n">
        <f aca="false">SUM(S20:S22)</f>
        <v>29553.2870355547</v>
      </c>
      <c r="T23" s="431" t="n">
        <f aca="false">SUM(T20:T22)</f>
        <v>30110.9516670284</v>
      </c>
      <c r="U23" s="431" t="n">
        <f aca="false">SUM(U20:U22)</f>
        <v>30918.1276365629</v>
      </c>
      <c r="V23" s="431" t="n">
        <f aca="false">SUM(V20:V22)</f>
        <v>31813.7468433106</v>
      </c>
      <c r="W23" s="431" t="n">
        <f aca="false">SUM(W20:W22)</f>
        <v>31918.8518842629</v>
      </c>
      <c r="X23" s="431" t="n">
        <f aca="false">SUM(X20:X22)</f>
        <v>8961.45447117758</v>
      </c>
      <c r="Y23" s="431" t="n">
        <f aca="false">SUM(Y20:Y22)</f>
        <v>0</v>
      </c>
      <c r="Z23" s="431" t="n">
        <f aca="false">SUM(Z20:Z22)</f>
        <v>0</v>
      </c>
      <c r="AA23" s="431" t="n">
        <f aca="false">SUM(AA20:AA22)</f>
        <v>0</v>
      </c>
      <c r="AB23" s="432" t="n">
        <f aca="false">SUM(AB20:AB22)</f>
        <v>0</v>
      </c>
      <c r="AC23" s="431"/>
      <c r="AD23" s="431"/>
      <c r="AE23" s="431"/>
      <c r="AF23" s="431"/>
      <c r="AG23" s="4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row>
    <row r="24" customFormat="false" ht="12" hidden="false" customHeight="true" outlineLevel="0" collapsed="false">
      <c r="A24" s="719" t="s">
        <v>607</v>
      </c>
      <c r="B24" s="378"/>
      <c r="C24" s="783"/>
      <c r="D24" s="720" t="n">
        <f aca="false">'Book Income Statement'!D65</f>
        <v>2958.42630416667</v>
      </c>
      <c r="E24" s="720" t="n">
        <f aca="false">'Book Income Statement'!E65</f>
        <v>5071.58795</v>
      </c>
      <c r="F24" s="720" t="n">
        <f aca="false">'Book Income Statement'!F65</f>
        <v>5071.58795</v>
      </c>
      <c r="G24" s="720" t="n">
        <f aca="false">'Book Income Statement'!G65</f>
        <v>5071.58795</v>
      </c>
      <c r="H24" s="720" t="n">
        <f aca="false">'Book Income Statement'!H65</f>
        <v>5071.58795</v>
      </c>
      <c r="I24" s="720" t="n">
        <f aca="false">'Book Income Statement'!I65</f>
        <v>4873.30723333333</v>
      </c>
      <c r="J24" s="720" t="n">
        <f aca="false">'Book Income Statement'!J65</f>
        <v>4731.67815</v>
      </c>
      <c r="K24" s="720" t="n">
        <f aca="false">'Book Income Statement'!K65</f>
        <v>4731.67815</v>
      </c>
      <c r="L24" s="720" t="n">
        <f aca="false">'Book Income Statement'!L65</f>
        <v>4731.67815</v>
      </c>
      <c r="M24" s="720" t="n">
        <f aca="false">'Book Income Statement'!M65</f>
        <v>4731.67815</v>
      </c>
      <c r="N24" s="720" t="n">
        <f aca="false">'Book Income Statement'!N65</f>
        <v>4731.67815</v>
      </c>
      <c r="O24" s="720" t="n">
        <f aca="false">'Book Income Statement'!O65</f>
        <v>4731.67815</v>
      </c>
      <c r="P24" s="720" t="n">
        <f aca="false">'Book Income Statement'!P65</f>
        <v>4731.67815</v>
      </c>
      <c r="Q24" s="720" t="n">
        <f aca="false">'Book Income Statement'!Q65</f>
        <v>4731.67815</v>
      </c>
      <c r="R24" s="720" t="n">
        <f aca="false">'Book Income Statement'!R65</f>
        <v>4731.67815</v>
      </c>
      <c r="S24" s="720" t="n">
        <f aca="false">'Book Income Statement'!S65</f>
        <v>4731.67815</v>
      </c>
      <c r="T24" s="720" t="n">
        <f aca="false">'Book Income Statement'!T65</f>
        <v>4731.67815</v>
      </c>
      <c r="U24" s="720" t="n">
        <f aca="false">'Book Income Statement'!U65</f>
        <v>4731.67815</v>
      </c>
      <c r="V24" s="720" t="n">
        <f aca="false">'Book Income Statement'!V65</f>
        <v>4731.67815</v>
      </c>
      <c r="W24" s="720" t="n">
        <f aca="false">'Book Income Statement'!W65</f>
        <v>4731.67815</v>
      </c>
      <c r="X24" s="720" t="n">
        <f aca="false">'Book Income Statement'!X65</f>
        <v>4731.67815</v>
      </c>
      <c r="Y24" s="720" t="n">
        <f aca="false">'Book Income Statement'!Y65</f>
        <v>0</v>
      </c>
      <c r="Z24" s="720" t="n">
        <f aca="false">'Book Income Statement'!Z65</f>
        <v>0</v>
      </c>
      <c r="AA24" s="720" t="n">
        <f aca="false">'Book Income Statement'!AA65</f>
        <v>0</v>
      </c>
      <c r="AB24" s="721" t="n">
        <f aca="false">'Book Income Statement'!AB65</f>
        <v>0</v>
      </c>
      <c r="AC24" s="720"/>
      <c r="AD24" s="720"/>
    </row>
    <row r="25" customFormat="false" ht="12" hidden="false" customHeight="true" outlineLevel="0" collapsed="false">
      <c r="A25" s="719" t="s">
        <v>608</v>
      </c>
      <c r="B25" s="378"/>
      <c r="C25" s="378"/>
      <c r="D25" s="784" t="n">
        <f aca="false">IF(D3&lt;='Project Assumtions'!$I$15+1,Depreciation!D28*-1,0)</f>
        <v>-8084.41096666667</v>
      </c>
      <c r="E25" s="784" t="n">
        <f aca="false">IF(E3&lt;='Project Assumtions'!$I$15+1,Depreciation!E28*-1,0)</f>
        <v>-15323.557275</v>
      </c>
      <c r="F25" s="784" t="n">
        <f aca="false">IF(F3&lt;='Project Assumtions'!$I$15+1,Depreciation!F28*-1,0)</f>
        <v>-13825.1925275</v>
      </c>
      <c r="G25" s="784" t="n">
        <f aca="false">IF(G3&lt;='Project Assumtions'!$I$15+1,Depreciation!G28*-1,0)</f>
        <v>-12484.550385</v>
      </c>
      <c r="H25" s="784" t="n">
        <f aca="false">IF(H3&lt;='Project Assumtions'!$I$15+1,Depreciation!H28*-1,0)</f>
        <v>-11270.0863265</v>
      </c>
      <c r="I25" s="784" t="n">
        <f aca="false">IF(I3&lt;='Project Assumtions'!$I$15+1,Depreciation!I28*-1,0)</f>
        <v>-9967.74737483333</v>
      </c>
      <c r="J25" s="784" t="n">
        <f aca="false">IF(J3&lt;='Project Assumtions'!$I$15+1,Depreciation!J28*-1,0)</f>
        <v>-9305.633695</v>
      </c>
      <c r="K25" s="784" t="n">
        <f aca="false">IF(K3&lt;='Project Assumtions'!$I$15+1,Depreciation!K28*-1,0)</f>
        <v>-9321.4059555</v>
      </c>
      <c r="L25" s="784" t="n">
        <f aca="false">IF(L3&lt;='Project Assumtions'!$I$15+1,Depreciation!L28*-1,0)</f>
        <v>-9305.633695</v>
      </c>
      <c r="M25" s="784" t="n">
        <f aca="false">IF(M3&lt;='Project Assumtions'!$I$15+1,Depreciation!M28*-1,0)</f>
        <v>-9321.4059555</v>
      </c>
      <c r="N25" s="784" t="n">
        <f aca="false">IF(N3&lt;='Project Assumtions'!$I$15+1,Depreciation!N28*-1,0)</f>
        <v>-9305.633695</v>
      </c>
      <c r="O25" s="784" t="n">
        <f aca="false">IF(O3&lt;='Project Assumtions'!$I$15+1,Depreciation!O28*-1,0)</f>
        <v>-9321.4059555</v>
      </c>
      <c r="P25" s="784" t="n">
        <f aca="false">IF(P3&lt;='Project Assumtions'!$I$15+1,Depreciation!P28*-1,0)</f>
        <v>-9305.633695</v>
      </c>
      <c r="Q25" s="784" t="n">
        <f aca="false">IF(Q3&lt;='Project Assumtions'!$I$15+1,Depreciation!Q28*-1,0)</f>
        <v>-9321.4059555</v>
      </c>
      <c r="R25" s="784" t="n">
        <f aca="false">IF(R3&lt;='Project Assumtions'!$I$15+1,Depreciation!R28*-1,0)</f>
        <v>-9305.633695</v>
      </c>
      <c r="S25" s="784" t="n">
        <f aca="false">IF(S3&lt;='Project Assumtions'!$I$15+1,Depreciation!S28*-1,0)</f>
        <v>-4652.8168475</v>
      </c>
      <c r="T25" s="784" t="n">
        <f aca="false">IF(T3&lt;='Project Assumtions'!$I$15+1,Depreciation!T28*-1,0)</f>
        <v>-0</v>
      </c>
      <c r="U25" s="784" t="n">
        <f aca="false">IF(U3&lt;='Project Assumtions'!$I$15+1,Depreciation!U28*-1,0)</f>
        <v>-0</v>
      </c>
      <c r="V25" s="784" t="n">
        <f aca="false">IF(V3&lt;='Project Assumtions'!$I$15+1,Depreciation!V28*-1,0)</f>
        <v>-0</v>
      </c>
      <c r="W25" s="784" t="n">
        <f aca="false">IF(W3&lt;='Project Assumtions'!$I$15+1,Depreciation!W28*-1,0)</f>
        <v>-0</v>
      </c>
      <c r="X25" s="784" t="n">
        <f aca="false">IF(X3&lt;='Project Assumtions'!$I$15,Depreciation!X28*-1,0)</f>
        <v>0</v>
      </c>
      <c r="Y25" s="784" t="n">
        <f aca="false">IF(Y3&lt;='Project Assumtions'!$I$15,Depreciation!Y28*-1,0)</f>
        <v>0</v>
      </c>
      <c r="Z25" s="784" t="n">
        <f aca="false">IF(Z3&lt;='Project Assumtions'!$I$15,Depreciation!Z28*-1,0)</f>
        <v>0</v>
      </c>
      <c r="AA25" s="784" t="n">
        <f aca="false">IF(AA3&lt;='Project Assumtions'!$I$15,Depreciation!AA28*-1,0)</f>
        <v>0</v>
      </c>
      <c r="AB25" s="785" t="n">
        <f aca="false">IF(AB3&lt;='Project Assumtions'!$I$15,Depreciation!AB28*-1,0)</f>
        <v>0</v>
      </c>
      <c r="AC25" s="378"/>
      <c r="AD25" s="378"/>
      <c r="AE25" s="776"/>
      <c r="AF25" s="776"/>
      <c r="AG25" s="776"/>
      <c r="AH25" s="777"/>
      <c r="AI25" s="777"/>
      <c r="AJ25" s="777"/>
      <c r="AK25" s="777"/>
      <c r="AL25" s="777"/>
      <c r="AM25" s="777"/>
      <c r="AN25" s="777"/>
      <c r="AO25" s="777"/>
      <c r="AP25" s="777"/>
      <c r="AQ25" s="777"/>
      <c r="AR25" s="777"/>
      <c r="AS25" s="777"/>
      <c r="AT25" s="777"/>
      <c r="AU25" s="777"/>
      <c r="AV25" s="777"/>
      <c r="AW25" s="777"/>
      <c r="AX25" s="777"/>
      <c r="AY25" s="777"/>
      <c r="AZ25" s="777"/>
      <c r="BA25" s="777"/>
      <c r="BB25" s="777"/>
      <c r="BC25" s="777"/>
      <c r="BD25" s="777"/>
      <c r="BE25" s="777"/>
      <c r="BF25" s="777"/>
      <c r="BG25" s="777"/>
      <c r="BH25" s="777"/>
      <c r="BI25" s="777"/>
      <c r="BJ25" s="777"/>
      <c r="BK25" s="777"/>
      <c r="BL25" s="777"/>
      <c r="BM25" s="777"/>
      <c r="BN25" s="777"/>
      <c r="BO25" s="777"/>
      <c r="BP25" s="777"/>
      <c r="BQ25" s="777"/>
      <c r="BR25" s="777"/>
      <c r="BS25" s="777"/>
      <c r="BT25" s="777"/>
      <c r="BU25" s="777"/>
      <c r="BV25" s="777"/>
      <c r="BW25" s="777"/>
      <c r="BX25" s="777"/>
      <c r="BY25" s="777"/>
      <c r="BZ25" s="777"/>
      <c r="CA25" s="777"/>
      <c r="CB25" s="777"/>
      <c r="CC25" s="777"/>
      <c r="CD25" s="777"/>
      <c r="CE25" s="777"/>
      <c r="CF25" s="777"/>
      <c r="CG25" s="777"/>
      <c r="CH25" s="777"/>
      <c r="CI25" s="777"/>
      <c r="CJ25" s="777"/>
      <c r="CK25" s="777"/>
      <c r="CL25" s="777"/>
      <c r="CM25" s="777"/>
      <c r="CN25" s="777"/>
      <c r="CO25" s="777"/>
      <c r="CP25" s="777"/>
      <c r="CQ25" s="777"/>
      <c r="CR25" s="777"/>
      <c r="CS25" s="777"/>
      <c r="CT25" s="777"/>
      <c r="CU25" s="777"/>
      <c r="CV25" s="777"/>
      <c r="CW25" s="777"/>
      <c r="CX25" s="777"/>
      <c r="CY25" s="777"/>
      <c r="CZ25" s="777"/>
      <c r="DA25" s="777"/>
      <c r="DB25" s="777"/>
      <c r="DC25" s="777"/>
      <c r="DD25" s="777"/>
      <c r="DE25" s="777"/>
      <c r="DF25" s="777"/>
      <c r="DG25" s="777"/>
      <c r="DH25" s="777"/>
      <c r="DI25" s="777"/>
      <c r="DJ25" s="777"/>
      <c r="DK25" s="777"/>
      <c r="DL25" s="777"/>
      <c r="DM25" s="777"/>
      <c r="DN25" s="777"/>
      <c r="DO25" s="777"/>
      <c r="DP25" s="777"/>
      <c r="DQ25" s="777"/>
      <c r="DR25" s="777"/>
      <c r="DS25" s="777"/>
      <c r="DT25" s="777"/>
      <c r="DU25" s="777"/>
      <c r="DV25" s="777"/>
      <c r="DW25" s="777"/>
      <c r="DX25" s="777"/>
      <c r="DY25" s="777"/>
      <c r="DZ25" s="777"/>
      <c r="EA25" s="777"/>
      <c r="EB25" s="777"/>
      <c r="EC25" s="777"/>
      <c r="ED25" s="777"/>
      <c r="EE25" s="777"/>
      <c r="EF25" s="777"/>
      <c r="EG25" s="777"/>
      <c r="EH25" s="777"/>
      <c r="EI25" s="777"/>
      <c r="EJ25" s="777"/>
      <c r="EK25" s="777"/>
      <c r="EL25" s="777"/>
      <c r="EM25" s="777"/>
      <c r="EN25" s="777"/>
      <c r="EO25" s="777"/>
      <c r="EP25" s="777"/>
      <c r="EQ25" s="777"/>
      <c r="ER25" s="777"/>
      <c r="ES25" s="777"/>
      <c r="ET25" s="777"/>
      <c r="EU25" s="777"/>
      <c r="EV25" s="777"/>
      <c r="EW25" s="777"/>
      <c r="EX25" s="777"/>
      <c r="EY25" s="777"/>
      <c r="EZ25" s="777"/>
      <c r="FA25" s="777"/>
      <c r="FB25" s="777"/>
      <c r="FC25" s="777"/>
      <c r="FD25" s="777"/>
      <c r="FE25" s="777"/>
      <c r="FF25" s="777"/>
      <c r="FG25" s="777"/>
      <c r="FH25" s="777"/>
      <c r="FI25" s="777"/>
      <c r="FJ25" s="777"/>
      <c r="FK25" s="777"/>
      <c r="FL25" s="777"/>
      <c r="FM25" s="777"/>
      <c r="FN25" s="777"/>
      <c r="FO25" s="777"/>
      <c r="FP25" s="777"/>
      <c r="FQ25" s="777"/>
      <c r="FR25" s="777"/>
      <c r="FS25" s="777"/>
      <c r="FT25" s="777"/>
      <c r="FU25" s="777"/>
      <c r="FV25" s="777"/>
      <c r="FW25" s="777"/>
      <c r="FX25" s="777"/>
      <c r="FY25" s="777"/>
      <c r="FZ25" s="777"/>
      <c r="GA25" s="777"/>
      <c r="GB25" s="777"/>
      <c r="GC25" s="777"/>
      <c r="GD25" s="777"/>
      <c r="GE25" s="777"/>
      <c r="GF25" s="777"/>
      <c r="GG25" s="777"/>
      <c r="GH25" s="777"/>
      <c r="GI25" s="777"/>
      <c r="GJ25" s="777"/>
      <c r="GK25" s="777"/>
      <c r="GL25" s="777"/>
      <c r="GM25" s="777"/>
      <c r="GN25" s="777"/>
      <c r="GO25" s="777"/>
      <c r="GP25" s="777"/>
      <c r="GQ25" s="777"/>
      <c r="GR25" s="777"/>
      <c r="GS25" s="777"/>
      <c r="GT25" s="777"/>
      <c r="GU25" s="777"/>
      <c r="GV25" s="777"/>
      <c r="GW25" s="777"/>
      <c r="GX25" s="777"/>
      <c r="GY25" s="777"/>
      <c r="GZ25" s="777"/>
      <c r="HA25" s="777"/>
      <c r="HB25" s="777"/>
      <c r="HC25" s="777"/>
      <c r="HD25" s="777"/>
      <c r="HE25" s="777"/>
      <c r="HF25" s="777"/>
      <c r="HG25" s="777"/>
      <c r="HH25" s="777"/>
      <c r="HI25" s="777"/>
      <c r="HJ25" s="777"/>
      <c r="HK25" s="777"/>
      <c r="HL25" s="777"/>
      <c r="HM25" s="777"/>
      <c r="HN25" s="777"/>
      <c r="HO25" s="777"/>
      <c r="HP25" s="777"/>
      <c r="HQ25" s="777"/>
      <c r="HR25" s="777"/>
      <c r="HS25" s="777"/>
      <c r="HT25" s="777"/>
      <c r="HU25" s="777"/>
      <c r="HV25" s="777"/>
      <c r="HW25" s="777"/>
      <c r="HX25" s="777"/>
      <c r="HY25" s="777"/>
      <c r="HZ25" s="777"/>
      <c r="IA25" s="777"/>
      <c r="IB25" s="777"/>
      <c r="IC25" s="777"/>
      <c r="ID25" s="777"/>
      <c r="IE25" s="777"/>
      <c r="IF25" s="777"/>
      <c r="IG25" s="777"/>
      <c r="IH25" s="777"/>
      <c r="II25" s="777"/>
      <c r="IJ25" s="777"/>
      <c r="IK25" s="777"/>
      <c r="IL25" s="777"/>
      <c r="IM25" s="777"/>
      <c r="IN25" s="777"/>
      <c r="IO25" s="777"/>
      <c r="IP25" s="777"/>
      <c r="IQ25" s="777"/>
      <c r="IR25" s="777"/>
      <c r="IS25" s="777"/>
      <c r="IT25" s="777"/>
      <c r="IU25" s="777"/>
      <c r="IV25" s="777"/>
      <c r="IW25" s="32"/>
    </row>
    <row r="26" customFormat="false" ht="12" hidden="false" customHeight="true" outlineLevel="0" collapsed="false">
      <c r="A26" s="716" t="s">
        <v>609</v>
      </c>
      <c r="B26" s="378"/>
      <c r="C26" s="378"/>
      <c r="D26" s="744" t="n">
        <f aca="false">SUM(D23:D25)</f>
        <v>-5443.66123015077</v>
      </c>
      <c r="E26" s="744" t="n">
        <f aca="false">SUM(E23:E25)</f>
        <v>-3953.08499560104</v>
      </c>
      <c r="F26" s="744" t="n">
        <f aca="false">SUM(F23:F25)</f>
        <v>-2291.55928569311</v>
      </c>
      <c r="G26" s="744" t="n">
        <f aca="false">SUM(G23:G25)</f>
        <v>6858.4096071389</v>
      </c>
      <c r="H26" s="744" t="n">
        <f aca="false">SUM(H23:H25)</f>
        <v>14966.1075276651</v>
      </c>
      <c r="I26" s="744" t="n">
        <f aca="false">SUM(I23:I25)</f>
        <v>17625.4995887777</v>
      </c>
      <c r="J26" s="744" t="n">
        <f aca="false">SUM(J23:J25)</f>
        <v>19000.5519774606</v>
      </c>
      <c r="K26" s="744" t="n">
        <f aca="false">SUM(K23:K25)</f>
        <v>19722.3980627414</v>
      </c>
      <c r="L26" s="744" t="n">
        <f aca="false">SUM(L23:L25)</f>
        <v>20508.7551819062</v>
      </c>
      <c r="M26" s="744" t="n">
        <f aca="false">SUM(M23:M25)</f>
        <v>21606.0035109879</v>
      </c>
      <c r="N26" s="744" t="n">
        <f aca="false">SUM(N23:N25)</f>
        <v>22914.2985723853</v>
      </c>
      <c r="O26" s="744" t="n">
        <f aca="false">SUM(O23:O25)</f>
        <v>23323.0043679136</v>
      </c>
      <c r="P26" s="744" t="n">
        <f aca="false">SUM(P23:P25)</f>
        <v>23974.1815239528</v>
      </c>
      <c r="Q26" s="744" t="n">
        <f aca="false">SUM(Q23:Q25)</f>
        <v>23802.5731896681</v>
      </c>
      <c r="R26" s="744" t="n">
        <f aca="false">SUM(R23:R25)</f>
        <v>24406.0625532655</v>
      </c>
      <c r="S26" s="744" t="n">
        <f aca="false">SUM(S23:S25)</f>
        <v>29632.1483380547</v>
      </c>
      <c r="T26" s="744" t="n">
        <f aca="false">SUM(T23:T25)</f>
        <v>34842.6298170284</v>
      </c>
      <c r="U26" s="744" t="n">
        <f aca="false">SUM(U23:U25)</f>
        <v>35649.8057865629</v>
      </c>
      <c r="V26" s="744" t="n">
        <f aca="false">SUM(V23:V25)</f>
        <v>36545.4249933106</v>
      </c>
      <c r="W26" s="744" t="n">
        <f aca="false">SUM(W23:W25)</f>
        <v>36650.5300342629</v>
      </c>
      <c r="X26" s="744" t="n">
        <f aca="false">SUM(X23:X25)</f>
        <v>13693.1326211776</v>
      </c>
      <c r="Y26" s="744" t="n">
        <f aca="false">SUM(Y23:Y25)</f>
        <v>0</v>
      </c>
      <c r="Z26" s="744" t="n">
        <f aca="false">SUM(Z23:Z25)</f>
        <v>0</v>
      </c>
      <c r="AA26" s="744" t="n">
        <f aca="false">SUM(AA23:AA25)</f>
        <v>0</v>
      </c>
      <c r="AB26" s="782" t="n">
        <f aca="false">SUM(AB23:AB25)</f>
        <v>0</v>
      </c>
      <c r="AC26" s="378"/>
      <c r="AD26" s="378"/>
      <c r="AE26" s="776"/>
      <c r="AF26" s="776"/>
      <c r="AG26" s="776"/>
      <c r="AH26" s="777"/>
      <c r="AI26" s="777"/>
      <c r="AJ26" s="777"/>
      <c r="AK26" s="777"/>
      <c r="AL26" s="777"/>
      <c r="AM26" s="777"/>
      <c r="AN26" s="777"/>
      <c r="AO26" s="777"/>
      <c r="AP26" s="777"/>
      <c r="AQ26" s="777"/>
      <c r="AR26" s="777"/>
      <c r="AS26" s="777"/>
      <c r="AT26" s="777"/>
      <c r="AU26" s="777"/>
      <c r="AV26" s="777"/>
      <c r="AW26" s="777"/>
      <c r="AX26" s="777"/>
      <c r="AY26" s="777"/>
      <c r="AZ26" s="777"/>
      <c r="BA26" s="777"/>
      <c r="BB26" s="777"/>
      <c r="BC26" s="777"/>
      <c r="BD26" s="777"/>
      <c r="BE26" s="777"/>
      <c r="BF26" s="777"/>
      <c r="BG26" s="777"/>
      <c r="BH26" s="777"/>
      <c r="BI26" s="777"/>
      <c r="BJ26" s="777"/>
      <c r="BK26" s="777"/>
      <c r="BL26" s="777"/>
      <c r="BM26" s="777"/>
      <c r="BN26" s="777"/>
      <c r="BO26" s="777"/>
      <c r="BP26" s="777"/>
      <c r="BQ26" s="777"/>
      <c r="BR26" s="777"/>
      <c r="BS26" s="777"/>
      <c r="BT26" s="777"/>
      <c r="BU26" s="777"/>
      <c r="BV26" s="777"/>
      <c r="BW26" s="777"/>
      <c r="BX26" s="777"/>
      <c r="BY26" s="777"/>
      <c r="BZ26" s="777"/>
      <c r="CA26" s="777"/>
      <c r="CB26" s="777"/>
      <c r="CC26" s="777"/>
      <c r="CD26" s="777"/>
      <c r="CE26" s="777"/>
      <c r="CF26" s="777"/>
      <c r="CG26" s="777"/>
      <c r="CH26" s="777"/>
      <c r="CI26" s="777"/>
      <c r="CJ26" s="777"/>
      <c r="CK26" s="777"/>
      <c r="CL26" s="777"/>
      <c r="CM26" s="777"/>
      <c r="CN26" s="777"/>
      <c r="CO26" s="777"/>
      <c r="CP26" s="777"/>
      <c r="CQ26" s="777"/>
      <c r="CR26" s="777"/>
      <c r="CS26" s="777"/>
      <c r="CT26" s="777"/>
      <c r="CU26" s="777"/>
      <c r="CV26" s="777"/>
      <c r="CW26" s="777"/>
      <c r="CX26" s="777"/>
      <c r="CY26" s="777"/>
      <c r="CZ26" s="777"/>
      <c r="DA26" s="777"/>
      <c r="DB26" s="777"/>
      <c r="DC26" s="777"/>
      <c r="DD26" s="777"/>
      <c r="DE26" s="777"/>
      <c r="DF26" s="777"/>
      <c r="DG26" s="777"/>
      <c r="DH26" s="777"/>
      <c r="DI26" s="777"/>
      <c r="DJ26" s="777"/>
      <c r="DK26" s="777"/>
      <c r="DL26" s="777"/>
      <c r="DM26" s="777"/>
      <c r="DN26" s="777"/>
      <c r="DO26" s="777"/>
      <c r="DP26" s="777"/>
      <c r="DQ26" s="777"/>
      <c r="DR26" s="777"/>
      <c r="DS26" s="777"/>
      <c r="DT26" s="777"/>
      <c r="DU26" s="777"/>
      <c r="DV26" s="777"/>
      <c r="DW26" s="777"/>
      <c r="DX26" s="777"/>
      <c r="DY26" s="777"/>
      <c r="DZ26" s="777"/>
      <c r="EA26" s="777"/>
      <c r="EB26" s="777"/>
      <c r="EC26" s="777"/>
      <c r="ED26" s="777"/>
      <c r="EE26" s="777"/>
      <c r="EF26" s="777"/>
      <c r="EG26" s="777"/>
      <c r="EH26" s="777"/>
      <c r="EI26" s="777"/>
      <c r="EJ26" s="777"/>
      <c r="EK26" s="777"/>
      <c r="EL26" s="777"/>
      <c r="EM26" s="777"/>
      <c r="EN26" s="777"/>
      <c r="EO26" s="777"/>
      <c r="EP26" s="777"/>
      <c r="EQ26" s="777"/>
      <c r="ER26" s="777"/>
      <c r="ES26" s="777"/>
      <c r="ET26" s="777"/>
      <c r="EU26" s="777"/>
      <c r="EV26" s="777"/>
      <c r="EW26" s="777"/>
      <c r="EX26" s="777"/>
      <c r="EY26" s="777"/>
      <c r="EZ26" s="777"/>
      <c r="FA26" s="777"/>
      <c r="FB26" s="777"/>
      <c r="FC26" s="777"/>
      <c r="FD26" s="777"/>
      <c r="FE26" s="777"/>
      <c r="FF26" s="777"/>
      <c r="FG26" s="777"/>
      <c r="FH26" s="777"/>
      <c r="FI26" s="777"/>
      <c r="FJ26" s="777"/>
      <c r="FK26" s="777"/>
      <c r="FL26" s="777"/>
      <c r="FM26" s="777"/>
      <c r="FN26" s="777"/>
      <c r="FO26" s="777"/>
      <c r="FP26" s="777"/>
      <c r="FQ26" s="777"/>
      <c r="FR26" s="777"/>
      <c r="FS26" s="777"/>
      <c r="FT26" s="777"/>
      <c r="FU26" s="777"/>
      <c r="FV26" s="777"/>
      <c r="FW26" s="777"/>
      <c r="FX26" s="777"/>
      <c r="FY26" s="777"/>
      <c r="FZ26" s="777"/>
      <c r="GA26" s="777"/>
      <c r="GB26" s="777"/>
      <c r="GC26" s="777"/>
      <c r="GD26" s="777"/>
      <c r="GE26" s="777"/>
      <c r="GF26" s="777"/>
      <c r="GG26" s="777"/>
      <c r="GH26" s="777"/>
      <c r="GI26" s="777"/>
      <c r="GJ26" s="777"/>
      <c r="GK26" s="777"/>
      <c r="GL26" s="777"/>
      <c r="GM26" s="777"/>
      <c r="GN26" s="777"/>
      <c r="GO26" s="777"/>
      <c r="GP26" s="777"/>
      <c r="GQ26" s="777"/>
      <c r="GR26" s="777"/>
      <c r="GS26" s="777"/>
      <c r="GT26" s="777"/>
      <c r="GU26" s="777"/>
      <c r="GV26" s="777"/>
      <c r="GW26" s="777"/>
      <c r="GX26" s="777"/>
      <c r="GY26" s="777"/>
      <c r="GZ26" s="777"/>
      <c r="HA26" s="777"/>
      <c r="HB26" s="777"/>
      <c r="HC26" s="777"/>
      <c r="HD26" s="777"/>
      <c r="HE26" s="777"/>
      <c r="HF26" s="777"/>
      <c r="HG26" s="777"/>
      <c r="HH26" s="777"/>
      <c r="HI26" s="777"/>
      <c r="HJ26" s="777"/>
      <c r="HK26" s="777"/>
      <c r="HL26" s="777"/>
      <c r="HM26" s="777"/>
      <c r="HN26" s="777"/>
      <c r="HO26" s="777"/>
      <c r="HP26" s="777"/>
      <c r="HQ26" s="777"/>
      <c r="HR26" s="777"/>
      <c r="HS26" s="777"/>
      <c r="HT26" s="777"/>
      <c r="HU26" s="777"/>
      <c r="HV26" s="777"/>
      <c r="HW26" s="777"/>
      <c r="HX26" s="777"/>
      <c r="HY26" s="777"/>
      <c r="HZ26" s="777"/>
      <c r="IA26" s="777"/>
      <c r="IB26" s="777"/>
      <c r="IC26" s="777"/>
      <c r="ID26" s="777"/>
      <c r="IE26" s="777"/>
      <c r="IF26" s="777"/>
      <c r="IG26" s="777"/>
      <c r="IH26" s="777"/>
      <c r="II26" s="777"/>
      <c r="IJ26" s="777"/>
      <c r="IK26" s="777"/>
      <c r="IL26" s="777"/>
      <c r="IM26" s="777"/>
      <c r="IN26" s="777"/>
      <c r="IO26" s="777"/>
      <c r="IP26" s="777"/>
      <c r="IQ26" s="777"/>
      <c r="IR26" s="777"/>
      <c r="IS26" s="777"/>
      <c r="IT26" s="777"/>
      <c r="IU26" s="777"/>
      <c r="IV26" s="777"/>
      <c r="IW26" s="32"/>
    </row>
    <row r="27" customFormat="false" ht="12" hidden="false" customHeight="true" outlineLevel="0" collapsed="false">
      <c r="A27" s="719"/>
      <c r="B27" s="378"/>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786"/>
      <c r="AC27" s="776"/>
      <c r="AD27" s="776"/>
      <c r="AE27" s="776"/>
      <c r="AF27" s="776"/>
      <c r="AG27" s="776"/>
      <c r="AH27" s="777"/>
      <c r="AI27" s="777"/>
      <c r="AJ27" s="777"/>
      <c r="AK27" s="777"/>
      <c r="AL27" s="777"/>
      <c r="AM27" s="777"/>
      <c r="AN27" s="777"/>
      <c r="AO27" s="777"/>
      <c r="AP27" s="777"/>
      <c r="AQ27" s="777"/>
      <c r="AR27" s="777"/>
      <c r="AS27" s="777"/>
      <c r="AT27" s="777"/>
      <c r="AU27" s="777"/>
      <c r="AV27" s="777"/>
      <c r="AW27" s="777"/>
      <c r="AX27" s="777"/>
      <c r="AY27" s="777"/>
      <c r="AZ27" s="777"/>
      <c r="BA27" s="777"/>
      <c r="BB27" s="777"/>
      <c r="BC27" s="777"/>
      <c r="BD27" s="777"/>
      <c r="BE27" s="777"/>
      <c r="BF27" s="777"/>
      <c r="BG27" s="777"/>
      <c r="BH27" s="777"/>
      <c r="BI27" s="777"/>
      <c r="BJ27" s="777"/>
      <c r="BK27" s="777"/>
      <c r="BL27" s="777"/>
      <c r="BM27" s="777"/>
      <c r="BN27" s="777"/>
      <c r="BO27" s="777"/>
      <c r="BP27" s="777"/>
      <c r="BQ27" s="777"/>
      <c r="BR27" s="777"/>
      <c r="BS27" s="777"/>
      <c r="BT27" s="777"/>
      <c r="BU27" s="777"/>
      <c r="BV27" s="777"/>
      <c r="BW27" s="777"/>
      <c r="BX27" s="777"/>
      <c r="BY27" s="777"/>
      <c r="BZ27" s="777"/>
      <c r="CA27" s="777"/>
      <c r="CB27" s="777"/>
      <c r="CC27" s="777"/>
      <c r="CD27" s="777"/>
      <c r="CE27" s="777"/>
      <c r="CF27" s="777"/>
      <c r="CG27" s="777"/>
      <c r="CH27" s="777"/>
      <c r="CI27" s="777"/>
      <c r="CJ27" s="777"/>
      <c r="CK27" s="777"/>
      <c r="CL27" s="777"/>
      <c r="CM27" s="777"/>
      <c r="CN27" s="777"/>
      <c r="CO27" s="777"/>
      <c r="CP27" s="777"/>
      <c r="CQ27" s="777"/>
      <c r="CR27" s="777"/>
      <c r="CS27" s="777"/>
      <c r="CT27" s="777"/>
      <c r="CU27" s="777"/>
      <c r="CV27" s="777"/>
      <c r="CW27" s="777"/>
      <c r="CX27" s="777"/>
      <c r="CY27" s="777"/>
      <c r="CZ27" s="777"/>
      <c r="DA27" s="777"/>
      <c r="DB27" s="777"/>
      <c r="DC27" s="777"/>
      <c r="DD27" s="777"/>
      <c r="DE27" s="777"/>
      <c r="DF27" s="777"/>
      <c r="DG27" s="777"/>
      <c r="DH27" s="777"/>
      <c r="DI27" s="777"/>
      <c r="DJ27" s="777"/>
      <c r="DK27" s="777"/>
      <c r="DL27" s="777"/>
      <c r="DM27" s="777"/>
      <c r="DN27" s="777"/>
      <c r="DO27" s="777"/>
      <c r="DP27" s="777"/>
      <c r="DQ27" s="777"/>
      <c r="DR27" s="777"/>
      <c r="DS27" s="777"/>
      <c r="DT27" s="777"/>
      <c r="DU27" s="777"/>
      <c r="DV27" s="777"/>
      <c r="DW27" s="777"/>
      <c r="DX27" s="777"/>
      <c r="DY27" s="777"/>
      <c r="DZ27" s="777"/>
      <c r="EA27" s="777"/>
      <c r="EB27" s="777"/>
      <c r="EC27" s="777"/>
      <c r="ED27" s="777"/>
      <c r="EE27" s="777"/>
      <c r="EF27" s="777"/>
      <c r="EG27" s="777"/>
      <c r="EH27" s="777"/>
      <c r="EI27" s="777"/>
      <c r="EJ27" s="777"/>
      <c r="EK27" s="777"/>
      <c r="EL27" s="777"/>
      <c r="EM27" s="777"/>
      <c r="EN27" s="777"/>
      <c r="EO27" s="777"/>
      <c r="EP27" s="777"/>
      <c r="EQ27" s="777"/>
      <c r="ER27" s="777"/>
      <c r="ES27" s="777"/>
      <c r="ET27" s="777"/>
      <c r="EU27" s="777"/>
      <c r="EV27" s="777"/>
      <c r="EW27" s="777"/>
      <c r="EX27" s="777"/>
      <c r="EY27" s="777"/>
      <c r="EZ27" s="777"/>
      <c r="FA27" s="777"/>
      <c r="FB27" s="777"/>
      <c r="FC27" s="777"/>
      <c r="FD27" s="777"/>
      <c r="FE27" s="777"/>
      <c r="FF27" s="777"/>
      <c r="FG27" s="777"/>
      <c r="FH27" s="777"/>
      <c r="FI27" s="777"/>
      <c r="FJ27" s="777"/>
      <c r="FK27" s="777"/>
      <c r="FL27" s="777"/>
      <c r="FM27" s="777"/>
      <c r="FN27" s="777"/>
      <c r="FO27" s="777"/>
      <c r="FP27" s="777"/>
      <c r="FQ27" s="777"/>
      <c r="FR27" s="777"/>
      <c r="FS27" s="777"/>
      <c r="FT27" s="777"/>
      <c r="FU27" s="777"/>
      <c r="FV27" s="777"/>
      <c r="FW27" s="777"/>
      <c r="FX27" s="777"/>
      <c r="FY27" s="777"/>
      <c r="FZ27" s="777"/>
      <c r="GA27" s="777"/>
      <c r="GB27" s="777"/>
      <c r="GC27" s="777"/>
      <c r="GD27" s="777"/>
      <c r="GE27" s="777"/>
      <c r="GF27" s="777"/>
      <c r="GG27" s="777"/>
      <c r="GH27" s="777"/>
      <c r="GI27" s="777"/>
      <c r="GJ27" s="777"/>
      <c r="GK27" s="777"/>
      <c r="GL27" s="777"/>
      <c r="GM27" s="777"/>
      <c r="GN27" s="777"/>
      <c r="GO27" s="777"/>
      <c r="GP27" s="777"/>
      <c r="GQ27" s="777"/>
      <c r="GR27" s="777"/>
      <c r="GS27" s="777"/>
      <c r="GT27" s="777"/>
      <c r="GU27" s="777"/>
      <c r="GV27" s="777"/>
      <c r="GW27" s="777"/>
      <c r="GX27" s="777"/>
      <c r="GY27" s="777"/>
      <c r="GZ27" s="777"/>
      <c r="HA27" s="777"/>
      <c r="HB27" s="777"/>
      <c r="HC27" s="777"/>
      <c r="HD27" s="777"/>
      <c r="HE27" s="777"/>
      <c r="HF27" s="777"/>
      <c r="HG27" s="777"/>
      <c r="HH27" s="777"/>
      <c r="HI27" s="777"/>
      <c r="HJ27" s="777"/>
      <c r="HK27" s="777"/>
      <c r="HL27" s="777"/>
      <c r="HM27" s="777"/>
      <c r="HN27" s="777"/>
      <c r="HO27" s="777"/>
      <c r="HP27" s="777"/>
      <c r="HQ27" s="777"/>
      <c r="HR27" s="777"/>
      <c r="HS27" s="777"/>
      <c r="HT27" s="777"/>
      <c r="HU27" s="777"/>
      <c r="HV27" s="777"/>
      <c r="HW27" s="777"/>
      <c r="HX27" s="777"/>
      <c r="HY27" s="777"/>
      <c r="HZ27" s="777"/>
      <c r="IA27" s="777"/>
      <c r="IB27" s="777"/>
      <c r="IC27" s="777"/>
      <c r="ID27" s="777"/>
      <c r="IE27" s="777"/>
      <c r="IF27" s="777"/>
      <c r="IG27" s="777"/>
      <c r="IH27" s="777"/>
      <c r="II27" s="777"/>
      <c r="IJ27" s="777"/>
      <c r="IK27" s="777"/>
      <c r="IL27" s="777"/>
      <c r="IM27" s="777"/>
      <c r="IN27" s="777"/>
      <c r="IO27" s="777"/>
      <c r="IP27" s="777"/>
      <c r="IQ27" s="777"/>
      <c r="IR27" s="777"/>
      <c r="IS27" s="777"/>
    </row>
    <row r="28" customFormat="false" ht="12" hidden="false" customHeight="true" outlineLevel="0" collapsed="false">
      <c r="A28" s="719" t="s">
        <v>610</v>
      </c>
      <c r="B28" s="378"/>
      <c r="C28" s="725"/>
      <c r="D28" s="720" t="n">
        <f aca="false">D26</f>
        <v>-5443.66123015077</v>
      </c>
      <c r="E28" s="720" t="n">
        <f aca="false">E26</f>
        <v>-3953.08499560104</v>
      </c>
      <c r="F28" s="720" t="n">
        <f aca="false">F26</f>
        <v>-2291.55928569311</v>
      </c>
      <c r="G28" s="720" t="n">
        <f aca="false">G26</f>
        <v>6858.4096071389</v>
      </c>
      <c r="H28" s="720" t="n">
        <f aca="false">H26</f>
        <v>14966.1075276651</v>
      </c>
      <c r="I28" s="720" t="n">
        <f aca="false">I26</f>
        <v>17625.4995887777</v>
      </c>
      <c r="J28" s="720" t="n">
        <f aca="false">J26</f>
        <v>19000.5519774606</v>
      </c>
      <c r="K28" s="720" t="n">
        <f aca="false">K26</f>
        <v>19722.3980627414</v>
      </c>
      <c r="L28" s="720" t="n">
        <f aca="false">L26</f>
        <v>20508.7551819062</v>
      </c>
      <c r="M28" s="720" t="n">
        <f aca="false">M26</f>
        <v>21606.0035109879</v>
      </c>
      <c r="N28" s="720" t="n">
        <f aca="false">N26</f>
        <v>22914.2985723853</v>
      </c>
      <c r="O28" s="720" t="n">
        <f aca="false">O26</f>
        <v>23323.0043679136</v>
      </c>
      <c r="P28" s="720" t="n">
        <f aca="false">P26</f>
        <v>23974.1815239528</v>
      </c>
      <c r="Q28" s="720" t="n">
        <f aca="false">Q26</f>
        <v>23802.5731896681</v>
      </c>
      <c r="R28" s="720" t="n">
        <f aca="false">R26</f>
        <v>24406.0625532655</v>
      </c>
      <c r="S28" s="720" t="n">
        <f aca="false">S26</f>
        <v>29632.1483380547</v>
      </c>
      <c r="T28" s="720" t="n">
        <f aca="false">T26</f>
        <v>34842.6298170284</v>
      </c>
      <c r="U28" s="720" t="n">
        <f aca="false">U26</f>
        <v>35649.8057865629</v>
      </c>
      <c r="V28" s="720" t="n">
        <f aca="false">V26</f>
        <v>36545.4249933106</v>
      </c>
      <c r="W28" s="720" t="n">
        <f aca="false">W26</f>
        <v>36650.5300342629</v>
      </c>
      <c r="X28" s="720" t="n">
        <f aca="false">X26</f>
        <v>13693.1326211776</v>
      </c>
      <c r="Y28" s="720" t="n">
        <f aca="false">Y26</f>
        <v>0</v>
      </c>
      <c r="Z28" s="720" t="n">
        <f aca="false">Z26</f>
        <v>0</v>
      </c>
      <c r="AA28" s="720" t="n">
        <f aca="false">AA26</f>
        <v>0</v>
      </c>
      <c r="AB28" s="721" t="n">
        <f aca="false">AB26</f>
        <v>0</v>
      </c>
      <c r="AC28" s="725"/>
      <c r="AD28" s="725"/>
    </row>
    <row r="29" customFormat="false" ht="12" hidden="false" customHeight="true" outlineLevel="0" collapsed="false">
      <c r="A29" s="719" t="s">
        <v>611</v>
      </c>
      <c r="B29" s="378"/>
      <c r="C29" s="378"/>
      <c r="D29" s="778" t="n">
        <f aca="false">IF(D$3&gt;'Project Assumtions'!$I$15+1,0,'Project Assumtions'!$N$65)</f>
        <v>0.045</v>
      </c>
      <c r="E29" s="778" t="n">
        <f aca="false">IF(E$3&gt;'Project Assumtions'!$I$15+1,0,'Project Assumtions'!$N$65)</f>
        <v>0.045</v>
      </c>
      <c r="F29" s="778" t="n">
        <f aca="false">IF(F$3&gt;'Project Assumtions'!$I$15+1,0,'Project Assumtions'!$N$65)</f>
        <v>0.045</v>
      </c>
      <c r="G29" s="778" t="n">
        <f aca="false">IF(G$3&gt;'Project Assumtions'!$I$15+1,0,'Project Assumtions'!$N$65)</f>
        <v>0.045</v>
      </c>
      <c r="H29" s="778" t="n">
        <f aca="false">IF(H$3&gt;'Project Assumtions'!$I$15+1,0,'Project Assumtions'!$N$65)</f>
        <v>0.045</v>
      </c>
      <c r="I29" s="778" t="n">
        <f aca="false">IF(I$3&gt;'Project Assumtions'!$I$15+1,0,'Project Assumtions'!$N$65)</f>
        <v>0.045</v>
      </c>
      <c r="J29" s="778" t="n">
        <f aca="false">IF(J$3&gt;'Project Assumtions'!$I$15+1,0,'Project Assumtions'!$N$65)</f>
        <v>0.045</v>
      </c>
      <c r="K29" s="778" t="n">
        <f aca="false">IF(K$3&gt;'Project Assumtions'!$I$15+1,0,'Project Assumtions'!$N$65)</f>
        <v>0.045</v>
      </c>
      <c r="L29" s="778" t="n">
        <f aca="false">IF(L$3&gt;'Project Assumtions'!$I$15+1,0,'Project Assumtions'!$N$65)</f>
        <v>0.045</v>
      </c>
      <c r="M29" s="778" t="n">
        <f aca="false">IF(M$3&gt;'Project Assumtions'!$I$15+1,0,'Project Assumtions'!$N$65)</f>
        <v>0.045</v>
      </c>
      <c r="N29" s="778" t="n">
        <f aca="false">IF(N$3&gt;'Project Assumtions'!$I$15+1,0,'Project Assumtions'!$N$65)</f>
        <v>0.045</v>
      </c>
      <c r="O29" s="778" t="n">
        <f aca="false">IF(O$3&gt;'Project Assumtions'!$I$15+1,0,'Project Assumtions'!$N$65)</f>
        <v>0.045</v>
      </c>
      <c r="P29" s="778" t="n">
        <f aca="false">IF(P$3&gt;'Project Assumtions'!$I$15+1,0,'Project Assumtions'!$N$65)</f>
        <v>0.045</v>
      </c>
      <c r="Q29" s="778" t="n">
        <f aca="false">IF(Q$3&gt;'Project Assumtions'!$I$15+1,0,'Project Assumtions'!$N$65)</f>
        <v>0.045</v>
      </c>
      <c r="R29" s="778" t="n">
        <f aca="false">IF(R$3&gt;'Project Assumtions'!$I$15+1,0,'Project Assumtions'!$N$65)</f>
        <v>0.045</v>
      </c>
      <c r="S29" s="778" t="n">
        <f aca="false">IF(S$3&gt;'Project Assumtions'!$I$15+1,0,'Project Assumtions'!$N$65)</f>
        <v>0.045</v>
      </c>
      <c r="T29" s="778" t="n">
        <f aca="false">IF(T$3&gt;'Project Assumtions'!$I$15+1,0,'Project Assumtions'!$N$65)</f>
        <v>0.045</v>
      </c>
      <c r="U29" s="778" t="n">
        <f aca="false">IF(U$3&gt;'Project Assumtions'!$I$15+1,0,'Project Assumtions'!$N$65)</f>
        <v>0.045</v>
      </c>
      <c r="V29" s="778" t="n">
        <f aca="false">IF(V$3&gt;'Project Assumtions'!$I$15+1,0,'Project Assumtions'!$N$65)</f>
        <v>0.045</v>
      </c>
      <c r="W29" s="778" t="n">
        <f aca="false">IF(W$3&gt;'Project Assumtions'!$I$15+1,0,'Project Assumtions'!$N$65)</f>
        <v>0.045</v>
      </c>
      <c r="X29" s="778" t="n">
        <f aca="false">IF(X$3&gt;'Project Assumtions'!$I$15,0,'Project Assumtions'!$N$65)</f>
        <v>0</v>
      </c>
      <c r="Y29" s="778" t="n">
        <f aca="false">IF(Y$3&gt;'Project Assumtions'!$I$15,0,'Project Assumtions'!$N$65)</f>
        <v>0</v>
      </c>
      <c r="Z29" s="778" t="n">
        <f aca="false">IF(Z$3&gt;'Project Assumtions'!$I$15,0,'Project Assumtions'!$N$65)</f>
        <v>0</v>
      </c>
      <c r="AA29" s="778" t="n">
        <f aca="false">IF(AA$3&gt;'Project Assumtions'!$I$15,0,'Project Assumtions'!$N$65)</f>
        <v>0</v>
      </c>
      <c r="AB29" s="779" t="n">
        <f aca="false">IF(AB$3&gt;'Project Assumtions'!$I$15,0,'Project Assumtions'!$N$65)</f>
        <v>0</v>
      </c>
      <c r="AC29" s="378"/>
      <c r="AD29" s="776"/>
      <c r="AE29" s="776"/>
      <c r="AF29" s="776"/>
      <c r="AG29" s="776"/>
      <c r="AH29" s="777"/>
      <c r="AI29" s="777"/>
      <c r="AJ29" s="777"/>
      <c r="AK29" s="777"/>
      <c r="AL29" s="777"/>
      <c r="AM29" s="777"/>
      <c r="AN29" s="777"/>
      <c r="AO29" s="777"/>
      <c r="AP29" s="777"/>
      <c r="AQ29" s="777"/>
      <c r="AR29" s="777"/>
      <c r="AS29" s="777"/>
      <c r="AT29" s="777"/>
      <c r="AU29" s="777"/>
      <c r="AV29" s="777"/>
      <c r="AW29" s="777"/>
      <c r="AX29" s="777"/>
      <c r="AY29" s="777"/>
      <c r="AZ29" s="777"/>
      <c r="BA29" s="777"/>
      <c r="BB29" s="777"/>
      <c r="BC29" s="777"/>
      <c r="BD29" s="777"/>
      <c r="BE29" s="777"/>
      <c r="BF29" s="777"/>
      <c r="BG29" s="777"/>
      <c r="BH29" s="777"/>
      <c r="BI29" s="777"/>
      <c r="BJ29" s="777"/>
      <c r="BK29" s="777"/>
      <c r="BL29" s="777"/>
      <c r="BM29" s="777"/>
      <c r="BN29" s="777"/>
      <c r="BO29" s="777"/>
      <c r="BP29" s="777"/>
      <c r="BQ29" s="777"/>
      <c r="BR29" s="777"/>
      <c r="BS29" s="777"/>
      <c r="BT29" s="777"/>
      <c r="BU29" s="777"/>
      <c r="BV29" s="777"/>
      <c r="BW29" s="777"/>
      <c r="BX29" s="777"/>
      <c r="BY29" s="777"/>
      <c r="BZ29" s="777"/>
      <c r="CA29" s="777"/>
      <c r="CB29" s="777"/>
      <c r="CC29" s="777"/>
      <c r="CD29" s="777"/>
      <c r="CE29" s="777"/>
      <c r="CF29" s="777"/>
      <c r="CG29" s="777"/>
      <c r="CH29" s="777"/>
      <c r="CI29" s="777"/>
      <c r="CJ29" s="777"/>
      <c r="CK29" s="777"/>
      <c r="CL29" s="777"/>
      <c r="CM29" s="777"/>
      <c r="CN29" s="777"/>
      <c r="CO29" s="777"/>
      <c r="CP29" s="777"/>
      <c r="CQ29" s="777"/>
      <c r="CR29" s="777"/>
      <c r="CS29" s="777"/>
      <c r="CT29" s="777"/>
      <c r="CU29" s="777"/>
      <c r="CV29" s="777"/>
      <c r="CW29" s="777"/>
      <c r="CX29" s="777"/>
      <c r="CY29" s="777"/>
      <c r="CZ29" s="777"/>
      <c r="DA29" s="777"/>
      <c r="DB29" s="777"/>
      <c r="DC29" s="777"/>
      <c r="DD29" s="777"/>
      <c r="DE29" s="777"/>
      <c r="DF29" s="777"/>
      <c r="DG29" s="777"/>
      <c r="DH29" s="777"/>
      <c r="DI29" s="777"/>
      <c r="DJ29" s="777"/>
      <c r="DK29" s="777"/>
      <c r="DL29" s="777"/>
      <c r="DM29" s="777"/>
      <c r="DN29" s="777"/>
      <c r="DO29" s="777"/>
      <c r="DP29" s="777"/>
      <c r="DQ29" s="777"/>
      <c r="DR29" s="777"/>
      <c r="DS29" s="777"/>
      <c r="DT29" s="777"/>
      <c r="DU29" s="777"/>
      <c r="DV29" s="777"/>
      <c r="DW29" s="777"/>
      <c r="DX29" s="777"/>
      <c r="DY29" s="777"/>
      <c r="DZ29" s="777"/>
      <c r="EA29" s="777"/>
      <c r="EB29" s="777"/>
      <c r="EC29" s="777"/>
      <c r="ED29" s="777"/>
      <c r="EE29" s="777"/>
      <c r="EF29" s="777"/>
      <c r="EG29" s="777"/>
      <c r="EH29" s="777"/>
      <c r="EI29" s="777"/>
      <c r="EJ29" s="777"/>
      <c r="EK29" s="777"/>
      <c r="EL29" s="777"/>
      <c r="EM29" s="777"/>
      <c r="EN29" s="777"/>
      <c r="EO29" s="777"/>
      <c r="EP29" s="777"/>
      <c r="EQ29" s="777"/>
      <c r="ER29" s="777"/>
      <c r="ES29" s="777"/>
      <c r="ET29" s="777"/>
      <c r="EU29" s="777"/>
      <c r="EV29" s="777"/>
      <c r="EW29" s="777"/>
      <c r="EX29" s="777"/>
      <c r="EY29" s="777"/>
      <c r="EZ29" s="777"/>
      <c r="FA29" s="777"/>
      <c r="FB29" s="777"/>
      <c r="FC29" s="777"/>
      <c r="FD29" s="777"/>
      <c r="FE29" s="777"/>
      <c r="FF29" s="777"/>
      <c r="FG29" s="777"/>
      <c r="FH29" s="777"/>
      <c r="FI29" s="777"/>
      <c r="FJ29" s="777"/>
      <c r="FK29" s="777"/>
      <c r="FL29" s="777"/>
      <c r="FM29" s="777"/>
      <c r="FN29" s="777"/>
      <c r="FO29" s="777"/>
      <c r="FP29" s="777"/>
      <c r="FQ29" s="777"/>
      <c r="FR29" s="777"/>
      <c r="FS29" s="777"/>
      <c r="FT29" s="777"/>
      <c r="FU29" s="777"/>
      <c r="FV29" s="777"/>
      <c r="FW29" s="777"/>
      <c r="FX29" s="777"/>
      <c r="FY29" s="777"/>
      <c r="FZ29" s="777"/>
      <c r="GA29" s="777"/>
      <c r="GB29" s="777"/>
      <c r="GC29" s="777"/>
      <c r="GD29" s="777"/>
      <c r="GE29" s="777"/>
      <c r="GF29" s="777"/>
      <c r="GG29" s="777"/>
      <c r="GH29" s="777"/>
      <c r="GI29" s="777"/>
      <c r="GJ29" s="777"/>
      <c r="GK29" s="777"/>
      <c r="GL29" s="777"/>
      <c r="GM29" s="777"/>
      <c r="GN29" s="777"/>
      <c r="GO29" s="777"/>
      <c r="GP29" s="777"/>
      <c r="GQ29" s="777"/>
      <c r="GR29" s="777"/>
      <c r="GS29" s="777"/>
      <c r="GT29" s="777"/>
      <c r="GU29" s="777"/>
      <c r="GV29" s="777"/>
      <c r="GW29" s="777"/>
      <c r="GX29" s="777"/>
      <c r="GY29" s="777"/>
      <c r="GZ29" s="777"/>
      <c r="HA29" s="777"/>
      <c r="HB29" s="777"/>
      <c r="HC29" s="777"/>
      <c r="HD29" s="777"/>
      <c r="HE29" s="777"/>
      <c r="HF29" s="777"/>
      <c r="HG29" s="777"/>
      <c r="HH29" s="777"/>
      <c r="HI29" s="777"/>
      <c r="HJ29" s="777"/>
      <c r="HK29" s="777"/>
      <c r="HL29" s="777"/>
      <c r="HM29" s="777"/>
      <c r="HN29" s="777"/>
      <c r="HO29" s="777"/>
      <c r="HP29" s="777"/>
      <c r="HQ29" s="777"/>
      <c r="HR29" s="777"/>
      <c r="HS29" s="777"/>
      <c r="HT29" s="777"/>
      <c r="HU29" s="777"/>
      <c r="HV29" s="777"/>
      <c r="HW29" s="777"/>
      <c r="HX29" s="777"/>
      <c r="HY29" s="777"/>
      <c r="HZ29" s="777"/>
      <c r="IA29" s="777"/>
      <c r="IB29" s="777"/>
      <c r="IC29" s="777"/>
      <c r="ID29" s="777"/>
      <c r="IE29" s="777"/>
      <c r="IF29" s="777"/>
      <c r="IG29" s="777"/>
      <c r="IH29" s="777"/>
      <c r="II29" s="777"/>
      <c r="IJ29" s="777"/>
      <c r="IK29" s="777"/>
      <c r="IL29" s="777"/>
      <c r="IM29" s="777"/>
      <c r="IN29" s="777"/>
      <c r="IO29" s="777"/>
      <c r="IP29" s="777"/>
      <c r="IQ29" s="777"/>
      <c r="IR29" s="777"/>
      <c r="IS29" s="777"/>
      <c r="IT29" s="777"/>
      <c r="IU29" s="777"/>
    </row>
    <row r="30" customFormat="false" ht="12" hidden="false" customHeight="true" outlineLevel="0" collapsed="false">
      <c r="A30" s="719" t="s">
        <v>612</v>
      </c>
      <c r="B30" s="431"/>
      <c r="C30" s="431"/>
      <c r="D30" s="431" t="n">
        <f aca="false">D28*D29</f>
        <v>-244.964755356785</v>
      </c>
      <c r="E30" s="431" t="n">
        <f aca="false">E28*E29</f>
        <v>-177.888824802047</v>
      </c>
      <c r="F30" s="431" t="n">
        <f aca="false">F28*F29</f>
        <v>-103.12016785619</v>
      </c>
      <c r="G30" s="431" t="n">
        <f aca="false">G28*G29</f>
        <v>308.628432321251</v>
      </c>
      <c r="H30" s="431" t="n">
        <f aca="false">H28*H29</f>
        <v>673.474838744928</v>
      </c>
      <c r="I30" s="431" t="n">
        <f aca="false">I28*I29</f>
        <v>793.147481494999</v>
      </c>
      <c r="J30" s="431" t="n">
        <f aca="false">J28*J29</f>
        <v>855.024838985726</v>
      </c>
      <c r="K30" s="431" t="n">
        <f aca="false">K28*K29</f>
        <v>887.507912823361</v>
      </c>
      <c r="L30" s="431" t="n">
        <f aca="false">L28*L29</f>
        <v>922.893983185777</v>
      </c>
      <c r="M30" s="431" t="n">
        <f aca="false">M28*M29</f>
        <v>972.270157994454</v>
      </c>
      <c r="N30" s="431" t="n">
        <f aca="false">N28*N29</f>
        <v>1031.14343575734</v>
      </c>
      <c r="O30" s="431" t="n">
        <f aca="false">O28*O29</f>
        <v>1049.53519655611</v>
      </c>
      <c r="P30" s="431" t="n">
        <f aca="false">P28*P29</f>
        <v>1078.83816857788</v>
      </c>
      <c r="Q30" s="431" t="n">
        <f aca="false">Q28*Q29</f>
        <v>1071.11579353507</v>
      </c>
      <c r="R30" s="431" t="n">
        <f aca="false">R28*R29</f>
        <v>1098.27281489695</v>
      </c>
      <c r="S30" s="431" t="n">
        <f aca="false">S28*S29</f>
        <v>1333.44667521246</v>
      </c>
      <c r="T30" s="431" t="n">
        <f aca="false">T28*T29</f>
        <v>1567.91834176628</v>
      </c>
      <c r="U30" s="431" t="n">
        <f aca="false">U28*U29</f>
        <v>1604.24126039533</v>
      </c>
      <c r="V30" s="431" t="n">
        <f aca="false">V28*V29</f>
        <v>1644.54412469898</v>
      </c>
      <c r="W30" s="431" t="n">
        <f aca="false">W28*W29</f>
        <v>1649.27385154183</v>
      </c>
      <c r="X30" s="431" t="n">
        <f aca="false">X28*X29</f>
        <v>0</v>
      </c>
      <c r="Y30" s="431" t="n">
        <f aca="false">Y28*Y29</f>
        <v>0</v>
      </c>
      <c r="Z30" s="431" t="n">
        <f aca="false">Z28*Z29</f>
        <v>0</v>
      </c>
      <c r="AA30" s="431" t="n">
        <f aca="false">AA28*AA29</f>
        <v>0</v>
      </c>
      <c r="AB30" s="432" t="n">
        <f aca="false">AB28*AB29</f>
        <v>0</v>
      </c>
      <c r="AC30" s="431"/>
      <c r="AD30" s="431"/>
      <c r="AE30" s="431"/>
      <c r="AF30" s="431"/>
      <c r="AG30" s="4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c r="IW30" s="31"/>
    </row>
    <row r="31" customFormat="false" ht="12" hidden="false" customHeight="true" outlineLevel="0" collapsed="false">
      <c r="A31" s="719"/>
      <c r="B31" s="378"/>
      <c r="C31" s="378"/>
      <c r="D31" s="744"/>
      <c r="E31" s="744"/>
      <c r="F31" s="744"/>
      <c r="G31" s="744"/>
      <c r="H31" s="744"/>
      <c r="I31" s="744"/>
      <c r="J31" s="744"/>
      <c r="K31" s="744"/>
      <c r="L31" s="744"/>
      <c r="M31" s="744"/>
      <c r="N31" s="744"/>
      <c r="O31" s="744"/>
      <c r="P31" s="744"/>
      <c r="Q31" s="744"/>
      <c r="R31" s="744"/>
      <c r="S31" s="744"/>
      <c r="T31" s="744"/>
      <c r="U31" s="744"/>
      <c r="V31" s="744"/>
      <c r="W31" s="744"/>
      <c r="X31" s="744"/>
      <c r="Y31" s="744"/>
      <c r="Z31" s="744"/>
      <c r="AA31" s="744"/>
      <c r="AB31" s="782"/>
      <c r="AC31" s="378"/>
      <c r="AD31" s="378"/>
      <c r="AE31" s="776"/>
      <c r="AF31" s="776"/>
      <c r="AG31" s="776"/>
      <c r="AH31" s="777"/>
      <c r="AI31" s="777"/>
      <c r="AJ31" s="777"/>
      <c r="AK31" s="777"/>
      <c r="AL31" s="777"/>
      <c r="AM31" s="777"/>
      <c r="AN31" s="777"/>
      <c r="AO31" s="777"/>
      <c r="AP31" s="777"/>
      <c r="AQ31" s="777"/>
      <c r="AR31" s="777"/>
      <c r="AS31" s="777"/>
      <c r="AT31" s="777"/>
      <c r="AU31" s="777"/>
      <c r="AV31" s="777"/>
      <c r="AW31" s="777"/>
      <c r="AX31" s="777"/>
      <c r="AY31" s="777"/>
      <c r="AZ31" s="777"/>
      <c r="BA31" s="777"/>
      <c r="BB31" s="777"/>
      <c r="BC31" s="777"/>
      <c r="BD31" s="777"/>
      <c r="BE31" s="777"/>
      <c r="BF31" s="777"/>
      <c r="BG31" s="777"/>
      <c r="BH31" s="777"/>
      <c r="BI31" s="777"/>
      <c r="BJ31" s="777"/>
      <c r="BK31" s="777"/>
      <c r="BL31" s="777"/>
      <c r="BM31" s="777"/>
      <c r="BN31" s="777"/>
      <c r="BO31" s="777"/>
      <c r="BP31" s="777"/>
      <c r="BQ31" s="777"/>
      <c r="BR31" s="777"/>
      <c r="BS31" s="777"/>
      <c r="BT31" s="777"/>
      <c r="BU31" s="777"/>
      <c r="BV31" s="777"/>
      <c r="BW31" s="777"/>
      <c r="BX31" s="777"/>
      <c r="BY31" s="777"/>
      <c r="BZ31" s="777"/>
      <c r="CA31" s="777"/>
      <c r="CB31" s="777"/>
      <c r="CC31" s="777"/>
      <c r="CD31" s="777"/>
      <c r="CE31" s="777"/>
      <c r="CF31" s="777"/>
      <c r="CG31" s="777"/>
      <c r="CH31" s="777"/>
      <c r="CI31" s="777"/>
      <c r="CJ31" s="777"/>
      <c r="CK31" s="777"/>
      <c r="CL31" s="777"/>
      <c r="CM31" s="777"/>
      <c r="CN31" s="777"/>
      <c r="CO31" s="777"/>
      <c r="CP31" s="777"/>
      <c r="CQ31" s="777"/>
      <c r="CR31" s="777"/>
      <c r="CS31" s="777"/>
      <c r="CT31" s="777"/>
      <c r="CU31" s="777"/>
      <c r="CV31" s="777"/>
      <c r="CW31" s="777"/>
      <c r="CX31" s="777"/>
      <c r="CY31" s="777"/>
      <c r="CZ31" s="777"/>
      <c r="DA31" s="777"/>
      <c r="DB31" s="777"/>
      <c r="DC31" s="777"/>
      <c r="DD31" s="777"/>
      <c r="DE31" s="777"/>
      <c r="DF31" s="777"/>
      <c r="DG31" s="777"/>
      <c r="DH31" s="777"/>
      <c r="DI31" s="777"/>
      <c r="DJ31" s="777"/>
      <c r="DK31" s="777"/>
      <c r="DL31" s="777"/>
      <c r="DM31" s="777"/>
      <c r="DN31" s="777"/>
      <c r="DO31" s="777"/>
      <c r="DP31" s="777"/>
      <c r="DQ31" s="777"/>
      <c r="DR31" s="777"/>
      <c r="DS31" s="777"/>
      <c r="DT31" s="777"/>
      <c r="DU31" s="777"/>
      <c r="DV31" s="777"/>
      <c r="DW31" s="777"/>
      <c r="DX31" s="777"/>
      <c r="DY31" s="777"/>
      <c r="DZ31" s="777"/>
      <c r="EA31" s="777"/>
      <c r="EB31" s="777"/>
      <c r="EC31" s="777"/>
      <c r="ED31" s="777"/>
      <c r="EE31" s="777"/>
      <c r="EF31" s="777"/>
      <c r="EG31" s="777"/>
      <c r="EH31" s="777"/>
      <c r="EI31" s="777"/>
      <c r="EJ31" s="777"/>
      <c r="EK31" s="777"/>
      <c r="EL31" s="777"/>
      <c r="EM31" s="777"/>
      <c r="EN31" s="777"/>
      <c r="EO31" s="777"/>
      <c r="EP31" s="777"/>
      <c r="EQ31" s="777"/>
      <c r="ER31" s="777"/>
      <c r="ES31" s="777"/>
      <c r="ET31" s="777"/>
      <c r="EU31" s="777"/>
      <c r="EV31" s="777"/>
      <c r="EW31" s="777"/>
      <c r="EX31" s="777"/>
      <c r="EY31" s="777"/>
      <c r="EZ31" s="777"/>
      <c r="FA31" s="777"/>
      <c r="FB31" s="777"/>
      <c r="FC31" s="777"/>
      <c r="FD31" s="777"/>
      <c r="FE31" s="777"/>
      <c r="FF31" s="777"/>
      <c r="FG31" s="777"/>
      <c r="FH31" s="777"/>
      <c r="FI31" s="777"/>
      <c r="FJ31" s="777"/>
      <c r="FK31" s="777"/>
      <c r="FL31" s="777"/>
      <c r="FM31" s="777"/>
      <c r="FN31" s="777"/>
      <c r="FO31" s="777"/>
      <c r="FP31" s="777"/>
      <c r="FQ31" s="777"/>
      <c r="FR31" s="777"/>
      <c r="FS31" s="777"/>
      <c r="FT31" s="777"/>
      <c r="FU31" s="777"/>
      <c r="FV31" s="777"/>
      <c r="FW31" s="777"/>
      <c r="FX31" s="777"/>
      <c r="FY31" s="777"/>
      <c r="FZ31" s="777"/>
      <c r="GA31" s="777"/>
      <c r="GB31" s="777"/>
      <c r="GC31" s="777"/>
      <c r="GD31" s="777"/>
      <c r="GE31" s="777"/>
      <c r="GF31" s="777"/>
      <c r="GG31" s="777"/>
      <c r="GH31" s="777"/>
      <c r="GI31" s="777"/>
      <c r="GJ31" s="777"/>
      <c r="GK31" s="777"/>
      <c r="GL31" s="777"/>
      <c r="GM31" s="777"/>
      <c r="GN31" s="777"/>
      <c r="GO31" s="777"/>
      <c r="GP31" s="777"/>
      <c r="GQ31" s="777"/>
      <c r="GR31" s="777"/>
      <c r="GS31" s="777"/>
      <c r="GT31" s="777"/>
      <c r="GU31" s="777"/>
      <c r="GV31" s="777"/>
      <c r="GW31" s="777"/>
      <c r="GX31" s="777"/>
      <c r="GY31" s="777"/>
      <c r="GZ31" s="777"/>
      <c r="HA31" s="777"/>
      <c r="HB31" s="777"/>
      <c r="HC31" s="777"/>
      <c r="HD31" s="777"/>
      <c r="HE31" s="777"/>
      <c r="HF31" s="777"/>
      <c r="HG31" s="777"/>
      <c r="HH31" s="777"/>
      <c r="HI31" s="777"/>
      <c r="HJ31" s="777"/>
      <c r="HK31" s="777"/>
      <c r="HL31" s="777"/>
      <c r="HM31" s="777"/>
      <c r="HN31" s="777"/>
      <c r="HO31" s="777"/>
      <c r="HP31" s="777"/>
      <c r="HQ31" s="777"/>
      <c r="HR31" s="777"/>
      <c r="HS31" s="777"/>
      <c r="HT31" s="777"/>
      <c r="HU31" s="777"/>
      <c r="HV31" s="777"/>
      <c r="HW31" s="777"/>
      <c r="HX31" s="777"/>
      <c r="HY31" s="777"/>
      <c r="HZ31" s="777"/>
      <c r="IA31" s="777"/>
      <c r="IB31" s="777"/>
      <c r="IC31" s="777"/>
      <c r="ID31" s="777"/>
      <c r="IE31" s="777"/>
      <c r="IF31" s="777"/>
      <c r="IG31" s="777"/>
      <c r="IH31" s="777"/>
      <c r="II31" s="777"/>
      <c r="IJ31" s="777"/>
      <c r="IK31" s="777"/>
      <c r="IL31" s="777"/>
      <c r="IM31" s="777"/>
      <c r="IN31" s="777"/>
      <c r="IO31" s="777"/>
      <c r="IP31" s="777"/>
      <c r="IQ31" s="777"/>
      <c r="IR31" s="777"/>
      <c r="IS31" s="777"/>
      <c r="IT31" s="777"/>
      <c r="IU31" s="777"/>
      <c r="IV31" s="777"/>
      <c r="IW31" s="32"/>
    </row>
    <row r="32" customFormat="false" ht="11.25" hidden="false" customHeight="false" outlineLevel="0" collapsed="false">
      <c r="A32" s="719" t="s">
        <v>613</v>
      </c>
      <c r="B32" s="431"/>
      <c r="C32" s="431"/>
      <c r="D32" s="787" t="n">
        <f aca="false">C36</f>
        <v>0</v>
      </c>
      <c r="E32" s="787" t="n">
        <f aca="false">D36</f>
        <v>244.964755356785</v>
      </c>
      <c r="F32" s="787" t="n">
        <f aca="false">E36</f>
        <v>422.853580158831</v>
      </c>
      <c r="G32" s="787" t="n">
        <f aca="false">F36</f>
        <v>525.973748015021</v>
      </c>
      <c r="H32" s="787" t="n">
        <f aca="false">G36</f>
        <v>217.345315693771</v>
      </c>
      <c r="I32" s="787" t="n">
        <f aca="false">H36</f>
        <v>0</v>
      </c>
      <c r="J32" s="787" t="n">
        <f aca="false">I36</f>
        <v>0</v>
      </c>
      <c r="K32" s="787" t="n">
        <f aca="false">J36</f>
        <v>0</v>
      </c>
      <c r="L32" s="787" t="n">
        <f aca="false">K36</f>
        <v>0</v>
      </c>
      <c r="M32" s="787" t="n">
        <f aca="false">L36</f>
        <v>0</v>
      </c>
      <c r="N32" s="787" t="n">
        <f aca="false">M36</f>
        <v>0</v>
      </c>
      <c r="O32" s="787" t="n">
        <f aca="false">N36</f>
        <v>0</v>
      </c>
      <c r="P32" s="787" t="n">
        <f aca="false">O36</f>
        <v>0</v>
      </c>
      <c r="Q32" s="787" t="n">
        <f aca="false">P36</f>
        <v>0</v>
      </c>
      <c r="R32" s="787" t="n">
        <f aca="false">Q36</f>
        <v>0</v>
      </c>
      <c r="S32" s="787" t="n">
        <f aca="false">R36</f>
        <v>0</v>
      </c>
      <c r="T32" s="787" t="n">
        <f aca="false">S36</f>
        <v>0</v>
      </c>
      <c r="U32" s="787" t="n">
        <f aca="false">T36</f>
        <v>0</v>
      </c>
      <c r="V32" s="787" t="n">
        <f aca="false">U36</f>
        <v>0</v>
      </c>
      <c r="W32" s="787" t="n">
        <f aca="false">V36</f>
        <v>0</v>
      </c>
      <c r="X32" s="787" t="n">
        <f aca="false">W36</f>
        <v>0</v>
      </c>
      <c r="Y32" s="787" t="n">
        <f aca="false">X36</f>
        <v>0</v>
      </c>
      <c r="Z32" s="787" t="n">
        <f aca="false">Y36</f>
        <v>0</v>
      </c>
      <c r="AA32" s="787" t="n">
        <f aca="false">Z36</f>
        <v>0</v>
      </c>
      <c r="AB32" s="788" t="n">
        <f aca="false">AA36</f>
        <v>0</v>
      </c>
    </row>
    <row r="33" customFormat="false" ht="11.25" hidden="false" customHeight="false" outlineLevel="0" collapsed="false">
      <c r="A33" s="719" t="s">
        <v>614</v>
      </c>
      <c r="B33" s="431"/>
      <c r="C33" s="431"/>
      <c r="D33" s="787" t="n">
        <f aca="false">IF('Project Assumtions'!$C$67="NO",0,IF(D1&gt;ProjectLife+1,0,IF(D30&lt;0,-D30,0)))</f>
        <v>244.964755356785</v>
      </c>
      <c r="E33" s="787" t="n">
        <f aca="false">IF('Project Assumtions'!$C$67="NO",0,IF(E1&gt;ProjectLife+1,0,IF(E30&lt;0,-E30,0)))</f>
        <v>177.888824802047</v>
      </c>
      <c r="F33" s="787" t="n">
        <f aca="false">IF('Project Assumtions'!$C$67="NO",0,IF(F1&gt;ProjectLife+1,0,IF(F30&lt;0,-F30,0)))</f>
        <v>103.12016785619</v>
      </c>
      <c r="G33" s="787" t="n">
        <f aca="false">IF('Project Assumtions'!$C$67="NO",0,IF(G1&gt;ProjectLife+1,0,IF(G30&lt;0,-G30,0)))</f>
        <v>0</v>
      </c>
      <c r="H33" s="787" t="n">
        <f aca="false">IF('Project Assumtions'!$C$67="NO",0,IF(H1&gt;ProjectLife+1,0,IF(H30&lt;0,-H30,0)))</f>
        <v>0</v>
      </c>
      <c r="I33" s="787" t="n">
        <f aca="false">IF('Project Assumtions'!$C$67="NO",0,IF(I1&gt;ProjectLife+1,0,IF(I30&lt;0,-I30,0)))</f>
        <v>0</v>
      </c>
      <c r="J33" s="787" t="n">
        <f aca="false">IF('Project Assumtions'!$C$67="NO",0,IF(J1&gt;ProjectLife+1,0,IF(J30&lt;0,-J30,0)))</f>
        <v>0</v>
      </c>
      <c r="K33" s="787" t="n">
        <f aca="false">IF('Project Assumtions'!$C$67="NO",0,IF(K1&gt;ProjectLife+1,0,IF(K30&lt;0,-K30,0)))</f>
        <v>0</v>
      </c>
      <c r="L33" s="787" t="n">
        <f aca="false">IF('Project Assumtions'!$C$67="NO",0,IF(L1&gt;ProjectLife+1,0,IF(L30&lt;0,-L30,0)))</f>
        <v>0</v>
      </c>
      <c r="M33" s="787" t="n">
        <f aca="false">IF('Project Assumtions'!$C$67="NO",0,IF(M1&gt;ProjectLife+1,0,IF(M30&lt;0,-M30,0)))</f>
        <v>0</v>
      </c>
      <c r="N33" s="787" t="n">
        <f aca="false">IF('Project Assumtions'!$C$67="NO",0,IF(N1&gt;ProjectLife+1,0,IF(N30&lt;0,-N30,0)))</f>
        <v>0</v>
      </c>
      <c r="O33" s="787" t="n">
        <f aca="false">IF('Project Assumtions'!$C$67="NO",0,IF(O1&gt;ProjectLife+1,0,IF(O30&lt;0,-O30,0)))</f>
        <v>0</v>
      </c>
      <c r="P33" s="787" t="n">
        <f aca="false">IF('Project Assumtions'!$C$67="NO",0,IF(P1&gt;ProjectLife+1,0,IF(P30&lt;0,-P30,0)))</f>
        <v>0</v>
      </c>
      <c r="Q33" s="787" t="n">
        <f aca="false">IF('Project Assumtions'!$C$67="NO",0,IF(Q1&gt;ProjectLife+1,0,IF(Q30&lt;0,-Q30,0)))</f>
        <v>0</v>
      </c>
      <c r="R33" s="787" t="n">
        <f aca="false">IF('Project Assumtions'!$C$67="NO",0,IF(R1&gt;ProjectLife+1,0,IF(R30&lt;0,-R30,0)))</f>
        <v>0</v>
      </c>
      <c r="S33" s="787" t="n">
        <f aca="false">IF('Project Assumtions'!$C$67="NO",0,IF(S1&gt;ProjectLife+1,0,IF(S30&lt;0,-S30,0)))</f>
        <v>0</v>
      </c>
      <c r="T33" s="787" t="n">
        <f aca="false">IF('Project Assumtions'!$C$67="NO",0,IF(T1&gt;ProjectLife+1,0,IF(T30&lt;0,-T30,0)))</f>
        <v>0</v>
      </c>
      <c r="U33" s="787" t="n">
        <f aca="false">IF('Project Assumtions'!$C$67="NO",0,IF(U1&gt;ProjectLife+1,0,IF(U30&lt;0,-U30,0)))</f>
        <v>0</v>
      </c>
      <c r="V33" s="787" t="n">
        <f aca="false">IF('Project Assumtions'!$C$67="NO",0,IF(V1&gt;ProjectLife+1,0,IF(V30&lt;0,-V30,0)))</f>
        <v>0</v>
      </c>
      <c r="W33" s="787" t="n">
        <f aca="false">IF('Project Assumtions'!$C$67="NO",0,IF(W1&gt;ProjectLife+1,0,IF(W30&lt;0,-W30,0)))</f>
        <v>0</v>
      </c>
      <c r="X33" s="787" t="n">
        <f aca="false">IF('Project Assumtions'!$C$67="NO",0,IF(X1&gt;ProjectLife,0,IF(X30&lt;0,-X30,0)))</f>
        <v>0</v>
      </c>
      <c r="Y33" s="787" t="n">
        <f aca="false">IF('Project Assumtions'!$C$67="NO",0,IF(Y1&gt;ProjectLife,0,IF(Y30&lt;0,-Y30,0)))</f>
        <v>0</v>
      </c>
      <c r="Z33" s="787" t="n">
        <f aca="false">IF('Project Assumtions'!$C$67="NO",0,IF(Z1&gt;ProjectLife,0,IF(Z30&lt;0,-Z30,0)))</f>
        <v>0</v>
      </c>
      <c r="AA33" s="787" t="n">
        <f aca="false">IF('Project Assumtions'!$C$67="NO",0,IF(AA1&gt;ProjectLife,0,IF(AA30&lt;0,-AA30,0)))</f>
        <v>0</v>
      </c>
      <c r="AB33" s="788" t="n">
        <f aca="false">IF('Project Assumtions'!$C$67="NO",0,IF(AB1&gt;ProjectLife,0,IF(AB30&lt;0,-AB30,0)))</f>
        <v>0</v>
      </c>
    </row>
    <row r="34" customFormat="false" ht="11.25" hidden="false" customHeight="false" outlineLevel="0" collapsed="false">
      <c r="A34" s="719" t="s">
        <v>615</v>
      </c>
      <c r="B34" s="431"/>
      <c r="C34" s="789" t="s">
        <v>616</v>
      </c>
      <c r="D34" s="790" t="n">
        <v>0</v>
      </c>
      <c r="E34" s="791" t="n">
        <v>0</v>
      </c>
      <c r="F34" s="791" t="n">
        <v>0</v>
      </c>
      <c r="G34" s="791" t="n">
        <v>0</v>
      </c>
      <c r="H34" s="791" t="n">
        <v>0</v>
      </c>
      <c r="I34" s="791" t="n">
        <v>0</v>
      </c>
      <c r="J34" s="791" t="n">
        <v>0</v>
      </c>
      <c r="K34" s="791" t="n">
        <v>0</v>
      </c>
      <c r="L34" s="791" t="n">
        <v>0</v>
      </c>
      <c r="M34" s="791" t="n">
        <v>0</v>
      </c>
      <c r="N34" s="791" t="n">
        <v>0</v>
      </c>
      <c r="O34" s="791" t="n">
        <v>0</v>
      </c>
      <c r="P34" s="791" t="n">
        <v>0</v>
      </c>
      <c r="Q34" s="791" t="n">
        <v>0</v>
      </c>
      <c r="R34" s="791" t="n">
        <v>0</v>
      </c>
      <c r="S34" s="791" t="n">
        <v>0</v>
      </c>
      <c r="T34" s="791" t="n">
        <v>0</v>
      </c>
      <c r="U34" s="791" t="n">
        <v>0</v>
      </c>
      <c r="V34" s="791" t="n">
        <v>0</v>
      </c>
      <c r="W34" s="792" t="n">
        <v>0</v>
      </c>
      <c r="X34" s="507" t="n">
        <f aca="false">IF(P33&gt;(SUM(Q35:W35)+SUM(P34:W34))*-1,P33-(SUM(P35:W35)+SUM(P34:W34))*-1,0)</f>
        <v>0</v>
      </c>
      <c r="Y34" s="787"/>
      <c r="Z34" s="787"/>
      <c r="AA34" s="787"/>
      <c r="AB34" s="788"/>
    </row>
    <row r="35" customFormat="false" ht="11.25" hidden="false" customHeight="false" outlineLevel="0" collapsed="false">
      <c r="A35" s="403" t="s">
        <v>617</v>
      </c>
      <c r="B35" s="606"/>
      <c r="C35" s="378"/>
      <c r="D35" s="505" t="n">
        <f aca="false">IF('Project Assumtions'!$C$67="No",0,IF(D1&lt;='Project Assumtions'!$C$67,IF(D30&lt;0,0,IF(D32&gt;D30,-D30,-D32)),0))</f>
        <v>0</v>
      </c>
      <c r="E35" s="505" t="n">
        <f aca="false">IF('Project Assumtions'!$C$67="No",0,IF(E1&lt;='Project Assumtions'!$C$67,IF(E30&lt;0,0,IF(E32&gt;E30,-E30,-E32)),0))</f>
        <v>0</v>
      </c>
      <c r="F35" s="505" t="n">
        <f aca="false">IF('Project Assumtions'!$C$67="No",0,IF(F1&lt;='Project Assumtions'!$C$67,IF(F30&lt;0,0,IF(F32&gt;F30,-F30,-F32)),0))</f>
        <v>0</v>
      </c>
      <c r="G35" s="505" t="n">
        <f aca="false">IF('Project Assumtions'!$C$67="No",0,IF(G1&lt;='Project Assumtions'!$C$67,IF(G30&lt;0,0,IF(G32&gt;G30,-G30,-G32)),0))</f>
        <v>-308.628432321251</v>
      </c>
      <c r="H35" s="505" t="n">
        <f aca="false">IF('Project Assumtions'!$C$67="No",0,IF(H1&lt;='Project Assumtions'!$C$67,IF(H30&lt;0,0,IF(H32&gt;H30,-H30,-H32)),0))</f>
        <v>-217.345315693771</v>
      </c>
      <c r="I35" s="505" t="n">
        <f aca="false">IF('Project Assumtions'!$C$67="No",0,IF(I1&lt;='Project Assumtions'!$C$67,IF(I30&lt;0,0,IF(I32&gt;I30,-I30,-I32)),0))</f>
        <v>-0</v>
      </c>
      <c r="J35" s="505" t="n">
        <f aca="false">IF('Project Assumtions'!$C$67="No",0,IF(J1&lt;='Project Assumtions'!$C$67,IF(J30&lt;0,0,IF(J32&gt;J30,-J30,-J32)),0))</f>
        <v>-0</v>
      </c>
      <c r="K35" s="505" t="n">
        <f aca="false">IF('Project Assumtions'!$C$67="No",0,IF(K1&lt;='Project Assumtions'!$C$67,IF(K30&lt;0,0,IF(K32&gt;K30,-K30,-K32)),0))</f>
        <v>-0</v>
      </c>
      <c r="L35" s="505" t="n">
        <f aca="false">IF('Project Assumtions'!$C$67="No",0,IF(L1&lt;='Project Assumtions'!$C$67,IF(L30&lt;0,0,IF(L32&gt;L30,-L30,-L32)),0))</f>
        <v>-0</v>
      </c>
      <c r="M35" s="505" t="n">
        <f aca="false">IF('Project Assumtions'!$C$67="No",0,IF(M1&lt;='Project Assumtions'!$C$67,IF(M30&lt;0,0,IF(M32&gt;M30,-M30,-M32)),0))</f>
        <v>-0</v>
      </c>
      <c r="N35" s="505" t="n">
        <f aca="false">IF('Project Assumtions'!$C$67="No",0,IF(N1&lt;='Project Assumtions'!$C$67,IF(N30&lt;0,0,IF(N32&gt;N30,-N30,-N32)),0))</f>
        <v>-0</v>
      </c>
      <c r="O35" s="505" t="n">
        <f aca="false">IF('Project Assumtions'!$C$67="No",0,IF(O1&lt;='Project Assumtions'!$C$67,IF(O30&lt;0,0,IF(O32&gt;O30,-O30,-O32)),0))</f>
        <v>-0</v>
      </c>
      <c r="P35" s="505" t="n">
        <f aca="false">IF('Project Assumtions'!$C$67="No",0,IF(P1&lt;='Project Assumtions'!$C$67,IF(P30&lt;0,0,IF(P32&gt;P30,-P30,-P32)),0))</f>
        <v>-0</v>
      </c>
      <c r="Q35" s="505" t="n">
        <f aca="false">IF('Project Assumtions'!$C$67="No",0,IF(Q1&lt;='Project Assumtions'!$C$67,IF(Q30&lt;0,0,IF(Q32&gt;Q30,-Q30,-Q32)),0))</f>
        <v>-0</v>
      </c>
      <c r="R35" s="505" t="n">
        <f aca="false">IF('Project Assumtions'!$C$67="No",0,IF(R1&lt;='Project Assumtions'!$C$67,IF(R30&lt;0,0,IF(R32&gt;R30,-R30,-R32)),0))</f>
        <v>-0</v>
      </c>
      <c r="S35" s="505" t="n">
        <f aca="false">IF('Project Assumtions'!$C$67="No",0,IF(S1&lt;='Project Assumtions'!$C$67,IF(S30&lt;0,0,IF(S32&gt;S30,-S30,-S32)),0))</f>
        <v>-0</v>
      </c>
      <c r="T35" s="505" t="n">
        <f aca="false">IF('Project Assumtions'!$C$67="No",0,IF(T1&lt;='Project Assumtions'!$C$67,IF(T30&lt;0,0,IF(T32&gt;T30,-T30,-T32)),0))</f>
        <v>-0</v>
      </c>
      <c r="U35" s="505" t="n">
        <f aca="false">IF('Project Assumtions'!$C$67="No",0,IF(U1&lt;='Project Assumtions'!$C$67,IF(U30&lt;0,0,IF(U32&gt;U30,-U30,-U32)),0))</f>
        <v>-0</v>
      </c>
      <c r="V35" s="505" t="n">
        <f aca="false">IF('Project Assumtions'!$C$67="No",0,IF(V1&lt;='Project Assumtions'!$C$67,IF(V30&lt;0,0,IF(V32&gt;V30,-V30,-V32)),0))</f>
        <v>-0</v>
      </c>
      <c r="W35" s="505" t="n">
        <f aca="false">IF('Project Assumtions'!$C$67="No",0,IF(W1&lt;='Project Assumtions'!$C$67,IF(W30&lt;0,0,IF(W32&gt;W30,-W30,-W32)),0))</f>
        <v>-0</v>
      </c>
      <c r="X35" s="505" t="n">
        <f aca="false">IF('Project Assumtions'!$C$67="No",0,IF(X1&lt;='Project Assumtions'!$C$67,IF(X30&lt;0,0,IF(X32&gt;X30,-X30,-X32)),0))</f>
        <v>-0</v>
      </c>
      <c r="Y35" s="505" t="n">
        <f aca="false">IF('Project Assumtions'!$C$67="No",0,IF(Y1&lt;='Project Assumtions'!$C$67,IF(Y30&lt;0,0,IF(Y32&gt;Y30,-Y30,-Y32)),0))</f>
        <v>-0</v>
      </c>
      <c r="Z35" s="505" t="n">
        <f aca="false">IF('Project Assumtions'!$C$67="No",0,IF(Z1&lt;='Project Assumtions'!$C$67,IF(Z30&lt;0,0,IF(Z32&gt;Z30,-Z30,-Z32)),0))</f>
        <v>-0</v>
      </c>
      <c r="AA35" s="505" t="n">
        <f aca="false">IF('Project Assumtions'!$C$67="No",0,IF(AA1&lt;='Project Assumtions'!$C$67,IF(AA30&lt;0,0,IF(AA32&gt;AA30,-AA30,-AA32)),0))</f>
        <v>-0</v>
      </c>
      <c r="AB35" s="506" t="n">
        <f aca="false">IF('Project Assumtions'!$C$67="No",0,IF(AB1&lt;='Project Assumtions'!$C$67,IF(AB30&lt;0,0,IF(AB32&gt;AB30,-AB30,-AB32)),0))</f>
        <v>-0</v>
      </c>
    </row>
    <row r="36" customFormat="false" ht="11.25" hidden="false" customHeight="false" outlineLevel="0" collapsed="false">
      <c r="A36" s="403" t="s">
        <v>618</v>
      </c>
      <c r="B36" s="606"/>
      <c r="C36" s="378"/>
      <c r="D36" s="505" t="n">
        <f aca="false">SUM(D32:D35)</f>
        <v>244.964755356785</v>
      </c>
      <c r="E36" s="505" t="n">
        <f aca="false">SUM(E32:E35)</f>
        <v>422.853580158831</v>
      </c>
      <c r="F36" s="505" t="n">
        <f aca="false">SUM(F32:F35)</f>
        <v>525.973748015021</v>
      </c>
      <c r="G36" s="505" t="n">
        <f aca="false">SUM(G32:G35)</f>
        <v>217.345315693771</v>
      </c>
      <c r="H36" s="505" t="n">
        <f aca="false">SUM(H32:H35)</f>
        <v>0</v>
      </c>
      <c r="I36" s="505" t="n">
        <f aca="false">SUM(I32:I35)</f>
        <v>0</v>
      </c>
      <c r="J36" s="505" t="n">
        <f aca="false">SUM(J32:J35)</f>
        <v>0</v>
      </c>
      <c r="K36" s="505" t="n">
        <f aca="false">SUM(K32:K35)</f>
        <v>0</v>
      </c>
      <c r="L36" s="505" t="n">
        <f aca="false">SUM(L32:L35)</f>
        <v>0</v>
      </c>
      <c r="M36" s="505" t="n">
        <f aca="false">SUM(M32:M35)</f>
        <v>0</v>
      </c>
      <c r="N36" s="505" t="n">
        <f aca="false">SUM(N32:N35)</f>
        <v>0</v>
      </c>
      <c r="O36" s="505" t="n">
        <f aca="false">SUM(O32:O35)</f>
        <v>0</v>
      </c>
      <c r="P36" s="505" t="n">
        <f aca="false">SUM(P32:P35)</f>
        <v>0</v>
      </c>
      <c r="Q36" s="505" t="n">
        <f aca="false">SUM(Q32:Q35)</f>
        <v>0</v>
      </c>
      <c r="R36" s="505" t="n">
        <f aca="false">SUM(R32:R35)</f>
        <v>0</v>
      </c>
      <c r="S36" s="505" t="n">
        <f aca="false">SUM(S32:S35)</f>
        <v>0</v>
      </c>
      <c r="T36" s="505" t="n">
        <f aca="false">SUM(T32:T35)</f>
        <v>0</v>
      </c>
      <c r="U36" s="505" t="n">
        <f aca="false">SUM(U32:U35)</f>
        <v>0</v>
      </c>
      <c r="V36" s="505" t="n">
        <f aca="false">SUM(V32:V35)</f>
        <v>0</v>
      </c>
      <c r="W36" s="505" t="n">
        <f aca="false">SUM(W32:W35)</f>
        <v>0</v>
      </c>
      <c r="X36" s="505" t="n">
        <f aca="false">SUM(X32:X35)</f>
        <v>0</v>
      </c>
      <c r="Y36" s="505" t="n">
        <f aca="false">SUM(Y32:Y35)</f>
        <v>0</v>
      </c>
      <c r="Z36" s="505" t="n">
        <f aca="false">SUM(Z32:Z35)</f>
        <v>0</v>
      </c>
      <c r="AA36" s="505" t="n">
        <f aca="false">SUM(AA32:AA35)</f>
        <v>0</v>
      </c>
      <c r="AB36" s="506" t="n">
        <f aca="false">SUM(AB32:AB35)</f>
        <v>0</v>
      </c>
    </row>
    <row r="37" customFormat="false" ht="11.25" hidden="false" customHeight="false" outlineLevel="0" collapsed="false">
      <c r="A37" s="403"/>
      <c r="B37" s="378"/>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408"/>
    </row>
    <row r="38" customFormat="false" ht="11.25" hidden="false" customHeight="false" outlineLevel="0" collapsed="false">
      <c r="A38" s="427" t="s">
        <v>619</v>
      </c>
      <c r="B38" s="378"/>
      <c r="C38" s="378"/>
      <c r="D38" s="793" t="n">
        <f aca="false">IF(D30&lt;0,0,D30+D35)</f>
        <v>0</v>
      </c>
      <c r="E38" s="793" t="n">
        <f aca="false">IF(E30&lt;0,0,E30+E35)</f>
        <v>0</v>
      </c>
      <c r="F38" s="793" t="n">
        <f aca="false">IF(F30&lt;0,0,F30+F35)</f>
        <v>0</v>
      </c>
      <c r="G38" s="793" t="n">
        <f aca="false">IF(G30&lt;0,0,G30+G35)</f>
        <v>0</v>
      </c>
      <c r="H38" s="793" t="n">
        <f aca="false">IF(H30&lt;0,0,H30+H35)</f>
        <v>456.129523051158</v>
      </c>
      <c r="I38" s="793" t="n">
        <f aca="false">IF(I30&lt;0,0,I30+I35)</f>
        <v>793.147481494999</v>
      </c>
      <c r="J38" s="793" t="n">
        <f aca="false">IF(J30&lt;0,0,J30+J35)</f>
        <v>855.024838985726</v>
      </c>
      <c r="K38" s="793" t="n">
        <f aca="false">IF(K30&lt;0,0,K30+K35)</f>
        <v>887.507912823361</v>
      </c>
      <c r="L38" s="793" t="n">
        <f aca="false">IF(L30&lt;0,0,L30+L35)</f>
        <v>922.893983185777</v>
      </c>
      <c r="M38" s="793" t="n">
        <f aca="false">IF(M30&lt;0,0,M30+M35)</f>
        <v>972.270157994454</v>
      </c>
      <c r="N38" s="793" t="n">
        <f aca="false">IF(N30&lt;0,0,N30+N35)</f>
        <v>1031.14343575734</v>
      </c>
      <c r="O38" s="793" t="n">
        <f aca="false">IF(O30&lt;0,0,O30+O35)</f>
        <v>1049.53519655611</v>
      </c>
      <c r="P38" s="793" t="n">
        <f aca="false">IF(P30&lt;0,0,P30+P35)</f>
        <v>1078.83816857788</v>
      </c>
      <c r="Q38" s="793" t="n">
        <f aca="false">IF(Q30&lt;0,0,Q30+Q35)</f>
        <v>1071.11579353507</v>
      </c>
      <c r="R38" s="793" t="n">
        <f aca="false">IF(R30&lt;0,0,R30+R35)</f>
        <v>1098.27281489695</v>
      </c>
      <c r="S38" s="793" t="n">
        <f aca="false">IF(S30&lt;0,0,S30+S35)</f>
        <v>1333.44667521246</v>
      </c>
      <c r="T38" s="793" t="n">
        <f aca="false">IF(T30&lt;0,0,T30+T35)</f>
        <v>1567.91834176628</v>
      </c>
      <c r="U38" s="793" t="n">
        <f aca="false">IF(U30&lt;0,0,U30+U35)</f>
        <v>1604.24126039533</v>
      </c>
      <c r="V38" s="793" t="n">
        <f aca="false">IF(V30&lt;0,0,V30+V35)</f>
        <v>1644.54412469898</v>
      </c>
      <c r="W38" s="793" t="n">
        <f aca="false">IF(W30&lt;0,0,W30+W35)</f>
        <v>1649.27385154183</v>
      </c>
      <c r="X38" s="793" t="n">
        <f aca="false">IF(X30&lt;0,0,X30+X35)</f>
        <v>0</v>
      </c>
      <c r="Y38" s="793" t="n">
        <f aca="false">IF(Y30&lt;0,0,Y30+Y35)</f>
        <v>0</v>
      </c>
      <c r="Z38" s="793" t="n">
        <f aca="false">IF(Z30&lt;0,0,Z30+Z35)</f>
        <v>0</v>
      </c>
      <c r="AA38" s="793" t="n">
        <f aca="false">IF(AA30&lt;0,0,AA30+AA35)</f>
        <v>0</v>
      </c>
      <c r="AB38" s="794" t="n">
        <f aca="false">IF(AB30&lt;0,0,AB30+AB35)</f>
        <v>0</v>
      </c>
    </row>
    <row r="39" customFormat="false" ht="11.25" hidden="false" customHeight="false" outlineLevel="0" collapsed="false">
      <c r="A39" s="403" t="s">
        <v>620</v>
      </c>
      <c r="B39" s="378"/>
      <c r="C39" s="378"/>
      <c r="D39" s="795" t="n">
        <f aca="false">D17</f>
        <v>188.340226</v>
      </c>
      <c r="E39" s="795" t="n">
        <f aca="false">E17</f>
        <v>305.53364568</v>
      </c>
      <c r="F39" s="795" t="n">
        <f aca="false">F17</f>
        <v>306.5780550504</v>
      </c>
      <c r="G39" s="795" t="n">
        <f aca="false">G17</f>
        <v>485.226649432723</v>
      </c>
      <c r="H39" s="795" t="n">
        <f aca="false">H17</f>
        <v>719.596600741613</v>
      </c>
      <c r="I39" s="795" t="n">
        <f aca="false">I17</f>
        <v>772.477950829443</v>
      </c>
      <c r="J39" s="795" t="n">
        <f aca="false">J17</f>
        <v>801.53325576366</v>
      </c>
      <c r="K39" s="795" t="n">
        <f aca="false">K17</f>
        <v>826.612279520206</v>
      </c>
      <c r="L39" s="795" t="n">
        <f aca="false">L17</f>
        <v>852.812164714809</v>
      </c>
      <c r="M39" s="795" t="n">
        <f aca="false">M17</f>
        <v>890.654864760587</v>
      </c>
      <c r="N39" s="795" t="n">
        <f aca="false">N17</f>
        <v>934.600639991102</v>
      </c>
      <c r="O39" s="795" t="n">
        <f aca="false">O17</f>
        <v>949.032893896062</v>
      </c>
      <c r="P39" s="795" t="n">
        <f aca="false">P17</f>
        <v>970.636660344395</v>
      </c>
      <c r="Q39" s="795" t="n">
        <f aca="false">Q17</f>
        <v>965.338233835717</v>
      </c>
      <c r="R39" s="795" t="n">
        <f aca="false">R17</f>
        <v>985.320615341028</v>
      </c>
      <c r="S39" s="795" t="n">
        <f aca="false">S17</f>
        <v>1004.81175920886</v>
      </c>
      <c r="T39" s="795" t="n">
        <f aca="false">T17</f>
        <v>1023.77235667897</v>
      </c>
      <c r="U39" s="795" t="n">
        <f aca="false">U17</f>
        <v>1051.21633964314</v>
      </c>
      <c r="V39" s="795" t="n">
        <f aca="false">V17</f>
        <v>1081.66739267256</v>
      </c>
      <c r="W39" s="795" t="n">
        <f aca="false">W17</f>
        <v>1085.24096406494</v>
      </c>
      <c r="X39" s="795" t="n">
        <f aca="false">X17</f>
        <v>304.689452020038</v>
      </c>
      <c r="Y39" s="795" t="n">
        <f aca="false">Y17</f>
        <v>0</v>
      </c>
      <c r="Z39" s="795" t="n">
        <f aca="false">Z17</f>
        <v>0</v>
      </c>
      <c r="AA39" s="795" t="n">
        <f aca="false">AA17</f>
        <v>0</v>
      </c>
      <c r="AB39" s="796" t="n">
        <f aca="false">AB17</f>
        <v>0</v>
      </c>
    </row>
    <row r="40" customFormat="false" ht="11.25" hidden="false" customHeight="false" outlineLevel="0" collapsed="false">
      <c r="A40" s="797" t="s">
        <v>621</v>
      </c>
      <c r="B40" s="798"/>
      <c r="C40" s="798"/>
      <c r="D40" s="799" t="n">
        <f aca="false">SUM(D38:D39)</f>
        <v>188.340226</v>
      </c>
      <c r="E40" s="799" t="n">
        <f aca="false">SUM(E38:E39)</f>
        <v>305.53364568</v>
      </c>
      <c r="F40" s="799" t="n">
        <f aca="false">SUM(F38:F39)</f>
        <v>306.5780550504</v>
      </c>
      <c r="G40" s="799" t="n">
        <f aca="false">SUM(G38:G39)</f>
        <v>485.226649432723</v>
      </c>
      <c r="H40" s="799" t="n">
        <f aca="false">SUM(H38:H39)</f>
        <v>1175.72612379277</v>
      </c>
      <c r="I40" s="799" t="n">
        <f aca="false">SUM(I38:I39)</f>
        <v>1565.62543232444</v>
      </c>
      <c r="J40" s="799" t="n">
        <f aca="false">SUM(J38:J39)</f>
        <v>1656.55809474939</v>
      </c>
      <c r="K40" s="799" t="n">
        <f aca="false">SUM(K38:K39)</f>
        <v>1714.12019234357</v>
      </c>
      <c r="L40" s="799" t="n">
        <f aca="false">SUM(L38:L39)</f>
        <v>1775.70614790059</v>
      </c>
      <c r="M40" s="799" t="n">
        <f aca="false">SUM(M38:M39)</f>
        <v>1862.92502275504</v>
      </c>
      <c r="N40" s="799" t="n">
        <f aca="false">SUM(N38:N39)</f>
        <v>1965.74407574844</v>
      </c>
      <c r="O40" s="799" t="n">
        <f aca="false">SUM(O38:O39)</f>
        <v>1998.56809045217</v>
      </c>
      <c r="P40" s="799" t="n">
        <f aca="false">SUM(P38:P39)</f>
        <v>2049.47482892227</v>
      </c>
      <c r="Q40" s="799" t="n">
        <f aca="false">SUM(Q38:Q39)</f>
        <v>2036.45402737078</v>
      </c>
      <c r="R40" s="799" t="n">
        <f aca="false">SUM(R38:R39)</f>
        <v>2083.59343023798</v>
      </c>
      <c r="S40" s="799" t="n">
        <f aca="false">SUM(S38:S39)</f>
        <v>2338.25843442132</v>
      </c>
      <c r="T40" s="799" t="n">
        <f aca="false">SUM(T38:T39)</f>
        <v>2591.69069844524</v>
      </c>
      <c r="U40" s="799" t="n">
        <f aca="false">SUM(U38:U39)</f>
        <v>2655.45760003847</v>
      </c>
      <c r="V40" s="799" t="n">
        <f aca="false">SUM(V38:V39)</f>
        <v>2726.21151737154</v>
      </c>
      <c r="W40" s="799" t="n">
        <f aca="false">SUM(W38:W39)</f>
        <v>2734.51481560677</v>
      </c>
      <c r="X40" s="799" t="n">
        <f aca="false">SUM(X38:X39)</f>
        <v>304.689452020038</v>
      </c>
      <c r="Y40" s="799" t="n">
        <f aca="false">SUM(Y38:Y39)</f>
        <v>0</v>
      </c>
      <c r="Z40" s="799" t="n">
        <f aca="false">SUM(Z38:Z39)</f>
        <v>0</v>
      </c>
      <c r="AA40" s="799" t="n">
        <f aca="false">SUM(AA38:AA39)</f>
        <v>0</v>
      </c>
      <c r="AB40" s="800" t="n">
        <f aca="false">SUM(AB38:AB39)</f>
        <v>0</v>
      </c>
    </row>
    <row r="41" customFormat="false" ht="12" hidden="false" customHeight="true" outlineLevel="0" collapsed="false">
      <c r="A41" s="801"/>
      <c r="B41" s="378"/>
      <c r="C41" s="378"/>
      <c r="D41" s="431"/>
      <c r="E41" s="431"/>
      <c r="F41" s="431"/>
      <c r="G41" s="431"/>
      <c r="H41" s="431"/>
      <c r="I41" s="431"/>
      <c r="J41" s="431"/>
      <c r="K41" s="431"/>
      <c r="L41" s="431"/>
      <c r="M41" s="431"/>
      <c r="N41" s="431"/>
      <c r="O41" s="431"/>
      <c r="P41" s="431"/>
      <c r="Q41" s="431"/>
      <c r="R41" s="431"/>
      <c r="S41" s="431"/>
      <c r="T41" s="431"/>
      <c r="U41" s="431"/>
      <c r="V41" s="431"/>
      <c r="W41" s="431"/>
      <c r="X41" s="431"/>
      <c r="Y41" s="431"/>
      <c r="Z41" s="431"/>
      <c r="AA41" s="431"/>
      <c r="AB41" s="431"/>
      <c r="AC41" s="378"/>
      <c r="AD41" s="378"/>
      <c r="AE41" s="776"/>
      <c r="AF41" s="776"/>
      <c r="AG41" s="776"/>
      <c r="AH41" s="777"/>
      <c r="AI41" s="777"/>
      <c r="AJ41" s="777"/>
      <c r="AK41" s="777"/>
      <c r="AL41" s="777"/>
      <c r="AM41" s="777"/>
      <c r="AN41" s="777"/>
      <c r="AO41" s="777"/>
      <c r="AP41" s="777"/>
      <c r="AQ41" s="777"/>
      <c r="AR41" s="777"/>
      <c r="AS41" s="777"/>
      <c r="AT41" s="777"/>
      <c r="AU41" s="777"/>
      <c r="AV41" s="777"/>
      <c r="AW41" s="777"/>
      <c r="AX41" s="777"/>
      <c r="AY41" s="777"/>
      <c r="AZ41" s="777"/>
      <c r="BA41" s="777"/>
      <c r="BB41" s="777"/>
      <c r="BC41" s="777"/>
      <c r="BD41" s="777"/>
      <c r="BE41" s="777"/>
      <c r="BF41" s="777"/>
      <c r="BG41" s="777"/>
      <c r="BH41" s="777"/>
      <c r="BI41" s="777"/>
      <c r="BJ41" s="777"/>
      <c r="BK41" s="777"/>
      <c r="BL41" s="777"/>
      <c r="BM41" s="777"/>
      <c r="BN41" s="777"/>
      <c r="BO41" s="777"/>
      <c r="BP41" s="777"/>
      <c r="BQ41" s="777"/>
      <c r="BR41" s="777"/>
      <c r="BS41" s="777"/>
      <c r="BT41" s="777"/>
      <c r="BU41" s="777"/>
      <c r="BV41" s="777"/>
      <c r="BW41" s="777"/>
      <c r="BX41" s="777"/>
      <c r="BY41" s="777"/>
      <c r="BZ41" s="777"/>
      <c r="CA41" s="777"/>
      <c r="CB41" s="777"/>
      <c r="CC41" s="777"/>
      <c r="CD41" s="777"/>
      <c r="CE41" s="777"/>
      <c r="CF41" s="777"/>
      <c r="CG41" s="777"/>
      <c r="CH41" s="777"/>
      <c r="CI41" s="777"/>
      <c r="CJ41" s="777"/>
      <c r="CK41" s="777"/>
      <c r="CL41" s="777"/>
      <c r="CM41" s="777"/>
      <c r="CN41" s="777"/>
      <c r="CO41" s="777"/>
      <c r="CP41" s="777"/>
      <c r="CQ41" s="777"/>
      <c r="CR41" s="777"/>
      <c r="CS41" s="777"/>
      <c r="CT41" s="777"/>
      <c r="CU41" s="777"/>
      <c r="CV41" s="777"/>
      <c r="CW41" s="777"/>
      <c r="CX41" s="777"/>
      <c r="CY41" s="777"/>
      <c r="CZ41" s="777"/>
      <c r="DA41" s="777"/>
      <c r="DB41" s="777"/>
      <c r="DC41" s="777"/>
      <c r="DD41" s="777"/>
      <c r="DE41" s="777"/>
      <c r="DF41" s="777"/>
      <c r="DG41" s="777"/>
      <c r="DH41" s="777"/>
      <c r="DI41" s="777"/>
      <c r="DJ41" s="777"/>
      <c r="DK41" s="777"/>
      <c r="DL41" s="777"/>
      <c r="DM41" s="777"/>
      <c r="DN41" s="777"/>
      <c r="DO41" s="777"/>
      <c r="DP41" s="777"/>
      <c r="DQ41" s="777"/>
      <c r="DR41" s="777"/>
      <c r="DS41" s="777"/>
      <c r="DT41" s="777"/>
      <c r="DU41" s="777"/>
      <c r="DV41" s="777"/>
      <c r="DW41" s="777"/>
      <c r="DX41" s="777"/>
      <c r="DY41" s="777"/>
      <c r="DZ41" s="777"/>
      <c r="EA41" s="777"/>
      <c r="EB41" s="777"/>
      <c r="EC41" s="777"/>
      <c r="ED41" s="777"/>
      <c r="EE41" s="777"/>
      <c r="EF41" s="777"/>
      <c r="EG41" s="777"/>
      <c r="EH41" s="777"/>
      <c r="EI41" s="777"/>
      <c r="EJ41" s="777"/>
      <c r="EK41" s="777"/>
      <c r="EL41" s="777"/>
      <c r="EM41" s="777"/>
      <c r="EN41" s="777"/>
      <c r="EO41" s="777"/>
      <c r="EP41" s="777"/>
      <c r="EQ41" s="777"/>
      <c r="ER41" s="777"/>
      <c r="ES41" s="777"/>
      <c r="ET41" s="777"/>
      <c r="EU41" s="777"/>
      <c r="EV41" s="777"/>
      <c r="EW41" s="777"/>
      <c r="EX41" s="777"/>
      <c r="EY41" s="777"/>
      <c r="EZ41" s="777"/>
      <c r="FA41" s="777"/>
      <c r="FB41" s="777"/>
      <c r="FC41" s="777"/>
      <c r="FD41" s="777"/>
      <c r="FE41" s="777"/>
      <c r="FF41" s="777"/>
      <c r="FG41" s="777"/>
      <c r="FH41" s="777"/>
      <c r="FI41" s="777"/>
      <c r="FJ41" s="777"/>
      <c r="FK41" s="777"/>
      <c r="FL41" s="777"/>
      <c r="FM41" s="777"/>
      <c r="FN41" s="777"/>
      <c r="FO41" s="777"/>
      <c r="FP41" s="777"/>
      <c r="FQ41" s="777"/>
      <c r="FR41" s="777"/>
      <c r="FS41" s="777"/>
      <c r="FT41" s="777"/>
      <c r="FU41" s="777"/>
      <c r="FV41" s="777"/>
      <c r="FW41" s="777"/>
      <c r="FX41" s="777"/>
      <c r="FY41" s="777"/>
      <c r="FZ41" s="777"/>
      <c r="GA41" s="777"/>
      <c r="GB41" s="777"/>
      <c r="GC41" s="777"/>
      <c r="GD41" s="777"/>
      <c r="GE41" s="777"/>
      <c r="GF41" s="777"/>
      <c r="GG41" s="777"/>
      <c r="GH41" s="777"/>
      <c r="GI41" s="777"/>
      <c r="GJ41" s="777"/>
      <c r="GK41" s="777"/>
      <c r="GL41" s="777"/>
      <c r="GM41" s="777"/>
      <c r="GN41" s="777"/>
      <c r="GO41" s="777"/>
      <c r="GP41" s="777"/>
      <c r="GQ41" s="777"/>
      <c r="GR41" s="777"/>
      <c r="GS41" s="777"/>
      <c r="GT41" s="777"/>
      <c r="GU41" s="777"/>
      <c r="GV41" s="777"/>
      <c r="GW41" s="777"/>
      <c r="GX41" s="777"/>
      <c r="GY41" s="777"/>
      <c r="GZ41" s="777"/>
      <c r="HA41" s="777"/>
      <c r="HB41" s="777"/>
      <c r="HC41" s="777"/>
      <c r="HD41" s="777"/>
      <c r="HE41" s="777"/>
      <c r="HF41" s="777"/>
      <c r="HG41" s="777"/>
      <c r="HH41" s="777"/>
      <c r="HI41" s="777"/>
      <c r="HJ41" s="777"/>
      <c r="HK41" s="777"/>
      <c r="HL41" s="777"/>
      <c r="HM41" s="777"/>
      <c r="HN41" s="777"/>
      <c r="HO41" s="777"/>
      <c r="HP41" s="777"/>
      <c r="HQ41" s="777"/>
      <c r="HR41" s="777"/>
      <c r="HS41" s="777"/>
      <c r="HT41" s="777"/>
      <c r="HU41" s="777"/>
      <c r="HV41" s="777"/>
      <c r="HW41" s="777"/>
      <c r="HX41" s="777"/>
      <c r="HY41" s="777"/>
      <c r="HZ41" s="777"/>
      <c r="IA41" s="777"/>
      <c r="IB41" s="777"/>
      <c r="IC41" s="777"/>
      <c r="ID41" s="777"/>
      <c r="IE41" s="777"/>
      <c r="IF41" s="777"/>
      <c r="IG41" s="777"/>
      <c r="IH41" s="777"/>
      <c r="II41" s="777"/>
      <c r="IJ41" s="777"/>
      <c r="IK41" s="777"/>
      <c r="IL41" s="777"/>
      <c r="IM41" s="777"/>
      <c r="IN41" s="777"/>
      <c r="IO41" s="777"/>
      <c r="IP41" s="777"/>
      <c r="IQ41" s="777"/>
      <c r="IR41" s="777"/>
      <c r="IS41" s="777"/>
      <c r="IT41" s="777"/>
      <c r="IU41" s="777"/>
      <c r="IV41" s="777"/>
      <c r="IW41" s="32"/>
    </row>
    <row r="42" customFormat="false" ht="12" hidden="false" customHeight="true" outlineLevel="0" collapsed="false">
      <c r="A42" s="802" t="s">
        <v>622</v>
      </c>
      <c r="B42" s="374"/>
      <c r="C42" s="374"/>
      <c r="D42" s="374"/>
      <c r="E42" s="374"/>
      <c r="F42" s="374"/>
      <c r="G42" s="374"/>
      <c r="H42" s="374"/>
      <c r="I42" s="374"/>
      <c r="J42" s="374"/>
      <c r="K42" s="374"/>
      <c r="L42" s="374"/>
      <c r="M42" s="374"/>
      <c r="N42" s="374"/>
      <c r="O42" s="374"/>
      <c r="P42" s="374"/>
      <c r="Q42" s="374"/>
      <c r="R42" s="374"/>
      <c r="S42" s="374"/>
      <c r="T42" s="374"/>
      <c r="U42" s="374"/>
      <c r="V42" s="374"/>
      <c r="W42" s="374"/>
      <c r="X42" s="374"/>
      <c r="Y42" s="374"/>
      <c r="Z42" s="374"/>
      <c r="AA42" s="374"/>
      <c r="AB42" s="511"/>
      <c r="AC42" s="378"/>
      <c r="AD42" s="378"/>
    </row>
    <row r="43" customFormat="false" ht="12" hidden="false" customHeight="true" outlineLevel="0" collapsed="false">
      <c r="A43" s="719" t="s">
        <v>604</v>
      </c>
      <c r="B43" s="378"/>
      <c r="C43" s="783"/>
      <c r="D43" s="803" t="n">
        <f aca="false">D20</f>
        <v>-317.676567650769</v>
      </c>
      <c r="E43" s="803" t="n">
        <f aca="false">E20</f>
        <v>6298.88432939896</v>
      </c>
      <c r="F43" s="803" t="n">
        <f aca="false">F20</f>
        <v>6462.04529180689</v>
      </c>
      <c r="G43" s="803" t="n">
        <f aca="false">G20</f>
        <v>14271.3720421389</v>
      </c>
      <c r="H43" s="803" t="n">
        <f aca="false">H20</f>
        <v>21164.6059041651</v>
      </c>
      <c r="I43" s="803" t="n">
        <f aca="false">I20</f>
        <v>22719.9397302777</v>
      </c>
      <c r="J43" s="803" t="n">
        <f aca="false">J20</f>
        <v>23574.5075224606</v>
      </c>
      <c r="K43" s="803" t="n">
        <f aca="false">K20</f>
        <v>24312.1258682414</v>
      </c>
      <c r="L43" s="803" t="n">
        <f aca="false">L20</f>
        <v>25082.7107269062</v>
      </c>
      <c r="M43" s="803" t="n">
        <f aca="false">M20</f>
        <v>26195.7313164879</v>
      </c>
      <c r="N43" s="803" t="n">
        <f aca="false">N20</f>
        <v>27488.2541173853</v>
      </c>
      <c r="O43" s="803" t="n">
        <f aca="false">O20</f>
        <v>27912.7321734136</v>
      </c>
      <c r="P43" s="803" t="n">
        <f aca="false">P20</f>
        <v>28548.1370689528</v>
      </c>
      <c r="Q43" s="803" t="n">
        <f aca="false">Q20</f>
        <v>28392.3009951681</v>
      </c>
      <c r="R43" s="803" t="n">
        <f aca="false">R20</f>
        <v>28980.0180982655</v>
      </c>
      <c r="S43" s="803" t="n">
        <f aca="false">S20</f>
        <v>29553.2870355547</v>
      </c>
      <c r="T43" s="803" t="n">
        <f aca="false">T20</f>
        <v>30110.9516670284</v>
      </c>
      <c r="U43" s="803" t="n">
        <f aca="false">U20</f>
        <v>30918.1276365629</v>
      </c>
      <c r="V43" s="803" t="n">
        <f aca="false">V20</f>
        <v>31813.7468433106</v>
      </c>
      <c r="W43" s="803" t="n">
        <f aca="false">W20</f>
        <v>31918.8518842629</v>
      </c>
      <c r="X43" s="803" t="n">
        <f aca="false">X20</f>
        <v>8961.45447117758</v>
      </c>
      <c r="Y43" s="803" t="n">
        <f aca="false">Y20</f>
        <v>0</v>
      </c>
      <c r="Z43" s="803" t="n">
        <f aca="false">Z20</f>
        <v>0</v>
      </c>
      <c r="AA43" s="803" t="n">
        <f aca="false">AA20</f>
        <v>0</v>
      </c>
      <c r="AB43" s="804" t="n">
        <f aca="false">AB20</f>
        <v>0</v>
      </c>
      <c r="AC43" s="803"/>
      <c r="AD43" s="803"/>
    </row>
    <row r="44" customFormat="false" ht="12" hidden="false" customHeight="true" outlineLevel="0" collapsed="false">
      <c r="A44" s="719" t="s">
        <v>607</v>
      </c>
      <c r="B44" s="378"/>
      <c r="C44" s="783"/>
      <c r="D44" s="720" t="n">
        <f aca="false">D24</f>
        <v>2958.42630416667</v>
      </c>
      <c r="E44" s="720" t="n">
        <f aca="false">E24</f>
        <v>5071.58795</v>
      </c>
      <c r="F44" s="720" t="n">
        <f aca="false">F24</f>
        <v>5071.58795</v>
      </c>
      <c r="G44" s="720" t="n">
        <f aca="false">G24</f>
        <v>5071.58795</v>
      </c>
      <c r="H44" s="720" t="n">
        <f aca="false">H24</f>
        <v>5071.58795</v>
      </c>
      <c r="I44" s="720" t="n">
        <f aca="false">I24</f>
        <v>4873.30723333333</v>
      </c>
      <c r="J44" s="720" t="n">
        <f aca="false">J24</f>
        <v>4731.67815</v>
      </c>
      <c r="K44" s="720" t="n">
        <f aca="false">K24</f>
        <v>4731.67815</v>
      </c>
      <c r="L44" s="720" t="n">
        <f aca="false">L24</f>
        <v>4731.67815</v>
      </c>
      <c r="M44" s="720" t="n">
        <f aca="false">M24</f>
        <v>4731.67815</v>
      </c>
      <c r="N44" s="720" t="n">
        <f aca="false">N24</f>
        <v>4731.67815</v>
      </c>
      <c r="O44" s="720" t="n">
        <f aca="false">O24</f>
        <v>4731.67815</v>
      </c>
      <c r="P44" s="720" t="n">
        <f aca="false">P24</f>
        <v>4731.67815</v>
      </c>
      <c r="Q44" s="720" t="n">
        <f aca="false">Q24</f>
        <v>4731.67815</v>
      </c>
      <c r="R44" s="720" t="n">
        <f aca="false">R24</f>
        <v>4731.67815</v>
      </c>
      <c r="S44" s="720" t="n">
        <f aca="false">S24</f>
        <v>4731.67815</v>
      </c>
      <c r="T44" s="720" t="n">
        <f aca="false">T24</f>
        <v>4731.67815</v>
      </c>
      <c r="U44" s="720" t="n">
        <f aca="false">U24</f>
        <v>4731.67815</v>
      </c>
      <c r="V44" s="720" t="n">
        <f aca="false">V24</f>
        <v>4731.67815</v>
      </c>
      <c r="W44" s="720" t="n">
        <f aca="false">W24</f>
        <v>4731.67815</v>
      </c>
      <c r="X44" s="720" t="n">
        <f aca="false">X24</f>
        <v>4731.67815</v>
      </c>
      <c r="Y44" s="720" t="n">
        <f aca="false">Y24</f>
        <v>0</v>
      </c>
      <c r="Z44" s="720" t="n">
        <f aca="false">Z24</f>
        <v>0</v>
      </c>
      <c r="AA44" s="720" t="n">
        <f aca="false">AA24</f>
        <v>0</v>
      </c>
      <c r="AB44" s="721" t="n">
        <f aca="false">AB24</f>
        <v>0</v>
      </c>
      <c r="AC44" s="720"/>
      <c r="AD44" s="720"/>
    </row>
    <row r="45" customFormat="false" ht="12" hidden="false" customHeight="true" outlineLevel="0" collapsed="false">
      <c r="A45" s="719" t="s">
        <v>623</v>
      </c>
      <c r="B45" s="507"/>
      <c r="C45" s="507"/>
      <c r="D45" s="507" t="n">
        <f aca="false">IF(D3&lt;='Project Assumtions'!$I$15+1,Depreciation!D15*-1,0)</f>
        <v>-8084.41096666667</v>
      </c>
      <c r="E45" s="507" t="n">
        <f aca="false">IF(E3&lt;='Project Assumtions'!$I$15+1,Depreciation!E15*-1,0)</f>
        <v>-15323.557275</v>
      </c>
      <c r="F45" s="507" t="n">
        <f aca="false">IF(F3&lt;='Project Assumtions'!$I$15+1,Depreciation!F15*-1,0)</f>
        <v>-13825.1925275</v>
      </c>
      <c r="G45" s="507" t="n">
        <f aca="false">IF(G3&lt;='Project Assumtions'!$I$15+1,Depreciation!G15*-1,0)</f>
        <v>-12484.550385</v>
      </c>
      <c r="H45" s="507" t="n">
        <f aca="false">IF(H3&lt;='Project Assumtions'!$I$15+1,Depreciation!H15*-1,0)</f>
        <v>-11270.0863265</v>
      </c>
      <c r="I45" s="507" t="n">
        <f aca="false">IF(I3&lt;='Project Assumtions'!$I$15+1,Depreciation!I15*-1,0)</f>
        <v>-9967.74737483333</v>
      </c>
      <c r="J45" s="507" t="n">
        <f aca="false">IF(J3&lt;='Project Assumtions'!$I$15+1,Depreciation!J15*-1,0)</f>
        <v>-9305.633695</v>
      </c>
      <c r="K45" s="507" t="n">
        <f aca="false">IF(K3&lt;='Project Assumtions'!$I$15+1,Depreciation!K15*-1,0)</f>
        <v>-9321.4059555</v>
      </c>
      <c r="L45" s="507" t="n">
        <f aca="false">IF(L3&lt;='Project Assumtions'!$I$15+1,Depreciation!L15*-1,0)</f>
        <v>-9305.633695</v>
      </c>
      <c r="M45" s="507" t="n">
        <f aca="false">IF(M3&lt;='Project Assumtions'!$I$15+1,Depreciation!M15*-1,0)</f>
        <v>-9321.4059555</v>
      </c>
      <c r="N45" s="507" t="n">
        <f aca="false">IF(N3&lt;='Project Assumtions'!$I$15+1,Depreciation!N15*-1,0)</f>
        <v>-9305.633695</v>
      </c>
      <c r="O45" s="507" t="n">
        <f aca="false">IF(O3&lt;='Project Assumtions'!$I$15+1,Depreciation!O15*-1,0)</f>
        <v>-9321.4059555</v>
      </c>
      <c r="P45" s="507" t="n">
        <f aca="false">IF(P3&lt;='Project Assumtions'!$I$15+1,Depreciation!P15*-1,0)</f>
        <v>-9305.633695</v>
      </c>
      <c r="Q45" s="507" t="n">
        <f aca="false">IF(Q3&lt;='Project Assumtions'!$I$15+1,Depreciation!Q15*-1,0)</f>
        <v>-9321.4059555</v>
      </c>
      <c r="R45" s="507" t="n">
        <f aca="false">IF(R3&lt;='Project Assumtions'!$I$15+1,Depreciation!R15*-1,0)</f>
        <v>-9305.633695</v>
      </c>
      <c r="S45" s="507" t="n">
        <f aca="false">IF(S3&lt;='Project Assumtions'!$I$15+1,Depreciation!S15*-1,0)</f>
        <v>-4652.8168475</v>
      </c>
      <c r="T45" s="507" t="n">
        <f aca="false">IF(T3&lt;='Project Assumtions'!$I$15+1,Depreciation!T15*-1,0)</f>
        <v>-0</v>
      </c>
      <c r="U45" s="507" t="n">
        <f aca="false">IF(U3&lt;='Project Assumtions'!$I$15+1,Depreciation!U15*-1,0)</f>
        <v>-0</v>
      </c>
      <c r="V45" s="507" t="n">
        <f aca="false">IF(V3&lt;='Project Assumtions'!$I$15+1,Depreciation!V15*-1,0)</f>
        <v>-0</v>
      </c>
      <c r="W45" s="507" t="n">
        <f aca="false">IF(W3&lt;='Project Assumtions'!$I$15+1,Depreciation!W15*-1,0)</f>
        <v>-0</v>
      </c>
      <c r="X45" s="507" t="n">
        <f aca="false">IF(X3&lt;='Project Assumtions'!$I$15,Depreciation!X15*-1,0)</f>
        <v>0</v>
      </c>
      <c r="Y45" s="507" t="n">
        <f aca="false">IF(Y3&lt;='Project Assumtions'!$I$15,Depreciation!Y15*-1,0)</f>
        <v>0</v>
      </c>
      <c r="Z45" s="507" t="n">
        <f aca="false">IF(Z3&lt;='Project Assumtions'!$I$15,Depreciation!Z15*-1,0)</f>
        <v>0</v>
      </c>
      <c r="AA45" s="507" t="n">
        <f aca="false">IF(AA3&lt;='Project Assumtions'!$I$15,Depreciation!AA15*-1,0)</f>
        <v>0</v>
      </c>
      <c r="AB45" s="723" t="n">
        <f aca="false">IF(AB3&lt;='Project Assumtions'!$I$15,Depreciation!AB15*-1,0)</f>
        <v>0</v>
      </c>
      <c r="AC45" s="507"/>
      <c r="AD45" s="507"/>
      <c r="AE45" s="507"/>
      <c r="AF45" s="507"/>
      <c r="AG45" s="507"/>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c r="IO45" s="32"/>
      <c r="IP45" s="32"/>
      <c r="IQ45" s="32"/>
      <c r="IR45" s="32"/>
      <c r="IS45" s="32"/>
      <c r="IT45" s="32"/>
      <c r="IU45" s="32"/>
      <c r="IV45" s="32"/>
      <c r="IW45" s="32"/>
    </row>
    <row r="46" customFormat="false" ht="12" hidden="false" customHeight="true" outlineLevel="0" collapsed="false">
      <c r="A46" s="719" t="s">
        <v>624</v>
      </c>
      <c r="B46" s="507"/>
      <c r="C46" s="507"/>
      <c r="D46" s="805" t="n">
        <f aca="false">-D40</f>
        <v>-188.340226</v>
      </c>
      <c r="E46" s="805" t="n">
        <f aca="false">-E40</f>
        <v>-305.53364568</v>
      </c>
      <c r="F46" s="805" t="n">
        <f aca="false">-F40</f>
        <v>-306.5780550504</v>
      </c>
      <c r="G46" s="805" t="n">
        <f aca="false">-G40</f>
        <v>-485.226649432723</v>
      </c>
      <c r="H46" s="805" t="n">
        <f aca="false">-H40</f>
        <v>-1175.72612379277</v>
      </c>
      <c r="I46" s="805" t="n">
        <f aca="false">-I40</f>
        <v>-1565.62543232444</v>
      </c>
      <c r="J46" s="805" t="n">
        <f aca="false">-J40</f>
        <v>-1656.55809474939</v>
      </c>
      <c r="K46" s="805" t="n">
        <f aca="false">-K40</f>
        <v>-1714.12019234357</v>
      </c>
      <c r="L46" s="805" t="n">
        <f aca="false">-L40</f>
        <v>-1775.70614790059</v>
      </c>
      <c r="M46" s="805" t="n">
        <f aca="false">-M40</f>
        <v>-1862.92502275504</v>
      </c>
      <c r="N46" s="805" t="n">
        <f aca="false">-N40</f>
        <v>-1965.74407574844</v>
      </c>
      <c r="O46" s="805" t="n">
        <f aca="false">-O40</f>
        <v>-1998.56809045217</v>
      </c>
      <c r="P46" s="805" t="n">
        <f aca="false">-P40</f>
        <v>-2049.47482892227</v>
      </c>
      <c r="Q46" s="805" t="n">
        <f aca="false">-Q40</f>
        <v>-2036.45402737078</v>
      </c>
      <c r="R46" s="805" t="n">
        <f aca="false">-R40</f>
        <v>-2083.59343023798</v>
      </c>
      <c r="S46" s="805" t="n">
        <f aca="false">-S40</f>
        <v>-2338.25843442132</v>
      </c>
      <c r="T46" s="805" t="n">
        <f aca="false">-T40</f>
        <v>-2591.69069844524</v>
      </c>
      <c r="U46" s="805" t="n">
        <f aca="false">-U40</f>
        <v>-2655.45760003847</v>
      </c>
      <c r="V46" s="805" t="n">
        <f aca="false">-V40</f>
        <v>-2726.21151737154</v>
      </c>
      <c r="W46" s="805" t="n">
        <f aca="false">-W40</f>
        <v>-2734.51481560677</v>
      </c>
      <c r="X46" s="805" t="n">
        <f aca="false">-X40</f>
        <v>-304.689452020038</v>
      </c>
      <c r="Y46" s="805" t="n">
        <f aca="false">-Y40</f>
        <v>-0</v>
      </c>
      <c r="Z46" s="805" t="n">
        <f aca="false">-Z40</f>
        <v>-0</v>
      </c>
      <c r="AA46" s="805" t="n">
        <f aca="false">-AA40</f>
        <v>-0</v>
      </c>
      <c r="AB46" s="806" t="n">
        <f aca="false">-AB40</f>
        <v>-0</v>
      </c>
      <c r="AC46" s="507"/>
      <c r="AD46" s="507"/>
      <c r="AE46" s="507"/>
      <c r="AF46" s="507"/>
      <c r="AG46" s="507"/>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row>
    <row r="47" customFormat="false" ht="12" hidden="false" customHeight="true" outlineLevel="0" collapsed="false">
      <c r="A47" s="716" t="s">
        <v>610</v>
      </c>
      <c r="B47" s="807"/>
      <c r="C47" s="807"/>
      <c r="D47" s="808" t="n">
        <f aca="false">SUM(D43:D46)</f>
        <v>-5632.00145615077</v>
      </c>
      <c r="E47" s="808" t="n">
        <f aca="false">SUM(E43:E46)</f>
        <v>-4258.61864128104</v>
      </c>
      <c r="F47" s="808" t="n">
        <f aca="false">SUM(F43:F46)</f>
        <v>-2598.13734074351</v>
      </c>
      <c r="G47" s="808" t="n">
        <f aca="false">SUM(G43:G46)</f>
        <v>6373.18295770618</v>
      </c>
      <c r="H47" s="808" t="n">
        <f aca="false">SUM(H43:H46)</f>
        <v>13790.3814038723</v>
      </c>
      <c r="I47" s="808" t="n">
        <f aca="false">SUM(I43:I46)</f>
        <v>16059.8741564533</v>
      </c>
      <c r="J47" s="808" t="n">
        <f aca="false">SUM(J43:J46)</f>
        <v>17343.9938827112</v>
      </c>
      <c r="K47" s="808" t="n">
        <f aca="false">SUM(K43:K46)</f>
        <v>18008.2778703978</v>
      </c>
      <c r="L47" s="808" t="n">
        <f aca="false">SUM(L43:L46)</f>
        <v>18733.0490340056</v>
      </c>
      <c r="M47" s="808" t="n">
        <f aca="false">SUM(M43:M46)</f>
        <v>19743.0784882328</v>
      </c>
      <c r="N47" s="808" t="n">
        <f aca="false">SUM(N43:N46)</f>
        <v>20948.5544966369</v>
      </c>
      <c r="O47" s="808" t="n">
        <f aca="false">SUM(O43:O46)</f>
        <v>21324.4362774614</v>
      </c>
      <c r="P47" s="808" t="n">
        <f aca="false">SUM(P43:P46)</f>
        <v>21924.7066950305</v>
      </c>
      <c r="Q47" s="808" t="n">
        <f aca="false">SUM(Q43:Q46)</f>
        <v>21766.1191622974</v>
      </c>
      <c r="R47" s="808" t="n">
        <f aca="false">SUM(R43:R46)</f>
        <v>22322.4691230276</v>
      </c>
      <c r="S47" s="808" t="n">
        <f aca="false">SUM(S43:S46)</f>
        <v>27293.8899036334</v>
      </c>
      <c r="T47" s="808" t="n">
        <f aca="false">SUM(T43:T46)</f>
        <v>32250.9391185832</v>
      </c>
      <c r="U47" s="808" t="n">
        <f aca="false">SUM(U43:U46)</f>
        <v>32994.3481865244</v>
      </c>
      <c r="V47" s="808" t="n">
        <f aca="false">SUM(V43:V46)</f>
        <v>33819.2134759391</v>
      </c>
      <c r="W47" s="808" t="n">
        <f aca="false">SUM(W43:W46)</f>
        <v>33916.0152186562</v>
      </c>
      <c r="X47" s="808" t="n">
        <f aca="false">SUM(X43:X46)</f>
        <v>13388.4431691575</v>
      </c>
      <c r="Y47" s="808" t="n">
        <f aca="false">SUM(Y43:Y46)</f>
        <v>0</v>
      </c>
      <c r="Z47" s="808" t="n">
        <f aca="false">SUM(Z43:Z46)</f>
        <v>0</v>
      </c>
      <c r="AA47" s="808" t="n">
        <f aca="false">SUM(AA43:AA46)</f>
        <v>0</v>
      </c>
      <c r="AB47" s="809" t="n">
        <f aca="false">SUM(AB43:AB46)</f>
        <v>0</v>
      </c>
      <c r="AC47" s="507"/>
      <c r="AD47" s="507"/>
      <c r="AE47" s="507"/>
      <c r="AF47" s="507"/>
      <c r="AG47" s="507"/>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c r="IO47" s="32"/>
      <c r="IP47" s="32"/>
      <c r="IQ47" s="32"/>
      <c r="IR47" s="32"/>
      <c r="IS47" s="32"/>
      <c r="IT47" s="32"/>
      <c r="IU47" s="32"/>
      <c r="IV47" s="32"/>
      <c r="IW47" s="32"/>
    </row>
    <row r="48" customFormat="false" ht="12" hidden="false" customHeight="true" outlineLevel="0" collapsed="false">
      <c r="A48" s="716"/>
      <c r="B48" s="807"/>
      <c r="C48" s="807"/>
      <c r="D48" s="808"/>
      <c r="E48" s="808"/>
      <c r="F48" s="808"/>
      <c r="G48" s="808"/>
      <c r="H48" s="808"/>
      <c r="I48" s="808"/>
      <c r="J48" s="808"/>
      <c r="K48" s="808"/>
      <c r="L48" s="808"/>
      <c r="M48" s="808"/>
      <c r="N48" s="808"/>
      <c r="O48" s="808"/>
      <c r="P48" s="808"/>
      <c r="Q48" s="808"/>
      <c r="R48" s="808"/>
      <c r="S48" s="808"/>
      <c r="T48" s="808"/>
      <c r="U48" s="808"/>
      <c r="V48" s="808"/>
      <c r="W48" s="808"/>
      <c r="X48" s="808"/>
      <c r="Y48" s="808"/>
      <c r="Z48" s="808"/>
      <c r="AA48" s="808"/>
      <c r="AB48" s="809"/>
      <c r="AC48" s="507"/>
      <c r="AD48" s="507"/>
      <c r="AE48" s="507"/>
      <c r="AF48" s="507"/>
      <c r="AG48" s="507"/>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c r="IO48" s="32"/>
      <c r="IP48" s="32"/>
      <c r="IQ48" s="32"/>
      <c r="IR48" s="32"/>
      <c r="IS48" s="32"/>
      <c r="IT48" s="32"/>
      <c r="IU48" s="32"/>
      <c r="IV48" s="32"/>
      <c r="IW48" s="32"/>
    </row>
    <row r="49" customFormat="false" ht="12" hidden="false" customHeight="true" outlineLevel="0" collapsed="false">
      <c r="A49" s="719" t="s">
        <v>625</v>
      </c>
      <c r="B49" s="378"/>
      <c r="C49" s="810"/>
      <c r="D49" s="399" t="n">
        <f aca="false">IF(D3&gt;ProjectLife+1,0,'Project Assumtions'!$N$64)</f>
        <v>0.35</v>
      </c>
      <c r="E49" s="399" t="n">
        <f aca="false">IF(E3&gt;ProjectLife+1,0,'Project Assumtions'!$N$64)</f>
        <v>0.35</v>
      </c>
      <c r="F49" s="399" t="n">
        <f aca="false">IF(F3&gt;ProjectLife+1,0,'Project Assumtions'!$N$64)</f>
        <v>0.35</v>
      </c>
      <c r="G49" s="399" t="n">
        <f aca="false">IF(G3&gt;ProjectLife+1,0,'Project Assumtions'!$N$64)</f>
        <v>0.35</v>
      </c>
      <c r="H49" s="399" t="n">
        <f aca="false">IF(H3&gt;ProjectLife+1,0,'Project Assumtions'!$N$64)</f>
        <v>0.35</v>
      </c>
      <c r="I49" s="399" t="n">
        <f aca="false">IF(I3&gt;ProjectLife+1,0,'Project Assumtions'!$N$64)</f>
        <v>0.35</v>
      </c>
      <c r="J49" s="399" t="n">
        <f aca="false">IF(J3&gt;ProjectLife+1,0,'Project Assumtions'!$N$64)</f>
        <v>0.35</v>
      </c>
      <c r="K49" s="399" t="n">
        <f aca="false">IF(K3&gt;ProjectLife+1,0,'Project Assumtions'!$N$64)</f>
        <v>0.35</v>
      </c>
      <c r="L49" s="399" t="n">
        <f aca="false">IF(L3&gt;ProjectLife+1,0,'Project Assumtions'!$N$64)</f>
        <v>0.35</v>
      </c>
      <c r="M49" s="399" t="n">
        <f aca="false">IF(M3&gt;ProjectLife+1,0,'Project Assumtions'!$N$64)</f>
        <v>0.35</v>
      </c>
      <c r="N49" s="399" t="n">
        <f aca="false">IF(N3&gt;ProjectLife+1,0,'Project Assumtions'!$N$64)</f>
        <v>0.35</v>
      </c>
      <c r="O49" s="399" t="n">
        <f aca="false">IF(O3&gt;ProjectLife+1,0,'Project Assumtions'!$N$64)</f>
        <v>0.35</v>
      </c>
      <c r="P49" s="399" t="n">
        <f aca="false">IF(P3&gt;ProjectLife+1,0,'Project Assumtions'!$N$64)</f>
        <v>0.35</v>
      </c>
      <c r="Q49" s="399" t="n">
        <f aca="false">IF(Q3&gt;ProjectLife+1,0,'Project Assumtions'!$N$64)</f>
        <v>0.35</v>
      </c>
      <c r="R49" s="399" t="n">
        <f aca="false">IF(R3&gt;ProjectLife+1,0,'Project Assumtions'!$N$64)</f>
        <v>0.35</v>
      </c>
      <c r="S49" s="399" t="n">
        <f aca="false">IF(S3&gt;ProjectLife+1,0,'Project Assumtions'!$N$64)</f>
        <v>0.35</v>
      </c>
      <c r="T49" s="399" t="n">
        <f aca="false">IF(T3&gt;ProjectLife+1,0,'Project Assumtions'!$N$64)</f>
        <v>0.35</v>
      </c>
      <c r="U49" s="399" t="n">
        <f aca="false">IF(U3&gt;ProjectLife+1,0,'Project Assumtions'!$N$64)</f>
        <v>0.35</v>
      </c>
      <c r="V49" s="399" t="n">
        <f aca="false">IF(V3&gt;ProjectLife+1,0,'Project Assumtions'!$N$64)</f>
        <v>0.35</v>
      </c>
      <c r="W49" s="399" t="n">
        <f aca="false">IF(W3&gt;ProjectLife+1,0,'Project Assumtions'!$N$64)</f>
        <v>0.35</v>
      </c>
      <c r="X49" s="399" t="n">
        <f aca="false">IF(X3&gt;ProjectLife+1,0,'Project Assumtions'!$N$64)</f>
        <v>0.35</v>
      </c>
      <c r="Y49" s="399" t="n">
        <f aca="false">IF(Y3&gt;ProjectLife,0,'Project Assumtions'!$N$64)</f>
        <v>0</v>
      </c>
      <c r="Z49" s="399" t="n">
        <f aca="false">IF(Z3&gt;ProjectLife,0,'Project Assumtions'!$N$64)</f>
        <v>0</v>
      </c>
      <c r="AA49" s="399" t="n">
        <f aca="false">IF(AA3&gt;ProjectLife,0,'Project Assumtions'!$N$64)</f>
        <v>0</v>
      </c>
      <c r="AB49" s="811" t="n">
        <f aca="false">IF(AB3&gt;ProjectLife,0,'Project Assumtions'!$N$64)</f>
        <v>0</v>
      </c>
      <c r="AC49" s="378"/>
      <c r="AD49" s="378"/>
    </row>
    <row r="50" customFormat="false" ht="12" hidden="false" customHeight="true" outlineLevel="0" collapsed="false">
      <c r="A50" s="719" t="s">
        <v>626</v>
      </c>
      <c r="B50" s="507"/>
      <c r="C50" s="507"/>
      <c r="D50" s="507" t="n">
        <f aca="false">D47*D49</f>
        <v>-1971.20050965277</v>
      </c>
      <c r="E50" s="507" t="n">
        <f aca="false">E47*E49</f>
        <v>-1490.51652444836</v>
      </c>
      <c r="F50" s="507" t="n">
        <f aca="false">F47*F49</f>
        <v>-909.348069260229</v>
      </c>
      <c r="G50" s="507" t="n">
        <f aca="false">G47*G49</f>
        <v>2230.61403519716</v>
      </c>
      <c r="H50" s="507" t="n">
        <f aca="false">H47*H49</f>
        <v>4826.63349135531</v>
      </c>
      <c r="I50" s="507" t="n">
        <f aca="false">I47*I49</f>
        <v>5620.95595475866</v>
      </c>
      <c r="J50" s="507" t="n">
        <f aca="false">J47*J49</f>
        <v>6070.39785894892</v>
      </c>
      <c r="K50" s="507" t="n">
        <f aca="false">K47*K49</f>
        <v>6302.89725463923</v>
      </c>
      <c r="L50" s="507" t="n">
        <f aca="false">L47*L49</f>
        <v>6556.56716190195</v>
      </c>
      <c r="M50" s="507" t="n">
        <f aca="false">M47*M49</f>
        <v>6910.07747088149</v>
      </c>
      <c r="N50" s="507" t="n">
        <f aca="false">N47*N49</f>
        <v>7331.99407382291</v>
      </c>
      <c r="O50" s="507" t="n">
        <f aca="false">O47*O49</f>
        <v>7463.55269711149</v>
      </c>
      <c r="P50" s="507" t="n">
        <f aca="false">P47*P49</f>
        <v>7673.64734326068</v>
      </c>
      <c r="Q50" s="507" t="n">
        <f aca="false">Q47*Q49</f>
        <v>7618.14170680407</v>
      </c>
      <c r="R50" s="507" t="n">
        <f aca="false">R47*R49</f>
        <v>7812.86419305964</v>
      </c>
      <c r="S50" s="507" t="n">
        <f aca="false">S47*S49</f>
        <v>9552.86146627168</v>
      </c>
      <c r="T50" s="507" t="n">
        <f aca="false">T47*T49</f>
        <v>11287.8286915041</v>
      </c>
      <c r="U50" s="507" t="n">
        <f aca="false">U47*U49</f>
        <v>11548.0218652835</v>
      </c>
      <c r="V50" s="507" t="n">
        <f aca="false">V47*V49</f>
        <v>11836.7247165787</v>
      </c>
      <c r="W50" s="507" t="n">
        <f aca="false">W47*W49</f>
        <v>11870.6053265297</v>
      </c>
      <c r="X50" s="507" t="n">
        <f aca="false">X47*X49</f>
        <v>4685.95510920514</v>
      </c>
      <c r="Y50" s="507" t="n">
        <f aca="false">Y47*Y49</f>
        <v>0</v>
      </c>
      <c r="Z50" s="507" t="n">
        <f aca="false">Z47*Z49</f>
        <v>0</v>
      </c>
      <c r="AA50" s="507" t="n">
        <f aca="false">AA47*AA49</f>
        <v>0</v>
      </c>
      <c r="AB50" s="723" t="n">
        <f aca="false">AB47*AB49</f>
        <v>0</v>
      </c>
      <c r="AC50" s="507"/>
      <c r="AD50" s="507"/>
      <c r="AE50" s="507"/>
      <c r="AF50" s="507"/>
      <c r="AG50" s="507"/>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c r="HA50" s="32"/>
      <c r="HB50" s="32"/>
      <c r="HC50" s="32"/>
      <c r="HD50" s="32"/>
      <c r="HE50" s="32"/>
      <c r="HF50" s="32"/>
      <c r="HG50" s="32"/>
      <c r="HH50" s="32"/>
      <c r="HI50" s="32"/>
      <c r="HJ50" s="32"/>
      <c r="HK50" s="32"/>
      <c r="HL50" s="32"/>
      <c r="HM50" s="32"/>
      <c r="HN50" s="32"/>
      <c r="HO50" s="32"/>
      <c r="HP50" s="32"/>
      <c r="HQ50" s="32"/>
      <c r="HR50" s="32"/>
      <c r="HS50" s="32"/>
      <c r="HT50" s="32"/>
      <c r="HU50" s="32"/>
      <c r="HV50" s="32"/>
      <c r="HW50" s="32"/>
      <c r="HX50" s="32"/>
      <c r="HY50" s="32"/>
      <c r="HZ50" s="32"/>
      <c r="IA50" s="32"/>
      <c r="IB50" s="32"/>
      <c r="IC50" s="32"/>
      <c r="ID50" s="32"/>
      <c r="IE50" s="32"/>
      <c r="IF50" s="32"/>
      <c r="IG50" s="32"/>
      <c r="IH50" s="32"/>
      <c r="II50" s="32"/>
      <c r="IJ50" s="32"/>
      <c r="IK50" s="32"/>
      <c r="IL50" s="32"/>
      <c r="IM50" s="32"/>
      <c r="IN50" s="32"/>
      <c r="IO50" s="32"/>
      <c r="IP50" s="32"/>
      <c r="IQ50" s="32"/>
      <c r="IR50" s="32"/>
      <c r="IS50" s="32"/>
      <c r="IT50" s="32"/>
      <c r="IU50" s="32"/>
      <c r="IV50" s="32"/>
      <c r="IW50" s="32"/>
    </row>
    <row r="51" customFormat="false" ht="11.25" hidden="false" customHeight="false" outlineLevel="0" collapsed="false">
      <c r="A51" s="403"/>
      <c r="B51" s="378"/>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408"/>
      <c r="AC51" s="378"/>
      <c r="AD51" s="378"/>
    </row>
    <row r="52" customFormat="false" ht="11.25" hidden="false" customHeight="false" outlineLevel="0" collapsed="false">
      <c r="A52" s="403" t="s">
        <v>627</v>
      </c>
      <c r="B52" s="606"/>
      <c r="C52" s="378"/>
      <c r="D52" s="507" t="n">
        <f aca="false">IF(D3&gt;'Project Assumtions'!$I$15+1,0,IF(C52-C53+IF(D50&lt;0,-1*D50,0)&gt;0,C52-C53+IF(D50&lt;0,-1*D50,0),0))</f>
        <v>1971.20050965277</v>
      </c>
      <c r="E52" s="507" t="n">
        <f aca="false">IF(E3&gt;'Project Assumtions'!$I$15+1,0,IF(D52-D53+IF(E50&lt;0,-1*E50,0)&gt;0,D52-D53+IF(E50&lt;0,-1*E50,0),0))</f>
        <v>3461.71703410113</v>
      </c>
      <c r="F52" s="507" t="n">
        <f aca="false">IF(F3&gt;'Project Assumtions'!$I$15+1,0,IF(E52-E53+IF(F50&lt;0,-1*F50,0)&gt;0,E52-E53+IF(F50&lt;0,-1*F50,0),0))</f>
        <v>4371.06510336136</v>
      </c>
      <c r="G52" s="507" t="n">
        <f aca="false">IF(G3&gt;'Project Assumtions'!$I$15+1,0,IF(F52-F53+IF(G50&lt;0,-1*G50,0)&gt;0,F52-F53+IF(G50&lt;0,-1*G50,0),0))</f>
        <v>4371.06510336136</v>
      </c>
      <c r="H52" s="507" t="n">
        <f aca="false">IF(H3&gt;'Project Assumtions'!$I$15+1,0,IF(G52-G53+IF(H50&lt;0,-1*H50,0)&gt;0,G52-G53+IF(H50&lt;0,-1*H50,0),0))</f>
        <v>2140.4510681642</v>
      </c>
      <c r="I52" s="507" t="n">
        <f aca="false">IF(I3&gt;'Project Assumtions'!$I$15+1,0,IF(H52-H53+IF(I50&lt;0,-1*I50,0)&gt;0,H52-H53+IF(I50&lt;0,-1*I50,0),0))</f>
        <v>0</v>
      </c>
      <c r="J52" s="507" t="n">
        <f aca="false">IF(J3&gt;'Project Assumtions'!$I$15+1,0,IF(I52-I53+IF(J50&lt;0,-1*J50,0)&gt;0,I52-I53+IF(J50&lt;0,-1*J50,0),0))</f>
        <v>0</v>
      </c>
      <c r="K52" s="507" t="n">
        <f aca="false">IF(K3&gt;'Project Assumtions'!$I$15+1,0,IF(J52-J53+IF(K50&lt;0,-1*K50,0)&gt;0,J52-J53+IF(K50&lt;0,-1*K50,0),0))</f>
        <v>0</v>
      </c>
      <c r="L52" s="507" t="n">
        <f aca="false">IF(L3&gt;'Project Assumtions'!$I$15+1,0,IF(K52-K53+IF(L50&lt;0,-1*L50,0)&gt;0,K52-K53+IF(L50&lt;0,-1*L50,0),0))</f>
        <v>0</v>
      </c>
      <c r="M52" s="507" t="n">
        <f aca="false">IF(M3&gt;'Project Assumtions'!$I$15+1,0,IF(L52-L53+IF(M50&lt;0,-1*M50,0)&gt;0,L52-L53+IF(M50&lt;0,-1*M50,0),0))</f>
        <v>0</v>
      </c>
      <c r="N52" s="507" t="n">
        <f aca="false">IF(N3&gt;'Project Assumtions'!$I$15+1,0,IF(M52-M53+IF(N50&lt;0,-1*N50,0)&gt;0,M52-M53+IF(N50&lt;0,-1*N50,0),0))</f>
        <v>0</v>
      </c>
      <c r="O52" s="507" t="n">
        <f aca="false">IF(O3&gt;'Project Assumtions'!$I$15+1,0,IF(N52-N53+IF(O50&lt;0,-1*O50,0)&gt;0,N52-N53+IF(O50&lt;0,-1*O50,0),0))</f>
        <v>0</v>
      </c>
      <c r="P52" s="507" t="n">
        <f aca="false">IF(P3&gt;'Project Assumtions'!$I$15+1,0,IF(O52-O53+IF(P50&lt;0,-1*P50,0)&gt;0,O52-O53+IF(P50&lt;0,-1*P50,0),0))</f>
        <v>0</v>
      </c>
      <c r="Q52" s="507" t="n">
        <f aca="false">IF(Q3&gt;'Project Assumtions'!$I$15+1,0,IF(P52-P53+IF(Q50&lt;0,-1*Q50,0)&gt;0,P52-P53+IF(Q50&lt;0,-1*Q50,0),0))</f>
        <v>0</v>
      </c>
      <c r="R52" s="507" t="n">
        <f aca="false">IF(R3&gt;'Project Assumtions'!$I$15+1,0,IF(Q52-Q53+IF(R50&lt;0,-1*R50,0)&gt;0,Q52-Q53+IF(R50&lt;0,-1*R50,0),0))</f>
        <v>0</v>
      </c>
      <c r="S52" s="507" t="n">
        <f aca="false">IF(S3&gt;'Project Assumtions'!$I$15+1,0,IF(R52-R53+IF(S50&lt;0,-1*S50,0)&gt;0,R52-R53+IF(S50&lt;0,-1*S50,0),0))</f>
        <v>0</v>
      </c>
      <c r="T52" s="507" t="n">
        <f aca="false">IF(T3&gt;'Project Assumtions'!$I$15+1,0,IF(S52-S53+IF(T50&lt;0,-1*T50,0)&gt;0,S52-S53+IF(T50&lt;0,-1*T50,0),0))</f>
        <v>0</v>
      </c>
      <c r="U52" s="507" t="n">
        <f aca="false">IF(U3&gt;'Project Assumtions'!$I$15+1,0,IF(T52-T53+IF(U50&lt;0,-1*U50,0)&gt;0,T52-T53+IF(U50&lt;0,-1*U50,0),0))</f>
        <v>0</v>
      </c>
      <c r="V52" s="507" t="n">
        <f aca="false">IF(V3&gt;'Project Assumtions'!$I$15+1,0,IF(U52-U53+IF(V50&lt;0,-1*V50,0)&gt;0,U52-U53+IF(V50&lt;0,-1*V50,0),0))</f>
        <v>0</v>
      </c>
      <c r="W52" s="507" t="n">
        <f aca="false">IF(W3&gt;'Project Assumtions'!$I$15+1,0,IF(V52-V53+IF(W50&lt;0,-1*W50,0)&gt;0,V52-V53+IF(W50&lt;0,-1*W50,0),0))</f>
        <v>0</v>
      </c>
      <c r="X52" s="507" t="n">
        <f aca="false">IF(X3&gt;'Project Assumtions'!$I$15,0,IF(W52-W53+IF(X50&lt;0,-1*X50,0)&gt;0,W52-W53+IF(X50&lt;0,-1*X50,0),0))</f>
        <v>0</v>
      </c>
      <c r="Y52" s="507" t="n">
        <f aca="false">IF(Y3&gt;'Project Assumtions'!$I$15,0,IF(X52-X53+IF(Y50&lt;0,-1*Y50,0)&gt;0,X52-X53+IF(Y50&lt;0,-1*Y50,0),0))</f>
        <v>0</v>
      </c>
      <c r="Z52" s="507" t="n">
        <f aca="false">IF(Z3&gt;'Project Assumtions'!$I$15,0,IF(Y52-Y53+IF(Z50&lt;0,-1*Z50,0)&gt;0,Y52-Y53+IF(Z50&lt;0,-1*Z50,0),0))</f>
        <v>0</v>
      </c>
      <c r="AA52" s="507" t="n">
        <f aca="false">IF(AA3&gt;'Project Assumtions'!$I$15,0,IF(Z52-Z53+IF(AA50&lt;0,-1*AA50,0)&gt;0,Z52-Z53+IF(AA50&lt;0,-1*AA50,0),0))</f>
        <v>0</v>
      </c>
      <c r="AB52" s="723" t="n">
        <f aca="false">IF(AB3&gt;'Project Assumtions'!$I$15,0,IF(AA52-AA53+IF(AB50&lt;0,-1*AB50,0)&gt;0,AA52-AA53+IF(AB50&lt;0,-1*AB50,0),0))</f>
        <v>0</v>
      </c>
      <c r="AC52" s="378"/>
      <c r="AD52" s="378"/>
      <c r="AH52" s="812"/>
      <c r="AI52" s="812"/>
      <c r="AJ52" s="812"/>
      <c r="AK52" s="812"/>
      <c r="AL52" s="812"/>
      <c r="AM52" s="812"/>
      <c r="AN52" s="812"/>
      <c r="AO52" s="812"/>
      <c r="AP52" s="812"/>
      <c r="AQ52" s="812"/>
      <c r="AR52" s="812"/>
      <c r="AS52" s="812"/>
      <c r="AT52" s="812"/>
      <c r="AU52" s="812"/>
      <c r="AV52" s="812"/>
      <c r="AW52" s="812"/>
      <c r="AX52" s="812"/>
      <c r="AY52" s="812"/>
      <c r="AZ52" s="812"/>
      <c r="BA52" s="812"/>
      <c r="BB52" s="812"/>
      <c r="BC52" s="812"/>
      <c r="BD52" s="812"/>
      <c r="BE52" s="812"/>
      <c r="BF52" s="812"/>
      <c r="BG52" s="812"/>
      <c r="BH52" s="812"/>
      <c r="BI52" s="812"/>
      <c r="BJ52" s="812"/>
      <c r="BK52" s="812"/>
      <c r="BL52" s="812"/>
      <c r="BM52" s="812"/>
      <c r="BN52" s="812"/>
      <c r="BO52" s="812"/>
      <c r="BP52" s="812"/>
      <c r="BQ52" s="812"/>
      <c r="BR52" s="812"/>
      <c r="BS52" s="812"/>
      <c r="BT52" s="812"/>
      <c r="BU52" s="812"/>
      <c r="BV52" s="812"/>
      <c r="BW52" s="812"/>
      <c r="BX52" s="812"/>
      <c r="BY52" s="812"/>
      <c r="BZ52" s="812"/>
      <c r="CA52" s="812"/>
      <c r="CB52" s="812"/>
      <c r="CC52" s="812"/>
      <c r="CD52" s="812"/>
      <c r="CE52" s="812"/>
      <c r="CF52" s="812"/>
      <c r="CG52" s="812"/>
      <c r="CH52" s="812"/>
      <c r="CI52" s="812"/>
      <c r="CJ52" s="812"/>
      <c r="CK52" s="812"/>
      <c r="CL52" s="812"/>
      <c r="CM52" s="812"/>
      <c r="CN52" s="812"/>
      <c r="CO52" s="812"/>
      <c r="CP52" s="812"/>
      <c r="CQ52" s="812"/>
      <c r="CR52" s="812"/>
      <c r="CS52" s="812"/>
      <c r="CT52" s="812"/>
      <c r="CU52" s="812"/>
      <c r="CV52" s="812"/>
      <c r="CW52" s="812"/>
      <c r="CX52" s="812"/>
      <c r="CY52" s="812"/>
      <c r="CZ52" s="812"/>
      <c r="DA52" s="812"/>
      <c r="DB52" s="812"/>
      <c r="DC52" s="812"/>
      <c r="DD52" s="812"/>
      <c r="DE52" s="812"/>
      <c r="DF52" s="812"/>
      <c r="DG52" s="812"/>
      <c r="DH52" s="812"/>
      <c r="DI52" s="812"/>
      <c r="DJ52" s="812"/>
      <c r="DK52" s="812"/>
      <c r="DL52" s="812"/>
      <c r="DM52" s="812"/>
      <c r="DN52" s="812"/>
      <c r="DO52" s="812"/>
      <c r="DP52" s="812"/>
      <c r="DQ52" s="812"/>
      <c r="DR52" s="812"/>
      <c r="DS52" s="812"/>
      <c r="DT52" s="812"/>
      <c r="DU52" s="812"/>
      <c r="DV52" s="812"/>
      <c r="DW52" s="812"/>
      <c r="DX52" s="812"/>
      <c r="DY52" s="812"/>
      <c r="DZ52" s="812"/>
      <c r="EA52" s="812"/>
      <c r="EB52" s="812"/>
      <c r="EC52" s="812"/>
      <c r="ED52" s="812"/>
      <c r="EE52" s="812"/>
      <c r="EF52" s="812"/>
      <c r="EG52" s="812"/>
      <c r="EH52" s="812"/>
      <c r="EI52" s="812"/>
      <c r="EJ52" s="812"/>
      <c r="EK52" s="812"/>
      <c r="EL52" s="812"/>
      <c r="EM52" s="812"/>
      <c r="EN52" s="812"/>
      <c r="EO52" s="812"/>
      <c r="EP52" s="812"/>
      <c r="EQ52" s="812"/>
      <c r="ER52" s="812"/>
      <c r="ES52" s="812"/>
      <c r="ET52" s="812"/>
      <c r="EU52" s="812"/>
      <c r="EV52" s="812"/>
      <c r="EW52" s="812"/>
      <c r="EX52" s="812"/>
      <c r="EY52" s="812"/>
      <c r="EZ52" s="812"/>
      <c r="FA52" s="812"/>
      <c r="FB52" s="812"/>
      <c r="FC52" s="812"/>
      <c r="FD52" s="812"/>
      <c r="FE52" s="812"/>
      <c r="FF52" s="812"/>
      <c r="FG52" s="812"/>
      <c r="FH52" s="812"/>
      <c r="FI52" s="812"/>
      <c r="FJ52" s="812"/>
      <c r="FK52" s="812"/>
      <c r="FL52" s="812"/>
      <c r="FM52" s="812"/>
      <c r="FN52" s="812"/>
      <c r="FO52" s="812"/>
      <c r="FP52" s="812"/>
      <c r="FQ52" s="812"/>
      <c r="FR52" s="812"/>
      <c r="FS52" s="812"/>
      <c r="FT52" s="812"/>
      <c r="FU52" s="812"/>
      <c r="FV52" s="812"/>
      <c r="FW52" s="812"/>
      <c r="FX52" s="812"/>
      <c r="FY52" s="812"/>
      <c r="FZ52" s="812"/>
      <c r="GA52" s="812"/>
      <c r="GB52" s="812"/>
      <c r="GC52" s="812"/>
      <c r="GD52" s="812"/>
      <c r="GE52" s="812"/>
      <c r="GF52" s="812"/>
      <c r="GG52" s="812"/>
      <c r="GH52" s="812"/>
      <c r="GI52" s="812"/>
      <c r="GJ52" s="812"/>
      <c r="GK52" s="812"/>
      <c r="GL52" s="812"/>
      <c r="GM52" s="812"/>
      <c r="GN52" s="812"/>
      <c r="GO52" s="812"/>
      <c r="GP52" s="812"/>
      <c r="GQ52" s="812"/>
      <c r="GR52" s="812"/>
      <c r="GS52" s="812"/>
      <c r="GT52" s="812"/>
      <c r="GU52" s="812"/>
      <c r="GV52" s="812"/>
      <c r="GW52" s="812"/>
      <c r="GX52" s="812"/>
      <c r="GY52" s="812"/>
      <c r="GZ52" s="812"/>
      <c r="HA52" s="812"/>
      <c r="HB52" s="812"/>
      <c r="HC52" s="812"/>
      <c r="HD52" s="812"/>
      <c r="HE52" s="812"/>
      <c r="HF52" s="812"/>
      <c r="HG52" s="812"/>
      <c r="HH52" s="812"/>
      <c r="HI52" s="812"/>
      <c r="HJ52" s="812"/>
      <c r="HK52" s="812"/>
      <c r="HL52" s="812"/>
      <c r="HM52" s="812"/>
      <c r="HN52" s="812"/>
      <c r="HO52" s="812"/>
      <c r="HP52" s="812"/>
      <c r="HQ52" s="812"/>
      <c r="HR52" s="812"/>
      <c r="HS52" s="812"/>
      <c r="HT52" s="812"/>
      <c r="HU52" s="812"/>
      <c r="HV52" s="812"/>
      <c r="HW52" s="812"/>
      <c r="HX52" s="812"/>
      <c r="HY52" s="812"/>
      <c r="HZ52" s="812"/>
      <c r="IA52" s="812"/>
      <c r="IB52" s="812"/>
      <c r="IC52" s="812"/>
      <c r="ID52" s="812"/>
      <c r="IE52" s="812"/>
      <c r="IF52" s="812"/>
      <c r="IG52" s="812"/>
      <c r="IH52" s="812"/>
      <c r="II52" s="812"/>
      <c r="IJ52" s="812"/>
      <c r="IK52" s="812"/>
      <c r="IL52" s="812"/>
      <c r="IM52" s="812"/>
      <c r="IN52" s="812"/>
      <c r="IO52" s="812"/>
      <c r="IP52" s="812"/>
      <c r="IQ52" s="812"/>
      <c r="IR52" s="812"/>
      <c r="IS52" s="812"/>
      <c r="IT52" s="812"/>
      <c r="IU52" s="812"/>
      <c r="IV52" s="812"/>
      <c r="IW52" s="812"/>
    </row>
    <row r="53" customFormat="false" ht="11.25" hidden="false" customHeight="false" outlineLevel="0" collapsed="false">
      <c r="A53" s="403" t="s">
        <v>617</v>
      </c>
      <c r="B53" s="606"/>
      <c r="C53" s="378"/>
      <c r="D53" s="507" t="n">
        <f aca="false">IF('Project Assumtions'!$C$66="No",0,IF(D3&lt;='Project Assumtions'!$C$68,IF(D50&lt;0,0,IF(D52&gt;D50,D50,D52)),0))</f>
        <v>0</v>
      </c>
      <c r="E53" s="507" t="n">
        <f aca="false">IF('Project Assumtions'!$C$66="No",0,IF(E3&lt;='Project Assumtions'!$C$68,IF(E50&lt;0,0,IF(E52&gt;E50,E50,E52)),0))</f>
        <v>0</v>
      </c>
      <c r="F53" s="507" t="n">
        <f aca="false">IF('Project Assumtions'!$C$66="No",0,IF(F3&lt;='Project Assumtions'!$C$68,IF(F50&lt;0,0,IF(F52&gt;F50,F50,F52)),0))</f>
        <v>0</v>
      </c>
      <c r="G53" s="507" t="n">
        <f aca="false">IF('Project Assumtions'!$C$66="No",0,IF(G3&lt;='Project Assumtions'!$C$68,IF(G50&lt;0,0,IF(G52&gt;G50,G50,G52)),0))</f>
        <v>2230.61403519716</v>
      </c>
      <c r="H53" s="507" t="n">
        <f aca="false">IF('Project Assumtions'!$C$66="No",0,IF(H3&lt;='Project Assumtions'!$C$68,IF(H50&lt;0,0,IF(H52&gt;H50,H50,H52)),0))</f>
        <v>2140.4510681642</v>
      </c>
      <c r="I53" s="507" t="n">
        <f aca="false">IF('Project Assumtions'!$C$66="No",0,IF(I3&lt;='Project Assumtions'!$C$68,IF(I50&lt;0,0,IF(I52&gt;I50,I50,I52)),0))</f>
        <v>0</v>
      </c>
      <c r="J53" s="507" t="n">
        <f aca="false">IF('Project Assumtions'!$C$66="No",0,IF(J3&lt;='Project Assumtions'!$C$68,IF(J50&lt;0,0,IF(J52&gt;J50,J50,J52)),0))</f>
        <v>0</v>
      </c>
      <c r="K53" s="507" t="n">
        <f aca="false">IF('Project Assumtions'!$C$66="No",0,IF(K3&lt;='Project Assumtions'!$C$68,IF(K50&lt;0,0,IF(K52&gt;K50,K50,K52)),0))</f>
        <v>0</v>
      </c>
      <c r="L53" s="507" t="n">
        <f aca="false">IF('Project Assumtions'!$C$66="No",0,IF(L3&lt;='Project Assumtions'!$C$68,IF(L50&lt;0,0,IF(L52&gt;L50,L50,L52)),0))</f>
        <v>0</v>
      </c>
      <c r="M53" s="507" t="n">
        <f aca="false">IF('Project Assumtions'!$C$66="No",0,IF(M3&lt;='Project Assumtions'!$C$68,IF(M50&lt;0,0,IF(M52&gt;M50,M50,M52)),0))</f>
        <v>0</v>
      </c>
      <c r="N53" s="507" t="n">
        <f aca="false">IF('Project Assumtions'!$C$66="No",0,IF(N3&lt;='Project Assumtions'!$C$68,IF(N50&lt;0,0,IF(N52&gt;N50,N50,N52)),0))</f>
        <v>0</v>
      </c>
      <c r="O53" s="507" t="n">
        <f aca="false">IF('Project Assumtions'!$C$66="No",0,IF(O3&lt;='Project Assumtions'!$C$68,IF(O50&lt;0,0,IF(O52&gt;O50,O50,O52)),0))</f>
        <v>0</v>
      </c>
      <c r="P53" s="507" t="n">
        <f aca="false">IF('Project Assumtions'!$C$66="No",0,IF(P3&lt;='Project Assumtions'!$C$68,IF(P50&lt;0,0,IF(P52&gt;P50,P50,P52)),0))</f>
        <v>0</v>
      </c>
      <c r="Q53" s="507" t="n">
        <f aca="false">IF('Project Assumtions'!$C$66="No",0,IF(Q3&lt;='Project Assumtions'!$C$68,IF(Q50&lt;0,0,IF(Q52&gt;Q50,Q50,Q52)),0))</f>
        <v>0</v>
      </c>
      <c r="R53" s="507" t="n">
        <f aca="false">IF('Project Assumtions'!$C$66="No",0,IF(R3&lt;='Project Assumtions'!$C$68,IF(R50&lt;0,0,IF(R52&gt;R50,R50,R52)),0))</f>
        <v>0</v>
      </c>
      <c r="S53" s="507" t="n">
        <f aca="false">IF('Project Assumtions'!$C$66="No",0,IF(S3&lt;='Project Assumtions'!$C$68,IF(S50&lt;0,0,IF(S52&gt;S50,S50,S52)),0))</f>
        <v>0</v>
      </c>
      <c r="T53" s="507" t="n">
        <f aca="false">IF('Project Assumtions'!$C$66="No",0,IF(T3&lt;='Project Assumtions'!$C$68,IF(T50&lt;0,0,IF(T52&gt;T50,T50,T52)),0))</f>
        <v>0</v>
      </c>
      <c r="U53" s="507" t="n">
        <f aca="false">IF('Project Assumtions'!$C$66="No",0,IF(U3&lt;='Project Assumtions'!$C$68,IF(U50&lt;0,0,IF(U52&gt;U50,U50,U52)),0))</f>
        <v>0</v>
      </c>
      <c r="V53" s="507" t="n">
        <f aca="false">IF('Project Assumtions'!$C$66="No",0,IF(V3&lt;='Project Assumtions'!$C$68,IF(V50&lt;0,0,IF(V52&gt;V50,V50,V52)),0))</f>
        <v>0</v>
      </c>
      <c r="W53" s="507" t="n">
        <f aca="false">IF('Project Assumtions'!$C$66="No",0,IF(W3&lt;='Project Assumtions'!$C$68,IF(W50&lt;0,0,IF(W52&gt;W50,W50,W52)),0))</f>
        <v>0</v>
      </c>
      <c r="X53" s="507" t="n">
        <f aca="false">IF('Project Assumtions'!$C$66="No",0,IF(X3&lt;='Project Assumtions'!$C$68,IF(X50&lt;0,0,IF(X52&gt;X50,X50,X52)),0))</f>
        <v>0</v>
      </c>
      <c r="Y53" s="507" t="n">
        <f aca="false">IF('Project Assumtions'!$C$66="No",0,IF(Y3&lt;='Project Assumtions'!$C$68,IF(Y50&lt;0,0,IF(Y52&gt;Y50,Y50,Y52)),0))</f>
        <v>0</v>
      </c>
      <c r="Z53" s="507" t="n">
        <f aca="false">IF('Project Assumtions'!$C$66="No",0,IF(Z3&lt;='Project Assumtions'!$C$68,IF(Z50&lt;0,0,IF(Z52&gt;Z50,Z50,Z52)),0))</f>
        <v>0</v>
      </c>
      <c r="AA53" s="507" t="n">
        <f aca="false">IF('Project Assumtions'!$C$66="No",0,IF(AA3&lt;='Project Assumtions'!$C$68,IF(AA50&lt;0,0,IF(AA52&gt;AA50,AA50,AA52)),0))</f>
        <v>0</v>
      </c>
      <c r="AB53" s="723" t="n">
        <f aca="false">IF('Project Assumtions'!$C$66="No",0,IF(AB3&lt;='Project Assumtions'!$C$68,IF(AB50&lt;0,0,IF(AB52&gt;AB50,AB50,AB52)),0))</f>
        <v>0</v>
      </c>
      <c r="AH53" s="812"/>
      <c r="AI53" s="812"/>
      <c r="AJ53" s="812"/>
      <c r="AK53" s="812"/>
      <c r="AL53" s="812"/>
      <c r="AM53" s="812"/>
      <c r="AN53" s="812"/>
      <c r="AO53" s="812"/>
      <c r="AP53" s="812"/>
      <c r="AQ53" s="812"/>
      <c r="AR53" s="812"/>
      <c r="AS53" s="812"/>
      <c r="AT53" s="812"/>
      <c r="AU53" s="812"/>
      <c r="AV53" s="812"/>
      <c r="AW53" s="812"/>
      <c r="AX53" s="812"/>
      <c r="AY53" s="812"/>
      <c r="AZ53" s="812"/>
      <c r="BA53" s="812"/>
      <c r="BB53" s="812"/>
      <c r="BC53" s="812"/>
      <c r="BD53" s="812"/>
      <c r="BE53" s="812"/>
      <c r="BF53" s="812"/>
      <c r="BG53" s="812"/>
      <c r="BH53" s="812"/>
      <c r="BI53" s="812"/>
      <c r="BJ53" s="812"/>
      <c r="BK53" s="812"/>
      <c r="BL53" s="812"/>
      <c r="BM53" s="812"/>
      <c r="BN53" s="812"/>
      <c r="BO53" s="812"/>
      <c r="BP53" s="812"/>
      <c r="BQ53" s="812"/>
      <c r="BR53" s="812"/>
      <c r="BS53" s="812"/>
      <c r="BT53" s="812"/>
      <c r="BU53" s="812"/>
      <c r="BV53" s="812"/>
      <c r="BW53" s="812"/>
      <c r="BX53" s="812"/>
      <c r="BY53" s="812"/>
      <c r="BZ53" s="812"/>
      <c r="CA53" s="812"/>
      <c r="CB53" s="812"/>
      <c r="CC53" s="812"/>
      <c r="CD53" s="812"/>
      <c r="CE53" s="812"/>
      <c r="CF53" s="812"/>
      <c r="CG53" s="812"/>
      <c r="CH53" s="812"/>
      <c r="CI53" s="812"/>
      <c r="CJ53" s="812"/>
      <c r="CK53" s="812"/>
      <c r="CL53" s="812"/>
      <c r="CM53" s="812"/>
      <c r="CN53" s="812"/>
      <c r="CO53" s="812"/>
      <c r="CP53" s="812"/>
      <c r="CQ53" s="812"/>
      <c r="CR53" s="812"/>
      <c r="CS53" s="812"/>
      <c r="CT53" s="812"/>
      <c r="CU53" s="812"/>
      <c r="CV53" s="812"/>
      <c r="CW53" s="812"/>
      <c r="CX53" s="812"/>
      <c r="CY53" s="812"/>
      <c r="CZ53" s="812"/>
      <c r="DA53" s="812"/>
      <c r="DB53" s="812"/>
      <c r="DC53" s="812"/>
      <c r="DD53" s="812"/>
      <c r="DE53" s="812"/>
      <c r="DF53" s="812"/>
      <c r="DG53" s="812"/>
      <c r="DH53" s="812"/>
      <c r="DI53" s="812"/>
      <c r="DJ53" s="812"/>
      <c r="DK53" s="812"/>
      <c r="DL53" s="812"/>
      <c r="DM53" s="812"/>
      <c r="DN53" s="812"/>
      <c r="DO53" s="812"/>
      <c r="DP53" s="812"/>
      <c r="DQ53" s="812"/>
      <c r="DR53" s="812"/>
      <c r="DS53" s="812"/>
      <c r="DT53" s="812"/>
      <c r="DU53" s="812"/>
      <c r="DV53" s="812"/>
      <c r="DW53" s="812"/>
      <c r="DX53" s="812"/>
      <c r="DY53" s="812"/>
      <c r="DZ53" s="812"/>
      <c r="EA53" s="812"/>
      <c r="EB53" s="812"/>
      <c r="EC53" s="812"/>
      <c r="ED53" s="812"/>
      <c r="EE53" s="812"/>
      <c r="EF53" s="812"/>
      <c r="EG53" s="812"/>
      <c r="EH53" s="812"/>
      <c r="EI53" s="812"/>
      <c r="EJ53" s="812"/>
      <c r="EK53" s="812"/>
      <c r="EL53" s="812"/>
      <c r="EM53" s="812"/>
      <c r="EN53" s="812"/>
      <c r="EO53" s="812"/>
      <c r="EP53" s="812"/>
      <c r="EQ53" s="812"/>
      <c r="ER53" s="812"/>
      <c r="ES53" s="812"/>
      <c r="ET53" s="812"/>
      <c r="EU53" s="812"/>
      <c r="EV53" s="812"/>
      <c r="EW53" s="812"/>
      <c r="EX53" s="812"/>
      <c r="EY53" s="812"/>
      <c r="EZ53" s="812"/>
      <c r="FA53" s="812"/>
      <c r="FB53" s="812"/>
      <c r="FC53" s="812"/>
      <c r="FD53" s="812"/>
      <c r="FE53" s="812"/>
      <c r="FF53" s="812"/>
      <c r="FG53" s="812"/>
      <c r="FH53" s="812"/>
      <c r="FI53" s="812"/>
      <c r="FJ53" s="812"/>
      <c r="FK53" s="812"/>
      <c r="FL53" s="812"/>
      <c r="FM53" s="812"/>
      <c r="FN53" s="812"/>
      <c r="FO53" s="812"/>
      <c r="FP53" s="812"/>
      <c r="FQ53" s="812"/>
      <c r="FR53" s="812"/>
      <c r="FS53" s="812"/>
      <c r="FT53" s="812"/>
      <c r="FU53" s="812"/>
      <c r="FV53" s="812"/>
      <c r="FW53" s="812"/>
      <c r="FX53" s="812"/>
      <c r="FY53" s="812"/>
      <c r="FZ53" s="812"/>
      <c r="GA53" s="812"/>
      <c r="GB53" s="812"/>
      <c r="GC53" s="812"/>
      <c r="GD53" s="812"/>
      <c r="GE53" s="812"/>
      <c r="GF53" s="812"/>
      <c r="GG53" s="812"/>
      <c r="GH53" s="812"/>
      <c r="GI53" s="812"/>
      <c r="GJ53" s="812"/>
      <c r="GK53" s="812"/>
      <c r="GL53" s="812"/>
      <c r="GM53" s="812"/>
      <c r="GN53" s="812"/>
      <c r="GO53" s="812"/>
      <c r="GP53" s="812"/>
      <c r="GQ53" s="812"/>
      <c r="GR53" s="812"/>
      <c r="GS53" s="812"/>
      <c r="GT53" s="812"/>
      <c r="GU53" s="812"/>
      <c r="GV53" s="812"/>
      <c r="GW53" s="812"/>
      <c r="GX53" s="812"/>
      <c r="GY53" s="812"/>
      <c r="GZ53" s="812"/>
      <c r="HA53" s="812"/>
      <c r="HB53" s="812"/>
      <c r="HC53" s="812"/>
      <c r="HD53" s="812"/>
      <c r="HE53" s="812"/>
      <c r="HF53" s="812"/>
      <c r="HG53" s="812"/>
      <c r="HH53" s="812"/>
      <c r="HI53" s="812"/>
      <c r="HJ53" s="812"/>
      <c r="HK53" s="812"/>
      <c r="HL53" s="812"/>
      <c r="HM53" s="812"/>
      <c r="HN53" s="812"/>
      <c r="HO53" s="812"/>
      <c r="HP53" s="812"/>
      <c r="HQ53" s="812"/>
      <c r="HR53" s="812"/>
      <c r="HS53" s="812"/>
      <c r="HT53" s="812"/>
      <c r="HU53" s="812"/>
      <c r="HV53" s="812"/>
      <c r="HW53" s="812"/>
      <c r="HX53" s="812"/>
      <c r="HY53" s="812"/>
      <c r="HZ53" s="812"/>
      <c r="IA53" s="812"/>
      <c r="IB53" s="812"/>
      <c r="IC53" s="812"/>
      <c r="ID53" s="812"/>
      <c r="IE53" s="812"/>
      <c r="IF53" s="812"/>
      <c r="IG53" s="812"/>
      <c r="IH53" s="812"/>
      <c r="II53" s="812"/>
      <c r="IJ53" s="812"/>
      <c r="IK53" s="812"/>
      <c r="IL53" s="812"/>
      <c r="IM53" s="812"/>
      <c r="IN53" s="812"/>
      <c r="IO53" s="812"/>
      <c r="IP53" s="812"/>
      <c r="IQ53" s="812"/>
      <c r="IR53" s="812"/>
      <c r="IS53" s="812"/>
      <c r="IT53" s="812"/>
      <c r="IU53" s="812"/>
      <c r="IV53" s="812"/>
      <c r="IW53" s="812"/>
    </row>
    <row r="54" customFormat="false" ht="11.25" hidden="false" customHeight="false" outlineLevel="0" collapsed="false">
      <c r="A54" s="403"/>
      <c r="B54" s="606"/>
      <c r="C54" s="378"/>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723"/>
      <c r="AH54" s="812"/>
      <c r="AI54" s="812"/>
      <c r="AJ54" s="812"/>
      <c r="AK54" s="812"/>
      <c r="AL54" s="812"/>
      <c r="AM54" s="812"/>
      <c r="AN54" s="812"/>
      <c r="AO54" s="812"/>
      <c r="AP54" s="812"/>
      <c r="AQ54" s="812"/>
      <c r="AR54" s="812"/>
      <c r="AS54" s="812"/>
      <c r="AT54" s="812"/>
      <c r="AU54" s="812"/>
      <c r="AV54" s="812"/>
      <c r="AW54" s="812"/>
      <c r="AX54" s="812"/>
      <c r="AY54" s="812"/>
      <c r="AZ54" s="812"/>
      <c r="BA54" s="812"/>
      <c r="BB54" s="812"/>
      <c r="BC54" s="812"/>
      <c r="BD54" s="812"/>
      <c r="BE54" s="812"/>
      <c r="BF54" s="812"/>
      <c r="BG54" s="812"/>
      <c r="BH54" s="812"/>
      <c r="BI54" s="812"/>
      <c r="BJ54" s="812"/>
      <c r="BK54" s="812"/>
      <c r="BL54" s="812"/>
      <c r="BM54" s="812"/>
      <c r="BN54" s="812"/>
      <c r="BO54" s="812"/>
      <c r="BP54" s="812"/>
      <c r="BQ54" s="812"/>
      <c r="BR54" s="812"/>
      <c r="BS54" s="812"/>
      <c r="BT54" s="812"/>
      <c r="BU54" s="812"/>
      <c r="BV54" s="812"/>
      <c r="BW54" s="812"/>
      <c r="BX54" s="812"/>
      <c r="BY54" s="812"/>
      <c r="BZ54" s="812"/>
      <c r="CA54" s="812"/>
      <c r="CB54" s="812"/>
      <c r="CC54" s="812"/>
      <c r="CD54" s="812"/>
      <c r="CE54" s="812"/>
      <c r="CF54" s="812"/>
      <c r="CG54" s="812"/>
      <c r="CH54" s="812"/>
      <c r="CI54" s="812"/>
      <c r="CJ54" s="812"/>
      <c r="CK54" s="812"/>
      <c r="CL54" s="812"/>
      <c r="CM54" s="812"/>
      <c r="CN54" s="812"/>
      <c r="CO54" s="812"/>
      <c r="CP54" s="812"/>
      <c r="CQ54" s="812"/>
      <c r="CR54" s="812"/>
      <c r="CS54" s="812"/>
      <c r="CT54" s="812"/>
      <c r="CU54" s="812"/>
      <c r="CV54" s="812"/>
      <c r="CW54" s="812"/>
      <c r="CX54" s="812"/>
      <c r="CY54" s="812"/>
      <c r="CZ54" s="812"/>
      <c r="DA54" s="812"/>
      <c r="DB54" s="812"/>
      <c r="DC54" s="812"/>
      <c r="DD54" s="812"/>
      <c r="DE54" s="812"/>
      <c r="DF54" s="812"/>
      <c r="DG54" s="812"/>
      <c r="DH54" s="812"/>
      <c r="DI54" s="812"/>
      <c r="DJ54" s="812"/>
      <c r="DK54" s="812"/>
      <c r="DL54" s="812"/>
      <c r="DM54" s="812"/>
      <c r="DN54" s="812"/>
      <c r="DO54" s="812"/>
      <c r="DP54" s="812"/>
      <c r="DQ54" s="812"/>
      <c r="DR54" s="812"/>
      <c r="DS54" s="812"/>
      <c r="DT54" s="812"/>
      <c r="DU54" s="812"/>
      <c r="DV54" s="812"/>
      <c r="DW54" s="812"/>
      <c r="DX54" s="812"/>
      <c r="DY54" s="812"/>
      <c r="DZ54" s="812"/>
      <c r="EA54" s="812"/>
      <c r="EB54" s="812"/>
      <c r="EC54" s="812"/>
      <c r="ED54" s="812"/>
      <c r="EE54" s="812"/>
      <c r="EF54" s="812"/>
      <c r="EG54" s="812"/>
      <c r="EH54" s="812"/>
      <c r="EI54" s="812"/>
      <c r="EJ54" s="812"/>
      <c r="EK54" s="812"/>
      <c r="EL54" s="812"/>
      <c r="EM54" s="812"/>
      <c r="EN54" s="812"/>
      <c r="EO54" s="812"/>
      <c r="EP54" s="812"/>
      <c r="EQ54" s="812"/>
      <c r="ER54" s="812"/>
      <c r="ES54" s="812"/>
      <c r="ET54" s="812"/>
      <c r="EU54" s="812"/>
      <c r="EV54" s="812"/>
      <c r="EW54" s="812"/>
      <c r="EX54" s="812"/>
      <c r="EY54" s="812"/>
      <c r="EZ54" s="812"/>
      <c r="FA54" s="812"/>
      <c r="FB54" s="812"/>
      <c r="FC54" s="812"/>
      <c r="FD54" s="812"/>
      <c r="FE54" s="812"/>
      <c r="FF54" s="812"/>
      <c r="FG54" s="812"/>
      <c r="FH54" s="812"/>
      <c r="FI54" s="812"/>
      <c r="FJ54" s="812"/>
      <c r="FK54" s="812"/>
      <c r="FL54" s="812"/>
      <c r="FM54" s="812"/>
      <c r="FN54" s="812"/>
      <c r="FO54" s="812"/>
      <c r="FP54" s="812"/>
      <c r="FQ54" s="812"/>
      <c r="FR54" s="812"/>
      <c r="FS54" s="812"/>
      <c r="FT54" s="812"/>
      <c r="FU54" s="812"/>
      <c r="FV54" s="812"/>
      <c r="FW54" s="812"/>
      <c r="FX54" s="812"/>
      <c r="FY54" s="812"/>
      <c r="FZ54" s="812"/>
      <c r="GA54" s="812"/>
      <c r="GB54" s="812"/>
      <c r="GC54" s="812"/>
      <c r="GD54" s="812"/>
      <c r="GE54" s="812"/>
      <c r="GF54" s="812"/>
      <c r="GG54" s="812"/>
      <c r="GH54" s="812"/>
      <c r="GI54" s="812"/>
      <c r="GJ54" s="812"/>
      <c r="GK54" s="812"/>
      <c r="GL54" s="812"/>
      <c r="GM54" s="812"/>
      <c r="GN54" s="812"/>
      <c r="GO54" s="812"/>
      <c r="GP54" s="812"/>
      <c r="GQ54" s="812"/>
      <c r="GR54" s="812"/>
      <c r="GS54" s="812"/>
      <c r="GT54" s="812"/>
      <c r="GU54" s="812"/>
      <c r="GV54" s="812"/>
      <c r="GW54" s="812"/>
      <c r="GX54" s="812"/>
      <c r="GY54" s="812"/>
      <c r="GZ54" s="812"/>
      <c r="HA54" s="812"/>
      <c r="HB54" s="812"/>
      <c r="HC54" s="812"/>
      <c r="HD54" s="812"/>
      <c r="HE54" s="812"/>
      <c r="HF54" s="812"/>
      <c r="HG54" s="812"/>
      <c r="HH54" s="812"/>
      <c r="HI54" s="812"/>
      <c r="HJ54" s="812"/>
      <c r="HK54" s="812"/>
      <c r="HL54" s="812"/>
      <c r="HM54" s="812"/>
      <c r="HN54" s="812"/>
      <c r="HO54" s="812"/>
      <c r="HP54" s="812"/>
      <c r="HQ54" s="812"/>
      <c r="HR54" s="812"/>
      <c r="HS54" s="812"/>
      <c r="HT54" s="812"/>
      <c r="HU54" s="812"/>
      <c r="HV54" s="812"/>
      <c r="HW54" s="812"/>
      <c r="HX54" s="812"/>
      <c r="HY54" s="812"/>
      <c r="HZ54" s="812"/>
      <c r="IA54" s="812"/>
      <c r="IB54" s="812"/>
      <c r="IC54" s="812"/>
      <c r="ID54" s="812"/>
      <c r="IE54" s="812"/>
      <c r="IF54" s="812"/>
      <c r="IG54" s="812"/>
      <c r="IH54" s="812"/>
      <c r="II54" s="812"/>
      <c r="IJ54" s="812"/>
      <c r="IK54" s="812"/>
      <c r="IL54" s="812"/>
      <c r="IM54" s="812"/>
      <c r="IN54" s="812"/>
      <c r="IO54" s="812"/>
      <c r="IP54" s="812"/>
      <c r="IQ54" s="812"/>
      <c r="IR54" s="812"/>
      <c r="IS54" s="812"/>
      <c r="IT54" s="812"/>
      <c r="IU54" s="812"/>
      <c r="IV54" s="812"/>
      <c r="IW54" s="812"/>
    </row>
    <row r="55" customFormat="false" ht="11.25" hidden="false" customHeight="false" outlineLevel="0" collapsed="false">
      <c r="A55" s="797" t="s">
        <v>628</v>
      </c>
      <c r="B55" s="813"/>
      <c r="C55" s="814"/>
      <c r="D55" s="815" t="n">
        <f aca="false">IF(AND('Project Assumtions'!$C$66="No",D50&lt;0),D50,IF(AND('Project Assumtions'!$C$66="No",D50&gt;0),D50,IF(D50&lt;0,0,(D50-D53))))</f>
        <v>0</v>
      </c>
      <c r="E55" s="815" t="n">
        <f aca="false">IF(AND('Project Assumtions'!$C$66="No",E50&lt;0),E50,IF(AND('Project Assumtions'!$C$66="No",E50&gt;0),E50,IF(E50&lt;0,0,(E50-E53))))</f>
        <v>0</v>
      </c>
      <c r="F55" s="815" t="n">
        <f aca="false">IF(AND('Project Assumtions'!$C$66="No",F50&lt;0),F50,IF(AND('Project Assumtions'!$C$66="No",F50&gt;0),F50,IF(F50&lt;0,0,(F50-F53))))</f>
        <v>0</v>
      </c>
      <c r="G55" s="815" t="n">
        <f aca="false">IF(AND('Project Assumtions'!$C$66="No",G50&lt;0),G50,IF(AND('Project Assumtions'!$C$66="No",G50&gt;0),G50,IF(G50&lt;0,0,(G50-G53))))</f>
        <v>0</v>
      </c>
      <c r="H55" s="815" t="n">
        <f aca="false">IF(AND('Project Assumtions'!$C$66="No",H50&lt;0),H50,IF(AND('Project Assumtions'!$C$66="No",H50&gt;0),H50,IF(H50&lt;0,0,(H50-H53))))</f>
        <v>2686.18242319111</v>
      </c>
      <c r="I55" s="815" t="n">
        <f aca="false">IF(AND('Project Assumtions'!$C$66="No",I50&lt;0),I50,IF(AND('Project Assumtions'!$C$66="No",I50&gt;0),I50,IF(I50&lt;0,0,(I50-I53))))</f>
        <v>5620.95595475866</v>
      </c>
      <c r="J55" s="815" t="n">
        <f aca="false">IF(AND('Project Assumtions'!$C$66="No",J50&lt;0),J50,IF(AND('Project Assumtions'!$C$66="No",J50&gt;0),J50,IF(J50&lt;0,0,(J50-J53))))</f>
        <v>6070.39785894892</v>
      </c>
      <c r="K55" s="815" t="n">
        <f aca="false">IF(AND('Project Assumtions'!$C$66="No",K50&lt;0),K50,IF(AND('Project Assumtions'!$C$66="No",K50&gt;0),K50,IF(K50&lt;0,0,(K50-K53))))</f>
        <v>6302.89725463923</v>
      </c>
      <c r="L55" s="815" t="n">
        <f aca="false">IF(AND('Project Assumtions'!$C$66="No",L50&lt;0),L50,IF(AND('Project Assumtions'!$C$66="No",L50&gt;0),L50,IF(L50&lt;0,0,(L50-L53))))</f>
        <v>6556.56716190195</v>
      </c>
      <c r="M55" s="815" t="n">
        <f aca="false">IF(AND('Project Assumtions'!$C$66="No",M50&lt;0),M50,IF(AND('Project Assumtions'!$C$66="No",M50&gt;0),M50,IF(M50&lt;0,0,(M50-M53))))</f>
        <v>6910.07747088149</v>
      </c>
      <c r="N55" s="815" t="n">
        <f aca="false">IF(AND('Project Assumtions'!$C$66="No",N50&lt;0),N50,IF(AND('Project Assumtions'!$C$66="No",N50&gt;0),N50,IF(N50&lt;0,0,(N50-N53))))</f>
        <v>7331.99407382291</v>
      </c>
      <c r="O55" s="815" t="n">
        <f aca="false">IF(AND('Project Assumtions'!$C$66="No",O50&lt;0),O50,IF(AND('Project Assumtions'!$C$66="No",O50&gt;0),O50,IF(O50&lt;0,0,(O50-O53))))</f>
        <v>7463.55269711149</v>
      </c>
      <c r="P55" s="815" t="n">
        <f aca="false">IF(AND('Project Assumtions'!$C$66="No",P50&lt;0),P50,IF(AND('Project Assumtions'!$C$66="No",P50&gt;0),P50,IF(P50&lt;0,0,(P50-P53))))</f>
        <v>7673.64734326068</v>
      </c>
      <c r="Q55" s="815" t="n">
        <f aca="false">IF(AND('Project Assumtions'!$C$66="No",Q50&lt;0),Q50,IF(AND('Project Assumtions'!$C$66="No",Q50&gt;0),Q50,IF(Q50&lt;0,0,(Q50-Q53))))</f>
        <v>7618.14170680407</v>
      </c>
      <c r="R55" s="815" t="n">
        <f aca="false">IF(AND('Project Assumtions'!$C$66="No",R50&lt;0),R50,IF(AND('Project Assumtions'!$C$66="No",R50&gt;0),R50,IF(R50&lt;0,0,(R50-R53))))</f>
        <v>7812.86419305964</v>
      </c>
      <c r="S55" s="815" t="n">
        <f aca="false">IF(AND('Project Assumtions'!$C$66="No",S50&lt;0),S50,IF(AND('Project Assumtions'!$C$66="No",S50&gt;0),S50,IF(S50&lt;0,0,(S50-S53))))</f>
        <v>9552.86146627168</v>
      </c>
      <c r="T55" s="815" t="n">
        <f aca="false">IF(AND('Project Assumtions'!$C$66="No",T50&lt;0),T50,IF(AND('Project Assumtions'!$C$66="No",T50&gt;0),T50,IF(T50&lt;0,0,(T50-T53))))</f>
        <v>11287.8286915041</v>
      </c>
      <c r="U55" s="815" t="n">
        <f aca="false">IF(AND('Project Assumtions'!$C$66="No",U50&lt;0),U50,IF(AND('Project Assumtions'!$C$66="No",U50&gt;0),U50,IF(U50&lt;0,0,(U50-U53))))</f>
        <v>11548.0218652835</v>
      </c>
      <c r="V55" s="815" t="n">
        <f aca="false">IF(AND('Project Assumtions'!$C$66="No",V50&lt;0),V50,IF(AND('Project Assumtions'!$C$66="No",V50&gt;0),V50,IF(V50&lt;0,0,(V50-V53))))</f>
        <v>11836.7247165787</v>
      </c>
      <c r="W55" s="815" t="n">
        <f aca="false">IF(AND('Project Assumtions'!$C$66="No",W50&lt;0),W50,IF(AND('Project Assumtions'!$C$66="No",W50&gt;0),W50,IF(W50&lt;0,0,(W50-W53))))</f>
        <v>11870.6053265297</v>
      </c>
      <c r="X55" s="815" t="n">
        <f aca="false">IF(AND('Project Assumtions'!$C$66="No",X50&lt;0),X50,IF(AND('Project Assumtions'!$C$66="No",X50&gt;0),X50,IF(X50&lt;0,0,(X50-X53))))</f>
        <v>4685.95510920514</v>
      </c>
      <c r="Y55" s="815" t="n">
        <f aca="false">IF(AND('Project Assumtions'!$C$66="No",Y50&lt;0),Y50,IF(AND('Project Assumtions'!$C$66="No",Y50&gt;0),Y50,IF(Y50&lt;0,0,(Y50-Y53))))</f>
        <v>0</v>
      </c>
      <c r="Z55" s="815" t="n">
        <f aca="false">IF(AND('Project Assumtions'!$C$66="No",Z50&lt;0),Z50,IF(AND('Project Assumtions'!$C$66="No",Z50&gt;0),Z50,IF(Z50&lt;0,0,(Z50-Z53))))</f>
        <v>0</v>
      </c>
      <c r="AA55" s="815" t="n">
        <f aca="false">IF(AND('Project Assumtions'!$C$66="No",AA50&lt;0),AA50,IF(AND('Project Assumtions'!$C$66="No",AA50&gt;0),AA50,IF(AA50&lt;0,0,(AA50-AA53))))</f>
        <v>0</v>
      </c>
      <c r="AB55" s="816" t="n">
        <f aca="false">IF(AND('Project Assumtions'!$C$66="No",AB50&lt;0),AB50,IF(AND('Project Assumtions'!$C$66="No",AB50&gt;0),AB50,IF(AB50&lt;0,0,(AB50-AB53))))</f>
        <v>0</v>
      </c>
      <c r="AH55" s="812"/>
      <c r="AI55" s="812"/>
      <c r="AJ55" s="812"/>
      <c r="AK55" s="812"/>
      <c r="AL55" s="812"/>
      <c r="AM55" s="812"/>
      <c r="AN55" s="812"/>
      <c r="AO55" s="812"/>
      <c r="AP55" s="812"/>
      <c r="AQ55" s="812"/>
      <c r="AR55" s="812"/>
      <c r="AS55" s="812"/>
      <c r="AT55" s="812"/>
      <c r="AU55" s="812"/>
      <c r="AV55" s="812"/>
      <c r="AW55" s="812"/>
      <c r="AX55" s="812"/>
      <c r="AY55" s="812"/>
      <c r="AZ55" s="812"/>
      <c r="BA55" s="812"/>
      <c r="BB55" s="812"/>
      <c r="BC55" s="812"/>
      <c r="BD55" s="812"/>
      <c r="BE55" s="812"/>
      <c r="BF55" s="812"/>
      <c r="BG55" s="812"/>
      <c r="BH55" s="812"/>
      <c r="BI55" s="812"/>
      <c r="BJ55" s="812"/>
      <c r="BK55" s="812"/>
      <c r="BL55" s="812"/>
      <c r="BM55" s="812"/>
      <c r="BN55" s="812"/>
      <c r="BO55" s="812"/>
      <c r="BP55" s="812"/>
      <c r="BQ55" s="812"/>
      <c r="BR55" s="812"/>
      <c r="BS55" s="812"/>
      <c r="BT55" s="812"/>
      <c r="BU55" s="812"/>
      <c r="BV55" s="812"/>
      <c r="BW55" s="812"/>
      <c r="BX55" s="812"/>
      <c r="BY55" s="812"/>
      <c r="BZ55" s="812"/>
      <c r="CA55" s="812"/>
      <c r="CB55" s="812"/>
      <c r="CC55" s="812"/>
      <c r="CD55" s="812"/>
      <c r="CE55" s="812"/>
      <c r="CF55" s="812"/>
      <c r="CG55" s="812"/>
      <c r="CH55" s="812"/>
      <c r="CI55" s="812"/>
      <c r="CJ55" s="812"/>
      <c r="CK55" s="812"/>
      <c r="CL55" s="812"/>
      <c r="CM55" s="812"/>
      <c r="CN55" s="812"/>
      <c r="CO55" s="812"/>
      <c r="CP55" s="812"/>
      <c r="CQ55" s="812"/>
      <c r="CR55" s="812"/>
      <c r="CS55" s="812"/>
      <c r="CT55" s="812"/>
      <c r="CU55" s="812"/>
      <c r="CV55" s="812"/>
      <c r="CW55" s="812"/>
      <c r="CX55" s="812"/>
      <c r="CY55" s="812"/>
      <c r="CZ55" s="812"/>
      <c r="DA55" s="812"/>
      <c r="DB55" s="812"/>
      <c r="DC55" s="812"/>
      <c r="DD55" s="812"/>
      <c r="DE55" s="812"/>
      <c r="DF55" s="812"/>
      <c r="DG55" s="812"/>
      <c r="DH55" s="812"/>
      <c r="DI55" s="812"/>
      <c r="DJ55" s="812"/>
      <c r="DK55" s="812"/>
      <c r="DL55" s="812"/>
      <c r="DM55" s="812"/>
      <c r="DN55" s="812"/>
      <c r="DO55" s="812"/>
      <c r="DP55" s="812"/>
      <c r="DQ55" s="812"/>
      <c r="DR55" s="812"/>
      <c r="DS55" s="812"/>
      <c r="DT55" s="812"/>
      <c r="DU55" s="812"/>
      <c r="DV55" s="812"/>
      <c r="DW55" s="812"/>
      <c r="DX55" s="812"/>
      <c r="DY55" s="812"/>
      <c r="DZ55" s="812"/>
      <c r="EA55" s="812"/>
      <c r="EB55" s="812"/>
      <c r="EC55" s="812"/>
      <c r="ED55" s="812"/>
      <c r="EE55" s="812"/>
      <c r="EF55" s="812"/>
      <c r="EG55" s="812"/>
      <c r="EH55" s="812"/>
      <c r="EI55" s="812"/>
      <c r="EJ55" s="812"/>
      <c r="EK55" s="812"/>
      <c r="EL55" s="812"/>
      <c r="EM55" s="812"/>
      <c r="EN55" s="812"/>
      <c r="EO55" s="812"/>
      <c r="EP55" s="812"/>
      <c r="EQ55" s="812"/>
      <c r="ER55" s="812"/>
      <c r="ES55" s="812"/>
      <c r="ET55" s="812"/>
      <c r="EU55" s="812"/>
      <c r="EV55" s="812"/>
      <c r="EW55" s="812"/>
      <c r="EX55" s="812"/>
      <c r="EY55" s="812"/>
      <c r="EZ55" s="812"/>
      <c r="FA55" s="812"/>
      <c r="FB55" s="812"/>
      <c r="FC55" s="812"/>
      <c r="FD55" s="812"/>
      <c r="FE55" s="812"/>
      <c r="FF55" s="812"/>
      <c r="FG55" s="812"/>
      <c r="FH55" s="812"/>
      <c r="FI55" s="812"/>
      <c r="FJ55" s="812"/>
      <c r="FK55" s="812"/>
      <c r="FL55" s="812"/>
      <c r="FM55" s="812"/>
      <c r="FN55" s="812"/>
      <c r="FO55" s="812"/>
      <c r="FP55" s="812"/>
      <c r="FQ55" s="812"/>
      <c r="FR55" s="812"/>
      <c r="FS55" s="812"/>
      <c r="FT55" s="812"/>
      <c r="FU55" s="812"/>
      <c r="FV55" s="812"/>
      <c r="FW55" s="812"/>
      <c r="FX55" s="812"/>
      <c r="FY55" s="812"/>
      <c r="FZ55" s="812"/>
      <c r="GA55" s="812"/>
      <c r="GB55" s="812"/>
      <c r="GC55" s="812"/>
      <c r="GD55" s="812"/>
      <c r="GE55" s="812"/>
      <c r="GF55" s="812"/>
      <c r="GG55" s="812"/>
      <c r="GH55" s="812"/>
      <c r="GI55" s="812"/>
      <c r="GJ55" s="812"/>
      <c r="GK55" s="812"/>
      <c r="GL55" s="812"/>
      <c r="GM55" s="812"/>
      <c r="GN55" s="812"/>
      <c r="GO55" s="812"/>
      <c r="GP55" s="812"/>
      <c r="GQ55" s="812"/>
      <c r="GR55" s="812"/>
      <c r="GS55" s="812"/>
      <c r="GT55" s="812"/>
      <c r="GU55" s="812"/>
      <c r="GV55" s="812"/>
      <c r="GW55" s="812"/>
      <c r="GX55" s="812"/>
      <c r="GY55" s="812"/>
      <c r="GZ55" s="812"/>
      <c r="HA55" s="812"/>
      <c r="HB55" s="812"/>
      <c r="HC55" s="812"/>
      <c r="HD55" s="812"/>
      <c r="HE55" s="812"/>
      <c r="HF55" s="812"/>
      <c r="HG55" s="812"/>
      <c r="HH55" s="812"/>
      <c r="HI55" s="812"/>
      <c r="HJ55" s="812"/>
      <c r="HK55" s="812"/>
      <c r="HL55" s="812"/>
      <c r="HM55" s="812"/>
      <c r="HN55" s="812"/>
      <c r="HO55" s="812"/>
      <c r="HP55" s="812"/>
      <c r="HQ55" s="812"/>
      <c r="HR55" s="812"/>
      <c r="HS55" s="812"/>
      <c r="HT55" s="812"/>
      <c r="HU55" s="812"/>
      <c r="HV55" s="812"/>
      <c r="HW55" s="812"/>
      <c r="HX55" s="812"/>
      <c r="HY55" s="812"/>
      <c r="HZ55" s="812"/>
      <c r="IA55" s="812"/>
      <c r="IB55" s="812"/>
      <c r="IC55" s="812"/>
      <c r="ID55" s="812"/>
      <c r="IE55" s="812"/>
      <c r="IF55" s="812"/>
      <c r="IG55" s="812"/>
      <c r="IH55" s="812"/>
      <c r="II55" s="812"/>
      <c r="IJ55" s="812"/>
      <c r="IK55" s="812"/>
      <c r="IL55" s="812"/>
      <c r="IM55" s="812"/>
      <c r="IN55" s="812"/>
      <c r="IO55" s="812"/>
      <c r="IP55" s="812"/>
      <c r="IQ55" s="812"/>
      <c r="IR55" s="812"/>
      <c r="IS55" s="812"/>
      <c r="IT55" s="812"/>
      <c r="IU55" s="812"/>
      <c r="IV55" s="812"/>
      <c r="IW55" s="812"/>
    </row>
    <row r="56" customFormat="false" ht="11.25" hidden="false" customHeight="false" outlineLevel="0" collapsed="false">
      <c r="A56" s="428"/>
      <c r="B56" s="606"/>
      <c r="C56" s="428"/>
      <c r="D56" s="807"/>
      <c r="E56" s="807"/>
      <c r="F56" s="807"/>
      <c r="G56" s="807"/>
      <c r="H56" s="807"/>
      <c r="I56" s="807"/>
      <c r="J56" s="807"/>
      <c r="K56" s="807"/>
      <c r="L56" s="807"/>
      <c r="M56" s="807"/>
      <c r="N56" s="807"/>
      <c r="O56" s="807"/>
      <c r="P56" s="807"/>
      <c r="Q56" s="807"/>
      <c r="R56" s="807"/>
      <c r="S56" s="807"/>
      <c r="T56" s="807"/>
      <c r="U56" s="807"/>
      <c r="V56" s="807"/>
      <c r="W56" s="807"/>
      <c r="X56" s="807"/>
      <c r="Y56" s="807"/>
      <c r="Z56" s="807"/>
      <c r="AA56" s="807"/>
      <c r="AB56" s="807"/>
      <c r="AH56" s="812"/>
      <c r="AI56" s="812"/>
      <c r="AJ56" s="812"/>
      <c r="AK56" s="812"/>
      <c r="AL56" s="812"/>
      <c r="AM56" s="812"/>
      <c r="AN56" s="812"/>
      <c r="AO56" s="812"/>
      <c r="AP56" s="812"/>
      <c r="AQ56" s="812"/>
      <c r="AR56" s="812"/>
      <c r="AS56" s="812"/>
      <c r="AT56" s="812"/>
      <c r="AU56" s="812"/>
      <c r="AV56" s="812"/>
      <c r="AW56" s="812"/>
      <c r="AX56" s="812"/>
      <c r="AY56" s="812"/>
      <c r="AZ56" s="812"/>
      <c r="BA56" s="812"/>
      <c r="BB56" s="812"/>
      <c r="BC56" s="812"/>
      <c r="BD56" s="812"/>
      <c r="BE56" s="812"/>
      <c r="BF56" s="812"/>
      <c r="BG56" s="812"/>
      <c r="BH56" s="812"/>
      <c r="BI56" s="812"/>
      <c r="BJ56" s="812"/>
      <c r="BK56" s="812"/>
      <c r="BL56" s="812"/>
      <c r="BM56" s="812"/>
      <c r="BN56" s="812"/>
      <c r="BO56" s="812"/>
      <c r="BP56" s="812"/>
      <c r="BQ56" s="812"/>
      <c r="BR56" s="812"/>
      <c r="BS56" s="812"/>
      <c r="BT56" s="812"/>
      <c r="BU56" s="812"/>
      <c r="BV56" s="812"/>
      <c r="BW56" s="812"/>
      <c r="BX56" s="812"/>
      <c r="BY56" s="812"/>
      <c r="BZ56" s="812"/>
      <c r="CA56" s="812"/>
      <c r="CB56" s="812"/>
      <c r="CC56" s="812"/>
      <c r="CD56" s="812"/>
      <c r="CE56" s="812"/>
      <c r="CF56" s="812"/>
      <c r="CG56" s="812"/>
      <c r="CH56" s="812"/>
      <c r="CI56" s="812"/>
      <c r="CJ56" s="812"/>
      <c r="CK56" s="812"/>
      <c r="CL56" s="812"/>
      <c r="CM56" s="812"/>
      <c r="CN56" s="812"/>
      <c r="CO56" s="812"/>
      <c r="CP56" s="812"/>
      <c r="CQ56" s="812"/>
      <c r="CR56" s="812"/>
      <c r="CS56" s="812"/>
      <c r="CT56" s="812"/>
      <c r="CU56" s="812"/>
      <c r="CV56" s="812"/>
      <c r="CW56" s="812"/>
      <c r="CX56" s="812"/>
      <c r="CY56" s="812"/>
      <c r="CZ56" s="812"/>
      <c r="DA56" s="812"/>
      <c r="DB56" s="812"/>
      <c r="DC56" s="812"/>
      <c r="DD56" s="812"/>
      <c r="DE56" s="812"/>
      <c r="DF56" s="812"/>
      <c r="DG56" s="812"/>
      <c r="DH56" s="812"/>
      <c r="DI56" s="812"/>
      <c r="DJ56" s="812"/>
      <c r="DK56" s="812"/>
      <c r="DL56" s="812"/>
      <c r="DM56" s="812"/>
      <c r="DN56" s="812"/>
      <c r="DO56" s="812"/>
      <c r="DP56" s="812"/>
      <c r="DQ56" s="812"/>
      <c r="DR56" s="812"/>
      <c r="DS56" s="812"/>
      <c r="DT56" s="812"/>
      <c r="DU56" s="812"/>
      <c r="DV56" s="812"/>
      <c r="DW56" s="812"/>
      <c r="DX56" s="812"/>
      <c r="DY56" s="812"/>
      <c r="DZ56" s="812"/>
      <c r="EA56" s="812"/>
      <c r="EB56" s="812"/>
      <c r="EC56" s="812"/>
      <c r="ED56" s="812"/>
      <c r="EE56" s="812"/>
      <c r="EF56" s="812"/>
      <c r="EG56" s="812"/>
      <c r="EH56" s="812"/>
      <c r="EI56" s="812"/>
      <c r="EJ56" s="812"/>
      <c r="EK56" s="812"/>
      <c r="EL56" s="812"/>
      <c r="EM56" s="812"/>
      <c r="EN56" s="812"/>
      <c r="EO56" s="812"/>
      <c r="EP56" s="812"/>
      <c r="EQ56" s="812"/>
      <c r="ER56" s="812"/>
      <c r="ES56" s="812"/>
      <c r="ET56" s="812"/>
      <c r="EU56" s="812"/>
      <c r="EV56" s="812"/>
      <c r="EW56" s="812"/>
      <c r="EX56" s="812"/>
      <c r="EY56" s="812"/>
      <c r="EZ56" s="812"/>
      <c r="FA56" s="812"/>
      <c r="FB56" s="812"/>
      <c r="FC56" s="812"/>
      <c r="FD56" s="812"/>
      <c r="FE56" s="812"/>
      <c r="FF56" s="812"/>
      <c r="FG56" s="812"/>
      <c r="FH56" s="812"/>
      <c r="FI56" s="812"/>
      <c r="FJ56" s="812"/>
      <c r="FK56" s="812"/>
      <c r="FL56" s="812"/>
      <c r="FM56" s="812"/>
      <c r="FN56" s="812"/>
      <c r="FO56" s="812"/>
      <c r="FP56" s="812"/>
      <c r="FQ56" s="812"/>
      <c r="FR56" s="812"/>
      <c r="FS56" s="812"/>
      <c r="FT56" s="812"/>
      <c r="FU56" s="812"/>
      <c r="FV56" s="812"/>
      <c r="FW56" s="812"/>
      <c r="FX56" s="812"/>
      <c r="FY56" s="812"/>
      <c r="FZ56" s="812"/>
      <c r="GA56" s="812"/>
      <c r="GB56" s="812"/>
      <c r="GC56" s="812"/>
      <c r="GD56" s="812"/>
      <c r="GE56" s="812"/>
      <c r="GF56" s="812"/>
      <c r="GG56" s="812"/>
      <c r="GH56" s="812"/>
      <c r="GI56" s="812"/>
      <c r="GJ56" s="812"/>
      <c r="GK56" s="812"/>
      <c r="GL56" s="812"/>
      <c r="GM56" s="812"/>
      <c r="GN56" s="812"/>
      <c r="GO56" s="812"/>
      <c r="GP56" s="812"/>
      <c r="GQ56" s="812"/>
      <c r="GR56" s="812"/>
      <c r="GS56" s="812"/>
      <c r="GT56" s="812"/>
      <c r="GU56" s="812"/>
      <c r="GV56" s="812"/>
      <c r="GW56" s="812"/>
      <c r="GX56" s="812"/>
      <c r="GY56" s="812"/>
      <c r="GZ56" s="812"/>
      <c r="HA56" s="812"/>
      <c r="HB56" s="812"/>
      <c r="HC56" s="812"/>
      <c r="HD56" s="812"/>
      <c r="HE56" s="812"/>
      <c r="HF56" s="812"/>
      <c r="HG56" s="812"/>
      <c r="HH56" s="812"/>
      <c r="HI56" s="812"/>
      <c r="HJ56" s="812"/>
      <c r="HK56" s="812"/>
      <c r="HL56" s="812"/>
      <c r="HM56" s="812"/>
      <c r="HN56" s="812"/>
      <c r="HO56" s="812"/>
      <c r="HP56" s="812"/>
      <c r="HQ56" s="812"/>
      <c r="HR56" s="812"/>
      <c r="HS56" s="812"/>
      <c r="HT56" s="812"/>
      <c r="HU56" s="812"/>
      <c r="HV56" s="812"/>
      <c r="HW56" s="812"/>
      <c r="HX56" s="812"/>
      <c r="HY56" s="812"/>
      <c r="HZ56" s="812"/>
      <c r="IA56" s="812"/>
      <c r="IB56" s="812"/>
      <c r="IC56" s="812"/>
      <c r="ID56" s="812"/>
      <c r="IE56" s="812"/>
      <c r="IF56" s="812"/>
      <c r="IG56" s="812"/>
      <c r="IH56" s="812"/>
      <c r="II56" s="812"/>
      <c r="IJ56" s="812"/>
      <c r="IK56" s="812"/>
      <c r="IL56" s="812"/>
      <c r="IM56" s="812"/>
      <c r="IN56" s="812"/>
      <c r="IO56" s="812"/>
      <c r="IP56" s="812"/>
      <c r="IQ56" s="812"/>
      <c r="IR56" s="812"/>
      <c r="IS56" s="812"/>
      <c r="IT56" s="812"/>
      <c r="IU56" s="812"/>
      <c r="IV56" s="812"/>
      <c r="IW56" s="812"/>
    </row>
    <row r="57" customFormat="false" ht="12.75" hidden="false" customHeight="false" outlineLevel="0" collapsed="false">
      <c r="A57" s="265"/>
      <c r="B57" s="606"/>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row>
    <row r="58" customFormat="false" ht="11.25" hidden="false" customHeight="false" outlineLevel="0" collapsed="false">
      <c r="A58" s="802" t="s">
        <v>629</v>
      </c>
      <c r="B58" s="374"/>
      <c r="C58" s="374"/>
      <c r="D58" s="374"/>
      <c r="E58" s="374"/>
      <c r="F58" s="374"/>
      <c r="G58" s="374"/>
      <c r="H58" s="374"/>
      <c r="I58" s="374"/>
      <c r="J58" s="374"/>
      <c r="K58" s="374"/>
      <c r="L58" s="374"/>
      <c r="M58" s="374"/>
      <c r="N58" s="374"/>
      <c r="O58" s="374"/>
      <c r="P58" s="374"/>
      <c r="Q58" s="374"/>
      <c r="R58" s="374"/>
      <c r="S58" s="374"/>
      <c r="T58" s="374"/>
      <c r="U58" s="374"/>
      <c r="V58" s="374"/>
      <c r="W58" s="374"/>
      <c r="X58" s="374"/>
      <c r="Y58" s="374"/>
      <c r="Z58" s="374"/>
      <c r="AA58" s="374"/>
      <c r="AB58" s="511"/>
    </row>
    <row r="59" customFormat="false" ht="11.25" hidden="false" customHeight="false" outlineLevel="0" collapsed="false">
      <c r="A59" s="403"/>
      <c r="B59" s="378"/>
      <c r="C59" s="378"/>
      <c r="D59" s="378"/>
      <c r="E59" s="378"/>
      <c r="F59" s="378"/>
      <c r="G59" s="378"/>
      <c r="H59" s="378"/>
      <c r="I59" s="378"/>
      <c r="J59" s="378"/>
      <c r="K59" s="378"/>
      <c r="L59" s="378"/>
      <c r="M59" s="378"/>
      <c r="N59" s="378"/>
      <c r="O59" s="378"/>
      <c r="P59" s="378"/>
      <c r="Q59" s="378"/>
      <c r="R59" s="378"/>
      <c r="S59" s="378"/>
      <c r="T59" s="378"/>
      <c r="U59" s="378"/>
      <c r="V59" s="378"/>
      <c r="W59" s="378"/>
      <c r="X59" s="378"/>
      <c r="Y59" s="378"/>
      <c r="Z59" s="378"/>
      <c r="AA59" s="378"/>
      <c r="AB59" s="408"/>
    </row>
    <row r="60" customFormat="false" ht="11.25" hidden="false" customHeight="false" outlineLevel="0" collapsed="false">
      <c r="A60" s="403" t="s">
        <v>630</v>
      </c>
      <c r="B60" s="378"/>
      <c r="C60" s="378"/>
      <c r="D60" s="450" t="n">
        <f aca="false">'Cash Flow Statement'!D21+'Cash Flow Statement'!D9</f>
        <v>188.340226</v>
      </c>
      <c r="E60" s="450" t="n">
        <f aca="false">'Cash Flow Statement'!E21+'Cash Flow Statement'!E9</f>
        <v>452.31330700968</v>
      </c>
      <c r="F60" s="450" t="n">
        <f aca="false">'Cash Flow Statement'!F21+'Cash Flow Statement'!F9</f>
        <v>306.5780550504</v>
      </c>
      <c r="G60" s="450" t="n">
        <f aca="false">'Cash Flow Statement'!G21+'Cash Flow Statement'!G9</f>
        <v>572.615835490775</v>
      </c>
      <c r="H60" s="450" t="n">
        <f aca="false">'Cash Flow Statement'!H21+'Cash Flow Statement'!H9</f>
        <v>4024.1657751057</v>
      </c>
      <c r="I60" s="450" t="n">
        <f aca="false">'Cash Flow Statement'!I21+'Cash Flow Statement'!I9</f>
        <v>7407.96906283604</v>
      </c>
      <c r="J60" s="450" t="n">
        <f aca="false">'Cash Flow Statement'!J21+'Cash Flow Statement'!J9</f>
        <v>7994.17384246698</v>
      </c>
      <c r="K60" s="450" t="n">
        <f aca="false">'Cash Flow Statement'!K21+'Cash Flow Statement'!K9</f>
        <v>8370.4757287655</v>
      </c>
      <c r="L60" s="450" t="n">
        <f aca="false">'Cash Flow Statement'!L21+'Cash Flow Statement'!L9</f>
        <v>8793.86378453879</v>
      </c>
      <c r="M60" s="450" t="n">
        <f aca="false">'Cash Flow Statement'!M21+'Cash Flow Statement'!M9</f>
        <v>9303.07066572528</v>
      </c>
      <c r="N60" s="450" t="n">
        <f aca="false">'Cash Flow Statement'!N21+'Cash Flow Statement'!N9</f>
        <v>9820.6595719376</v>
      </c>
      <c r="O60" s="450" t="n">
        <f aca="false">'Cash Flow Statement'!O21+'Cash Flow Statement'!O9</f>
        <v>9979.73068256947</v>
      </c>
      <c r="P60" s="450" t="n">
        <f aca="false">'Cash Flow Statement'!P21+'Cash Flow Statement'!P9</f>
        <v>10406.9690128191</v>
      </c>
      <c r="Q60" s="450" t="n">
        <f aca="false">'Cash Flow Statement'!Q21+'Cash Flow Statement'!Q9</f>
        <v>10338.442574811</v>
      </c>
      <c r="R60" s="450" t="n">
        <f aca="false">'Cash Flow Statement'!R21+'Cash Flow Statement'!R9</f>
        <v>10580.3044639338</v>
      </c>
      <c r="S60" s="450" t="n">
        <f aca="false">'Cash Flow Statement'!S21+'Cash Flow Statement'!S9</f>
        <v>12574.9667413292</v>
      </c>
      <c r="T60" s="450" t="n">
        <f aca="false">'Cash Flow Statement'!T21+'Cash Flow Statement'!T9</f>
        <v>14563.3662305855</v>
      </c>
      <c r="U60" s="450" t="n">
        <f aca="false">'Cash Flow Statement'!U21+'Cash Flow Statement'!U9</f>
        <v>14887.3263059582</v>
      </c>
      <c r="V60" s="450" t="n">
        <f aca="false">'Cash Flow Statement'!V21+'Cash Flow Statement'!V9</f>
        <v>15246.7830745864</v>
      </c>
      <c r="W60" s="450" t="n">
        <f aca="false">'Cash Flow Statement'!W21+'Cash Flow Statement'!W9</f>
        <v>15288.9669827726</v>
      </c>
      <c r="X60" s="450" t="n">
        <f aca="false">'Cash Flow Statement'!X21+'Cash Flow Statement'!X9</f>
        <v>5674.49140186134</v>
      </c>
      <c r="Y60" s="450" t="n">
        <f aca="false">'Cash Flow Statement'!Y21+'Cash Flow Statement'!Y9</f>
        <v>0</v>
      </c>
      <c r="Z60" s="450" t="n">
        <f aca="false">'Cash Flow Statement'!Z21+'Cash Flow Statement'!Z9</f>
        <v>0</v>
      </c>
      <c r="AA60" s="450" t="n">
        <f aca="false">'Cash Flow Statement'!AA21+'Cash Flow Statement'!AA9</f>
        <v>0</v>
      </c>
      <c r="AB60" s="451" t="n">
        <f aca="false">'Cash Flow Statement'!AB21+'Cash Flow Statement'!AB9</f>
        <v>0</v>
      </c>
    </row>
    <row r="61" customFormat="false" ht="11.25" hidden="false" customHeight="false" outlineLevel="0" collapsed="false">
      <c r="A61" s="403" t="s">
        <v>631</v>
      </c>
      <c r="B61" s="378"/>
      <c r="C61" s="378"/>
      <c r="D61" s="817" t="n">
        <f aca="false">'Book Income Statement'!D75+'Book Income Statement'!D74+'Book Income Statement'!D79+'Cash Flow Statement'!D8</f>
        <v>148.721969948126</v>
      </c>
      <c r="E61" s="817" t="n">
        <f aca="false">'Book Income Statement'!E75+'Book Income Statement'!E74+'Book Income Statement'!E79+'Cash Flow Statement'!E8</f>
        <v>2587.44875161656</v>
      </c>
      <c r="F61" s="817" t="n">
        <f aca="false">'Book Income Statement'!F75+'Book Income Statement'!F74+'Book Income Statement'!F79+'Cash Flow Statement'!F8</f>
        <v>2737.39559875857</v>
      </c>
      <c r="G61" s="817" t="n">
        <f aca="false">'Book Income Statement'!G75+'Book Income Statement'!G74+'Book Income Statement'!G79+'Cash Flow Statement'!G8</f>
        <v>5890.07239723427</v>
      </c>
      <c r="H61" s="817" t="n">
        <f aca="false">'Book Income Statement'!H75+'Book Income Statement'!H74+'Book Income Statement'!H79+'Cash Flow Statement'!H8</f>
        <v>8715.8022553896</v>
      </c>
      <c r="I61" s="817" t="n">
        <f aca="false">'Book Income Statement'!I75+'Book Income Statement'!I74+'Book Income Statement'!I79+'Cash Flow Statement'!I8</f>
        <v>9385.86569951564</v>
      </c>
      <c r="J61" s="817" t="n">
        <f aca="false">'Book Income Statement'!J75+'Book Income Statement'!J74+'Book Income Statement'!J79+'Cash Flow Statement'!J8</f>
        <v>9815.08687592226</v>
      </c>
      <c r="K61" s="817" t="n">
        <f aca="false">'Book Income Statement'!K75+'Book Income Statement'!K74+'Book Income Statement'!K79+'Cash Flow Statement'!K8</f>
        <v>10219.2621919549</v>
      </c>
      <c r="L61" s="817" t="n">
        <f aca="false">'Book Income Statement'!L75+'Book Income Statement'!L74+'Book Income Statement'!L79+'Cash Flow Statement'!L8</f>
        <v>10597.0141223325</v>
      </c>
      <c r="M61" s="817" t="n">
        <f aca="false">'Book Income Statement'!M75+'Book Income Statement'!M74+'Book Income Statement'!M79+'Cash Flow Statement'!M8</f>
        <v>11036.5781862386</v>
      </c>
      <c r="N61" s="817" t="n">
        <f aca="false">'Book Income Statement'!N75+'Book Income Statement'!N74+'Book Income Statement'!N79+'Cash Flow Statement'!N8</f>
        <v>11550.0206850184</v>
      </c>
      <c r="O61" s="817" t="n">
        <f aca="false">'Book Income Statement'!O75+'Book Income Statement'!O74+'Book Income Statement'!O79+'Cash Flow Statement'!O8</f>
        <v>11886.6218984357</v>
      </c>
      <c r="P61" s="817" t="n">
        <f aca="false">'Book Income Statement'!P75+'Book Income Statement'!P74+'Book Income Statement'!P79+'Cash Flow Statement'!P8</f>
        <v>12141.6416532604</v>
      </c>
      <c r="Q61" s="817" t="n">
        <f aca="false">'Book Income Statement'!Q75+'Book Income Statement'!Q74+'Book Income Statement'!Q79+'Cash Flow Statement'!Q8</f>
        <v>12079.0968450469</v>
      </c>
      <c r="R61" s="817" t="n">
        <f aca="false">'Book Income Statement'!R75+'Book Income Statement'!R74+'Book Income Statement'!R79+'Cash Flow Statement'!R8</f>
        <v>12314.977104375</v>
      </c>
      <c r="S61" s="817" t="n">
        <f aca="false">'Book Income Statement'!S75+'Book Income Statement'!S74+'Book Income Statement'!S79+'Cash Flow Statement'!S8</f>
        <v>12545.058592356</v>
      </c>
      <c r="T61" s="817" t="n">
        <f aca="false">'Book Income Statement'!T75+'Book Income Statement'!T74+'Book Income Statement'!T79+'Cash Flow Statement'!T8</f>
        <v>12768.877292198</v>
      </c>
      <c r="U61" s="817" t="n">
        <f aca="false">'Book Income Statement'!U75+'Book Income Statement'!U74+'Book Income Statement'!U79+'Cash Flow Statement'!U8</f>
        <v>13092.8373675707</v>
      </c>
      <c r="V61" s="817" t="n">
        <f aca="false">'Book Income Statement'!V75+'Book Income Statement'!V74+'Book Income Statement'!V79+'Cash Flow Statement'!V8</f>
        <v>13452.2941361989</v>
      </c>
      <c r="W61" s="817" t="n">
        <f aca="false">'Book Income Statement'!W75+'Book Income Statement'!W74+'Book Income Statement'!W79+'Cash Flow Statement'!W8</f>
        <v>13494.4780443851</v>
      </c>
      <c r="X61" s="817" t="n">
        <f aca="false">'Book Income Statement'!X75+'Book Income Statement'!X74+'Book Income Statement'!X79+'Cash Flow Statement'!X8</f>
        <v>4280.52659264329</v>
      </c>
      <c r="Y61" s="817" t="n">
        <f aca="false">'Book Income Statement'!Y75+'Book Income Statement'!Y74+'Book Income Statement'!Y79+'Cash Flow Statement'!Y8</f>
        <v>0</v>
      </c>
      <c r="Z61" s="817" t="n">
        <f aca="false">'Book Income Statement'!Z75+'Book Income Statement'!Z74+'Book Income Statement'!Z79+'Cash Flow Statement'!Z8</f>
        <v>0</v>
      </c>
      <c r="AA61" s="817" t="n">
        <f aca="false">'Book Income Statement'!AA75+'Book Income Statement'!AA74+'Book Income Statement'!AA79+'Cash Flow Statement'!AA8</f>
        <v>0</v>
      </c>
      <c r="AB61" s="818" t="n">
        <f aca="false">'Book Income Statement'!AB75+'Book Income Statement'!AB74+'Book Income Statement'!AB79+'Cash Flow Statement'!AB8</f>
        <v>0</v>
      </c>
    </row>
    <row r="62" customFormat="false" ht="11.25" hidden="false" customHeight="false" outlineLevel="0" collapsed="false">
      <c r="A62" s="403" t="s">
        <v>632</v>
      </c>
      <c r="B62" s="378"/>
      <c r="C62" s="378"/>
      <c r="D62" s="450" t="n">
        <f aca="false">D61-D60</f>
        <v>-39.6182560518743</v>
      </c>
      <c r="E62" s="450" t="n">
        <f aca="false">E61-E60</f>
        <v>2135.13544460688</v>
      </c>
      <c r="F62" s="450" t="n">
        <f aca="false">F61-F60</f>
        <v>2430.81754370817</v>
      </c>
      <c r="G62" s="450" t="n">
        <f aca="false">G61-G60</f>
        <v>5317.4565617435</v>
      </c>
      <c r="H62" s="450" t="n">
        <f aca="false">H61-H60</f>
        <v>4691.6364802839</v>
      </c>
      <c r="I62" s="450" t="n">
        <f aca="false">I61-I60</f>
        <v>1977.8966366796</v>
      </c>
      <c r="J62" s="450" t="n">
        <f aca="false">J61-J60</f>
        <v>1820.91303345529</v>
      </c>
      <c r="K62" s="450" t="n">
        <f aca="false">K61-K60</f>
        <v>1848.78646318942</v>
      </c>
      <c r="L62" s="450" t="n">
        <f aca="false">L61-L60</f>
        <v>1803.15033779374</v>
      </c>
      <c r="M62" s="450" t="n">
        <f aca="false">M61-M60</f>
        <v>1733.50752051337</v>
      </c>
      <c r="N62" s="450" t="n">
        <f aca="false">N61-N60</f>
        <v>1729.3611130808</v>
      </c>
      <c r="O62" s="450" t="n">
        <f aca="false">O61-O60</f>
        <v>1906.89121586624</v>
      </c>
      <c r="P62" s="450" t="n">
        <f aca="false">P61-P60</f>
        <v>1734.67264044125</v>
      </c>
      <c r="Q62" s="450" t="n">
        <f aca="false">Q61-Q60</f>
        <v>1740.65427023587</v>
      </c>
      <c r="R62" s="450" t="n">
        <f aca="false">R61-R60</f>
        <v>1734.67264044125</v>
      </c>
      <c r="S62" s="450" t="n">
        <f aca="false">S61-S60</f>
        <v>-29.908148973127</v>
      </c>
      <c r="T62" s="450" t="n">
        <f aca="false">T61-T60</f>
        <v>-1794.4889383875</v>
      </c>
      <c r="U62" s="450" t="n">
        <f aca="false">U61-U60</f>
        <v>-1794.4889383875</v>
      </c>
      <c r="V62" s="450" t="n">
        <f aca="false">V61-V60</f>
        <v>-1794.4889383875</v>
      </c>
      <c r="W62" s="450" t="n">
        <f aca="false">W61-W60</f>
        <v>-1794.4889383875</v>
      </c>
      <c r="X62" s="450" t="n">
        <f aca="false">X61-X60</f>
        <v>-1393.96480921806</v>
      </c>
      <c r="Y62" s="450" t="n">
        <f aca="false">Y61-Y60</f>
        <v>0</v>
      </c>
      <c r="Z62" s="450" t="n">
        <f aca="false">Z61-Z60</f>
        <v>0</v>
      </c>
      <c r="AA62" s="450" t="n">
        <f aca="false">AA61-AA60</f>
        <v>0</v>
      </c>
      <c r="AB62" s="451" t="n">
        <f aca="false">AB61-AB60</f>
        <v>0</v>
      </c>
    </row>
    <row r="63" customFormat="false" ht="11.25" hidden="false" customHeight="false" outlineLevel="0" collapsed="false">
      <c r="A63" s="403"/>
      <c r="B63" s="378"/>
      <c r="C63" s="378"/>
      <c r="D63" s="450"/>
      <c r="E63" s="450"/>
      <c r="F63" s="450"/>
      <c r="G63" s="450"/>
      <c r="H63" s="450"/>
      <c r="I63" s="450"/>
      <c r="J63" s="450"/>
      <c r="K63" s="450"/>
      <c r="L63" s="450"/>
      <c r="M63" s="450"/>
      <c r="N63" s="450"/>
      <c r="O63" s="450"/>
      <c r="P63" s="450"/>
      <c r="Q63" s="450"/>
      <c r="R63" s="450"/>
      <c r="S63" s="450"/>
      <c r="T63" s="450"/>
      <c r="U63" s="450"/>
      <c r="V63" s="450"/>
      <c r="W63" s="450"/>
      <c r="X63" s="450"/>
      <c r="Y63" s="450"/>
      <c r="Z63" s="450"/>
      <c r="AA63" s="450"/>
      <c r="AB63" s="451"/>
    </row>
    <row r="64" customFormat="false" ht="11.25" hidden="false" customHeight="false" outlineLevel="0" collapsed="false">
      <c r="A64" s="457" t="s">
        <v>633</v>
      </c>
      <c r="B64" s="630"/>
      <c r="C64" s="630"/>
      <c r="D64" s="819" t="n">
        <f aca="false">SUM($D$62:D62)</f>
        <v>-39.6182560518743</v>
      </c>
      <c r="E64" s="819" t="n">
        <f aca="false">SUM($D$62:E62)</f>
        <v>2095.517188555</v>
      </c>
      <c r="F64" s="819" t="n">
        <f aca="false">SUM($D$62:F62)</f>
        <v>4526.33473226318</v>
      </c>
      <c r="G64" s="819" t="n">
        <f aca="false">SUM($D$62:G62)</f>
        <v>9843.79129400667</v>
      </c>
      <c r="H64" s="819" t="n">
        <f aca="false">SUM($D$62:H62)</f>
        <v>14535.4277742906</v>
      </c>
      <c r="I64" s="819" t="n">
        <f aca="false">SUM($D$62:I62)</f>
        <v>16513.3244109702</v>
      </c>
      <c r="J64" s="819" t="n">
        <f aca="false">SUM($D$62:J62)</f>
        <v>18334.2374444255</v>
      </c>
      <c r="K64" s="819" t="n">
        <f aca="false">SUM($D$62:K62)</f>
        <v>20183.0239076149</v>
      </c>
      <c r="L64" s="819" t="n">
        <f aca="false">SUM($D$62:L62)</f>
        <v>21986.1742454086</v>
      </c>
      <c r="M64" s="819" t="n">
        <f aca="false">SUM($D$62:M62)</f>
        <v>23719.681765922</v>
      </c>
      <c r="N64" s="819" t="n">
        <f aca="false">SUM($D$62:N62)</f>
        <v>25449.0428790028</v>
      </c>
      <c r="O64" s="819" t="n">
        <f aca="false">SUM($D$62:O62)</f>
        <v>27355.934094869</v>
      </c>
      <c r="P64" s="819" t="n">
        <f aca="false">SUM($D$62:P62)</f>
        <v>29090.6067353103</v>
      </c>
      <c r="Q64" s="819" t="n">
        <f aca="false">SUM($D$62:Q62)</f>
        <v>30831.2610055462</v>
      </c>
      <c r="R64" s="819" t="n">
        <f aca="false">SUM($D$62:R62)</f>
        <v>32565.9336459874</v>
      </c>
      <c r="S64" s="819" t="n">
        <f aca="false">SUM($D$62:S62)</f>
        <v>32536.0254970143</v>
      </c>
      <c r="T64" s="819" t="n">
        <f aca="false">SUM($D$62:T62)</f>
        <v>30741.5365586268</v>
      </c>
      <c r="U64" s="819" t="n">
        <f aca="false">SUM($D$62:U62)</f>
        <v>28947.0476202393</v>
      </c>
      <c r="V64" s="819" t="n">
        <f aca="false">SUM($D$62:V62)</f>
        <v>27152.5586818518</v>
      </c>
      <c r="W64" s="819" t="n">
        <f aca="false">SUM($D$62:W62)</f>
        <v>25358.0697434643</v>
      </c>
      <c r="X64" s="819" t="n">
        <f aca="false">SUM($D$62:X62)</f>
        <v>23964.1049342462</v>
      </c>
      <c r="Y64" s="819" t="n">
        <f aca="false">SUM($D$62:Y62)</f>
        <v>23964.1049342462</v>
      </c>
      <c r="Z64" s="819" t="n">
        <f aca="false">SUM($D$62:Z62)</f>
        <v>23964.1049342462</v>
      </c>
      <c r="AA64" s="819" t="n">
        <f aca="false">SUM($D$62:AA62)</f>
        <v>23964.1049342462</v>
      </c>
      <c r="AB64" s="820" t="n">
        <f aca="false">SUM($D$62:AB62)</f>
        <v>23964.1049342462</v>
      </c>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2" manualBreakCount="2">
    <brk id="16" man="true" max="65535" min="0"/>
    <brk id="32" man="true" max="65535" min="0"/>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10"/>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B13" activeCellId="0" sqref="B13"/>
    </sheetView>
  </sheetViews>
  <sheetFormatPr defaultColWidth="9.28125" defaultRowHeight="11.25" customHeight="true" zeroHeight="false" outlineLevelRow="1" outlineLevelCol="0"/>
  <cols>
    <col collapsed="false" customWidth="true" hidden="false" outlineLevel="0" max="1" min="1" style="1" width="28.56"/>
    <col collapsed="false" customWidth="true" hidden="false" outlineLevel="0" max="2" min="2" style="1" width="11.7"/>
    <col collapsed="false" customWidth="true" hidden="false" outlineLevel="0" max="3" min="3" style="1" width="9.99"/>
    <col collapsed="false" customWidth="false" hidden="false" outlineLevel="0" max="28" min="4" style="1" width="9.28"/>
    <col collapsed="false" customWidth="false" hidden="false" outlineLevel="0" max="257" min="29" style="4" width="9.28"/>
  </cols>
  <sheetData>
    <row r="1" customFormat="false" ht="20.25" hidden="false" customHeight="false" outlineLevel="0" collapsed="false">
      <c r="A1" s="367" t="str">
        <f aca="false">'Project Assumtions'!$A$2</f>
        <v>WHEATLAND POWER IN, L.L.C.</v>
      </c>
      <c r="B1" s="821"/>
      <c r="C1" s="822"/>
      <c r="D1" s="434"/>
      <c r="E1" s="434"/>
      <c r="F1" s="434"/>
      <c r="G1" s="434"/>
      <c r="H1" s="434"/>
      <c r="I1" s="434"/>
      <c r="J1" s="434"/>
      <c r="K1" s="434"/>
      <c r="L1" s="434"/>
      <c r="M1" s="434"/>
      <c r="N1" s="434"/>
      <c r="O1" s="434"/>
      <c r="P1" s="434"/>
      <c r="Q1" s="434"/>
      <c r="R1" s="434"/>
      <c r="S1" s="434"/>
      <c r="T1" s="434"/>
      <c r="U1" s="434"/>
      <c r="V1" s="434"/>
      <c r="W1" s="434"/>
      <c r="X1" s="434"/>
      <c r="Y1" s="434"/>
      <c r="Z1" s="434"/>
      <c r="AA1" s="434"/>
      <c r="AB1" s="434"/>
      <c r="AC1" s="823"/>
      <c r="AD1" s="823"/>
      <c r="AE1" s="823"/>
      <c r="AF1" s="823"/>
      <c r="AG1" s="823"/>
      <c r="AH1" s="823"/>
      <c r="AI1" s="823"/>
      <c r="AJ1" s="823"/>
      <c r="AK1" s="823"/>
      <c r="AL1" s="823"/>
      <c r="AM1" s="823"/>
      <c r="AN1" s="823"/>
      <c r="AO1" s="823"/>
      <c r="AP1" s="823"/>
      <c r="AQ1" s="823"/>
      <c r="AR1" s="823"/>
      <c r="AS1" s="823"/>
      <c r="AT1" s="823"/>
      <c r="AU1" s="823"/>
      <c r="AV1" s="823"/>
      <c r="AW1" s="823"/>
      <c r="AX1" s="823"/>
      <c r="AY1" s="823"/>
      <c r="AZ1" s="823"/>
      <c r="BA1" s="823"/>
      <c r="BB1" s="823"/>
      <c r="BC1" s="823"/>
      <c r="BD1" s="823"/>
      <c r="BE1" s="823"/>
      <c r="BF1" s="823"/>
      <c r="BG1" s="823"/>
      <c r="BH1" s="823"/>
      <c r="BI1" s="823"/>
      <c r="BJ1" s="823"/>
      <c r="BK1" s="823"/>
      <c r="BL1" s="823"/>
      <c r="BM1" s="823"/>
      <c r="BN1" s="823"/>
      <c r="BO1" s="823"/>
      <c r="BP1" s="823"/>
      <c r="BQ1" s="823"/>
      <c r="BR1" s="823"/>
      <c r="BS1" s="823"/>
      <c r="BT1" s="823"/>
      <c r="BU1" s="823"/>
      <c r="BV1" s="823"/>
      <c r="BW1" s="823"/>
      <c r="BX1" s="823"/>
      <c r="BY1" s="823"/>
      <c r="BZ1" s="823"/>
      <c r="CA1" s="823"/>
      <c r="CB1" s="823"/>
      <c r="CC1" s="823"/>
      <c r="CD1" s="823"/>
      <c r="CE1" s="823"/>
      <c r="CF1" s="823"/>
      <c r="CG1" s="823"/>
      <c r="CH1" s="823"/>
      <c r="CI1" s="823"/>
      <c r="CJ1" s="823"/>
      <c r="CK1" s="823"/>
      <c r="CL1" s="823"/>
      <c r="CM1" s="823"/>
      <c r="CN1" s="823"/>
      <c r="CO1" s="823"/>
      <c r="CP1" s="823"/>
      <c r="CQ1" s="823"/>
      <c r="CR1" s="823"/>
      <c r="CS1" s="823"/>
      <c r="CT1" s="823"/>
      <c r="CU1" s="823"/>
      <c r="CV1" s="823"/>
      <c r="CW1" s="823"/>
      <c r="CX1" s="823"/>
      <c r="CY1" s="823"/>
      <c r="CZ1" s="823"/>
      <c r="DA1" s="823"/>
      <c r="DB1" s="823"/>
      <c r="DC1" s="823"/>
      <c r="DD1" s="823"/>
      <c r="DE1" s="823"/>
      <c r="DF1" s="823"/>
      <c r="DG1" s="823"/>
      <c r="DH1" s="823"/>
      <c r="DI1" s="823"/>
      <c r="DJ1" s="823"/>
      <c r="DK1" s="823"/>
      <c r="DL1" s="823"/>
      <c r="DM1" s="823"/>
      <c r="DN1" s="823"/>
      <c r="DO1" s="823"/>
      <c r="DP1" s="823"/>
      <c r="DQ1" s="823"/>
      <c r="DR1" s="823"/>
      <c r="DS1" s="823"/>
      <c r="DT1" s="823"/>
      <c r="DU1" s="823"/>
      <c r="DV1" s="823"/>
      <c r="DW1" s="823"/>
      <c r="DX1" s="823"/>
      <c r="DY1" s="823"/>
      <c r="DZ1" s="823"/>
      <c r="EA1" s="823"/>
      <c r="EB1" s="823"/>
      <c r="EC1" s="823"/>
      <c r="ED1" s="823"/>
      <c r="EE1" s="823"/>
      <c r="EF1" s="823"/>
      <c r="EG1" s="823"/>
      <c r="EH1" s="823"/>
      <c r="EI1" s="823"/>
      <c r="EJ1" s="823"/>
      <c r="EK1" s="823"/>
      <c r="EL1" s="823"/>
      <c r="EM1" s="823"/>
      <c r="EN1" s="823"/>
      <c r="EO1" s="823"/>
      <c r="EP1" s="823"/>
      <c r="EQ1" s="823"/>
      <c r="ER1" s="823"/>
      <c r="ES1" s="823"/>
      <c r="ET1" s="823"/>
      <c r="EU1" s="823"/>
      <c r="EV1" s="823"/>
      <c r="EW1" s="823"/>
      <c r="EX1" s="823"/>
      <c r="EY1" s="823"/>
      <c r="EZ1" s="823"/>
      <c r="FA1" s="823"/>
      <c r="FB1" s="823"/>
      <c r="FC1" s="823"/>
      <c r="FD1" s="823"/>
      <c r="FE1" s="823"/>
      <c r="FF1" s="823"/>
      <c r="FG1" s="823"/>
      <c r="FH1" s="823"/>
      <c r="FI1" s="823"/>
      <c r="FJ1" s="823"/>
      <c r="FK1" s="823"/>
      <c r="FL1" s="823"/>
      <c r="FM1" s="823"/>
      <c r="FN1" s="823"/>
      <c r="FO1" s="823"/>
      <c r="FP1" s="823"/>
      <c r="FQ1" s="823"/>
      <c r="FR1" s="823"/>
      <c r="FS1" s="823"/>
      <c r="FT1" s="823"/>
      <c r="FU1" s="823"/>
      <c r="FV1" s="823"/>
      <c r="FW1" s="823"/>
      <c r="FX1" s="823"/>
      <c r="FY1" s="823"/>
      <c r="FZ1" s="823"/>
      <c r="GA1" s="823"/>
      <c r="GB1" s="823"/>
      <c r="GC1" s="823"/>
      <c r="GD1" s="823"/>
      <c r="GE1" s="823"/>
      <c r="GF1" s="823"/>
      <c r="GG1" s="823"/>
      <c r="GH1" s="823"/>
      <c r="GI1" s="823"/>
      <c r="GJ1" s="823"/>
      <c r="GK1" s="823"/>
      <c r="GL1" s="823"/>
      <c r="GM1" s="823"/>
      <c r="GN1" s="823"/>
      <c r="GO1" s="823"/>
      <c r="GP1" s="823"/>
      <c r="GQ1" s="823"/>
      <c r="GR1" s="823"/>
      <c r="GS1" s="823"/>
      <c r="GT1" s="823"/>
      <c r="GU1" s="823"/>
      <c r="GV1" s="823"/>
      <c r="GW1" s="823"/>
      <c r="GX1" s="823"/>
      <c r="GY1" s="823"/>
      <c r="GZ1" s="823"/>
      <c r="HA1" s="823"/>
      <c r="HB1" s="823"/>
      <c r="HC1" s="823"/>
      <c r="HD1" s="823"/>
      <c r="HE1" s="823"/>
      <c r="HF1" s="823"/>
      <c r="HG1" s="823"/>
      <c r="HH1" s="823"/>
      <c r="HI1" s="823"/>
      <c r="HJ1" s="823"/>
      <c r="HK1" s="823"/>
      <c r="HL1" s="823"/>
      <c r="HM1" s="823"/>
      <c r="HN1" s="823"/>
      <c r="HO1" s="823"/>
      <c r="HP1" s="823"/>
      <c r="HQ1" s="823"/>
      <c r="HR1" s="823"/>
      <c r="HS1" s="823"/>
      <c r="HT1" s="823"/>
      <c r="HU1" s="823"/>
      <c r="HV1" s="823"/>
      <c r="HW1" s="823"/>
      <c r="HX1" s="823"/>
      <c r="HY1" s="823"/>
      <c r="HZ1" s="823"/>
      <c r="IA1" s="823"/>
      <c r="IB1" s="823"/>
      <c r="IC1" s="823"/>
      <c r="ID1" s="823"/>
      <c r="IE1" s="823"/>
      <c r="IF1" s="823"/>
      <c r="IG1" s="823"/>
      <c r="IH1" s="823"/>
      <c r="II1" s="823"/>
      <c r="IJ1" s="823"/>
      <c r="IK1" s="823"/>
      <c r="IL1" s="823"/>
      <c r="IM1" s="823"/>
      <c r="IN1" s="823"/>
      <c r="IO1" s="823"/>
      <c r="IP1" s="823"/>
      <c r="IQ1" s="823"/>
      <c r="IR1" s="823"/>
      <c r="IS1" s="823"/>
      <c r="IT1" s="823"/>
      <c r="IU1" s="823"/>
      <c r="IV1" s="823"/>
      <c r="IW1" s="823"/>
    </row>
    <row r="2" customFormat="false" ht="12.75" hidden="false" customHeight="false" outlineLevel="0" collapsed="false">
      <c r="A2" s="370" t="s">
        <v>634</v>
      </c>
      <c r="B2" s="824"/>
      <c r="C2" s="825"/>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823"/>
      <c r="AD2" s="823"/>
      <c r="AE2" s="823"/>
      <c r="AF2" s="823"/>
      <c r="AG2" s="823"/>
      <c r="AH2" s="823"/>
      <c r="AI2" s="823"/>
      <c r="AJ2" s="823"/>
      <c r="AK2" s="823"/>
      <c r="AL2" s="823"/>
      <c r="AM2" s="823"/>
      <c r="AN2" s="823"/>
      <c r="AO2" s="823"/>
      <c r="AP2" s="823"/>
      <c r="AQ2" s="823"/>
      <c r="AR2" s="823"/>
      <c r="AS2" s="823"/>
      <c r="AT2" s="823"/>
      <c r="AU2" s="823"/>
      <c r="AV2" s="823"/>
      <c r="AW2" s="823"/>
      <c r="AX2" s="823"/>
      <c r="AY2" s="823"/>
      <c r="AZ2" s="823"/>
      <c r="BA2" s="823"/>
      <c r="BB2" s="823"/>
      <c r="BC2" s="823"/>
      <c r="BD2" s="823"/>
      <c r="BE2" s="823"/>
      <c r="BF2" s="823"/>
      <c r="BG2" s="823"/>
      <c r="BH2" s="823"/>
      <c r="BI2" s="823"/>
      <c r="BJ2" s="823"/>
      <c r="BK2" s="823"/>
      <c r="BL2" s="823"/>
      <c r="BM2" s="823"/>
      <c r="BN2" s="823"/>
      <c r="BO2" s="823"/>
      <c r="BP2" s="823"/>
      <c r="BQ2" s="823"/>
      <c r="BR2" s="823"/>
      <c r="BS2" s="823"/>
      <c r="BT2" s="823"/>
      <c r="BU2" s="823"/>
      <c r="BV2" s="823"/>
      <c r="BW2" s="823"/>
      <c r="BX2" s="823"/>
      <c r="BY2" s="823"/>
      <c r="BZ2" s="823"/>
      <c r="CA2" s="823"/>
      <c r="CB2" s="823"/>
      <c r="CC2" s="823"/>
      <c r="CD2" s="823"/>
      <c r="CE2" s="823"/>
      <c r="CF2" s="823"/>
      <c r="CG2" s="823"/>
      <c r="CH2" s="823"/>
      <c r="CI2" s="823"/>
      <c r="CJ2" s="823"/>
      <c r="CK2" s="823"/>
      <c r="CL2" s="823"/>
      <c r="CM2" s="823"/>
      <c r="CN2" s="823"/>
      <c r="CO2" s="823"/>
      <c r="CP2" s="823"/>
      <c r="CQ2" s="823"/>
      <c r="CR2" s="823"/>
      <c r="CS2" s="823"/>
      <c r="CT2" s="823"/>
      <c r="CU2" s="823"/>
      <c r="CV2" s="823"/>
      <c r="CW2" s="823"/>
      <c r="CX2" s="823"/>
      <c r="CY2" s="823"/>
      <c r="CZ2" s="823"/>
      <c r="DA2" s="823"/>
      <c r="DB2" s="823"/>
      <c r="DC2" s="823"/>
      <c r="DD2" s="823"/>
      <c r="DE2" s="823"/>
      <c r="DF2" s="823"/>
      <c r="DG2" s="823"/>
      <c r="DH2" s="823"/>
      <c r="DI2" s="823"/>
      <c r="DJ2" s="823"/>
      <c r="DK2" s="823"/>
      <c r="DL2" s="823"/>
      <c r="DM2" s="823"/>
      <c r="DN2" s="823"/>
      <c r="DO2" s="823"/>
      <c r="DP2" s="823"/>
      <c r="DQ2" s="823"/>
      <c r="DR2" s="823"/>
      <c r="DS2" s="823"/>
      <c r="DT2" s="823"/>
      <c r="DU2" s="823"/>
      <c r="DV2" s="823"/>
      <c r="DW2" s="823"/>
      <c r="DX2" s="823"/>
      <c r="DY2" s="823"/>
      <c r="DZ2" s="823"/>
      <c r="EA2" s="823"/>
      <c r="EB2" s="823"/>
      <c r="EC2" s="823"/>
      <c r="ED2" s="823"/>
      <c r="EE2" s="823"/>
      <c r="EF2" s="823"/>
      <c r="EG2" s="823"/>
      <c r="EH2" s="823"/>
      <c r="EI2" s="823"/>
      <c r="EJ2" s="823"/>
      <c r="EK2" s="823"/>
      <c r="EL2" s="823"/>
      <c r="EM2" s="823"/>
      <c r="EN2" s="823"/>
      <c r="EO2" s="823"/>
      <c r="EP2" s="823"/>
      <c r="EQ2" s="823"/>
      <c r="ER2" s="823"/>
      <c r="ES2" s="823"/>
      <c r="ET2" s="823"/>
      <c r="EU2" s="823"/>
      <c r="EV2" s="823"/>
      <c r="EW2" s="823"/>
      <c r="EX2" s="823"/>
      <c r="EY2" s="823"/>
      <c r="EZ2" s="823"/>
      <c r="FA2" s="823"/>
      <c r="FB2" s="823"/>
      <c r="FC2" s="823"/>
      <c r="FD2" s="823"/>
      <c r="FE2" s="823"/>
      <c r="FF2" s="823"/>
      <c r="FG2" s="823"/>
      <c r="FH2" s="823"/>
      <c r="FI2" s="823"/>
      <c r="FJ2" s="823"/>
      <c r="FK2" s="823"/>
      <c r="FL2" s="823"/>
      <c r="FM2" s="823"/>
      <c r="FN2" s="823"/>
      <c r="FO2" s="823"/>
      <c r="FP2" s="823"/>
      <c r="FQ2" s="823"/>
      <c r="FR2" s="823"/>
      <c r="FS2" s="823"/>
      <c r="FT2" s="823"/>
      <c r="FU2" s="823"/>
      <c r="FV2" s="823"/>
      <c r="FW2" s="823"/>
      <c r="FX2" s="823"/>
      <c r="FY2" s="823"/>
      <c r="FZ2" s="823"/>
      <c r="GA2" s="823"/>
      <c r="GB2" s="823"/>
      <c r="GC2" s="823"/>
      <c r="GD2" s="823"/>
      <c r="GE2" s="823"/>
      <c r="GF2" s="823"/>
      <c r="GG2" s="823"/>
      <c r="GH2" s="823"/>
      <c r="GI2" s="823"/>
      <c r="GJ2" s="823"/>
      <c r="GK2" s="823"/>
      <c r="GL2" s="823"/>
      <c r="GM2" s="823"/>
      <c r="GN2" s="823"/>
      <c r="GO2" s="823"/>
      <c r="GP2" s="823"/>
      <c r="GQ2" s="823"/>
      <c r="GR2" s="823"/>
      <c r="GS2" s="823"/>
      <c r="GT2" s="823"/>
      <c r="GU2" s="823"/>
      <c r="GV2" s="823"/>
      <c r="GW2" s="823"/>
      <c r="GX2" s="823"/>
      <c r="GY2" s="823"/>
      <c r="GZ2" s="823"/>
      <c r="HA2" s="823"/>
      <c r="HB2" s="823"/>
      <c r="HC2" s="823"/>
      <c r="HD2" s="823"/>
      <c r="HE2" s="823"/>
      <c r="HF2" s="823"/>
      <c r="HG2" s="823"/>
      <c r="HH2" s="823"/>
      <c r="HI2" s="823"/>
      <c r="HJ2" s="823"/>
      <c r="HK2" s="823"/>
      <c r="HL2" s="823"/>
      <c r="HM2" s="823"/>
      <c r="HN2" s="823"/>
      <c r="HO2" s="823"/>
      <c r="HP2" s="823"/>
      <c r="HQ2" s="823"/>
      <c r="HR2" s="823"/>
      <c r="HS2" s="823"/>
      <c r="HT2" s="823"/>
      <c r="HU2" s="823"/>
      <c r="HV2" s="823"/>
      <c r="HW2" s="823"/>
      <c r="HX2" s="823"/>
      <c r="HY2" s="823"/>
      <c r="HZ2" s="823"/>
      <c r="IA2" s="823"/>
      <c r="IB2" s="823"/>
      <c r="IC2" s="823"/>
      <c r="ID2" s="823"/>
      <c r="IE2" s="823"/>
      <c r="IF2" s="823"/>
      <c r="IG2" s="823"/>
      <c r="IH2" s="823"/>
      <c r="II2" s="823"/>
      <c r="IJ2" s="823"/>
      <c r="IK2" s="823"/>
      <c r="IL2" s="823"/>
      <c r="IM2" s="823"/>
      <c r="IN2" s="823"/>
      <c r="IO2" s="823"/>
      <c r="IP2" s="823"/>
      <c r="IQ2" s="823"/>
      <c r="IR2" s="823"/>
      <c r="IS2" s="823"/>
      <c r="IT2" s="823"/>
      <c r="IU2" s="823"/>
      <c r="IV2" s="823"/>
      <c r="IW2" s="823"/>
    </row>
    <row r="3" customFormat="false" ht="15.6" hidden="false" customHeight="true" outlineLevel="0" collapsed="false"/>
    <row r="4" customFormat="false" ht="11.25" hidden="false" customHeight="false" outlineLevel="0" collapsed="false">
      <c r="D4" s="481" t="n">
        <v>1</v>
      </c>
      <c r="E4" s="481" t="n">
        <f aca="false">D4+1</f>
        <v>2</v>
      </c>
      <c r="F4" s="481" t="n">
        <f aca="false">E4+1</f>
        <v>3</v>
      </c>
      <c r="G4" s="481" t="n">
        <f aca="false">F4+1</f>
        <v>4</v>
      </c>
      <c r="H4" s="481" t="n">
        <f aca="false">G4+1</f>
        <v>5</v>
      </c>
      <c r="I4" s="826" t="n">
        <f aca="false">H4+1</f>
        <v>6</v>
      </c>
      <c r="J4" s="481" t="n">
        <f aca="false">I4+1</f>
        <v>7</v>
      </c>
      <c r="K4" s="482" t="n">
        <f aca="false">J4+1</f>
        <v>8</v>
      </c>
      <c r="L4" s="481" t="n">
        <f aca="false">K4+1</f>
        <v>9</v>
      </c>
      <c r="M4" s="481" t="n">
        <f aca="false">L4+1</f>
        <v>10</v>
      </c>
      <c r="N4" s="481" t="n">
        <f aca="false">M4+1</f>
        <v>11</v>
      </c>
      <c r="O4" s="481" t="n">
        <f aca="false">N4+1</f>
        <v>12</v>
      </c>
      <c r="P4" s="481" t="n">
        <f aca="false">O4+1</f>
        <v>13</v>
      </c>
      <c r="Q4" s="482" t="n">
        <f aca="false">P4+1</f>
        <v>14</v>
      </c>
      <c r="R4" s="481" t="n">
        <f aca="false">Q4+1</f>
        <v>15</v>
      </c>
      <c r="S4" s="481" t="n">
        <f aca="false">R4+1</f>
        <v>16</v>
      </c>
      <c r="T4" s="481" t="n">
        <f aca="false">S4+1</f>
        <v>17</v>
      </c>
      <c r="U4" s="481" t="n">
        <f aca="false">T4+1</f>
        <v>18</v>
      </c>
      <c r="V4" s="481" t="n">
        <f aca="false">U4+1</f>
        <v>19</v>
      </c>
      <c r="W4" s="482" t="n">
        <f aca="false">V4+1</f>
        <v>20</v>
      </c>
      <c r="X4" s="481" t="n">
        <f aca="false">W4+1</f>
        <v>21</v>
      </c>
      <c r="Y4" s="481" t="n">
        <f aca="false">X4+1</f>
        <v>22</v>
      </c>
      <c r="Z4" s="481" t="n">
        <f aca="false">Y4+1</f>
        <v>23</v>
      </c>
      <c r="AA4" s="481" t="n">
        <f aca="false">Z4+1</f>
        <v>24</v>
      </c>
      <c r="AB4" s="481" t="n">
        <f aca="false">AA4+1</f>
        <v>25</v>
      </c>
    </row>
    <row r="5" customFormat="false" ht="12" hidden="false" customHeight="true" outlineLevel="0" collapsed="false">
      <c r="A5" s="827" t="s">
        <v>635</v>
      </c>
      <c r="B5" s="374"/>
      <c r="C5" s="828"/>
      <c r="D5" s="375" t="n">
        <f aca="false">YEAR('Project Assumtions'!G16)</f>
        <v>2000</v>
      </c>
      <c r="E5" s="375" t="n">
        <f aca="false">D5+1</f>
        <v>2001</v>
      </c>
      <c r="F5" s="375" t="n">
        <f aca="false">E5+1</f>
        <v>2002</v>
      </c>
      <c r="G5" s="375" t="n">
        <f aca="false">F5+1</f>
        <v>2003</v>
      </c>
      <c r="H5" s="375" t="n">
        <f aca="false">G5+1</f>
        <v>2004</v>
      </c>
      <c r="I5" s="375" t="n">
        <f aca="false">H5+1</f>
        <v>2005</v>
      </c>
      <c r="J5" s="375" t="n">
        <f aca="false">I5+1</f>
        <v>2006</v>
      </c>
      <c r="K5" s="375" t="n">
        <f aca="false">J5+1</f>
        <v>2007</v>
      </c>
      <c r="L5" s="375" t="n">
        <f aca="false">K5+1</f>
        <v>2008</v>
      </c>
      <c r="M5" s="375" t="n">
        <f aca="false">L5+1</f>
        <v>2009</v>
      </c>
      <c r="N5" s="375" t="n">
        <f aca="false">M5+1</f>
        <v>2010</v>
      </c>
      <c r="O5" s="375" t="n">
        <f aca="false">N5+1</f>
        <v>2011</v>
      </c>
      <c r="P5" s="375" t="n">
        <f aca="false">O5+1</f>
        <v>2012</v>
      </c>
      <c r="Q5" s="375" t="n">
        <f aca="false">P5+1</f>
        <v>2013</v>
      </c>
      <c r="R5" s="375" t="n">
        <f aca="false">Q5+1</f>
        <v>2014</v>
      </c>
      <c r="S5" s="375" t="n">
        <f aca="false">R5+1</f>
        <v>2015</v>
      </c>
      <c r="T5" s="375" t="n">
        <f aca="false">S5+1</f>
        <v>2016</v>
      </c>
      <c r="U5" s="375" t="n">
        <f aca="false">T5+1</f>
        <v>2017</v>
      </c>
      <c r="V5" s="375" t="n">
        <f aca="false">U5+1</f>
        <v>2018</v>
      </c>
      <c r="W5" s="375" t="n">
        <f aca="false">V5+1</f>
        <v>2019</v>
      </c>
      <c r="X5" s="375" t="n">
        <f aca="false">W5+1</f>
        <v>2020</v>
      </c>
      <c r="Y5" s="375" t="n">
        <f aca="false">X5+1</f>
        <v>2021</v>
      </c>
      <c r="Z5" s="375" t="n">
        <f aca="false">Y5+1</f>
        <v>2022</v>
      </c>
      <c r="AA5" s="375" t="n">
        <f aca="false">Z5+1</f>
        <v>2023</v>
      </c>
      <c r="AB5" s="376" t="n">
        <f aca="false">AA5+1</f>
        <v>2024</v>
      </c>
      <c r="AC5" s="829"/>
      <c r="AD5" s="829"/>
    </row>
    <row r="6" customFormat="false" ht="12" hidden="false" customHeight="true" outlineLevel="0" collapsed="false">
      <c r="A6" s="403"/>
      <c r="B6" s="712" t="s">
        <v>289</v>
      </c>
      <c r="C6" s="378"/>
      <c r="D6" s="830"/>
      <c r="E6" s="831"/>
      <c r="F6" s="831"/>
      <c r="G6" s="831"/>
      <c r="H6" s="831"/>
      <c r="I6" s="831"/>
      <c r="J6" s="831"/>
      <c r="K6" s="831"/>
      <c r="L6" s="831"/>
      <c r="M6" s="831"/>
      <c r="N6" s="831"/>
      <c r="O6" s="831"/>
      <c r="P6" s="831"/>
      <c r="Q6" s="831"/>
      <c r="R6" s="831"/>
      <c r="S6" s="378"/>
      <c r="T6" s="378"/>
      <c r="U6" s="378"/>
      <c r="V6" s="378"/>
      <c r="W6" s="378"/>
      <c r="X6" s="378"/>
      <c r="Y6" s="378"/>
      <c r="Z6" s="378"/>
      <c r="AA6" s="378"/>
      <c r="AB6" s="408"/>
      <c r="AE6" s="832"/>
    </row>
    <row r="7" customFormat="false" ht="12" hidden="false" customHeight="true" outlineLevel="0" collapsed="false">
      <c r="A7" s="719" t="s">
        <v>636</v>
      </c>
      <c r="B7" s="833" t="n">
        <v>15</v>
      </c>
      <c r="C7" s="783"/>
      <c r="D7" s="465" t="n">
        <f aca="false">IF(D4&gt;$B$7+1,0,IF($B$7=15,VLOOKUP(D4,$A$70:$B$85,2),VLOOKUP(D4,$A$90:$B$110,2)))</f>
        <v>0.05</v>
      </c>
      <c r="E7" s="465" t="n">
        <f aca="false">IF(E4&gt;$B$7+1,0,IF($B$7=15,VLOOKUP(E4,$A$70:$B$85,2),VLOOKUP(E4,$A$90:$B$110,2)))</f>
        <v>0.095</v>
      </c>
      <c r="F7" s="465" t="n">
        <f aca="false">IF(F4&gt;$B$7+1,0,IF($B$7=15,VLOOKUP(F4,$A$70:$B$85,2),VLOOKUP(F4,$A$90:$B$110,2)))</f>
        <v>0.0855</v>
      </c>
      <c r="G7" s="465" t="n">
        <f aca="false">IF(G4&gt;$B$7+1,0,IF($B$7=15,VLOOKUP(G4,$A$70:$B$85,2),VLOOKUP(G4,$A$90:$B$110,2)))</f>
        <v>0.077</v>
      </c>
      <c r="H7" s="465" t="n">
        <f aca="false">IF(H4&gt;$B$7+1,0,IF($B$7=15,VLOOKUP(H4,$A$70:$B$85,2),VLOOKUP(H4,$A$90:$B$110,2)))</f>
        <v>0.0693</v>
      </c>
      <c r="I7" s="465" t="n">
        <f aca="false">IF(I4&gt;$B$7+1,0,IF($B$7=15,VLOOKUP(I4,$A$70:$B$85,2),VLOOKUP(I4,$A$90:$B$110,2)))</f>
        <v>0.0623</v>
      </c>
      <c r="J7" s="465" t="n">
        <f aca="false">IF(J4&gt;$B$7+1,0,IF($B$7=15,VLOOKUP(J4,$A$70:$B$85,2),VLOOKUP(J4,$A$90:$B$110,2)))</f>
        <v>0.059</v>
      </c>
      <c r="K7" s="465" t="n">
        <f aca="false">IF(K4&gt;$B$7+1,0,IF($B$7=15,VLOOKUP(K4,$A$70:$B$85,2),VLOOKUP(K4,$A$90:$B$110,2)))</f>
        <v>0.0591</v>
      </c>
      <c r="L7" s="465" t="n">
        <f aca="false">IF(L4&gt;$B$7+1,0,IF($B$7=15,VLOOKUP(L4,$A$70:$B$85,2),VLOOKUP(L4,$A$90:$B$110,2)))</f>
        <v>0.059</v>
      </c>
      <c r="M7" s="465" t="n">
        <f aca="false">IF(M4&gt;$B$7+1,0,IF($B$7=15,VLOOKUP(M4,$A$70:$B$85,2),VLOOKUP(M4,$A$90:$B$110,2)))</f>
        <v>0.0591</v>
      </c>
      <c r="N7" s="465" t="n">
        <f aca="false">IF(N4&gt;$B$7+1,0,IF($B$7=15,VLOOKUP(N4,$A$70:$B$85,2),VLOOKUP(N4,$A$90:$B$110,2)))</f>
        <v>0.059</v>
      </c>
      <c r="O7" s="465" t="n">
        <f aca="false">IF(O4&gt;$B$7+1,0,IF($B$7=15,VLOOKUP(O4,$A$70:$B$85,2),VLOOKUP(O4,$A$90:$B$110,2)))</f>
        <v>0.0591</v>
      </c>
      <c r="P7" s="465" t="n">
        <f aca="false">IF(P4&gt;$B$7+1,0,IF($B$7=15,VLOOKUP(P4,$A$70:$B$85,2),VLOOKUP(P4,$A$90:$B$110,2)))</f>
        <v>0.059</v>
      </c>
      <c r="Q7" s="465" t="n">
        <f aca="false">IF(Q4&gt;$B$7+1,0,IF($B$7=15,VLOOKUP(Q4,$A$70:$B$85,2),VLOOKUP(Q4,$A$90:$B$110,2)))</f>
        <v>0.0591</v>
      </c>
      <c r="R7" s="465" t="n">
        <f aca="false">IF(R4&gt;$B$7+1,0,IF($B$7=15,VLOOKUP(R4,$A$70:$B$85,2),VLOOKUP(R4,$A$90:$B$110,2)))</f>
        <v>0.059</v>
      </c>
      <c r="S7" s="465" t="n">
        <f aca="false">IF(S4&gt;$B$7+1,0,IF($B$7=15,VLOOKUP(S4,$A$70:$B$85,2),VLOOKUP(S4,$A$90:$B$110,2)))</f>
        <v>0.0295</v>
      </c>
      <c r="T7" s="465" t="n">
        <f aca="false">IF(T4&gt;$B$7+1,0,IF($B$7=15,VLOOKUP(T4,$A$70:$B$85,2),VLOOKUP(T4,$A$90:$B$110,2)))</f>
        <v>0</v>
      </c>
      <c r="U7" s="465" t="n">
        <f aca="false">IF(U4&gt;$B$7+1,0,IF($B$7=15,VLOOKUP(U4,$A$70:$B$85,2),VLOOKUP(U4,$A$90:$B$110,2)))</f>
        <v>0</v>
      </c>
      <c r="V7" s="465" t="n">
        <f aca="false">IF(V4&gt;$B$7+1,0,IF($B$7=15,VLOOKUP(V4,$A$70:$B$85,2),VLOOKUP(V4,$A$90:$B$110,2)))</f>
        <v>0</v>
      </c>
      <c r="W7" s="465" t="n">
        <f aca="false">IF(W4&gt;$B$7+1,0,IF($B$7=15,VLOOKUP(W4,$A$70:$B$85,2),VLOOKUP(W4,$A$90:$B$110,2)))</f>
        <v>0</v>
      </c>
      <c r="X7" s="465" t="n">
        <f aca="false">IF(X4&gt;$B$7+1,0,IF($B$7=15,VLOOKUP(X4,$A$70:$B$85,2),VLOOKUP(X4,$A$90:$B$110,2)))</f>
        <v>0</v>
      </c>
      <c r="Y7" s="465" t="n">
        <f aca="false">IF(Y4&gt;$B$7+1,0,IF($B$7=15,VLOOKUP(Y4,$A$70:$B$85,2),VLOOKUP(Y4,$A$90:$B$110,2)))</f>
        <v>0</v>
      </c>
      <c r="Z7" s="465" t="n">
        <f aca="false">IF(Z4&gt;$B$7+1,0,IF($B$7=15,VLOOKUP(Z4,$A$70:$B$85,2),VLOOKUP(Z4,$A$90:$B$110,2)))</f>
        <v>0</v>
      </c>
      <c r="AA7" s="465" t="n">
        <f aca="false">IF(AA4&gt;$B$7+1,0,IF($B$7=15,VLOOKUP(AA4,$A$70:$B$85,2),VLOOKUP(AA4,$A$90:$B$110,2)))</f>
        <v>0</v>
      </c>
      <c r="AB7" s="517" t="n">
        <f aca="false">IF(AB4&gt;$B$7+1,0,IF($B$7=15,VLOOKUP(AB4,$A$70:$B$85,2),VLOOKUP(AB4,$A$90:$B$110,2)))</f>
        <v>0</v>
      </c>
      <c r="AC7" s="834"/>
      <c r="AD7" s="834"/>
      <c r="AE7" s="835"/>
    </row>
    <row r="8" customFormat="false" ht="12" hidden="false" customHeight="true" outlineLevel="0" collapsed="false">
      <c r="A8" s="719" t="s">
        <v>637</v>
      </c>
      <c r="B8" s="833" t="n">
        <v>5</v>
      </c>
      <c r="C8" s="836"/>
      <c r="D8" s="465" t="n">
        <f aca="false">IF(D4&gt;$B$8,0,1/$B$8)*'Book Income Statement'!D$6/12</f>
        <v>0.116666666666667</v>
      </c>
      <c r="E8" s="465" t="n">
        <f aca="false">IF(E$4&lt;=$B8,(1/$B8),IF(E$4=$B8+1,(1/$B8)-$D8,0))</f>
        <v>0.2</v>
      </c>
      <c r="F8" s="465" t="n">
        <f aca="false">IF(F4&lt;=$B$8,(1/$B$8),IF(F4=$B$8+1,(1/$B$8)-$D$8,0))</f>
        <v>0.2</v>
      </c>
      <c r="G8" s="465" t="n">
        <f aca="false">IF(G4&lt;=$B$8,(1/$B$8),IF(G4=$B$8+1,(1/$B$8)-$D$8,0))</f>
        <v>0.2</v>
      </c>
      <c r="H8" s="465" t="n">
        <f aca="false">IF(H4&lt;=$B$8,(1/$B$8),IF(H4=$B$8+1,(1/$B$8)-$D$8,0))</f>
        <v>0.2</v>
      </c>
      <c r="I8" s="465" t="n">
        <f aca="false">IF(I4&lt;=$B$8,(1/$B$8),IF(I4=$B$8+1,(1/$B$8)-$D$8,0))</f>
        <v>0.0833333333333333</v>
      </c>
      <c r="J8" s="465" t="n">
        <f aca="false">IF(J4&lt;=$B$8,(1/$B$8),IF(J4=$B$8+1,(1/$B$8)-$D$8,0))</f>
        <v>0</v>
      </c>
      <c r="K8" s="465" t="n">
        <f aca="false">IF(K4&lt;=$B$8,(1/$B$8),IF(K4=$B$8+1,(1/$B$8)-$D$8,0))</f>
        <v>0</v>
      </c>
      <c r="L8" s="465" t="n">
        <f aca="false">IF(L4&lt;=$B$8,(1/$B$8),IF(L4=$B$8+1,(1/$B$8)-$D$8,0))</f>
        <v>0</v>
      </c>
      <c r="M8" s="465" t="n">
        <f aca="false">IF(M4&lt;=$B$8,(1/$B$8),IF(M4=$B$8+1,(1/$B$8)-$D$8,0))</f>
        <v>0</v>
      </c>
      <c r="N8" s="465" t="n">
        <f aca="false">IF(N4&lt;=$B$8,(1/$B$8),IF(N4=$B$8+1,(1/$B$8)-$D$8,0))</f>
        <v>0</v>
      </c>
      <c r="O8" s="465" t="n">
        <f aca="false">IF(O4&lt;=$B$8,(1/$B$8),IF(O4=$B$8+1,(1/$B$8)-$D$8,0))</f>
        <v>0</v>
      </c>
      <c r="P8" s="465" t="n">
        <f aca="false">IF(P4&lt;=$B$8,(1/$B$8),IF(P4=$B$8+1,(1/$B$8)-$D$8,0))</f>
        <v>0</v>
      </c>
      <c r="Q8" s="465" t="n">
        <f aca="false">IF(Q4&lt;=$B$8,(1/$B$8),IF(Q4=$B$8+1,(1/$B$8)-$D$8,0))</f>
        <v>0</v>
      </c>
      <c r="R8" s="465" t="n">
        <f aca="false">IF(R4&lt;=$B$8,(1/$B$8),IF(R4=$B$8+1,(1/$B$8)-$D$8,0))</f>
        <v>0</v>
      </c>
      <c r="S8" s="465" t="n">
        <f aca="false">IF(S4&lt;=$B$8,(1/$B$8),IF(S4=$B$8+1,(1/$B$8)-$D$8,0))</f>
        <v>0</v>
      </c>
      <c r="T8" s="465" t="n">
        <f aca="false">IF(T4&lt;=$B$8,(1/$B$8),IF(T4=$B$8+1,(1/$B$8)-$D$8,0))</f>
        <v>0</v>
      </c>
      <c r="U8" s="465" t="n">
        <f aca="false">IF(U4&lt;=$B$8,(1/$B$8),IF(U4=$B$8+1,(1/$B$8)-$D$8,0))</f>
        <v>0</v>
      </c>
      <c r="V8" s="465" t="n">
        <f aca="false">IF(V4&lt;=$B$8,(1/$B$8),IF(V4=$B$8+1,(1/$B$8)-$D$8,0))</f>
        <v>0</v>
      </c>
      <c r="W8" s="465" t="n">
        <f aca="false">IF(W4&lt;=$B$8,(1/$B$8),IF(W4=$B$8+1,(1/$B$8)-$D$8,0))</f>
        <v>0</v>
      </c>
      <c r="X8" s="465" t="n">
        <f aca="false">IF(X4&lt;=$B$8,(1/$B$8),IF(X4=$B$8+1,(1/$B$8)-$D$8,0))</f>
        <v>0</v>
      </c>
      <c r="Y8" s="465" t="n">
        <f aca="false">IF(Y4&lt;=$B$8,(1/$B$8),IF(Y4=$B$8+1,(1/$B$8)-$D$8,0))</f>
        <v>0</v>
      </c>
      <c r="Z8" s="465" t="n">
        <f aca="false">IF(Z4&lt;=$B$8,(1/$B$8),IF(Z4=$B$8+1,(1/$B$8)-$D$8,0))</f>
        <v>0</v>
      </c>
      <c r="AA8" s="465" t="n">
        <f aca="false">IF(AA4&lt;=$B$8,(1/$B$8),IF(AA4=$B$8+1,(1/$B$8)-$D$8,0))</f>
        <v>0</v>
      </c>
      <c r="AB8" s="517" t="n">
        <f aca="false">IF(AB4&lt;=$B$8,(1/$B$8),IF(AB4=$B$8+1,(1/$B$8)-$D$8,0))</f>
        <v>0</v>
      </c>
      <c r="AC8" s="834"/>
      <c r="AD8" s="834"/>
      <c r="AE8" s="835"/>
    </row>
    <row r="9" customFormat="false" ht="12" hidden="false" customHeight="true" outlineLevel="0" collapsed="false">
      <c r="A9" s="719" t="s">
        <v>638</v>
      </c>
      <c r="B9" s="836" t="n">
        <f aca="false">MAX('Project Assumtions'!$F$39,'Project Assumtions'!$G$39,'Project Assumtions'!$H$39)</f>
        <v>20</v>
      </c>
      <c r="C9" s="837"/>
      <c r="D9" s="465" t="n">
        <f aca="false">IF(D4&gt;$B$9,0,(1/$B$9))*'Book Income Statement'!D$6/12</f>
        <v>0.0291666666666667</v>
      </c>
      <c r="E9" s="465" t="n">
        <f aca="false">IF(E$4&lt;=$B$9,(1/$B$9),IF(E$4=$B$9+1,(1/$B$9)-$D$9,0))</f>
        <v>0.05</v>
      </c>
      <c r="F9" s="465" t="n">
        <f aca="false">IF(F$4&lt;=$B$9,(1/$B$9),IF(F$4=$B$9+1,(1/$B$9)-$D$9,0))</f>
        <v>0.05</v>
      </c>
      <c r="G9" s="465" t="n">
        <f aca="false">IF(G$4&lt;=$B$9,(1/$B$9),IF(G$4=$B$9+1,(1/$B$9)-$D$9,0))</f>
        <v>0.05</v>
      </c>
      <c r="H9" s="465" t="n">
        <f aca="false">IF(H$4&lt;=$B$9,(1/$B$9),IF(H$4=$B$9+1,(1/$B$9)-$D$9,0))</f>
        <v>0.05</v>
      </c>
      <c r="I9" s="465" t="n">
        <f aca="false">IF(I$4&lt;=$B$9,(1/$B$9),IF(I$4=$B$9+1,(1/$B$9)-$D$9,0))</f>
        <v>0.05</v>
      </c>
      <c r="J9" s="465" t="n">
        <f aca="false">IF(J$4&lt;=$B$9,(1/$B$9),IF(J$4=$B$9+1,(1/$B$9)-$D$9,0))</f>
        <v>0.05</v>
      </c>
      <c r="K9" s="465" t="n">
        <f aca="false">IF(K$4&lt;=$B$9,(1/$B$9),IF(K$4=$B$9+1,(1/$B$9)-$D$9,0))</f>
        <v>0.05</v>
      </c>
      <c r="L9" s="465" t="n">
        <f aca="false">IF(L$4&lt;=$B$9,(1/$B$9),IF(L$4=$B$9+1,(1/$B$9)-$D$9,0))</f>
        <v>0.05</v>
      </c>
      <c r="M9" s="465" t="n">
        <f aca="false">IF(M$4&lt;=$B$9,(1/$B$9),IF(M$4=$B$9+1,(1/$B$9)-$D$9,0))</f>
        <v>0.05</v>
      </c>
      <c r="N9" s="465" t="n">
        <f aca="false">IF(N$4&lt;=$B$9,(1/$B$9),IF(N$4=$B$9+1,(1/$B$9)-$D$9,0))</f>
        <v>0.05</v>
      </c>
      <c r="O9" s="465" t="n">
        <f aca="false">IF(O$4&lt;=$B$9,(1/$B$9),IF(O$4=$B$9+1,(1/$B$9)-$D$9,0))</f>
        <v>0.05</v>
      </c>
      <c r="P9" s="465" t="n">
        <f aca="false">IF(P$4&lt;=$B$9,(1/$B$9),IF(P$4=$B$9+1,(1/$B$9)-$D$9,0))</f>
        <v>0.05</v>
      </c>
      <c r="Q9" s="465" t="n">
        <f aca="false">IF(Q$4&lt;=$B$9,(1/$B$9),IF(Q$4=$B$9+1,(1/$B$9)-$D$9,0))</f>
        <v>0.05</v>
      </c>
      <c r="R9" s="465" t="n">
        <f aca="false">IF(R$4&lt;=$B$9,(1/$B$9),IF(R$4=$B$9+1,(1/$B$9)-$D$9,0))</f>
        <v>0.05</v>
      </c>
      <c r="S9" s="465" t="n">
        <f aca="false">IF(S$4&lt;=$B$9,(1/$B$9),IF(S$4=$B$9+1,(1/$B$9)-$D$9,0))</f>
        <v>0.05</v>
      </c>
      <c r="T9" s="465" t="n">
        <f aca="false">IF(T$4&lt;=$B$9,(1/$B$9),IF(T$4=$B$9+1,(1/$B$9)-$D$9,0))</f>
        <v>0.05</v>
      </c>
      <c r="U9" s="465" t="n">
        <f aca="false">IF(U$4&lt;=$B$9,(1/$B$9),IF(U$4=$B$9+1,(1/$B$9)-$D$9,0))</f>
        <v>0.05</v>
      </c>
      <c r="V9" s="465" t="n">
        <f aca="false">IF(V$4&lt;=$B$9,(1/$B$9),IF(V$4=$B$9+1,(1/$B$9)-$D$9,0))</f>
        <v>0.05</v>
      </c>
      <c r="W9" s="465" t="n">
        <f aca="false">IF(W$4&lt;=$B$9,(1/$B$9),IF(W$4=$B$9+1,(1/$B$9)-$D$9,0))</f>
        <v>0.05</v>
      </c>
      <c r="X9" s="465" t="n">
        <f aca="false">IF(X$4&lt;=$B$9,(1/$B$9),IF(X$4=$B$9+1,(1/$B$9)-$D$9,0))</f>
        <v>0.0208333333333333</v>
      </c>
      <c r="Y9" s="465" t="n">
        <f aca="false">IF(Y$4&lt;=$B$9,(1/$B$9),IF(Y$4=$B$9+1,(1/$B$9)-$D$9,0))</f>
        <v>0</v>
      </c>
      <c r="Z9" s="465" t="n">
        <f aca="false">IF(Z$4&lt;=$B$9,(1/$B$9),IF(Z$4=$B$9+1,(1/$B$9)-$D$9,0))</f>
        <v>0</v>
      </c>
      <c r="AA9" s="465" t="n">
        <f aca="false">IF(AA$4&lt;=$B$9,(1/$B$9),IF(AA$4=$B$9+1,(1/$B$9)-$D$9,0))</f>
        <v>0</v>
      </c>
      <c r="AB9" s="517" t="n">
        <f aca="false">IF(AB$4&lt;=$B$9,(1/$B$9),IF(AB$4=$B$9+1,(1/$B$9)-$D$9,0))</f>
        <v>0</v>
      </c>
      <c r="AC9" s="834"/>
      <c r="AD9" s="834"/>
      <c r="AE9" s="835"/>
    </row>
    <row r="10" customFormat="false" ht="12" hidden="false" customHeight="true" outlineLevel="0" collapsed="false">
      <c r="A10" s="403"/>
      <c r="B10" s="836"/>
      <c r="C10" s="378"/>
      <c r="D10" s="831"/>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408"/>
    </row>
    <row r="11" customFormat="false" ht="12" hidden="false" customHeight="true" outlineLevel="0" collapsed="false">
      <c r="A11" s="719" t="s">
        <v>639</v>
      </c>
      <c r="B11" s="431" t="n">
        <f aca="false">'Project Assumtions'!C30-'Project Assumtions'!C25+'Project Assumtions'!C54+'Project Assumtions'!C58+'Project Assumtions'!C33</f>
        <v>157722.605</v>
      </c>
      <c r="C11" s="783"/>
      <c r="D11" s="431" t="n">
        <f aca="false">$B$11*D7</f>
        <v>7886.13025</v>
      </c>
      <c r="E11" s="431" t="n">
        <f aca="false">$B$11*E7</f>
        <v>14983.647475</v>
      </c>
      <c r="F11" s="431" t="n">
        <f aca="false">$B$11*F7</f>
        <v>13485.2827275</v>
      </c>
      <c r="G11" s="431" t="n">
        <f aca="false">$B$11*G7</f>
        <v>12144.640585</v>
      </c>
      <c r="H11" s="431" t="n">
        <f aca="false">$B$11*H7</f>
        <v>10930.1765265</v>
      </c>
      <c r="I11" s="431" t="n">
        <f aca="false">$B$11*I7</f>
        <v>9826.1182915</v>
      </c>
      <c r="J11" s="431" t="n">
        <f aca="false">$B$11*J7</f>
        <v>9305.633695</v>
      </c>
      <c r="K11" s="431" t="n">
        <f aca="false">$B$11*K7</f>
        <v>9321.4059555</v>
      </c>
      <c r="L11" s="431" t="n">
        <f aca="false">$B$11*L7</f>
        <v>9305.633695</v>
      </c>
      <c r="M11" s="431" t="n">
        <f aca="false">$B$11*M7</f>
        <v>9321.4059555</v>
      </c>
      <c r="N11" s="431" t="n">
        <f aca="false">$B$11*N7</f>
        <v>9305.633695</v>
      </c>
      <c r="O11" s="431" t="n">
        <f aca="false">$B$11*O7</f>
        <v>9321.4059555</v>
      </c>
      <c r="P11" s="431" t="n">
        <f aca="false">$B$11*P7</f>
        <v>9305.633695</v>
      </c>
      <c r="Q11" s="431" t="n">
        <f aca="false">$B$11*Q7</f>
        <v>9321.4059555</v>
      </c>
      <c r="R11" s="431" t="n">
        <f aca="false">$B$11*R7</f>
        <v>9305.633695</v>
      </c>
      <c r="S11" s="431" t="n">
        <f aca="false">$B$11*S7</f>
        <v>4652.8168475</v>
      </c>
      <c r="T11" s="431" t="n">
        <f aca="false">$B$11*T7</f>
        <v>0</v>
      </c>
      <c r="U11" s="431" t="n">
        <f aca="false">$B$11*U7</f>
        <v>0</v>
      </c>
      <c r="V11" s="431" t="n">
        <f aca="false">$B$11*V7</f>
        <v>0</v>
      </c>
      <c r="W11" s="431" t="n">
        <f aca="false">$B$11*W7</f>
        <v>0</v>
      </c>
      <c r="X11" s="431" t="n">
        <f aca="false">$B$11*X7</f>
        <v>0</v>
      </c>
      <c r="Y11" s="431" t="n">
        <f aca="false">$B$11*Y7</f>
        <v>0</v>
      </c>
      <c r="Z11" s="431" t="n">
        <f aca="false">$B$11*Z7</f>
        <v>0</v>
      </c>
      <c r="AA11" s="431" t="n">
        <f aca="false">$B$11*AA7</f>
        <v>0</v>
      </c>
      <c r="AB11" s="432" t="n">
        <f aca="false">$B$11*AB7</f>
        <v>0</v>
      </c>
      <c r="AC11" s="838"/>
      <c r="AD11" s="838"/>
      <c r="AE11" s="838"/>
    </row>
    <row r="12" customFormat="false" ht="12" hidden="false" customHeight="true" outlineLevel="0" collapsed="false">
      <c r="A12" s="719" t="s">
        <v>640</v>
      </c>
      <c r="B12" s="507" t="n">
        <f aca="false">'Project Assumtions'!C43-'Project Assumtions'!C33-'Project Assumtions'!C40-'Project Assumtions'!C41</f>
        <v>1699.549</v>
      </c>
      <c r="C12" s="783"/>
      <c r="D12" s="507" t="n">
        <f aca="false">$B$12*D8</f>
        <v>198.280716666667</v>
      </c>
      <c r="E12" s="507" t="n">
        <f aca="false">$B$12*E8</f>
        <v>339.9098</v>
      </c>
      <c r="F12" s="507" t="n">
        <f aca="false">$B$12*F8</f>
        <v>339.9098</v>
      </c>
      <c r="G12" s="507" t="n">
        <f aca="false">$B$12*G8</f>
        <v>339.9098</v>
      </c>
      <c r="H12" s="507" t="n">
        <f aca="false">$B$12*H8</f>
        <v>339.9098</v>
      </c>
      <c r="I12" s="507" t="n">
        <f aca="false">$B$12*I8</f>
        <v>141.629083333333</v>
      </c>
      <c r="J12" s="507" t="n">
        <f aca="false">$B$12*J8</f>
        <v>0</v>
      </c>
      <c r="K12" s="507" t="n">
        <f aca="false">$B$12*K8</f>
        <v>0</v>
      </c>
      <c r="L12" s="507" t="n">
        <f aca="false">$B$12*L8</f>
        <v>0</v>
      </c>
      <c r="M12" s="507" t="n">
        <f aca="false">$B$12*M8</f>
        <v>0</v>
      </c>
      <c r="N12" s="507" t="n">
        <f aca="false">$B$12*N8</f>
        <v>0</v>
      </c>
      <c r="O12" s="507" t="n">
        <f aca="false">$B$12*O8</f>
        <v>0</v>
      </c>
      <c r="P12" s="507" t="n">
        <f aca="false">$B$12*P8</f>
        <v>0</v>
      </c>
      <c r="Q12" s="507" t="n">
        <f aca="false">$B$12*Q8</f>
        <v>0</v>
      </c>
      <c r="R12" s="507" t="n">
        <f aca="false">$B$12*R8</f>
        <v>0</v>
      </c>
      <c r="S12" s="507" t="n">
        <f aca="false">$B$12*S8</f>
        <v>0</v>
      </c>
      <c r="T12" s="507" t="n">
        <f aca="false">$B$12*T8</f>
        <v>0</v>
      </c>
      <c r="U12" s="507" t="n">
        <f aca="false">$B$12*U8</f>
        <v>0</v>
      </c>
      <c r="V12" s="507" t="n">
        <f aca="false">$B$12*V8</f>
        <v>0</v>
      </c>
      <c r="W12" s="507" t="n">
        <f aca="false">$B$12*W8</f>
        <v>0</v>
      </c>
      <c r="X12" s="507" t="n">
        <f aca="false">$B$12*X8</f>
        <v>0</v>
      </c>
      <c r="Y12" s="507" t="n">
        <f aca="false">$B$12*Y8</f>
        <v>0</v>
      </c>
      <c r="Z12" s="507" t="n">
        <f aca="false">$B$12*Z8</f>
        <v>0</v>
      </c>
      <c r="AA12" s="507" t="n">
        <f aca="false">$B$12*AA8</f>
        <v>0</v>
      </c>
      <c r="AB12" s="723" t="n">
        <f aca="false">$B$12*AB8</f>
        <v>0</v>
      </c>
      <c r="AC12" s="838"/>
      <c r="AD12" s="838"/>
      <c r="AE12" s="727"/>
    </row>
    <row r="13" customFormat="false" ht="12" hidden="false" customHeight="true" outlineLevel="0" collapsed="false">
      <c r="A13" s="719" t="s">
        <v>641</v>
      </c>
      <c r="B13" s="507" t="n">
        <f aca="false">'Project Assumtions'!C46+'Project Assumtions'!C47+'Project Assumtions'!C48</f>
        <v>0</v>
      </c>
      <c r="C13" s="783"/>
      <c r="D13" s="507" t="n">
        <f aca="false">$B$13*D9</f>
        <v>0</v>
      </c>
      <c r="E13" s="507" t="n">
        <f aca="false">$B$13*E9</f>
        <v>0</v>
      </c>
      <c r="F13" s="507" t="n">
        <f aca="false">$B$13*F9</f>
        <v>0</v>
      </c>
      <c r="G13" s="507" t="n">
        <f aca="false">$B$13*G9</f>
        <v>0</v>
      </c>
      <c r="H13" s="507" t="n">
        <f aca="false">$B$13*H9</f>
        <v>0</v>
      </c>
      <c r="I13" s="507" t="n">
        <f aca="false">$B$13*I9</f>
        <v>0</v>
      </c>
      <c r="J13" s="507" t="n">
        <f aca="false">$B$13*J9</f>
        <v>0</v>
      </c>
      <c r="K13" s="507" t="n">
        <f aca="false">$B$13*K9</f>
        <v>0</v>
      </c>
      <c r="L13" s="507" t="n">
        <f aca="false">$B$13*L9</f>
        <v>0</v>
      </c>
      <c r="M13" s="507" t="n">
        <f aca="false">$B$13*M9</f>
        <v>0</v>
      </c>
      <c r="N13" s="507" t="n">
        <f aca="false">$B$13*N9</f>
        <v>0</v>
      </c>
      <c r="O13" s="507" t="n">
        <f aca="false">$B$13*O9</f>
        <v>0</v>
      </c>
      <c r="P13" s="507" t="n">
        <f aca="false">$B$13*P9</f>
        <v>0</v>
      </c>
      <c r="Q13" s="507" t="n">
        <f aca="false">$B$13*Q9</f>
        <v>0</v>
      </c>
      <c r="R13" s="507" t="n">
        <f aca="false">$B$13*R9</f>
        <v>0</v>
      </c>
      <c r="S13" s="507" t="n">
        <f aca="false">$B$13*S9</f>
        <v>0</v>
      </c>
      <c r="T13" s="507" t="n">
        <f aca="false">$B$13*T9</f>
        <v>0</v>
      </c>
      <c r="U13" s="507" t="n">
        <f aca="false">$B$13*U9</f>
        <v>0</v>
      </c>
      <c r="V13" s="507" t="n">
        <f aca="false">$B$13*V9</f>
        <v>0</v>
      </c>
      <c r="W13" s="507" t="n">
        <f aca="false">$B$13*W9</f>
        <v>0</v>
      </c>
      <c r="X13" s="507" t="n">
        <f aca="false">$B$13*X9</f>
        <v>0</v>
      </c>
      <c r="Y13" s="507" t="n">
        <f aca="false">$B$13*Y9</f>
        <v>0</v>
      </c>
      <c r="Z13" s="507" t="n">
        <f aca="false">$B$13*Z9</f>
        <v>0</v>
      </c>
      <c r="AA13" s="507" t="n">
        <f aca="false">$B$13*AA9</f>
        <v>0</v>
      </c>
      <c r="AB13" s="723" t="n">
        <f aca="false">$B$13*AB9</f>
        <v>0</v>
      </c>
      <c r="AC13" s="838"/>
      <c r="AD13" s="838"/>
      <c r="AE13" s="727"/>
    </row>
    <row r="14" customFormat="false" ht="12" hidden="false" customHeight="true" outlineLevel="0" collapsed="false">
      <c r="A14" s="719" t="s">
        <v>642</v>
      </c>
      <c r="B14" s="505" t="n">
        <v>0</v>
      </c>
      <c r="C14" s="783"/>
      <c r="D14" s="505" t="n">
        <f aca="false">B14</f>
        <v>0</v>
      </c>
      <c r="E14" s="839" t="n">
        <v>0</v>
      </c>
      <c r="F14" s="839" t="n">
        <v>0</v>
      </c>
      <c r="G14" s="839" t="n">
        <v>0</v>
      </c>
      <c r="H14" s="839" t="n">
        <v>0</v>
      </c>
      <c r="I14" s="839" t="n">
        <v>0</v>
      </c>
      <c r="J14" s="839" t="n">
        <v>0</v>
      </c>
      <c r="K14" s="839" t="n">
        <v>0</v>
      </c>
      <c r="L14" s="839" t="n">
        <v>0</v>
      </c>
      <c r="M14" s="839" t="n">
        <v>0</v>
      </c>
      <c r="N14" s="839" t="n">
        <v>0</v>
      </c>
      <c r="O14" s="839" t="n">
        <v>0</v>
      </c>
      <c r="P14" s="839" t="n">
        <v>0</v>
      </c>
      <c r="Q14" s="839" t="n">
        <v>0</v>
      </c>
      <c r="R14" s="839" t="n">
        <v>0</v>
      </c>
      <c r="S14" s="839" t="n">
        <v>0</v>
      </c>
      <c r="T14" s="839" t="n">
        <v>0</v>
      </c>
      <c r="U14" s="839" t="n">
        <v>0</v>
      </c>
      <c r="V14" s="839" t="n">
        <v>0</v>
      </c>
      <c r="W14" s="839" t="n">
        <v>0</v>
      </c>
      <c r="X14" s="839" t="n">
        <v>0</v>
      </c>
      <c r="Y14" s="839" t="n">
        <v>0</v>
      </c>
      <c r="Z14" s="839" t="n">
        <v>0</v>
      </c>
      <c r="AA14" s="839" t="n">
        <v>0</v>
      </c>
      <c r="AB14" s="840" t="n">
        <v>0</v>
      </c>
      <c r="AC14" s="838"/>
      <c r="AD14" s="838"/>
      <c r="AE14" s="727"/>
    </row>
    <row r="15" customFormat="false" ht="12" hidden="false" customHeight="true" outlineLevel="0" collapsed="false">
      <c r="A15" s="841" t="s">
        <v>643</v>
      </c>
      <c r="B15" s="656" t="n">
        <f aca="false">SUM(B11:B14)</f>
        <v>159422.154</v>
      </c>
      <c r="C15" s="842"/>
      <c r="D15" s="656" t="n">
        <f aca="false">SUM(D11:D14)</f>
        <v>8084.41096666667</v>
      </c>
      <c r="E15" s="656" t="n">
        <f aca="false">SUM(E11:E14)</f>
        <v>15323.557275</v>
      </c>
      <c r="F15" s="656" t="n">
        <f aca="false">SUM(F11:F14)</f>
        <v>13825.1925275</v>
      </c>
      <c r="G15" s="656" t="n">
        <f aca="false">SUM(G11:G14)</f>
        <v>12484.550385</v>
      </c>
      <c r="H15" s="656" t="n">
        <f aca="false">SUM(H11:H14)</f>
        <v>11270.0863265</v>
      </c>
      <c r="I15" s="656" t="n">
        <f aca="false">SUM(I11:I14)</f>
        <v>9967.74737483333</v>
      </c>
      <c r="J15" s="656" t="n">
        <f aca="false">SUM(J11:J14)</f>
        <v>9305.633695</v>
      </c>
      <c r="K15" s="656" t="n">
        <f aca="false">SUM(K11:K14)</f>
        <v>9321.4059555</v>
      </c>
      <c r="L15" s="656" t="n">
        <f aca="false">SUM(L11:L14)</f>
        <v>9305.633695</v>
      </c>
      <c r="M15" s="656" t="n">
        <f aca="false">SUM(M11:M14)</f>
        <v>9321.4059555</v>
      </c>
      <c r="N15" s="656" t="n">
        <f aca="false">SUM(N11:N14)</f>
        <v>9305.633695</v>
      </c>
      <c r="O15" s="656" t="n">
        <f aca="false">SUM(O11:O14)</f>
        <v>9321.4059555</v>
      </c>
      <c r="P15" s="656" t="n">
        <f aca="false">SUM(P11:P14)</f>
        <v>9305.633695</v>
      </c>
      <c r="Q15" s="656" t="n">
        <f aca="false">SUM(Q11:Q14)</f>
        <v>9321.4059555</v>
      </c>
      <c r="R15" s="656" t="n">
        <f aca="false">SUM(R11:R14)</f>
        <v>9305.633695</v>
      </c>
      <c r="S15" s="656" t="n">
        <f aca="false">SUM(S11:S14)</f>
        <v>4652.8168475</v>
      </c>
      <c r="T15" s="656" t="n">
        <f aca="false">SUM(T11:T14)</f>
        <v>0</v>
      </c>
      <c r="U15" s="656" t="n">
        <f aca="false">SUM(U11:U14)</f>
        <v>0</v>
      </c>
      <c r="V15" s="656" t="n">
        <f aca="false">SUM(V11:V14)</f>
        <v>0</v>
      </c>
      <c r="W15" s="656" t="n">
        <f aca="false">SUM(W11:W14)</f>
        <v>0</v>
      </c>
      <c r="X15" s="656" t="n">
        <f aca="false">SUM(X11:X14)</f>
        <v>0</v>
      </c>
      <c r="Y15" s="656" t="n">
        <f aca="false">SUM(Y11:Y14)</f>
        <v>0</v>
      </c>
      <c r="Z15" s="656" t="n">
        <f aca="false">SUM(Z11:Z14)</f>
        <v>0</v>
      </c>
      <c r="AA15" s="656" t="n">
        <f aca="false">SUM(AA11:AA14)</f>
        <v>0</v>
      </c>
      <c r="AB15" s="657" t="n">
        <f aca="false">SUM(AB11:AB14)</f>
        <v>0</v>
      </c>
      <c r="AC15" s="838"/>
      <c r="AD15" s="838"/>
      <c r="AE15" s="838"/>
    </row>
    <row r="16" customFormat="false" ht="12" hidden="false" customHeight="true" outlineLevel="0" collapsed="false">
      <c r="A16" s="801"/>
      <c r="B16" s="843"/>
      <c r="C16" s="843"/>
      <c r="D16" s="843"/>
      <c r="E16" s="843"/>
      <c r="F16" s="843"/>
      <c r="G16" s="843"/>
      <c r="H16" s="843"/>
      <c r="I16" s="843"/>
      <c r="J16" s="843"/>
      <c r="K16" s="843"/>
      <c r="L16" s="843"/>
      <c r="M16" s="843"/>
      <c r="N16" s="843"/>
      <c r="O16" s="843"/>
      <c r="P16" s="843"/>
      <c r="Q16" s="843"/>
      <c r="R16" s="843"/>
      <c r="S16" s="843"/>
      <c r="T16" s="843"/>
      <c r="U16" s="843"/>
      <c r="V16" s="843"/>
      <c r="W16" s="843"/>
      <c r="X16" s="843"/>
      <c r="Y16" s="843"/>
      <c r="Z16" s="843"/>
      <c r="AA16" s="843"/>
      <c r="AB16" s="843"/>
      <c r="AC16" s="838"/>
      <c r="AD16" s="838"/>
      <c r="AE16" s="727"/>
    </row>
    <row r="17" customFormat="false" ht="12" hidden="false" customHeight="true" outlineLevel="0" collapsed="false">
      <c r="A17" s="827" t="s">
        <v>644</v>
      </c>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511"/>
      <c r="AE17" s="832"/>
    </row>
    <row r="18" customFormat="false" ht="12" hidden="false" customHeight="true" outlineLevel="0" collapsed="false">
      <c r="A18" s="844"/>
      <c r="B18" s="712" t="s">
        <v>289</v>
      </c>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408"/>
      <c r="AE18" s="832"/>
    </row>
    <row r="19" customFormat="false" ht="12" hidden="false" customHeight="true" outlineLevel="0" collapsed="false">
      <c r="A19" s="719" t="s">
        <v>636</v>
      </c>
      <c r="B19" s="833" t="n">
        <f aca="false">B7</f>
        <v>15</v>
      </c>
      <c r="C19" s="845"/>
      <c r="D19" s="465" t="n">
        <f aca="false">IF(D4&gt;$B$19+1,0,IF($B$19=15,VLOOKUP(D4,$A$70:$B$85,2),VLOOKUP(D4,$A$90:$B$110,2)))</f>
        <v>0.05</v>
      </c>
      <c r="E19" s="465" t="n">
        <f aca="false">IF(E4&gt;$B$19+1,0,IF($B$19=15,VLOOKUP(E4,$A$70:$B$85,2),VLOOKUP(E4,$A$90:$B$110,2)))</f>
        <v>0.095</v>
      </c>
      <c r="F19" s="465" t="n">
        <f aca="false">IF(F4&gt;$B$19+1,0,IF($B$19=15,VLOOKUP(F4,$A$70:$B$85,2),VLOOKUP(F4,$A$90:$B$110,2)))</f>
        <v>0.0855</v>
      </c>
      <c r="G19" s="465" t="n">
        <f aca="false">IF(G4&gt;$B$19+1,0,IF($B$19=15,VLOOKUP(G4,$A$70:$B$85,2),VLOOKUP(G4,$A$90:$B$110,2)))</f>
        <v>0.077</v>
      </c>
      <c r="H19" s="465" t="n">
        <f aca="false">IF(H4&gt;$B$19+1,0,IF($B$19=15,VLOOKUP(H4,$A$70:$B$85,2),VLOOKUP(H4,$A$90:$B$110,2)))</f>
        <v>0.0693</v>
      </c>
      <c r="I19" s="465" t="n">
        <f aca="false">IF(I4&gt;$B$19+1,0,IF($B$19=15,VLOOKUP(I4,$A$70:$B$85,2),VLOOKUP(I4,$A$90:$B$110,2)))</f>
        <v>0.0623</v>
      </c>
      <c r="J19" s="465" t="n">
        <f aca="false">IF(J4&gt;$B$19+1,0,IF($B$19=15,VLOOKUP(J4,$A$70:$B$85,2),VLOOKUP(J4,$A$90:$B$110,2)))</f>
        <v>0.059</v>
      </c>
      <c r="K19" s="465" t="n">
        <f aca="false">IF(K4&gt;$B$19+1,0,IF($B$19=15,VLOOKUP(K4,$A$70:$B$85,2),VLOOKUP(K4,$A$90:$B$110,2)))</f>
        <v>0.0591</v>
      </c>
      <c r="L19" s="465" t="n">
        <f aca="false">IF(L4&gt;$B$19+1,0,IF($B$19=15,VLOOKUP(L4,$A$70:$B$85,2),VLOOKUP(L4,$A$90:$B$110,2)))</f>
        <v>0.059</v>
      </c>
      <c r="M19" s="465" t="n">
        <f aca="false">IF(M4&gt;$B$19+1,0,IF($B$19=15,VLOOKUP(M4,$A$70:$B$85,2),VLOOKUP(M4,$A$90:$B$110,2)))</f>
        <v>0.0591</v>
      </c>
      <c r="N19" s="465" t="n">
        <f aca="false">IF(N4&gt;$B$19+1,0,IF($B$19=15,VLOOKUP(N4,$A$70:$B$85,2),VLOOKUP(N4,$A$90:$B$110,2)))</f>
        <v>0.059</v>
      </c>
      <c r="O19" s="465" t="n">
        <f aca="false">IF(O4&gt;$B$19+1,0,IF($B$19=15,VLOOKUP(O4,$A$70:$B$85,2),VLOOKUP(O4,$A$90:$B$110,2)))</f>
        <v>0.0591</v>
      </c>
      <c r="P19" s="465" t="n">
        <f aca="false">IF(P4&gt;$B$19+1,0,IF($B$19=15,VLOOKUP(P4,$A$70:$B$85,2),VLOOKUP(P4,$A$90:$B$110,2)))</f>
        <v>0.059</v>
      </c>
      <c r="Q19" s="465" t="n">
        <f aca="false">IF(Q4&gt;$B$19+1,0,IF($B$19=15,VLOOKUP(Q4,$A$70:$B$85,2),VLOOKUP(Q4,$A$90:$B$110,2)))</f>
        <v>0.0591</v>
      </c>
      <c r="R19" s="465" t="n">
        <f aca="false">IF(R4&gt;$B$19+1,0,IF($B$19=15,VLOOKUP(R4,$A$70:$B$85,2),VLOOKUP(R4,$A$90:$B$110,2)))</f>
        <v>0.059</v>
      </c>
      <c r="S19" s="465" t="n">
        <f aca="false">IF(S4&gt;$B$19+1,0,IF($B$19=15,VLOOKUP(S4,$A$70:$B$85,2),VLOOKUP(S4,$A$90:$B$110,2)))</f>
        <v>0.0295</v>
      </c>
      <c r="T19" s="465" t="n">
        <f aca="false">IF(T4&gt;$B$19+1,0,IF($B$19=15,VLOOKUP(T4,$A$70:$B$85,2),VLOOKUP(T4,$A$90:$B$110,2)))</f>
        <v>0</v>
      </c>
      <c r="U19" s="465" t="n">
        <f aca="false">IF(U4&gt;$B$19+1,0,IF($B$19=15,VLOOKUP(U4,$A$70:$B$85,2),VLOOKUP(U4,$A$90:$B$110,2)))</f>
        <v>0</v>
      </c>
      <c r="V19" s="465" t="n">
        <f aca="false">IF(V4&gt;$B$19+1,0,IF($B$19=15,VLOOKUP(V4,$A$70:$B$85,2),VLOOKUP(V4,$A$90:$B$110,2)))</f>
        <v>0</v>
      </c>
      <c r="W19" s="465" t="n">
        <f aca="false">IF(W4&gt;$B$19+1,0,IF($B$19=15,VLOOKUP(W4,$A$70:$B$85,2),VLOOKUP(W4,$A$90:$B$110,2)))</f>
        <v>0</v>
      </c>
      <c r="X19" s="465" t="n">
        <f aca="false">IF(X4&gt;$B$19+1,0,IF($B$19=15,VLOOKUP(X4,$A$70:$B$85,2),VLOOKUP(X4,$A$90:$B$110,2)))</f>
        <v>0</v>
      </c>
      <c r="Y19" s="465" t="n">
        <f aca="false">IF(Y4&gt;$B$19+1,0,IF($B$19=15,VLOOKUP(Y4,$A$70:$B$85,2),VLOOKUP(Y4,$A$90:$B$110,2)))</f>
        <v>0</v>
      </c>
      <c r="Z19" s="465" t="n">
        <f aca="false">IF(Z4&gt;$B$19+1,0,IF($B$19=15,VLOOKUP(Z4,$A$70:$B$85,2),VLOOKUP(Z4,$A$90:$B$110,2)))</f>
        <v>0</v>
      </c>
      <c r="AA19" s="465" t="n">
        <f aca="false">IF(AA4&gt;$B$19+1,0,IF($B$19=15,VLOOKUP(AA4,$A$70:$B$85,2),VLOOKUP(AA4,$A$90:$B$110,2)))</f>
        <v>0</v>
      </c>
      <c r="AB19" s="517" t="n">
        <f aca="false">IF(AB4&gt;$B$19+1,0,IF($B$19=15,VLOOKUP(AB4,$A$70:$B$85,2),VLOOKUP(AB4,$A$90:$B$110,2)))</f>
        <v>0</v>
      </c>
      <c r="AC19" s="834"/>
      <c r="AD19" s="834"/>
      <c r="AE19" s="835"/>
    </row>
    <row r="20" customFormat="false" ht="12" hidden="false" customHeight="true" outlineLevel="0" collapsed="false">
      <c r="A20" s="719" t="s">
        <v>637</v>
      </c>
      <c r="B20" s="833" t="n">
        <v>5</v>
      </c>
      <c r="C20" s="378"/>
      <c r="D20" s="465" t="n">
        <f aca="false">IF(D16&gt;$B$20,0,1/$B$20)*'Book Income Statement'!D$6/12</f>
        <v>0.116666666666667</v>
      </c>
      <c r="E20" s="465" t="n">
        <f aca="false">IF(E$4&lt;=$B20,(1/$B20),IF(E$4=$B20+1,(1/$B20)-$D20,0))</f>
        <v>0.2</v>
      </c>
      <c r="F20" s="465" t="n">
        <f aca="false">IF(F$4&lt;=$B20,(1/$B20),IF(F$4=$B20+1,(1/$B20)-$D20,0))</f>
        <v>0.2</v>
      </c>
      <c r="G20" s="465" t="n">
        <f aca="false">IF(G$4&lt;=$B20,(1/$B20),IF(G$4=$B20+1,(1/$B20)-$D20,0))</f>
        <v>0.2</v>
      </c>
      <c r="H20" s="465" t="n">
        <f aca="false">IF(H$4&lt;=$B20,(1/$B20),IF(H$4=$B20+1,(1/$B20)-$D20,0))</f>
        <v>0.2</v>
      </c>
      <c r="I20" s="465" t="n">
        <f aca="false">IF(I$4&lt;=$B20,(1/$B20),IF(I$4=$B20+1,(1/$B20)-$D20,0))</f>
        <v>0.0833333333333333</v>
      </c>
      <c r="J20" s="465" t="n">
        <f aca="false">IF(J$4&lt;=$B20,(1/$B20),IF(J$4=$B20+1,(1/$B20)-$D20,0))</f>
        <v>0</v>
      </c>
      <c r="K20" s="465" t="n">
        <f aca="false">IF(K$4&lt;=$B20,(1/$B20),IF(K$4=$B20+1,(1/$B20)-$D20,0))</f>
        <v>0</v>
      </c>
      <c r="L20" s="465" t="n">
        <f aca="false">IF(L$4&lt;=$B20,(1/$B20),IF(L$4=$B20+1,(1/$B20)-$D20,0))</f>
        <v>0</v>
      </c>
      <c r="M20" s="465" t="n">
        <f aca="false">IF(M$4&lt;=$B20,(1/$B20),IF(M$4=$B20+1,(1/$B20)-$D20,0))</f>
        <v>0</v>
      </c>
      <c r="N20" s="465" t="n">
        <f aca="false">IF(N$4&lt;=$B20,(1/$B20),IF(N$4=$B20+1,(1/$B20)-$D20,0))</f>
        <v>0</v>
      </c>
      <c r="O20" s="465" t="n">
        <f aca="false">IF(O$4&lt;=$B20,(1/$B20),IF(O$4=$B20+1,(1/$B20)-$D20,0))</f>
        <v>0</v>
      </c>
      <c r="P20" s="465" t="n">
        <f aca="false">IF(P$4&lt;=$B20,(1/$B20),IF(P$4=$B20+1,(1/$B20)-$D20,0))</f>
        <v>0</v>
      </c>
      <c r="Q20" s="465" t="n">
        <f aca="false">IF(Q$4&lt;=$B20,(1/$B20),IF(Q$4=$B20+1,(1/$B20)-$D20,0))</f>
        <v>0</v>
      </c>
      <c r="R20" s="465" t="n">
        <f aca="false">IF(R$4&lt;=$B20,(1/$B20),IF(R$4=$B20+1,(1/$B20)-$D20,0))</f>
        <v>0</v>
      </c>
      <c r="S20" s="465" t="n">
        <f aca="false">IF(S$4&lt;=$B20,(1/$B20),IF(S$4=$B20+1,(1/$B20)-$D20,0))</f>
        <v>0</v>
      </c>
      <c r="T20" s="465" t="n">
        <f aca="false">IF(T$4&lt;=$B20,(1/$B20),IF(T$4=$B20+1,(1/$B20)-$D20,0))</f>
        <v>0</v>
      </c>
      <c r="U20" s="465" t="n">
        <f aca="false">IF(U$4&lt;=$B20,(1/$B20),IF(U$4=$B20+1,(1/$B20)-$D20,0))</f>
        <v>0</v>
      </c>
      <c r="V20" s="465" t="n">
        <f aca="false">IF(V$4&lt;=$B20,(1/$B20),IF(V$4=$B20+1,(1/$B20)-$D20,0))</f>
        <v>0</v>
      </c>
      <c r="W20" s="465" t="n">
        <f aca="false">IF(W$4&lt;=$B20,(1/$B20),IF(W$4=$B20+1,(1/$B20)-$D20,0))</f>
        <v>0</v>
      </c>
      <c r="X20" s="465" t="n">
        <f aca="false">IF(X$4&lt;=$B20,(1/$B20),IF(X$4=$B20+1,(1/$B20)-$D20,0))</f>
        <v>0</v>
      </c>
      <c r="Y20" s="465" t="n">
        <f aca="false">IF(Y$4&lt;=$B20,(1/$B20),IF(Y$4=$B20+1,(1/$B20)-$D20,0))</f>
        <v>0</v>
      </c>
      <c r="Z20" s="465" t="n">
        <f aca="false">IF(Z$4&lt;=$B20,(1/$B20),IF(Z$4=$B20+1,(1/$B20)-$D20,0))</f>
        <v>0</v>
      </c>
      <c r="AA20" s="465" t="n">
        <f aca="false">IF(AA$4&lt;=$B20,(1/$B20),IF(AA$4=$B20+1,(1/$B20)-$D20,0))</f>
        <v>0</v>
      </c>
      <c r="AB20" s="517" t="n">
        <f aca="false">IF(AB$4&lt;=$B20,(1/$B20),IF(AB$4=$B20+1,(1/$B20)-$D20,0))</f>
        <v>0</v>
      </c>
      <c r="AC20" s="834"/>
      <c r="AD20" s="834"/>
      <c r="AE20" s="835"/>
    </row>
    <row r="21" customFormat="false" ht="12" hidden="false" customHeight="true" outlineLevel="0" collapsed="false">
      <c r="A21" s="719" t="s">
        <v>638</v>
      </c>
      <c r="B21" s="836" t="n">
        <f aca="false">MAX('Project Assumtions'!$F$39,'Project Assumtions'!$G$39,'Project Assumtions'!$H$39)</f>
        <v>20</v>
      </c>
      <c r="C21" s="378"/>
      <c r="D21" s="465" t="n">
        <f aca="false">IF(D16&gt;$B$21,0,(1/$B$21))*'Book Income Statement'!D$6/12</f>
        <v>0.0291666666666667</v>
      </c>
      <c r="E21" s="465" t="n">
        <f aca="false">IF(E$4&lt;=$B$21,(1/$B$21),IF(E$4=$B$21+1,(1/$B$21)-$D$21,0))</f>
        <v>0.05</v>
      </c>
      <c r="F21" s="465" t="n">
        <f aca="false">IF(F$4&lt;=$B$21,(1/$B$21),IF(F$4=$B$21+1,(1/$B$21)-$D$21,0))</f>
        <v>0.05</v>
      </c>
      <c r="G21" s="465" t="n">
        <f aca="false">IF(G$4&lt;=$B$21,(1/$B$21),IF(G$4=$B$21+1,(1/$B$21)-$D$21,0))</f>
        <v>0.05</v>
      </c>
      <c r="H21" s="465" t="n">
        <f aca="false">IF(H$4&lt;=$B$21,(1/$B$21),IF(H$4=$B$21+1,(1/$B$21)-$D$21,0))</f>
        <v>0.05</v>
      </c>
      <c r="I21" s="465" t="n">
        <f aca="false">IF(I$4&lt;=$B$21,(1/$B$21),IF(I$4=$B$21+1,(1/$B$21)-$D$21,0))</f>
        <v>0.05</v>
      </c>
      <c r="J21" s="465" t="n">
        <f aca="false">IF(J$4&lt;=$B$21,(1/$B$21),IF(J$4=$B$21+1,(1/$B$21)-$D$21,0))</f>
        <v>0.05</v>
      </c>
      <c r="K21" s="465" t="n">
        <f aca="false">IF(K$4&lt;=$B$21,(1/$B$21),IF(K$4=$B$21+1,(1/$B$21)-$D$21,0))</f>
        <v>0.05</v>
      </c>
      <c r="L21" s="465" t="n">
        <f aca="false">IF(L$4&lt;=$B$21,(1/$B$21),IF(L$4=$B$21+1,(1/$B$21)-$D$21,0))</f>
        <v>0.05</v>
      </c>
      <c r="M21" s="465" t="n">
        <f aca="false">IF(M$4&lt;=$B$21,(1/$B$21),IF(M$4=$B$21+1,(1/$B$21)-$D$21,0))</f>
        <v>0.05</v>
      </c>
      <c r="N21" s="465" t="n">
        <f aca="false">IF(N$4&lt;=$B$21,(1/$B$21),IF(N$4=$B$21+1,(1/$B$21)-$D$21,0))</f>
        <v>0.05</v>
      </c>
      <c r="O21" s="465" t="n">
        <f aca="false">IF(O$4&lt;=$B$21,(1/$B$21),IF(O$4=$B$21+1,(1/$B$21)-$D$21,0))</f>
        <v>0.05</v>
      </c>
      <c r="P21" s="465" t="n">
        <f aca="false">IF(P$4&lt;=$B$21,(1/$B$21),IF(P$4=$B$21+1,(1/$B$21)-$D$21,0))</f>
        <v>0.05</v>
      </c>
      <c r="Q21" s="465" t="n">
        <f aca="false">IF(Q$4&lt;=$B$21,(1/$B$21),IF(Q$4=$B$21+1,(1/$B$21)-$D$21,0))</f>
        <v>0.05</v>
      </c>
      <c r="R21" s="465" t="n">
        <f aca="false">IF(R$4&lt;=$B$21,(1/$B$21),IF(R$4=$B$21+1,(1/$B$21)-$D$21,0))</f>
        <v>0.05</v>
      </c>
      <c r="S21" s="465" t="n">
        <f aca="false">IF(S$4&lt;=$B$21,(1/$B$21),IF(S$4=$B$21+1,(1/$B$21)-$D$21,0))</f>
        <v>0.05</v>
      </c>
      <c r="T21" s="465" t="n">
        <f aca="false">IF(T$4&lt;=$B$21,(1/$B$21),IF(T$4=$B$21+1,(1/$B$21)-$D$21,0))</f>
        <v>0.05</v>
      </c>
      <c r="U21" s="465" t="n">
        <f aca="false">IF(U$4&lt;=$B$21,(1/$B$21),IF(U$4=$B$21+1,(1/$B$21)-$D$21,0))</f>
        <v>0.05</v>
      </c>
      <c r="V21" s="465" t="n">
        <f aca="false">IF(V$4&lt;=$B$21,(1/$B$21),IF(V$4=$B$21+1,(1/$B$21)-$D$21,0))</f>
        <v>0.05</v>
      </c>
      <c r="W21" s="465" t="n">
        <f aca="false">IF(W$4&lt;=$B$21,(1/$B$21),IF(W$4=$B$21+1,(1/$B$21)-$D$21,0))</f>
        <v>0.05</v>
      </c>
      <c r="X21" s="465" t="n">
        <f aca="false">IF(X$4&lt;=$B$21,(1/$B$21),IF(X$4=$B$21+1,(1/$B$21)-$D$21,0))</f>
        <v>0.0208333333333333</v>
      </c>
      <c r="Y21" s="465" t="n">
        <f aca="false">IF(Y$4&lt;=$B$21,(1/$B$21),IF(Y$4=$B$21+1,(1/$B$21)-$D$21,0))</f>
        <v>0</v>
      </c>
      <c r="Z21" s="465" t="n">
        <f aca="false">IF(Z$4&lt;=$B$21,(1/$B$21),IF(Z$4=$B$21+1,(1/$B$21)-$D$21,0))</f>
        <v>0</v>
      </c>
      <c r="AA21" s="465" t="n">
        <f aca="false">IF(AA$4&lt;=$B$21,(1/$B$21),IF(AA$4=$B$21+1,(1/$B$21)-$D$21,0))</f>
        <v>0</v>
      </c>
      <c r="AB21" s="517" t="n">
        <f aca="false">IF(AB$4&lt;=$B$21,(1/$B$21),IF(AB$4=$B$21+1,(1/$B$21)-$D$21,0))</f>
        <v>0</v>
      </c>
      <c r="AC21" s="834"/>
      <c r="AD21" s="834"/>
      <c r="AE21" s="835"/>
    </row>
    <row r="22" customFormat="false" ht="12" hidden="false" customHeight="true" outlineLevel="0" collapsed="false">
      <c r="A22" s="846"/>
      <c r="B22" s="833"/>
      <c r="C22" s="378"/>
      <c r="D22" s="847"/>
      <c r="E22" s="847"/>
      <c r="F22" s="847"/>
      <c r="G22" s="847"/>
      <c r="H22" s="847"/>
      <c r="I22" s="847"/>
      <c r="J22" s="847"/>
      <c r="K22" s="847"/>
      <c r="L22" s="847"/>
      <c r="M22" s="847"/>
      <c r="N22" s="847"/>
      <c r="O22" s="847"/>
      <c r="P22" s="847"/>
      <c r="Q22" s="847"/>
      <c r="R22" s="847"/>
      <c r="S22" s="847"/>
      <c r="T22" s="847"/>
      <c r="U22" s="847"/>
      <c r="V22" s="847"/>
      <c r="W22" s="847"/>
      <c r="X22" s="847"/>
      <c r="Y22" s="847"/>
      <c r="Z22" s="847"/>
      <c r="AA22" s="847"/>
      <c r="AB22" s="848"/>
      <c r="AC22" s="834"/>
      <c r="AD22" s="834"/>
      <c r="AE22" s="835"/>
    </row>
    <row r="23" customFormat="false" ht="12" hidden="false" customHeight="true" outlineLevel="0" collapsed="false">
      <c r="A23" s="403"/>
      <c r="B23" s="712"/>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408"/>
    </row>
    <row r="24" customFormat="false" ht="12" hidden="false" customHeight="true" outlineLevel="0" collapsed="false">
      <c r="A24" s="719" t="s">
        <v>639</v>
      </c>
      <c r="B24" s="431" t="n">
        <f aca="false">B11</f>
        <v>157722.605</v>
      </c>
      <c r="C24" s="507"/>
      <c r="D24" s="431" t="n">
        <f aca="false">$B$24*D19</f>
        <v>7886.13025</v>
      </c>
      <c r="E24" s="431" t="n">
        <f aca="false">$B$24*E19</f>
        <v>14983.647475</v>
      </c>
      <c r="F24" s="431" t="n">
        <f aca="false">$B$24*F19</f>
        <v>13485.2827275</v>
      </c>
      <c r="G24" s="431" t="n">
        <f aca="false">$B$24*G19</f>
        <v>12144.640585</v>
      </c>
      <c r="H24" s="431" t="n">
        <f aca="false">$B$24*H19</f>
        <v>10930.1765265</v>
      </c>
      <c r="I24" s="431" t="n">
        <f aca="false">$B$24*I19</f>
        <v>9826.1182915</v>
      </c>
      <c r="J24" s="431" t="n">
        <f aca="false">$B$24*J19</f>
        <v>9305.633695</v>
      </c>
      <c r="K24" s="431" t="n">
        <f aca="false">$B$24*K19</f>
        <v>9321.4059555</v>
      </c>
      <c r="L24" s="431" t="n">
        <f aca="false">$B$24*L19</f>
        <v>9305.633695</v>
      </c>
      <c r="M24" s="431" t="n">
        <f aca="false">$B$24*M19</f>
        <v>9321.4059555</v>
      </c>
      <c r="N24" s="431" t="n">
        <f aca="false">$B$24*N19</f>
        <v>9305.633695</v>
      </c>
      <c r="O24" s="431" t="n">
        <f aca="false">$B$24*O19</f>
        <v>9321.4059555</v>
      </c>
      <c r="P24" s="431" t="n">
        <f aca="false">$B$24*P19</f>
        <v>9305.633695</v>
      </c>
      <c r="Q24" s="431" t="n">
        <f aca="false">$B$24*Q19</f>
        <v>9321.4059555</v>
      </c>
      <c r="R24" s="431" t="n">
        <f aca="false">$B$24*R19</f>
        <v>9305.633695</v>
      </c>
      <c r="S24" s="431" t="n">
        <f aca="false">$B$24*S19</f>
        <v>4652.8168475</v>
      </c>
      <c r="T24" s="431" t="n">
        <f aca="false">$B$24*T19</f>
        <v>0</v>
      </c>
      <c r="U24" s="431" t="n">
        <f aca="false">$B$24*U19</f>
        <v>0</v>
      </c>
      <c r="V24" s="431" t="n">
        <f aca="false">$B$24*V19</f>
        <v>0</v>
      </c>
      <c r="W24" s="431" t="n">
        <f aca="false">$B$24*W19</f>
        <v>0</v>
      </c>
      <c r="X24" s="431" t="n">
        <f aca="false">$B$24*X19</f>
        <v>0</v>
      </c>
      <c r="Y24" s="431" t="n">
        <f aca="false">$B$24*Y19</f>
        <v>0</v>
      </c>
      <c r="Z24" s="431" t="n">
        <f aca="false">$B$24*Z19</f>
        <v>0</v>
      </c>
      <c r="AA24" s="431" t="n">
        <f aca="false">$B$24*AA19</f>
        <v>0</v>
      </c>
      <c r="AB24" s="432" t="n">
        <f aca="false">$B$24*AB19</f>
        <v>0</v>
      </c>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c r="IW24" s="32"/>
    </row>
    <row r="25" customFormat="false" ht="12" hidden="false" customHeight="true" outlineLevel="0" collapsed="false">
      <c r="A25" s="719" t="s">
        <v>645</v>
      </c>
      <c r="B25" s="507" t="n">
        <f aca="false">B12</f>
        <v>1699.549</v>
      </c>
      <c r="C25" s="378"/>
      <c r="D25" s="507" t="n">
        <f aca="false">$B25*D20</f>
        <v>198.280716666667</v>
      </c>
      <c r="E25" s="507" t="n">
        <f aca="false">$B25*E20</f>
        <v>339.9098</v>
      </c>
      <c r="F25" s="507" t="n">
        <f aca="false">$B25*F20</f>
        <v>339.9098</v>
      </c>
      <c r="G25" s="507" t="n">
        <f aca="false">$B25*G20</f>
        <v>339.9098</v>
      </c>
      <c r="H25" s="507" t="n">
        <f aca="false">$B25*H20</f>
        <v>339.9098</v>
      </c>
      <c r="I25" s="507" t="n">
        <f aca="false">$B25*I20</f>
        <v>141.629083333333</v>
      </c>
      <c r="J25" s="507" t="n">
        <f aca="false">$B25*J20</f>
        <v>0</v>
      </c>
      <c r="K25" s="507" t="n">
        <f aca="false">$B25*K20</f>
        <v>0</v>
      </c>
      <c r="L25" s="507" t="n">
        <f aca="false">$B25*L20</f>
        <v>0</v>
      </c>
      <c r="M25" s="507" t="n">
        <f aca="false">$B25*M20</f>
        <v>0</v>
      </c>
      <c r="N25" s="507" t="n">
        <f aca="false">$B25*N20</f>
        <v>0</v>
      </c>
      <c r="O25" s="507" t="n">
        <f aca="false">$B25*O20</f>
        <v>0</v>
      </c>
      <c r="P25" s="507" t="n">
        <f aca="false">$B25*P20</f>
        <v>0</v>
      </c>
      <c r="Q25" s="507" t="n">
        <f aca="false">$B25*Q20</f>
        <v>0</v>
      </c>
      <c r="R25" s="507" t="n">
        <f aca="false">$B25*R20</f>
        <v>0</v>
      </c>
      <c r="S25" s="507" t="n">
        <f aca="false">$B25*S20</f>
        <v>0</v>
      </c>
      <c r="T25" s="507" t="n">
        <f aca="false">$B25*T20</f>
        <v>0</v>
      </c>
      <c r="U25" s="507" t="n">
        <f aca="false">$B25*U20</f>
        <v>0</v>
      </c>
      <c r="V25" s="507" t="n">
        <f aca="false">$B25*V20</f>
        <v>0</v>
      </c>
      <c r="W25" s="507" t="n">
        <f aca="false">$B25*W20</f>
        <v>0</v>
      </c>
      <c r="X25" s="507" t="n">
        <f aca="false">$B25*X20</f>
        <v>0</v>
      </c>
      <c r="Y25" s="507" t="n">
        <f aca="false">$B25*Y20</f>
        <v>0</v>
      </c>
      <c r="Z25" s="507" t="n">
        <f aca="false">$B25*Z20</f>
        <v>0</v>
      </c>
      <c r="AA25" s="507" t="n">
        <f aca="false">$B25*AA20</f>
        <v>0</v>
      </c>
      <c r="AB25" s="723" t="n">
        <f aca="false">$B25*AB20</f>
        <v>0</v>
      </c>
      <c r="AC25" s="838"/>
      <c r="AD25" s="838"/>
      <c r="AE25" s="727"/>
    </row>
    <row r="26" customFormat="false" ht="12" hidden="false" customHeight="true" outlineLevel="0" collapsed="false">
      <c r="A26" s="719" t="s">
        <v>641</v>
      </c>
      <c r="B26" s="507" t="n">
        <f aca="false">B13</f>
        <v>0</v>
      </c>
      <c r="C26" s="378"/>
      <c r="D26" s="507" t="n">
        <f aca="false">$B26*D21</f>
        <v>0</v>
      </c>
      <c r="E26" s="507" t="n">
        <f aca="false">$B26*E21</f>
        <v>0</v>
      </c>
      <c r="F26" s="507" t="n">
        <f aca="false">$B26*F21</f>
        <v>0</v>
      </c>
      <c r="G26" s="507" t="n">
        <f aca="false">$B26*G21</f>
        <v>0</v>
      </c>
      <c r="H26" s="507" t="n">
        <f aca="false">$B26*H21</f>
        <v>0</v>
      </c>
      <c r="I26" s="507" t="n">
        <f aca="false">$B26*I21</f>
        <v>0</v>
      </c>
      <c r="J26" s="507" t="n">
        <f aca="false">$B26*J21</f>
        <v>0</v>
      </c>
      <c r="K26" s="507" t="n">
        <f aca="false">$B26*K21</f>
        <v>0</v>
      </c>
      <c r="L26" s="507" t="n">
        <f aca="false">$B26*L21</f>
        <v>0</v>
      </c>
      <c r="M26" s="507" t="n">
        <f aca="false">$B26*M21</f>
        <v>0</v>
      </c>
      <c r="N26" s="507" t="n">
        <f aca="false">$B26*N21</f>
        <v>0</v>
      </c>
      <c r="O26" s="507" t="n">
        <f aca="false">$B26*O21</f>
        <v>0</v>
      </c>
      <c r="P26" s="507" t="n">
        <f aca="false">$B26*P21</f>
        <v>0</v>
      </c>
      <c r="Q26" s="507" t="n">
        <f aca="false">$B26*Q21</f>
        <v>0</v>
      </c>
      <c r="R26" s="507" t="n">
        <f aca="false">$B26*R21</f>
        <v>0</v>
      </c>
      <c r="S26" s="507" t="n">
        <f aca="false">$B26*S21</f>
        <v>0</v>
      </c>
      <c r="T26" s="507" t="n">
        <f aca="false">$B26*T21</f>
        <v>0</v>
      </c>
      <c r="U26" s="507" t="n">
        <f aca="false">$B26*U21</f>
        <v>0</v>
      </c>
      <c r="V26" s="507" t="n">
        <f aca="false">$B26*V21</f>
        <v>0</v>
      </c>
      <c r="W26" s="507" t="n">
        <f aca="false">$B26*W21</f>
        <v>0</v>
      </c>
      <c r="X26" s="507" t="n">
        <f aca="false">$B26*X21</f>
        <v>0</v>
      </c>
      <c r="Y26" s="507" t="n">
        <f aca="false">$B26*Y21</f>
        <v>0</v>
      </c>
      <c r="Z26" s="507" t="n">
        <f aca="false">$B26*Z21</f>
        <v>0</v>
      </c>
      <c r="AA26" s="507" t="n">
        <f aca="false">$B26*AA21</f>
        <v>0</v>
      </c>
      <c r="AB26" s="723" t="n">
        <f aca="false">$B26*AB21</f>
        <v>0</v>
      </c>
      <c r="AC26" s="838"/>
      <c r="AD26" s="838"/>
      <c r="AE26" s="727"/>
    </row>
    <row r="27" customFormat="false" ht="12" hidden="false" customHeight="true" outlineLevel="0" collapsed="false">
      <c r="A27" s="719" t="s">
        <v>642</v>
      </c>
      <c r="B27" s="505" t="n">
        <f aca="false">B14</f>
        <v>0</v>
      </c>
      <c r="C27" s="378"/>
      <c r="D27" s="505" t="n">
        <f aca="false">B27</f>
        <v>0</v>
      </c>
      <c r="E27" s="839" t="n">
        <v>0</v>
      </c>
      <c r="F27" s="839" t="n">
        <v>0</v>
      </c>
      <c r="G27" s="839" t="n">
        <v>0</v>
      </c>
      <c r="H27" s="839" t="n">
        <v>0</v>
      </c>
      <c r="I27" s="839" t="n">
        <v>0</v>
      </c>
      <c r="J27" s="839" t="n">
        <v>0</v>
      </c>
      <c r="K27" s="839" t="n">
        <v>0</v>
      </c>
      <c r="L27" s="839" t="n">
        <v>0</v>
      </c>
      <c r="M27" s="839" t="n">
        <v>0</v>
      </c>
      <c r="N27" s="839" t="n">
        <v>0</v>
      </c>
      <c r="O27" s="839" t="n">
        <v>0</v>
      </c>
      <c r="P27" s="839" t="n">
        <v>0</v>
      </c>
      <c r="Q27" s="839" t="n">
        <v>0</v>
      </c>
      <c r="R27" s="839" t="n">
        <v>0</v>
      </c>
      <c r="S27" s="839" t="n">
        <v>0</v>
      </c>
      <c r="T27" s="839" t="n">
        <v>0</v>
      </c>
      <c r="U27" s="839" t="n">
        <v>0</v>
      </c>
      <c r="V27" s="839" t="n">
        <v>0</v>
      </c>
      <c r="W27" s="839" t="n">
        <v>0</v>
      </c>
      <c r="X27" s="839" t="n">
        <v>0</v>
      </c>
      <c r="Y27" s="839" t="n">
        <v>0</v>
      </c>
      <c r="Z27" s="839" t="n">
        <v>0</v>
      </c>
      <c r="AA27" s="839" t="n">
        <v>0</v>
      </c>
      <c r="AB27" s="840" t="n">
        <v>0</v>
      </c>
      <c r="AC27" s="838"/>
      <c r="AD27" s="838"/>
      <c r="AE27" s="727"/>
    </row>
    <row r="28" customFormat="false" ht="12" hidden="false" customHeight="true" outlineLevel="0" collapsed="false">
      <c r="A28" s="841" t="s">
        <v>643</v>
      </c>
      <c r="B28" s="656" t="n">
        <f aca="false">SUM(B24:B27)</f>
        <v>159422.154</v>
      </c>
      <c r="C28" s="630"/>
      <c r="D28" s="656" t="n">
        <f aca="false">SUM(D24:D27)</f>
        <v>8084.41096666667</v>
      </c>
      <c r="E28" s="656" t="n">
        <f aca="false">SUM(E24:E27)</f>
        <v>15323.557275</v>
      </c>
      <c r="F28" s="656" t="n">
        <f aca="false">SUM(F24:F27)</f>
        <v>13825.1925275</v>
      </c>
      <c r="G28" s="656" t="n">
        <f aca="false">SUM(G24:G27)</f>
        <v>12484.550385</v>
      </c>
      <c r="H28" s="656" t="n">
        <f aca="false">SUM(H24:H27)</f>
        <v>11270.0863265</v>
      </c>
      <c r="I28" s="656" t="n">
        <f aca="false">SUM(I24:I27)</f>
        <v>9967.74737483333</v>
      </c>
      <c r="J28" s="656" t="n">
        <f aca="false">SUM(J24:J27)</f>
        <v>9305.633695</v>
      </c>
      <c r="K28" s="656" t="n">
        <f aca="false">SUM(K24:K27)</f>
        <v>9321.4059555</v>
      </c>
      <c r="L28" s="656" t="n">
        <f aca="false">SUM(L24:L27)</f>
        <v>9305.633695</v>
      </c>
      <c r="M28" s="656" t="n">
        <f aca="false">SUM(M24:M27)</f>
        <v>9321.4059555</v>
      </c>
      <c r="N28" s="656" t="n">
        <f aca="false">SUM(N24:N27)</f>
        <v>9305.633695</v>
      </c>
      <c r="O28" s="656" t="n">
        <f aca="false">SUM(O24:O27)</f>
        <v>9321.4059555</v>
      </c>
      <c r="P28" s="656" t="n">
        <f aca="false">SUM(P24:P27)</f>
        <v>9305.633695</v>
      </c>
      <c r="Q28" s="656" t="n">
        <f aca="false">SUM(Q24:Q27)</f>
        <v>9321.4059555</v>
      </c>
      <c r="R28" s="656" t="n">
        <f aca="false">SUM(R24:R27)</f>
        <v>9305.633695</v>
      </c>
      <c r="S28" s="656" t="n">
        <f aca="false">SUM(S24:S27)</f>
        <v>4652.8168475</v>
      </c>
      <c r="T28" s="656" t="n">
        <f aca="false">SUM(T24:T27)</f>
        <v>0</v>
      </c>
      <c r="U28" s="656" t="n">
        <f aca="false">SUM(U24:U27)</f>
        <v>0</v>
      </c>
      <c r="V28" s="656" t="n">
        <f aca="false">SUM(V24:V27)</f>
        <v>0</v>
      </c>
      <c r="W28" s="656" t="n">
        <f aca="false">SUM(W24:W27)</f>
        <v>0</v>
      </c>
      <c r="X28" s="656" t="n">
        <f aca="false">SUM(X24:X27)</f>
        <v>0</v>
      </c>
      <c r="Y28" s="656" t="n">
        <f aca="false">SUM(Y24:Y27)</f>
        <v>0</v>
      </c>
      <c r="Z28" s="656" t="n">
        <f aca="false">SUM(Z24:Z27)</f>
        <v>0</v>
      </c>
      <c r="AA28" s="656" t="n">
        <f aca="false">SUM(AA24:AA27)</f>
        <v>0</v>
      </c>
      <c r="AB28" s="657" t="n">
        <f aca="false">SUM(AB24:AB27)</f>
        <v>0</v>
      </c>
      <c r="AC28" s="838"/>
      <c r="AD28" s="838"/>
      <c r="AE28" s="727"/>
    </row>
    <row r="29" customFormat="false" ht="12" hidden="false" customHeight="true" outlineLevel="0" collapsed="false"/>
    <row r="30" customFormat="false" ht="12" hidden="false" customHeight="true" outlineLevel="0" collapsed="false">
      <c r="A30" s="827" t="s">
        <v>646</v>
      </c>
      <c r="B30" s="374"/>
      <c r="C30" s="374"/>
      <c r="D30" s="374"/>
      <c r="E30" s="374"/>
      <c r="F30" s="374"/>
      <c r="G30" s="374"/>
      <c r="H30" s="374"/>
      <c r="I30" s="374"/>
      <c r="J30" s="374"/>
      <c r="K30" s="374"/>
      <c r="L30" s="374"/>
      <c r="M30" s="374"/>
      <c r="N30" s="374"/>
      <c r="O30" s="374"/>
      <c r="P30" s="374"/>
      <c r="Q30" s="374"/>
      <c r="R30" s="374"/>
      <c r="S30" s="374"/>
      <c r="T30" s="374"/>
      <c r="U30" s="374"/>
      <c r="V30" s="374"/>
      <c r="W30" s="374"/>
      <c r="X30" s="374"/>
      <c r="Y30" s="374"/>
      <c r="Z30" s="374"/>
      <c r="AA30" s="374"/>
      <c r="AB30" s="511"/>
      <c r="AE30" s="832"/>
    </row>
    <row r="31" customFormat="false" ht="12" hidden="false" customHeight="true" outlineLevel="0" collapsed="false">
      <c r="A31" s="844"/>
      <c r="B31" s="712" t="s">
        <v>289</v>
      </c>
      <c r="C31" s="69" t="s">
        <v>647</v>
      </c>
      <c r="D31" s="378" t="n">
        <v>1</v>
      </c>
      <c r="E31" s="378" t="n">
        <f aca="false">D31+1</f>
        <v>2</v>
      </c>
      <c r="F31" s="378" t="n">
        <f aca="false">E31+1</f>
        <v>3</v>
      </c>
      <c r="G31" s="378" t="n">
        <f aca="false">F31+1</f>
        <v>4</v>
      </c>
      <c r="H31" s="378" t="n">
        <f aca="false">G31+1</f>
        <v>5</v>
      </c>
      <c r="I31" s="378" t="n">
        <f aca="false">H31+1</f>
        <v>6</v>
      </c>
      <c r="J31" s="378" t="n">
        <f aca="false">I31+1</f>
        <v>7</v>
      </c>
      <c r="K31" s="378" t="n">
        <f aca="false">J31+1</f>
        <v>8</v>
      </c>
      <c r="L31" s="378" t="n">
        <f aca="false">K31+1</f>
        <v>9</v>
      </c>
      <c r="M31" s="378" t="n">
        <f aca="false">L31+1</f>
        <v>10</v>
      </c>
      <c r="N31" s="378" t="n">
        <f aca="false">M31+1</f>
        <v>11</v>
      </c>
      <c r="O31" s="378" t="n">
        <f aca="false">N31+1</f>
        <v>12</v>
      </c>
      <c r="P31" s="378" t="n">
        <f aca="false">O31+1</f>
        <v>13</v>
      </c>
      <c r="Q31" s="378" t="n">
        <f aca="false">P31+1</f>
        <v>14</v>
      </c>
      <c r="R31" s="378" t="n">
        <f aca="false">Q31+1</f>
        <v>15</v>
      </c>
      <c r="S31" s="378" t="n">
        <f aca="false">R31+1</f>
        <v>16</v>
      </c>
      <c r="T31" s="378" t="n">
        <f aca="false">S31+1</f>
        <v>17</v>
      </c>
      <c r="U31" s="378" t="n">
        <f aca="false">T31+1</f>
        <v>18</v>
      </c>
      <c r="V31" s="378" t="n">
        <f aca="false">U31+1</f>
        <v>19</v>
      </c>
      <c r="W31" s="378" t="n">
        <f aca="false">V31+1</f>
        <v>20</v>
      </c>
      <c r="X31" s="378" t="n">
        <f aca="false">W31+1</f>
        <v>21</v>
      </c>
      <c r="Y31" s="378" t="n">
        <f aca="false">X31+1</f>
        <v>22</v>
      </c>
      <c r="Z31" s="378" t="n">
        <f aca="false">Y31+1</f>
        <v>23</v>
      </c>
      <c r="AA31" s="378" t="n">
        <f aca="false">Z31+1</f>
        <v>24</v>
      </c>
      <c r="AB31" s="408" t="n">
        <f aca="false">AA31+1</f>
        <v>25</v>
      </c>
      <c r="AE31" s="832"/>
    </row>
    <row r="32" customFormat="false" ht="12" hidden="false" customHeight="true" outlineLevel="0" collapsed="false">
      <c r="A32" s="719" t="s">
        <v>648</v>
      </c>
      <c r="B32" s="833" t="n">
        <v>30</v>
      </c>
      <c r="C32" s="849" t="n">
        <f aca="false">'Project Assumtions'!U19</f>
        <v>0.1</v>
      </c>
      <c r="D32" s="465" t="n">
        <f aca="false">((1-$C$32)/$B$32)*'Book Income Statement'!D$6/12</f>
        <v>0.0175</v>
      </c>
      <c r="E32" s="465" t="n">
        <f aca="false">IF(E31&lt;=$B$32,(1-$C$32)/$B$32,IF(E31=$B$32+1,(1/$B32)-$D$32,0))</f>
        <v>0.03</v>
      </c>
      <c r="F32" s="465" t="n">
        <f aca="false">IF(F31&lt;=$B$32,(1-$C$32)/$B$32,IF(F31=$B$32+1,(1/$B32)-$D$32,0))</f>
        <v>0.03</v>
      </c>
      <c r="G32" s="465" t="n">
        <f aca="false">IF(G31&lt;=$B$32,(1-$C$32)/$B$32,IF(G31=$B$32+1,(1/$B32)-$D$32,0))</f>
        <v>0.03</v>
      </c>
      <c r="H32" s="465" t="n">
        <f aca="false">IF(H31&lt;=$B$32,(1-$C$32)/$B$32,IF(H31=$B$32+1,(1/$B32)-$D$32,0))</f>
        <v>0.03</v>
      </c>
      <c r="I32" s="465" t="n">
        <f aca="false">IF(I31&lt;=$B$32,(1-$C$32)/$B$32,IF(I31=$B$32+1,(1/$B32)-$D$32,0))</f>
        <v>0.03</v>
      </c>
      <c r="J32" s="465" t="n">
        <f aca="false">IF(J31&lt;=$B$32,(1-$C$32)/$B$32,IF(J31=$B$32+1,(1/$B32)-$D$32,0))</f>
        <v>0.03</v>
      </c>
      <c r="K32" s="465" t="n">
        <f aca="false">IF(K31&lt;=$B$32,(1-$C$32)/$B$32,IF(K31=$B$32+1,(1/$B32)-$D$32,0))</f>
        <v>0.03</v>
      </c>
      <c r="L32" s="465" t="n">
        <f aca="false">IF(L31&lt;=$B$32,(1-$C$32)/$B$32,IF(L31=$B$32+1,(1/$B32)-$D$32,0))</f>
        <v>0.03</v>
      </c>
      <c r="M32" s="465" t="n">
        <f aca="false">IF(M31&lt;=$B$32,(1-$C$32)/$B$32,IF(M31=$B$32+1,(1/$B32)-$D$32,0))</f>
        <v>0.03</v>
      </c>
      <c r="N32" s="465" t="n">
        <f aca="false">IF(N31&lt;=$B$32,(1-$C$32)/$B$32,IF(N31=$B$32+1,(1/$B32)-$D$32,0))</f>
        <v>0.03</v>
      </c>
      <c r="O32" s="465" t="n">
        <f aca="false">IF(O31&lt;=$B$32,(1-$C$32)/$B$32,IF(O31=$B$32+1,(1/$B32)-$D$32,0))</f>
        <v>0.03</v>
      </c>
      <c r="P32" s="465" t="n">
        <f aca="false">IF(P31&lt;=$B$32,(1-$C$32)/$B$32,IF(P31=$B$32+1,(1/$B32)-$D$32,0))</f>
        <v>0.03</v>
      </c>
      <c r="Q32" s="465" t="n">
        <f aca="false">IF(Q31&lt;=$B$32,(1-$C$32)/$B$32,IF(Q31=$B$32+1,(1/$B32)-$D$32,0))</f>
        <v>0.03</v>
      </c>
      <c r="R32" s="465" t="n">
        <f aca="false">IF(R31&lt;=$B$32,(1-$C$32)/$B$32,IF(R31=$B$32+1,(1/$B32)-$D$32,0))</f>
        <v>0.03</v>
      </c>
      <c r="S32" s="465" t="n">
        <f aca="false">IF(S31&lt;=$B$32,(1-$C$32)/$B$32,IF(S31=$B$32+1,(1/$B32)-$D$32,0))</f>
        <v>0.03</v>
      </c>
      <c r="T32" s="465" t="n">
        <f aca="false">IF(T31&lt;=$B$32,(1-$C$32)/$B$32,IF(T31=$B$32+1,(1/$B32)-$D$32,0))</f>
        <v>0.03</v>
      </c>
      <c r="U32" s="465" t="n">
        <f aca="false">IF(U31&lt;=$B$32,(1-$C$32)/$B$32,IF(U31=$B$32+1,(1/$B32)-$D$32,0))</f>
        <v>0.03</v>
      </c>
      <c r="V32" s="465" t="n">
        <f aca="false">IF(V31&lt;=$B$32,(1-$C$32)/$B$32,IF(V31=$B$32+1,(1/$B32)-$D$32,0))</f>
        <v>0.03</v>
      </c>
      <c r="W32" s="465" t="n">
        <f aca="false">IF(W31&lt;=$B$32,(1-$C$32)/$B$32,IF(W31=$B$32+1,(1/$B32)-$D$32,0))</f>
        <v>0.03</v>
      </c>
      <c r="X32" s="465" t="n">
        <f aca="false">IF(X31&lt;=$B$32,(1-$C$32)/$B$32,IF(X31=$B$32+1,(1/$B32)-$D$32,0))</f>
        <v>0.03</v>
      </c>
      <c r="Y32" s="465" t="n">
        <f aca="false">IF(Y31&lt;=$B$32,(1-$C$32)/$B$32,IF(Y31=$B$32+1,(1/$B32)-$D$32,0))</f>
        <v>0.03</v>
      </c>
      <c r="Z32" s="465" t="n">
        <f aca="false">IF(Z31&lt;=$B$32,(1-$C$32)/$B$32,IF(Z31=$B$32+1,(1/$B32)-$D$32,0))</f>
        <v>0.03</v>
      </c>
      <c r="AA32" s="465" t="n">
        <f aca="false">IF(AA31&lt;=$B$32,(1-$C$32)/$B$32,IF(AA31=$B$32+1,(1/$B32)-$D$32,0))</f>
        <v>0.03</v>
      </c>
      <c r="AB32" s="517" t="n">
        <f aca="false">IF(AB31&lt;=$B$32,(1-$C$32)/$B$32,IF(AB31=$B$32+1,(1/$B32)-$D$32,0))</f>
        <v>0.03</v>
      </c>
      <c r="AC32" s="850"/>
      <c r="AD32" s="834"/>
      <c r="AE32" s="835"/>
    </row>
    <row r="33" customFormat="false" ht="12" hidden="false" customHeight="true" outlineLevel="0" collapsed="false">
      <c r="A33" s="719" t="s">
        <v>637</v>
      </c>
      <c r="B33" s="833" t="n">
        <v>5</v>
      </c>
      <c r="C33" s="378"/>
      <c r="D33" s="465" t="n">
        <f aca="false">(1/$B33)*'Book Income Statement'!D$6/12</f>
        <v>0.116666666666667</v>
      </c>
      <c r="E33" s="465" t="n">
        <f aca="false">IF(E31&lt;=$B$33,(1/$B33),IF(E31=$B$33+1,(1/$B33)-$D$33,0))</f>
        <v>0.2</v>
      </c>
      <c r="F33" s="465" t="n">
        <f aca="false">IF(F31&lt;=$B$33,(1/$B33),IF(F31=$B$33+1,(1/$B33)-$D$33,0))</f>
        <v>0.2</v>
      </c>
      <c r="G33" s="465" t="n">
        <f aca="false">IF(G31&lt;=$B$33,(1/$B33),IF(G31=$B$33+1,(1/$B33)-$D$33,0))</f>
        <v>0.2</v>
      </c>
      <c r="H33" s="465" t="n">
        <f aca="false">IF(H31&lt;=$B$33,(1/$B33),IF(H31=$B$33+1,(1/$B33)-$D$33,0))</f>
        <v>0.2</v>
      </c>
      <c r="I33" s="465" t="n">
        <f aca="false">IF(I31&lt;=$B$33,(1/$B33),IF(I31=$B$33+1,(1/$B33)-$D$33,0))</f>
        <v>0.0833333333333333</v>
      </c>
      <c r="J33" s="465" t="n">
        <f aca="false">IF(J31&lt;=$B$33,(1/$B33),IF(J31=$B$33+1,(1/$B33)-$D$33,0))</f>
        <v>0</v>
      </c>
      <c r="K33" s="465" t="n">
        <f aca="false">IF(K31&lt;=$B$33,(1/$B33),IF(K31=$B$33+1,(1/$B33)-$D$33,0))</f>
        <v>0</v>
      </c>
      <c r="L33" s="465" t="n">
        <f aca="false">IF(L31&lt;=$B$33,(1/$B33),IF(L31=$B$33+1,(1/$B33)-$D$33,0))</f>
        <v>0</v>
      </c>
      <c r="M33" s="465" t="n">
        <f aca="false">IF(M31&lt;=$B$33,(1/$B33),IF(M31=$B$33+1,(1/$B33)-$D$33,0))</f>
        <v>0</v>
      </c>
      <c r="N33" s="465" t="n">
        <f aca="false">IF(N31&lt;=$B$33,(1/$B33),IF(N31=$B$33+1,(1/$B33)-$D$33,0))</f>
        <v>0</v>
      </c>
      <c r="O33" s="465" t="n">
        <f aca="false">IF(O31&lt;=$B$33,(1/$B33),IF(O31=$B$33+1,(1/$B33)-$D$33,0))</f>
        <v>0</v>
      </c>
      <c r="P33" s="465" t="n">
        <f aca="false">IF(P31&lt;=$B$33,(1/$B33),IF(P31=$B$33+1,(1/$B33)-$D$33,0))</f>
        <v>0</v>
      </c>
      <c r="Q33" s="465" t="n">
        <f aca="false">IF(Q31&lt;=$B$33,(1/$B33),IF(Q31=$B$33+1,(1/$B33)-$D$33,0))</f>
        <v>0</v>
      </c>
      <c r="R33" s="465" t="n">
        <f aca="false">IF(R31&lt;=$B$33,(1/$B33),IF(R31=$B$33+1,(1/$B33)-$D$33,0))</f>
        <v>0</v>
      </c>
      <c r="S33" s="465" t="n">
        <f aca="false">IF(S31&lt;=$B$33,(1/$B33),IF(S31=$B$33+1,(1/$B33)-$D$33,0))</f>
        <v>0</v>
      </c>
      <c r="T33" s="465" t="n">
        <f aca="false">IF(T31&lt;=$B$33,(1/$B33),IF(T31=$B$33+1,(1/$B33)-$D$33,0))</f>
        <v>0</v>
      </c>
      <c r="U33" s="465" t="n">
        <f aca="false">IF(U31&lt;=$B$33,(1/$B33),IF(U31=$B$33+1,(1/$B33)-$D$33,0))</f>
        <v>0</v>
      </c>
      <c r="V33" s="465" t="n">
        <f aca="false">IF(V31&lt;=$B$33,(1/$B33),IF(V31=$B$33+1,(1/$B33)-$D$33,0))</f>
        <v>0</v>
      </c>
      <c r="W33" s="465" t="n">
        <f aca="false">IF(W31&lt;=$B$33,(1/$B33),IF(W31=$B$33+1,(1/$B33)-$D$33,0))</f>
        <v>0</v>
      </c>
      <c r="X33" s="465" t="n">
        <f aca="false">IF(X31&lt;=$B$33,(1/$B33),IF(X31=$B$33+1,(1/$B33)-$D$33,0))</f>
        <v>0</v>
      </c>
      <c r="Y33" s="465" t="n">
        <f aca="false">IF(Y31&lt;=$B$33,(1/$B33),IF(Y31=$B$33+1,(1/$B33)-$D$33,0))</f>
        <v>0</v>
      </c>
      <c r="Z33" s="465" t="n">
        <f aca="false">IF(Z31&lt;=$B$33,(1/$B33),IF(Z31=$B$33+1,(1/$B33)-$D$33,0))</f>
        <v>0</v>
      </c>
      <c r="AA33" s="465" t="n">
        <f aca="false">IF(AA31&lt;=$B$33,(1/$B33),IF(AA31=$B$33+1,(1/$B33)-$D$33,0))</f>
        <v>0</v>
      </c>
      <c r="AB33" s="517" t="n">
        <f aca="false">IF(AB31&lt;=$B$33,(1/$B33),IF(AB31=$B$33+1,(1/$B33)-$D$33,0))</f>
        <v>0</v>
      </c>
      <c r="AD33" s="834"/>
      <c r="AE33" s="835"/>
    </row>
    <row r="34" customFormat="false" ht="12" hidden="false" customHeight="true" outlineLevel="0" collapsed="false">
      <c r="A34" s="719" t="s">
        <v>638</v>
      </c>
      <c r="B34" s="836" t="n">
        <f aca="false">+B9</f>
        <v>20</v>
      </c>
      <c r="C34" s="378"/>
      <c r="D34" s="465" t="n">
        <f aca="false">(1/$B34)*'Book Income Statement'!D$6/12</f>
        <v>0.0291666666666667</v>
      </c>
      <c r="E34" s="465" t="n">
        <f aca="false">IF(E31&lt;=$B$34,(1/$B34),IF(E31=$B$34+1,(1/$B34)-$D$34,0))</f>
        <v>0.05</v>
      </c>
      <c r="F34" s="465" t="n">
        <f aca="false">IF(F31&lt;=$B$34,(1/$B34),IF(F31=$B$34+1,(1/$B34)-$D$34,0))</f>
        <v>0.05</v>
      </c>
      <c r="G34" s="465" t="n">
        <f aca="false">IF(G31&lt;=$B$34,(1/$B34),IF(G31=$B$34+1,(1/$B34)-$D$34,0))</f>
        <v>0.05</v>
      </c>
      <c r="H34" s="465" t="n">
        <f aca="false">IF(H31&lt;=$B$34,(1/$B34),IF(H31=$B$34+1,(1/$B34)-$D$34,0))</f>
        <v>0.05</v>
      </c>
      <c r="I34" s="465" t="n">
        <f aca="false">IF(I31&lt;=$B$34,(1/$B34),IF(I31=$B$34+1,(1/$B34)-$D$34,0))</f>
        <v>0.05</v>
      </c>
      <c r="J34" s="465" t="n">
        <f aca="false">IF(J31&lt;=$B$34,(1/$B34),IF(J31=$B$34+1,(1/$B34)-$D$34,0))</f>
        <v>0.05</v>
      </c>
      <c r="K34" s="465" t="n">
        <f aca="false">IF(K31&lt;=$B$34,(1/$B34),IF(K31=$B$34+1,(1/$B34)-$D$34,0))</f>
        <v>0.05</v>
      </c>
      <c r="L34" s="465" t="n">
        <f aca="false">IF(L31&lt;=$B$34,(1/$B34),IF(L31=$B$34+1,(1/$B34)-$D$34,0))</f>
        <v>0.05</v>
      </c>
      <c r="M34" s="465" t="n">
        <f aca="false">IF(M31&lt;=$B$34,(1/$B34),IF(M31=$B$34+1,(1/$B34)-$D$34,0))</f>
        <v>0.05</v>
      </c>
      <c r="N34" s="465" t="n">
        <f aca="false">IF(N31&lt;=$B$34,(1/$B34),IF(N31=$B$34+1,(1/$B34)-$D$34,0))</f>
        <v>0.05</v>
      </c>
      <c r="O34" s="465" t="n">
        <f aca="false">IF(O31&lt;=$B$34,(1/$B34),IF(O31=$B$34+1,(1/$B34)-$D$34,0))</f>
        <v>0.05</v>
      </c>
      <c r="P34" s="465" t="n">
        <f aca="false">IF(P31&lt;=$B$34,(1/$B34),IF(P31=$B$34+1,(1/$B34)-$D$34,0))</f>
        <v>0.05</v>
      </c>
      <c r="Q34" s="465" t="n">
        <f aca="false">IF(Q31&lt;=$B$34,(1/$B34),IF(Q31=$B$34+1,(1/$B34)-$D$34,0))</f>
        <v>0.05</v>
      </c>
      <c r="R34" s="465" t="n">
        <f aca="false">IF(R31&lt;=$B$34,(1/$B34),IF(R31=$B$34+1,(1/$B34)-$D$34,0))</f>
        <v>0.05</v>
      </c>
      <c r="S34" s="465" t="n">
        <f aca="false">IF(S31&lt;=$B$34,(1/$B34),IF(S31=$B$34+1,(1/$B34)-$D$34,0))</f>
        <v>0.05</v>
      </c>
      <c r="T34" s="465" t="n">
        <f aca="false">IF(T31&lt;=$B$34,(1/$B34),IF(T31=$B$34+1,(1/$B34)-$D$34,0))</f>
        <v>0.05</v>
      </c>
      <c r="U34" s="465" t="n">
        <f aca="false">IF(U31&lt;=$B$34,(1/$B34),IF(U31=$B$34+1,(1/$B34)-$D$34,0))</f>
        <v>0.05</v>
      </c>
      <c r="V34" s="465" t="n">
        <f aca="false">IF(V31&lt;=$B$34,(1/$B34),IF(V31=$B$34+1,(1/$B34)-$D$34,0))</f>
        <v>0.05</v>
      </c>
      <c r="W34" s="465" t="n">
        <f aca="false">IF(W31&lt;=$B$34,(1/$B34),IF(W31=$B$34+1,(1/$B34)-$D$34,0))</f>
        <v>0.05</v>
      </c>
      <c r="X34" s="465" t="n">
        <f aca="false">IF(X31&lt;=$B$34,(1/$B34),IF(X31=$B$34+1,(1/$B34)-$D$34,0))</f>
        <v>0.0208333333333333</v>
      </c>
      <c r="Y34" s="465" t="n">
        <f aca="false">IF(Y31&lt;=$B$34,(1/$B34),IF(Y31=$B$34+1,(1/$B34)-$D$34,0))</f>
        <v>0</v>
      </c>
      <c r="Z34" s="465" t="n">
        <f aca="false">IF(Z31&lt;=$B$34,(1/$B34),IF(Z31=$B$34+1,(1/$B34)-$D$34,0))</f>
        <v>0</v>
      </c>
      <c r="AA34" s="465" t="n">
        <f aca="false">IF(AA31&lt;=$B$34,(1/$B34),IF(AA31=$B$34+1,(1/$B34)-$D$34,0))</f>
        <v>0</v>
      </c>
      <c r="AB34" s="517" t="n">
        <f aca="false">IF(AB31&lt;=$B$34,(1/$B34),IF(AB31=$B$34+1,(1/$B34)-$D$34,0))</f>
        <v>0</v>
      </c>
      <c r="AD34" s="834"/>
      <c r="AE34" s="835"/>
    </row>
    <row r="35" customFormat="false" ht="12" hidden="false" customHeight="true" outlineLevel="0" collapsed="false">
      <c r="A35" s="403"/>
      <c r="B35" s="712"/>
      <c r="C35" s="378"/>
      <c r="D35" s="378"/>
      <c r="E35" s="378"/>
      <c r="F35" s="378"/>
      <c r="G35" s="378"/>
      <c r="H35" s="378"/>
      <c r="I35" s="378"/>
      <c r="J35" s="378"/>
      <c r="K35" s="378"/>
      <c r="L35" s="378"/>
      <c r="M35" s="378"/>
      <c r="N35" s="378"/>
      <c r="O35" s="378"/>
      <c r="P35" s="378"/>
      <c r="Q35" s="378"/>
      <c r="R35" s="378"/>
      <c r="S35" s="378"/>
      <c r="T35" s="378"/>
      <c r="U35" s="378"/>
      <c r="V35" s="378"/>
      <c r="W35" s="378"/>
      <c r="X35" s="378"/>
      <c r="Y35" s="378"/>
      <c r="Z35" s="378"/>
      <c r="AA35" s="378"/>
      <c r="AB35" s="408"/>
    </row>
    <row r="36" customFormat="false" ht="12" hidden="false" customHeight="true" outlineLevel="0" collapsed="false">
      <c r="A36" s="719" t="s">
        <v>649</v>
      </c>
      <c r="B36" s="431" t="n">
        <f aca="false">B11</f>
        <v>157722.605</v>
      </c>
      <c r="C36" s="378"/>
      <c r="D36" s="431" t="n">
        <f aca="false">D32*$B$36</f>
        <v>2760.1455875</v>
      </c>
      <c r="E36" s="431" t="n">
        <f aca="false">E32*$B$36</f>
        <v>4731.67815</v>
      </c>
      <c r="F36" s="431" t="n">
        <f aca="false">F32*$B$36</f>
        <v>4731.67815</v>
      </c>
      <c r="G36" s="431" t="n">
        <f aca="false">G32*$B$36</f>
        <v>4731.67815</v>
      </c>
      <c r="H36" s="431" t="n">
        <f aca="false">H32*$B$36</f>
        <v>4731.67815</v>
      </c>
      <c r="I36" s="431" t="n">
        <f aca="false">I32*$B$36</f>
        <v>4731.67815</v>
      </c>
      <c r="J36" s="431" t="n">
        <f aca="false">J32*$B$36</f>
        <v>4731.67815</v>
      </c>
      <c r="K36" s="431" t="n">
        <f aca="false">K32*$B$36</f>
        <v>4731.67815</v>
      </c>
      <c r="L36" s="431" t="n">
        <f aca="false">L32*$B$36</f>
        <v>4731.67815</v>
      </c>
      <c r="M36" s="431" t="n">
        <f aca="false">M32*$B$36</f>
        <v>4731.67815</v>
      </c>
      <c r="N36" s="431" t="n">
        <f aca="false">N32*$B$36</f>
        <v>4731.67815</v>
      </c>
      <c r="O36" s="431" t="n">
        <f aca="false">O32*$B$36</f>
        <v>4731.67815</v>
      </c>
      <c r="P36" s="431" t="n">
        <f aca="false">P32*$B$36</f>
        <v>4731.67815</v>
      </c>
      <c r="Q36" s="431" t="n">
        <f aca="false">Q32*$B$36</f>
        <v>4731.67815</v>
      </c>
      <c r="R36" s="431" t="n">
        <f aca="false">R32*$B$36</f>
        <v>4731.67815</v>
      </c>
      <c r="S36" s="431" t="n">
        <f aca="false">S32*$B$36</f>
        <v>4731.67815</v>
      </c>
      <c r="T36" s="431" t="n">
        <f aca="false">T32*$B$36</f>
        <v>4731.67815</v>
      </c>
      <c r="U36" s="431" t="n">
        <f aca="false">U32*$B$36</f>
        <v>4731.67815</v>
      </c>
      <c r="V36" s="431" t="n">
        <f aca="false">V32*$B$36</f>
        <v>4731.67815</v>
      </c>
      <c r="W36" s="431" t="n">
        <f aca="false">W32*$B$36</f>
        <v>4731.67815</v>
      </c>
      <c r="X36" s="431" t="n">
        <f aca="false">X32*$B$36</f>
        <v>4731.67815</v>
      </c>
      <c r="Y36" s="431" t="n">
        <f aca="false">Y32*$B$36</f>
        <v>4731.67815</v>
      </c>
      <c r="Z36" s="431" t="n">
        <f aca="false">Z32*$B$36</f>
        <v>4731.67815</v>
      </c>
      <c r="AA36" s="431" t="n">
        <f aca="false">AA32*$B$36</f>
        <v>4731.67815</v>
      </c>
      <c r="AB36" s="432" t="n">
        <f aca="false">AB32*$B$36</f>
        <v>4731.67815</v>
      </c>
      <c r="AC36" s="838"/>
      <c r="AD36" s="838"/>
      <c r="AE36" s="838"/>
    </row>
    <row r="37" customFormat="false" ht="12" hidden="false" customHeight="true" outlineLevel="0" collapsed="false">
      <c r="A37" s="719" t="s">
        <v>645</v>
      </c>
      <c r="B37" s="431" t="n">
        <f aca="false">B12</f>
        <v>1699.549</v>
      </c>
      <c r="C37" s="378"/>
      <c r="D37" s="507" t="n">
        <f aca="false">D33*$B$37</f>
        <v>198.280716666667</v>
      </c>
      <c r="E37" s="507" t="n">
        <f aca="false">E33*$B$37</f>
        <v>339.9098</v>
      </c>
      <c r="F37" s="507" t="n">
        <f aca="false">F33*$B$37</f>
        <v>339.9098</v>
      </c>
      <c r="G37" s="507" t="n">
        <f aca="false">G33*$B$37</f>
        <v>339.9098</v>
      </c>
      <c r="H37" s="507" t="n">
        <f aca="false">H33*$B$37</f>
        <v>339.9098</v>
      </c>
      <c r="I37" s="507" t="n">
        <f aca="false">I33*$B$37</f>
        <v>141.629083333333</v>
      </c>
      <c r="J37" s="507" t="n">
        <f aca="false">J33*$B$37</f>
        <v>0</v>
      </c>
      <c r="K37" s="507" t="n">
        <f aca="false">K33*$B$37</f>
        <v>0</v>
      </c>
      <c r="L37" s="507" t="n">
        <f aca="false">L33*$B$37</f>
        <v>0</v>
      </c>
      <c r="M37" s="507" t="n">
        <f aca="false">M33*$B$37</f>
        <v>0</v>
      </c>
      <c r="N37" s="507" t="n">
        <f aca="false">N33*$B$37</f>
        <v>0</v>
      </c>
      <c r="O37" s="507" t="n">
        <f aca="false">O33*$B$37</f>
        <v>0</v>
      </c>
      <c r="P37" s="507" t="n">
        <f aca="false">P33*$B$37</f>
        <v>0</v>
      </c>
      <c r="Q37" s="507" t="n">
        <f aca="false">Q33*$B$37</f>
        <v>0</v>
      </c>
      <c r="R37" s="507" t="n">
        <f aca="false">R33*$B$37</f>
        <v>0</v>
      </c>
      <c r="S37" s="507" t="n">
        <f aca="false">S33*$B$37</f>
        <v>0</v>
      </c>
      <c r="T37" s="507" t="n">
        <f aca="false">T33*$B$37</f>
        <v>0</v>
      </c>
      <c r="U37" s="507" t="n">
        <f aca="false">U33*$B$37</f>
        <v>0</v>
      </c>
      <c r="V37" s="507" t="n">
        <f aca="false">V33*$B$37</f>
        <v>0</v>
      </c>
      <c r="W37" s="507" t="n">
        <f aca="false">W33*$B$37</f>
        <v>0</v>
      </c>
      <c r="X37" s="507" t="n">
        <f aca="false">X33*$B$37</f>
        <v>0</v>
      </c>
      <c r="Y37" s="507" t="n">
        <f aca="false">Y33*$B$37</f>
        <v>0</v>
      </c>
      <c r="Z37" s="507" t="n">
        <f aca="false">Z33*$B$37</f>
        <v>0</v>
      </c>
      <c r="AA37" s="507" t="n">
        <f aca="false">AA33*$B$37</f>
        <v>0</v>
      </c>
      <c r="AB37" s="723" t="n">
        <f aca="false">AB33*$B$37</f>
        <v>0</v>
      </c>
      <c r="AC37" s="838"/>
      <c r="AD37" s="838"/>
      <c r="AE37" s="727"/>
    </row>
    <row r="38" customFormat="false" ht="12" hidden="false" customHeight="true" outlineLevel="0" collapsed="false">
      <c r="A38" s="719" t="s">
        <v>641</v>
      </c>
      <c r="B38" s="507" t="n">
        <f aca="false">B13</f>
        <v>0</v>
      </c>
      <c r="C38" s="378"/>
      <c r="D38" s="507" t="n">
        <f aca="false">D34*$B$38</f>
        <v>0</v>
      </c>
      <c r="E38" s="507" t="n">
        <f aca="false">E34*$B$38</f>
        <v>0</v>
      </c>
      <c r="F38" s="507" t="n">
        <f aca="false">F34*$B$38</f>
        <v>0</v>
      </c>
      <c r="G38" s="507" t="n">
        <f aca="false">G34*$B$38</f>
        <v>0</v>
      </c>
      <c r="H38" s="507" t="n">
        <f aca="false">H34*$B$38</f>
        <v>0</v>
      </c>
      <c r="I38" s="507" t="n">
        <f aca="false">I34*$B$38</f>
        <v>0</v>
      </c>
      <c r="J38" s="507" t="n">
        <f aca="false">J34*$B$38</f>
        <v>0</v>
      </c>
      <c r="K38" s="507" t="n">
        <f aca="false">K34*$B$38</f>
        <v>0</v>
      </c>
      <c r="L38" s="507" t="n">
        <f aca="false">L34*$B$38</f>
        <v>0</v>
      </c>
      <c r="M38" s="507" t="n">
        <f aca="false">M34*$B$38</f>
        <v>0</v>
      </c>
      <c r="N38" s="507" t="n">
        <f aca="false">N34*$B$38</f>
        <v>0</v>
      </c>
      <c r="O38" s="507" t="n">
        <f aca="false">O34*$B$38</f>
        <v>0</v>
      </c>
      <c r="P38" s="507" t="n">
        <f aca="false">P34*$B$38</f>
        <v>0</v>
      </c>
      <c r="Q38" s="507" t="n">
        <f aca="false">Q34*$B$38</f>
        <v>0</v>
      </c>
      <c r="R38" s="507" t="n">
        <f aca="false">R34*$B$38</f>
        <v>0</v>
      </c>
      <c r="S38" s="507" t="n">
        <f aca="false">S34*$B$38</f>
        <v>0</v>
      </c>
      <c r="T38" s="507" t="n">
        <f aca="false">T34*$B$38</f>
        <v>0</v>
      </c>
      <c r="U38" s="507" t="n">
        <f aca="false">U34*$B$38</f>
        <v>0</v>
      </c>
      <c r="V38" s="507" t="n">
        <f aca="false">V34*$B$38</f>
        <v>0</v>
      </c>
      <c r="W38" s="507" t="n">
        <f aca="false">W34*$B$38</f>
        <v>0</v>
      </c>
      <c r="X38" s="507" t="n">
        <f aca="false">X34*$B$38</f>
        <v>0</v>
      </c>
      <c r="Y38" s="507" t="n">
        <f aca="false">Y34*$B$38</f>
        <v>0</v>
      </c>
      <c r="Z38" s="507" t="n">
        <f aca="false">Z34*$B$38</f>
        <v>0</v>
      </c>
      <c r="AA38" s="507" t="n">
        <f aca="false">AA34*$B$38</f>
        <v>0</v>
      </c>
      <c r="AB38" s="723" t="n">
        <f aca="false">AB34*$B$38</f>
        <v>0</v>
      </c>
      <c r="AC38" s="838"/>
      <c r="AD38" s="838"/>
      <c r="AE38" s="727"/>
    </row>
    <row r="39" customFormat="false" ht="12" hidden="false" customHeight="true" outlineLevel="0" collapsed="false">
      <c r="A39" s="719" t="s">
        <v>642</v>
      </c>
      <c r="B39" s="505" t="n">
        <f aca="false">B14</f>
        <v>0</v>
      </c>
      <c r="C39" s="378"/>
      <c r="D39" s="505" t="n">
        <f aca="false">B39</f>
        <v>0</v>
      </c>
      <c r="E39" s="839" t="n">
        <v>0</v>
      </c>
      <c r="F39" s="839" t="n">
        <v>0</v>
      </c>
      <c r="G39" s="839" t="n">
        <v>0</v>
      </c>
      <c r="H39" s="839" t="n">
        <v>0</v>
      </c>
      <c r="I39" s="839" t="n">
        <v>0</v>
      </c>
      <c r="J39" s="839" t="n">
        <v>0</v>
      </c>
      <c r="K39" s="839" t="n">
        <v>0</v>
      </c>
      <c r="L39" s="839" t="n">
        <v>0</v>
      </c>
      <c r="M39" s="839" t="n">
        <v>0</v>
      </c>
      <c r="N39" s="839" t="n">
        <v>0</v>
      </c>
      <c r="O39" s="839" t="n">
        <v>0</v>
      </c>
      <c r="P39" s="839" t="n">
        <v>0</v>
      </c>
      <c r="Q39" s="839" t="n">
        <v>0</v>
      </c>
      <c r="R39" s="839" t="n">
        <v>0</v>
      </c>
      <c r="S39" s="839" t="n">
        <v>0</v>
      </c>
      <c r="T39" s="839" t="n">
        <v>0</v>
      </c>
      <c r="U39" s="839" t="n">
        <v>0</v>
      </c>
      <c r="V39" s="839" t="n">
        <v>0</v>
      </c>
      <c r="W39" s="839" t="n">
        <v>0</v>
      </c>
      <c r="X39" s="839" t="n">
        <v>0</v>
      </c>
      <c r="Y39" s="839" t="n">
        <v>0</v>
      </c>
      <c r="Z39" s="839" t="n">
        <v>0</v>
      </c>
      <c r="AA39" s="839" t="n">
        <v>0</v>
      </c>
      <c r="AB39" s="840" t="n">
        <v>0</v>
      </c>
      <c r="AC39" s="838"/>
      <c r="AD39" s="838"/>
      <c r="AE39" s="727"/>
    </row>
    <row r="40" customFormat="false" ht="12" hidden="false" customHeight="true" outlineLevel="0" collapsed="false">
      <c r="A40" s="719" t="s">
        <v>650</v>
      </c>
      <c r="B40" s="431" t="n">
        <f aca="false">SUM(B36:B39)</f>
        <v>159422.154</v>
      </c>
      <c r="C40" s="378"/>
      <c r="D40" s="431" t="n">
        <f aca="false">SUM(D36:D39)</f>
        <v>2958.42630416667</v>
      </c>
      <c r="E40" s="431" t="n">
        <f aca="false">SUM(E36:E39)</f>
        <v>5071.58795</v>
      </c>
      <c r="F40" s="431" t="n">
        <f aca="false">SUM(F36:F39)</f>
        <v>5071.58795</v>
      </c>
      <c r="G40" s="431" t="n">
        <f aca="false">SUM(G36:G39)</f>
        <v>5071.58795</v>
      </c>
      <c r="H40" s="431" t="n">
        <f aca="false">SUM(H36:H39)</f>
        <v>5071.58795</v>
      </c>
      <c r="I40" s="431" t="n">
        <f aca="false">SUM(I36:I39)</f>
        <v>4873.30723333333</v>
      </c>
      <c r="J40" s="431" t="n">
        <f aca="false">SUM(J36:J39)</f>
        <v>4731.67815</v>
      </c>
      <c r="K40" s="431" t="n">
        <f aca="false">SUM(K36:K39)</f>
        <v>4731.67815</v>
      </c>
      <c r="L40" s="431" t="n">
        <f aca="false">SUM(L36:L39)</f>
        <v>4731.67815</v>
      </c>
      <c r="M40" s="431" t="n">
        <f aca="false">SUM(M36:M39)</f>
        <v>4731.67815</v>
      </c>
      <c r="N40" s="431" t="n">
        <f aca="false">SUM(N36:N39)</f>
        <v>4731.67815</v>
      </c>
      <c r="O40" s="431" t="n">
        <f aca="false">SUM(O36:O39)</f>
        <v>4731.67815</v>
      </c>
      <c r="P40" s="431" t="n">
        <f aca="false">SUM(P36:P39)</f>
        <v>4731.67815</v>
      </c>
      <c r="Q40" s="431" t="n">
        <f aca="false">SUM(Q36:Q39)</f>
        <v>4731.67815</v>
      </c>
      <c r="R40" s="431" t="n">
        <f aca="false">SUM(R36:R39)</f>
        <v>4731.67815</v>
      </c>
      <c r="S40" s="431" t="n">
        <f aca="false">SUM(S36:S39)</f>
        <v>4731.67815</v>
      </c>
      <c r="T40" s="431" t="n">
        <f aca="false">SUM(T36:T39)</f>
        <v>4731.67815</v>
      </c>
      <c r="U40" s="431" t="n">
        <f aca="false">SUM(U36:U39)</f>
        <v>4731.67815</v>
      </c>
      <c r="V40" s="431" t="n">
        <f aca="false">SUM(V36:V39)</f>
        <v>4731.67815</v>
      </c>
      <c r="W40" s="431" t="n">
        <f aca="false">SUM(W36:W39)</f>
        <v>4731.67815</v>
      </c>
      <c r="X40" s="431" t="n">
        <f aca="false">SUM(X36:X39)</f>
        <v>4731.67815</v>
      </c>
      <c r="Y40" s="431" t="n">
        <f aca="false">SUM(Y36:Y39)</f>
        <v>4731.67815</v>
      </c>
      <c r="Z40" s="431" t="n">
        <f aca="false">SUM(Z36:Z39)</f>
        <v>4731.67815</v>
      </c>
      <c r="AA40" s="431" t="n">
        <f aca="false">SUM(AA36:AA39)</f>
        <v>4731.67815</v>
      </c>
      <c r="AB40" s="432" t="n">
        <f aca="false">SUM(AB36:AB39)</f>
        <v>4731.67815</v>
      </c>
      <c r="AC40" s="838"/>
      <c r="AD40" s="838"/>
      <c r="AE40" s="727"/>
    </row>
    <row r="41" customFormat="false" ht="12" hidden="false" customHeight="true" outlineLevel="0" collapsed="false">
      <c r="A41" s="719"/>
      <c r="B41" s="431"/>
      <c r="C41" s="378"/>
      <c r="D41" s="431"/>
      <c r="E41" s="431"/>
      <c r="F41" s="431"/>
      <c r="G41" s="431"/>
      <c r="H41" s="431"/>
      <c r="I41" s="431"/>
      <c r="J41" s="431"/>
      <c r="K41" s="431"/>
      <c r="L41" s="431"/>
      <c r="M41" s="431"/>
      <c r="N41" s="431"/>
      <c r="O41" s="431"/>
      <c r="P41" s="431"/>
      <c r="Q41" s="431"/>
      <c r="R41" s="431"/>
      <c r="S41" s="431"/>
      <c r="T41" s="431"/>
      <c r="U41" s="431"/>
      <c r="V41" s="431"/>
      <c r="W41" s="431"/>
      <c r="X41" s="431"/>
      <c r="Y41" s="431"/>
      <c r="Z41" s="431"/>
      <c r="AA41" s="431"/>
      <c r="AB41" s="432"/>
      <c r="AC41" s="838"/>
      <c r="AD41" s="838"/>
      <c r="AE41" s="727"/>
    </row>
    <row r="42" customFormat="false" ht="12" hidden="false" customHeight="true" outlineLevel="0" collapsed="false">
      <c r="A42" s="841" t="s">
        <v>651</v>
      </c>
      <c r="B42" s="656"/>
      <c r="C42" s="630"/>
      <c r="D42" s="656" t="n">
        <f aca="false">B40-D40</f>
        <v>156463.727695833</v>
      </c>
      <c r="E42" s="656" t="n">
        <f aca="false">D42-E40</f>
        <v>151392.139745833</v>
      </c>
      <c r="F42" s="656" t="n">
        <f aca="false">E42-F40</f>
        <v>146320.551795833</v>
      </c>
      <c r="G42" s="656" t="n">
        <f aca="false">F42-G40</f>
        <v>141248.963845833</v>
      </c>
      <c r="H42" s="656" t="n">
        <f aca="false">G42-H40</f>
        <v>136177.375895833</v>
      </c>
      <c r="I42" s="656" t="n">
        <f aca="false">H42-I40</f>
        <v>131304.0686625</v>
      </c>
      <c r="J42" s="656" t="n">
        <f aca="false">I42-J40</f>
        <v>126572.3905125</v>
      </c>
      <c r="K42" s="656" t="n">
        <f aca="false">J42-K40</f>
        <v>121840.7123625</v>
      </c>
      <c r="L42" s="656" t="n">
        <f aca="false">K42-L40</f>
        <v>117109.0342125</v>
      </c>
      <c r="M42" s="656" t="n">
        <f aca="false">L42-M40</f>
        <v>112377.3560625</v>
      </c>
      <c r="N42" s="656" t="n">
        <f aca="false">M42-N40</f>
        <v>107645.6779125</v>
      </c>
      <c r="O42" s="656" t="n">
        <f aca="false">N42-O40</f>
        <v>102913.9997625</v>
      </c>
      <c r="P42" s="656" t="n">
        <f aca="false">O42-P40</f>
        <v>98182.3216124999</v>
      </c>
      <c r="Q42" s="656" t="n">
        <f aca="false">P42-Q40</f>
        <v>93450.6434624999</v>
      </c>
      <c r="R42" s="656" t="n">
        <f aca="false">Q42-R40</f>
        <v>88718.9653124999</v>
      </c>
      <c r="S42" s="656" t="n">
        <f aca="false">R42-S40</f>
        <v>83987.2871624999</v>
      </c>
      <c r="T42" s="656" t="n">
        <f aca="false">S42-T40</f>
        <v>79255.6090124999</v>
      </c>
      <c r="U42" s="656" t="n">
        <f aca="false">T42-U40</f>
        <v>74523.9308624999</v>
      </c>
      <c r="V42" s="656" t="n">
        <f aca="false">U42-V40</f>
        <v>69792.2527124999</v>
      </c>
      <c r="W42" s="656" t="n">
        <f aca="false">V42-W40</f>
        <v>65060.5745624999</v>
      </c>
      <c r="X42" s="656" t="n">
        <f aca="false">W42-X40</f>
        <v>60328.8964124999</v>
      </c>
      <c r="Y42" s="656" t="n">
        <f aca="false">X42-Y40</f>
        <v>55597.2182624999</v>
      </c>
      <c r="Z42" s="656" t="n">
        <f aca="false">Y42-Z40</f>
        <v>50865.5401124999</v>
      </c>
      <c r="AA42" s="656" t="n">
        <f aca="false">Z42-AA40</f>
        <v>46133.8619624999</v>
      </c>
      <c r="AB42" s="657" t="n">
        <f aca="false">AA42-AB40</f>
        <v>41402.1838124999</v>
      </c>
      <c r="AC42" s="838"/>
      <c r="AD42" s="838"/>
      <c r="AE42" s="727"/>
    </row>
    <row r="43" customFormat="false" ht="12" hidden="false" customHeight="true" outlineLevel="0" collapsed="false"/>
    <row r="44" customFormat="false" ht="12" hidden="false" customHeight="true" outlineLevel="0" collapsed="false">
      <c r="A44" s="827" t="s">
        <v>652</v>
      </c>
      <c r="B44" s="851"/>
      <c r="C44" s="851" t="s">
        <v>289</v>
      </c>
      <c r="D44" s="485" t="n">
        <v>1</v>
      </c>
      <c r="E44" s="485" t="n">
        <f aca="false">D44+1</f>
        <v>2</v>
      </c>
      <c r="F44" s="485" t="n">
        <f aca="false">E44+1</f>
        <v>3</v>
      </c>
      <c r="G44" s="485" t="n">
        <f aca="false">F44+1</f>
        <v>4</v>
      </c>
      <c r="H44" s="485" t="n">
        <f aca="false">G44+1</f>
        <v>5</v>
      </c>
      <c r="I44" s="485" t="n">
        <f aca="false">H44+1</f>
        <v>6</v>
      </c>
      <c r="J44" s="485" t="n">
        <f aca="false">I44+1</f>
        <v>7</v>
      </c>
      <c r="K44" s="852" t="n">
        <f aca="false">J44+1</f>
        <v>8</v>
      </c>
      <c r="L44" s="485" t="n">
        <f aca="false">K44+1</f>
        <v>9</v>
      </c>
      <c r="M44" s="485" t="n">
        <f aca="false">L44+1</f>
        <v>10</v>
      </c>
      <c r="N44" s="485" t="n">
        <f aca="false">M44+1</f>
        <v>11</v>
      </c>
      <c r="O44" s="485" t="n">
        <f aca="false">N44+1</f>
        <v>12</v>
      </c>
      <c r="P44" s="485" t="n">
        <f aca="false">O44+1</f>
        <v>13</v>
      </c>
      <c r="Q44" s="852" t="n">
        <f aca="false">P44+1</f>
        <v>14</v>
      </c>
      <c r="R44" s="485" t="n">
        <f aca="false">Q44+1</f>
        <v>15</v>
      </c>
      <c r="S44" s="485" t="n">
        <f aca="false">R44+1</f>
        <v>16</v>
      </c>
      <c r="T44" s="485" t="n">
        <f aca="false">S44+1</f>
        <v>17</v>
      </c>
      <c r="U44" s="485" t="n">
        <f aca="false">T44+1</f>
        <v>18</v>
      </c>
      <c r="V44" s="485" t="n">
        <f aca="false">U44+1</f>
        <v>19</v>
      </c>
      <c r="W44" s="852" t="n">
        <f aca="false">V44+1</f>
        <v>20</v>
      </c>
      <c r="X44" s="485" t="n">
        <f aca="false">W44+1</f>
        <v>21</v>
      </c>
      <c r="Y44" s="485" t="n">
        <f aca="false">X44+1</f>
        <v>22</v>
      </c>
      <c r="Z44" s="485" t="n">
        <f aca="false">Y44+1</f>
        <v>23</v>
      </c>
      <c r="AA44" s="485" t="n">
        <f aca="false">Z44+1</f>
        <v>24</v>
      </c>
      <c r="AB44" s="853" t="n">
        <f aca="false">AA44+1</f>
        <v>25</v>
      </c>
      <c r="AC44" s="854"/>
      <c r="AE44" s="832"/>
    </row>
    <row r="45" customFormat="false" ht="12" hidden="false" customHeight="true" outlineLevel="0" collapsed="false">
      <c r="A45" s="719" t="s">
        <v>653</v>
      </c>
      <c r="B45" s="855" t="n">
        <v>105790</v>
      </c>
      <c r="C45" s="845"/>
      <c r="D45" s="4"/>
      <c r="E45" s="4"/>
      <c r="F45" s="4"/>
      <c r="G45" s="4"/>
      <c r="H45" s="4"/>
      <c r="I45" s="4"/>
      <c r="J45" s="4"/>
      <c r="K45" s="4"/>
      <c r="L45" s="4"/>
      <c r="M45" s="4"/>
      <c r="N45" s="4"/>
      <c r="O45" s="4"/>
      <c r="P45" s="4"/>
      <c r="Q45" s="4"/>
      <c r="R45" s="4"/>
      <c r="S45" s="4"/>
      <c r="T45" s="4"/>
      <c r="U45" s="4"/>
      <c r="V45" s="4"/>
      <c r="W45" s="4"/>
      <c r="X45" s="4"/>
      <c r="Y45" s="4"/>
      <c r="Z45" s="4"/>
      <c r="AA45" s="4"/>
      <c r="AB45" s="856"/>
      <c r="AC45" s="857"/>
      <c r="AD45" s="834"/>
      <c r="AE45" s="835"/>
    </row>
    <row r="46" customFormat="false" ht="12" hidden="false" customHeight="true" outlineLevel="0" collapsed="false">
      <c r="A46" s="719" t="s">
        <v>654</v>
      </c>
      <c r="B46" s="855" t="n">
        <v>3142</v>
      </c>
      <c r="C46" s="845"/>
      <c r="D46" s="4"/>
      <c r="E46" s="4"/>
      <c r="F46" s="4"/>
      <c r="G46" s="4"/>
      <c r="H46" s="4"/>
      <c r="I46" s="4"/>
      <c r="J46" s="4"/>
      <c r="K46" s="4"/>
      <c r="L46" s="4"/>
      <c r="M46" s="4"/>
      <c r="N46" s="4"/>
      <c r="O46" s="4"/>
      <c r="P46" s="4"/>
      <c r="Q46" s="4"/>
      <c r="R46" s="4"/>
      <c r="S46" s="4"/>
      <c r="T46" s="4"/>
      <c r="U46" s="4"/>
      <c r="V46" s="4"/>
      <c r="W46" s="4"/>
      <c r="X46" s="4"/>
      <c r="Y46" s="4"/>
      <c r="Z46" s="4"/>
      <c r="AA46" s="4"/>
      <c r="AB46" s="856"/>
      <c r="AC46" s="857"/>
      <c r="AD46" s="834"/>
      <c r="AE46" s="835"/>
    </row>
    <row r="47" customFormat="false" ht="12" hidden="false" customHeight="true" outlineLevel="0" collapsed="false">
      <c r="A47" s="719" t="s">
        <v>655</v>
      </c>
      <c r="B47" s="694" t="n">
        <v>193</v>
      </c>
      <c r="C47" s="845"/>
      <c r="D47" s="4"/>
      <c r="E47" s="4"/>
      <c r="F47" s="4"/>
      <c r="G47" s="4"/>
      <c r="H47" s="4"/>
      <c r="I47" s="4"/>
      <c r="J47" s="4"/>
      <c r="K47" s="4"/>
      <c r="L47" s="4"/>
      <c r="M47" s="4"/>
      <c r="N47" s="4"/>
      <c r="O47" s="4"/>
      <c r="P47" s="4"/>
      <c r="Q47" s="4"/>
      <c r="R47" s="4"/>
      <c r="S47" s="4"/>
      <c r="T47" s="4"/>
      <c r="U47" s="4"/>
      <c r="V47" s="4"/>
      <c r="W47" s="4"/>
      <c r="X47" s="4"/>
      <c r="Y47" s="4"/>
      <c r="Z47" s="4"/>
      <c r="AA47" s="4"/>
      <c r="AB47" s="856"/>
      <c r="AC47" s="857"/>
      <c r="AD47" s="834"/>
      <c r="AE47" s="835"/>
    </row>
    <row r="48" customFormat="false" ht="12" hidden="false" customHeight="true" outlineLevel="0" collapsed="false">
      <c r="A48" s="719"/>
      <c r="B48" s="437" t="n">
        <f aca="false">SUM(B45:B47)</f>
        <v>109125</v>
      </c>
      <c r="C48" s="845"/>
      <c r="D48" s="4"/>
      <c r="E48" s="4"/>
      <c r="F48" s="4"/>
      <c r="G48" s="4"/>
      <c r="H48" s="4"/>
      <c r="I48" s="4"/>
      <c r="J48" s="4"/>
      <c r="K48" s="4"/>
      <c r="L48" s="4"/>
      <c r="M48" s="4"/>
      <c r="N48" s="4"/>
      <c r="O48" s="4"/>
      <c r="P48" s="4"/>
      <c r="Q48" s="4"/>
      <c r="R48" s="4"/>
      <c r="S48" s="4"/>
      <c r="T48" s="4"/>
      <c r="U48" s="4"/>
      <c r="V48" s="4"/>
      <c r="W48" s="4"/>
      <c r="X48" s="4"/>
      <c r="Y48" s="4"/>
      <c r="Z48" s="4"/>
      <c r="AA48" s="4"/>
      <c r="AB48" s="856"/>
      <c r="AC48" s="857"/>
      <c r="AD48" s="834"/>
      <c r="AE48" s="835"/>
    </row>
    <row r="49" customFormat="false" ht="12" hidden="false" customHeight="true" outlineLevel="0" collapsed="false">
      <c r="A49" s="719" t="s">
        <v>656</v>
      </c>
      <c r="B49" s="431"/>
      <c r="C49" s="845"/>
      <c r="D49" s="847" t="n">
        <v>0.1</v>
      </c>
      <c r="E49" s="847" t="n">
        <v>0.4</v>
      </c>
      <c r="F49" s="847" t="n">
        <f aca="false">1-SUM($D$7:F7)</f>
        <v>0.7695</v>
      </c>
      <c r="G49" s="847" t="n">
        <f aca="false">1-SUM($D$7:G7)</f>
        <v>0.6925</v>
      </c>
      <c r="H49" s="847" t="n">
        <f aca="false">1-SUM($D$7:H7)</f>
        <v>0.6232</v>
      </c>
      <c r="I49" s="847" t="n">
        <f aca="false">1-SUM($D$7:I7)</f>
        <v>0.5609</v>
      </c>
      <c r="J49" s="847" t="n">
        <f aca="false">1-SUM($D$7:J7)</f>
        <v>0.5019</v>
      </c>
      <c r="K49" s="847" t="n">
        <f aca="false">1-SUM($D$7:K7)</f>
        <v>0.4428</v>
      </c>
      <c r="L49" s="847" t="n">
        <f aca="false">1-SUM($D$7:L7)</f>
        <v>0.3838</v>
      </c>
      <c r="M49" s="847" t="n">
        <f aca="false">1-SUM($D$7:M7)</f>
        <v>0.3247</v>
      </c>
      <c r="N49" s="847" t="n">
        <v>0.3</v>
      </c>
      <c r="O49" s="847" t="n">
        <v>0.3</v>
      </c>
      <c r="P49" s="847" t="n">
        <v>0.3</v>
      </c>
      <c r="Q49" s="847" t="n">
        <v>0.3</v>
      </c>
      <c r="R49" s="847" t="n">
        <v>0.3</v>
      </c>
      <c r="S49" s="847" t="n">
        <v>0.3</v>
      </c>
      <c r="T49" s="847" t="n">
        <v>0.3</v>
      </c>
      <c r="U49" s="847" t="n">
        <v>0.3</v>
      </c>
      <c r="V49" s="847" t="n">
        <v>0.3</v>
      </c>
      <c r="W49" s="847" t="n">
        <v>0.3</v>
      </c>
      <c r="X49" s="847" t="n">
        <v>0.3</v>
      </c>
      <c r="Y49" s="847" t="n">
        <v>0.3</v>
      </c>
      <c r="Z49" s="847" t="n">
        <v>0.3</v>
      </c>
      <c r="AA49" s="847" t="n">
        <v>0</v>
      </c>
      <c r="AB49" s="858" t="n">
        <v>0</v>
      </c>
      <c r="AC49" s="857"/>
      <c r="AD49" s="834"/>
      <c r="AE49" s="835"/>
    </row>
    <row r="50" customFormat="false" ht="12" hidden="false" customHeight="true" outlineLevel="0" collapsed="false">
      <c r="A50" s="719"/>
      <c r="B50" s="431"/>
      <c r="C50" s="845"/>
      <c r="D50" s="847"/>
      <c r="E50" s="847"/>
      <c r="F50" s="847"/>
      <c r="G50" s="847"/>
      <c r="H50" s="847"/>
      <c r="I50" s="847"/>
      <c r="J50" s="847"/>
      <c r="K50" s="847"/>
      <c r="L50" s="847"/>
      <c r="M50" s="847"/>
      <c r="N50" s="847"/>
      <c r="O50" s="847"/>
      <c r="P50" s="847"/>
      <c r="Q50" s="847"/>
      <c r="R50" s="847"/>
      <c r="S50" s="847"/>
      <c r="T50" s="847"/>
      <c r="U50" s="847"/>
      <c r="V50" s="847"/>
      <c r="W50" s="847"/>
      <c r="X50" s="847"/>
      <c r="Y50" s="847"/>
      <c r="Z50" s="847"/>
      <c r="AA50" s="847"/>
      <c r="AB50" s="858"/>
      <c r="AC50" s="857"/>
      <c r="AD50" s="834"/>
      <c r="AE50" s="835"/>
    </row>
    <row r="51" customFormat="false" ht="11.25" hidden="false" customHeight="true" outlineLevel="0" collapsed="false">
      <c r="A51" s="719" t="s">
        <v>657</v>
      </c>
      <c r="B51" s="712"/>
      <c r="C51" s="378"/>
      <c r="D51" s="431" t="n">
        <f aca="false">$B$45*D49*Perc_Draw</f>
        <v>6664.77</v>
      </c>
      <c r="E51" s="431" t="n">
        <f aca="false">$B$45*E49</f>
        <v>42316</v>
      </c>
      <c r="F51" s="431" t="n">
        <f aca="false">$B$45*F49</f>
        <v>81405.405</v>
      </c>
      <c r="G51" s="431" t="n">
        <f aca="false">$B$45*G49</f>
        <v>73259.575</v>
      </c>
      <c r="H51" s="431" t="n">
        <f aca="false">$B$45*H49</f>
        <v>65928.328</v>
      </c>
      <c r="I51" s="431" t="n">
        <f aca="false">$B$45*I49</f>
        <v>59337.611</v>
      </c>
      <c r="J51" s="431" t="n">
        <f aca="false">$B$45*J49</f>
        <v>53096.001</v>
      </c>
      <c r="K51" s="431" t="n">
        <f aca="false">$B$45*K49</f>
        <v>46843.812</v>
      </c>
      <c r="L51" s="431" t="n">
        <f aca="false">$B$45*L49</f>
        <v>40602.202</v>
      </c>
      <c r="M51" s="431" t="n">
        <f aca="false">$B$45*M49</f>
        <v>34350.013</v>
      </c>
      <c r="N51" s="431" t="n">
        <f aca="false">$B$45*N49</f>
        <v>31737</v>
      </c>
      <c r="O51" s="431" t="n">
        <f aca="false">$B$45*O49</f>
        <v>31737</v>
      </c>
      <c r="P51" s="431" t="n">
        <f aca="false">$B$45*P49</f>
        <v>31737</v>
      </c>
      <c r="Q51" s="431" t="n">
        <f aca="false">$B$45*Q49</f>
        <v>31737</v>
      </c>
      <c r="R51" s="431" t="n">
        <f aca="false">$B$45*R49</f>
        <v>31737</v>
      </c>
      <c r="S51" s="431" t="n">
        <f aca="false">$B$45*S49</f>
        <v>31737</v>
      </c>
      <c r="T51" s="431" t="n">
        <f aca="false">$B$45*T49</f>
        <v>31737</v>
      </c>
      <c r="U51" s="431" t="n">
        <f aca="false">$B$45*U49</f>
        <v>31737</v>
      </c>
      <c r="V51" s="431" t="n">
        <f aca="false">$B$45*V49</f>
        <v>31737</v>
      </c>
      <c r="W51" s="431" t="n">
        <f aca="false">$B$45*W49</f>
        <v>31737</v>
      </c>
      <c r="X51" s="431" t="n">
        <f aca="false">$B$45*X49</f>
        <v>31737</v>
      </c>
      <c r="Y51" s="431" t="n">
        <f aca="false">$B$45*Y49</f>
        <v>31737</v>
      </c>
      <c r="Z51" s="431" t="n">
        <f aca="false">$B$45*Z49</f>
        <v>31737</v>
      </c>
      <c r="AA51" s="431" t="n">
        <f aca="false">$B$45*AA49</f>
        <v>0</v>
      </c>
      <c r="AB51" s="859" t="n">
        <f aca="false">$B$45*AB49</f>
        <v>0</v>
      </c>
      <c r="AC51" s="727"/>
    </row>
    <row r="52" customFormat="false" ht="11.25" hidden="false" customHeight="true" outlineLevel="0" collapsed="false">
      <c r="A52" s="719" t="s">
        <v>657</v>
      </c>
      <c r="B52" s="712"/>
      <c r="C52" s="378"/>
      <c r="D52" s="431" t="n">
        <f aca="false">$B$46*D49*Perc_Draw</f>
        <v>197.946</v>
      </c>
      <c r="E52" s="431" t="n">
        <f aca="false">$B$46*E49</f>
        <v>1256.8</v>
      </c>
      <c r="F52" s="431" t="n">
        <f aca="false">$B$46*F49</f>
        <v>2417.769</v>
      </c>
      <c r="G52" s="431" t="n">
        <f aca="false">$B$46*G49</f>
        <v>2175.835</v>
      </c>
      <c r="H52" s="431" t="n">
        <f aca="false">$B$46*H49</f>
        <v>1958.0944</v>
      </c>
      <c r="I52" s="431" t="n">
        <f aca="false">$B$46*I49</f>
        <v>1762.3478</v>
      </c>
      <c r="J52" s="431" t="n">
        <f aca="false">$B$46*J49</f>
        <v>1576.9698</v>
      </c>
      <c r="K52" s="431" t="n">
        <f aca="false">$B$46*K49</f>
        <v>1391.2776</v>
      </c>
      <c r="L52" s="431" t="n">
        <f aca="false">$B$46*L49</f>
        <v>1205.8996</v>
      </c>
      <c r="M52" s="431" t="n">
        <f aca="false">$B$46*M49</f>
        <v>1020.2074</v>
      </c>
      <c r="N52" s="431" t="n">
        <f aca="false">$B$46*N49</f>
        <v>942.6</v>
      </c>
      <c r="O52" s="431" t="n">
        <f aca="false">$B$46*O49</f>
        <v>942.6</v>
      </c>
      <c r="P52" s="431" t="n">
        <f aca="false">$B$46*P49</f>
        <v>942.6</v>
      </c>
      <c r="Q52" s="431" t="n">
        <f aca="false">$B$46*Q49</f>
        <v>942.6</v>
      </c>
      <c r="R52" s="431" t="n">
        <f aca="false">$B$46*R49</f>
        <v>942.6</v>
      </c>
      <c r="S52" s="431" t="n">
        <f aca="false">$B$46*S49</f>
        <v>942.6</v>
      </c>
      <c r="T52" s="431" t="n">
        <f aca="false">$B$46*T49</f>
        <v>942.6</v>
      </c>
      <c r="U52" s="431" t="n">
        <f aca="false">$B$46*U49</f>
        <v>942.6</v>
      </c>
      <c r="V52" s="431" t="n">
        <f aca="false">$B$46*V49</f>
        <v>942.6</v>
      </c>
      <c r="W52" s="431" t="n">
        <f aca="false">$B$46*W49</f>
        <v>942.6</v>
      </c>
      <c r="X52" s="431" t="n">
        <f aca="false">$B$46*X49</f>
        <v>942.6</v>
      </c>
      <c r="Y52" s="431" t="n">
        <f aca="false">$B$46*Y49</f>
        <v>942.6</v>
      </c>
      <c r="Z52" s="431" t="n">
        <f aca="false">$B$46*Z49</f>
        <v>942.6</v>
      </c>
      <c r="AA52" s="431" t="n">
        <f aca="false">$B$46*AA49</f>
        <v>0</v>
      </c>
      <c r="AB52" s="859" t="n">
        <f aca="false">$B$46*AB49</f>
        <v>0</v>
      </c>
      <c r="AC52" s="727"/>
    </row>
    <row r="53" customFormat="false" ht="11.25" hidden="false" customHeight="true" outlineLevel="0" collapsed="false">
      <c r="A53" s="719" t="s">
        <v>658</v>
      </c>
      <c r="B53" s="712"/>
      <c r="C53" s="378"/>
      <c r="D53" s="431" t="n">
        <f aca="false">$B$47</f>
        <v>193</v>
      </c>
      <c r="E53" s="431" t="n">
        <f aca="false">$B$47</f>
        <v>193</v>
      </c>
      <c r="F53" s="431" t="n">
        <f aca="false">$B$47</f>
        <v>193</v>
      </c>
      <c r="G53" s="431" t="n">
        <f aca="false">$B$47</f>
        <v>193</v>
      </c>
      <c r="H53" s="431" t="n">
        <f aca="false">$B$47</f>
        <v>193</v>
      </c>
      <c r="I53" s="431" t="n">
        <f aca="false">$B$47</f>
        <v>193</v>
      </c>
      <c r="J53" s="431" t="n">
        <f aca="false">$B$47</f>
        <v>193</v>
      </c>
      <c r="K53" s="431" t="n">
        <f aca="false">$B$47</f>
        <v>193</v>
      </c>
      <c r="L53" s="431" t="n">
        <f aca="false">$B$47</f>
        <v>193</v>
      </c>
      <c r="M53" s="431" t="n">
        <f aca="false">$B$47</f>
        <v>193</v>
      </c>
      <c r="N53" s="431" t="n">
        <f aca="false">$B$47</f>
        <v>193</v>
      </c>
      <c r="O53" s="431" t="n">
        <f aca="false">$B$47</f>
        <v>193</v>
      </c>
      <c r="P53" s="431" t="n">
        <f aca="false">$B$47</f>
        <v>193</v>
      </c>
      <c r="Q53" s="431" t="n">
        <f aca="false">$B$47</f>
        <v>193</v>
      </c>
      <c r="R53" s="431" t="n">
        <f aca="false">$B$47</f>
        <v>193</v>
      </c>
      <c r="S53" s="431" t="n">
        <f aca="false">$B$47</f>
        <v>193</v>
      </c>
      <c r="T53" s="431" t="n">
        <f aca="false">$B$47</f>
        <v>193</v>
      </c>
      <c r="U53" s="431" t="n">
        <f aca="false">$B$47</f>
        <v>193</v>
      </c>
      <c r="V53" s="431" t="n">
        <f aca="false">$B$47</f>
        <v>193</v>
      </c>
      <c r="W53" s="431" t="n">
        <f aca="false">$B$47</f>
        <v>193</v>
      </c>
      <c r="X53" s="431" t="n">
        <f aca="false">$B$47</f>
        <v>193</v>
      </c>
      <c r="Y53" s="431" t="n">
        <f aca="false">$B$47</f>
        <v>193</v>
      </c>
      <c r="Z53" s="431" t="n">
        <f aca="false">$B$47</f>
        <v>193</v>
      </c>
      <c r="AA53" s="431" t="n">
        <v>0</v>
      </c>
      <c r="AB53" s="859" t="n">
        <v>0</v>
      </c>
      <c r="AC53" s="727"/>
    </row>
    <row r="54" customFormat="false" ht="11.25" hidden="false" customHeight="true" outlineLevel="0" collapsed="false">
      <c r="A54" s="719"/>
      <c r="B54" s="712"/>
      <c r="C54" s="378"/>
      <c r="D54" s="431"/>
      <c r="E54" s="431"/>
      <c r="F54" s="431"/>
      <c r="G54" s="431"/>
      <c r="H54" s="431"/>
      <c r="I54" s="431"/>
      <c r="J54" s="431"/>
      <c r="K54" s="431"/>
      <c r="L54" s="431"/>
      <c r="M54" s="431"/>
      <c r="N54" s="431"/>
      <c r="O54" s="431"/>
      <c r="P54" s="431"/>
      <c r="Q54" s="431"/>
      <c r="R54" s="431"/>
      <c r="S54" s="431"/>
      <c r="T54" s="431"/>
      <c r="U54" s="431"/>
      <c r="V54" s="431"/>
      <c r="W54" s="431"/>
      <c r="X54" s="431"/>
      <c r="Y54" s="431"/>
      <c r="Z54" s="431"/>
      <c r="AA54" s="431"/>
      <c r="AB54" s="859"/>
      <c r="AC54" s="727"/>
    </row>
    <row r="55" customFormat="false" ht="11.25" hidden="false" customHeight="true" outlineLevel="0" collapsed="false">
      <c r="A55" s="719" t="s">
        <v>659</v>
      </c>
      <c r="B55" s="712"/>
      <c r="C55" s="378"/>
      <c r="D55" s="860" t="n">
        <f aca="false">AssessedValueMultiplier</f>
        <v>0.33</v>
      </c>
      <c r="E55" s="860" t="n">
        <f aca="false">AssessedValueMultiplier</f>
        <v>0.33</v>
      </c>
      <c r="F55" s="860" t="n">
        <f aca="false">AssessedValueMultiplier</f>
        <v>0.33</v>
      </c>
      <c r="G55" s="860" t="n">
        <f aca="false">AssessedValueMultiplier</f>
        <v>0.33</v>
      </c>
      <c r="H55" s="860" t="n">
        <f aca="false">AssessedValueMultiplier</f>
        <v>0.33</v>
      </c>
      <c r="I55" s="860" t="n">
        <f aca="false">AssessedValueMultiplier</f>
        <v>0.33</v>
      </c>
      <c r="J55" s="860" t="n">
        <f aca="false">AssessedValueMultiplier</f>
        <v>0.33</v>
      </c>
      <c r="K55" s="860" t="n">
        <f aca="false">AssessedValueMultiplier</f>
        <v>0.33</v>
      </c>
      <c r="L55" s="860" t="n">
        <f aca="false">AssessedValueMultiplier</f>
        <v>0.33</v>
      </c>
      <c r="M55" s="860" t="n">
        <f aca="false">AssessedValueMultiplier</f>
        <v>0.33</v>
      </c>
      <c r="N55" s="860" t="n">
        <f aca="false">AssessedValueMultiplier</f>
        <v>0.33</v>
      </c>
      <c r="O55" s="860" t="n">
        <f aca="false">AssessedValueMultiplier</f>
        <v>0.33</v>
      </c>
      <c r="P55" s="860" t="n">
        <f aca="false">AssessedValueMultiplier</f>
        <v>0.33</v>
      </c>
      <c r="Q55" s="860" t="n">
        <f aca="false">AssessedValueMultiplier</f>
        <v>0.33</v>
      </c>
      <c r="R55" s="860" t="n">
        <f aca="false">AssessedValueMultiplier</f>
        <v>0.33</v>
      </c>
      <c r="S55" s="860" t="n">
        <f aca="false">AssessedValueMultiplier</f>
        <v>0.33</v>
      </c>
      <c r="T55" s="860" t="n">
        <f aca="false">AssessedValueMultiplier</f>
        <v>0.33</v>
      </c>
      <c r="U55" s="860" t="n">
        <f aca="false">AssessedValueMultiplier</f>
        <v>0.33</v>
      </c>
      <c r="V55" s="860" t="n">
        <f aca="false">AssessedValueMultiplier</f>
        <v>0.33</v>
      </c>
      <c r="W55" s="860" t="n">
        <f aca="false">AssessedValueMultiplier</f>
        <v>0.33</v>
      </c>
      <c r="X55" s="860" t="n">
        <f aca="false">AssessedValueMultiplier</f>
        <v>0.33</v>
      </c>
      <c r="Y55" s="860" t="n">
        <f aca="false">AssessedValueMultiplier</f>
        <v>0.33</v>
      </c>
      <c r="Z55" s="860" t="n">
        <f aca="false">AssessedValueMultiplier</f>
        <v>0.33</v>
      </c>
      <c r="AA55" s="431"/>
      <c r="AB55" s="859"/>
      <c r="AC55" s="727"/>
    </row>
    <row r="56" customFormat="false" ht="11.25" hidden="false" customHeight="true" outlineLevel="0" collapsed="false">
      <c r="A56" s="719" t="s">
        <v>660</v>
      </c>
      <c r="B56" s="712"/>
      <c r="C56" s="378"/>
      <c r="D56" s="861" t="n">
        <f aca="false">SUM(D51:D53)*D55</f>
        <v>2328.38628</v>
      </c>
      <c r="E56" s="861" t="n">
        <f aca="false">SUM(E51:E53)*E55</f>
        <v>14442.714</v>
      </c>
      <c r="F56" s="861" t="n">
        <f aca="false">SUM(F51:F53)*F55</f>
        <v>27725.33742</v>
      </c>
      <c r="G56" s="861" t="n">
        <f aca="false">SUM(G51:G53)*G55</f>
        <v>24957.3753</v>
      </c>
      <c r="H56" s="861" t="n">
        <f aca="false">SUM(H51:H53)*H55</f>
        <v>22466.209392</v>
      </c>
      <c r="I56" s="861" t="n">
        <f aca="false">SUM(I51:I53)*I55</f>
        <v>20226.676404</v>
      </c>
      <c r="J56" s="861" t="n">
        <f aca="false">SUM(J51:J53)*J55</f>
        <v>18105.770364</v>
      </c>
      <c r="K56" s="861" t="n">
        <f aca="false">SUM(K51:K53)*K55</f>
        <v>15981.269568</v>
      </c>
      <c r="L56" s="861" t="n">
        <f aca="false">SUM(L51:L53)*L55</f>
        <v>13860.363528</v>
      </c>
      <c r="M56" s="861" t="n">
        <f aca="false">SUM(M51:M53)*M55</f>
        <v>11735.862732</v>
      </c>
      <c r="N56" s="861" t="n">
        <f aca="false">SUM(N51:N53)*N55</f>
        <v>10847.958</v>
      </c>
      <c r="O56" s="861" t="n">
        <f aca="false">SUM(O51:O53)*O55</f>
        <v>10847.958</v>
      </c>
      <c r="P56" s="861" t="n">
        <f aca="false">SUM(P51:P53)*P55</f>
        <v>10847.958</v>
      </c>
      <c r="Q56" s="861" t="n">
        <f aca="false">SUM(Q51:Q53)*Q55</f>
        <v>10847.958</v>
      </c>
      <c r="R56" s="861" t="n">
        <f aca="false">SUM(R51:R53)*R55</f>
        <v>10847.958</v>
      </c>
      <c r="S56" s="861" t="n">
        <f aca="false">SUM(S51:S53)*S55</f>
        <v>10847.958</v>
      </c>
      <c r="T56" s="861" t="n">
        <f aca="false">SUM(T51:T53)*T55</f>
        <v>10847.958</v>
      </c>
      <c r="U56" s="861" t="n">
        <f aca="false">SUM(U51:U53)*U55</f>
        <v>10847.958</v>
      </c>
      <c r="V56" s="861" t="n">
        <f aca="false">SUM(V51:V53)*V55</f>
        <v>10847.958</v>
      </c>
      <c r="W56" s="861" t="n">
        <f aca="false">SUM(W51:W53)*W55</f>
        <v>10847.958</v>
      </c>
      <c r="X56" s="861" t="n">
        <f aca="false">SUM(X51:X53)*X55</f>
        <v>10847.958</v>
      </c>
      <c r="Y56" s="861" t="n">
        <f aca="false">SUM(Y51:Y53)*Y55</f>
        <v>10847.958</v>
      </c>
      <c r="Z56" s="861" t="n">
        <f aca="false">SUM(Z51:Z53)*Z55</f>
        <v>10847.958</v>
      </c>
      <c r="AA56" s="431"/>
      <c r="AB56" s="859"/>
      <c r="AC56" s="727"/>
    </row>
    <row r="57" customFormat="false" ht="11.25" hidden="false" customHeight="true" outlineLevel="0" collapsed="false">
      <c r="A57" s="719"/>
      <c r="B57" s="712"/>
      <c r="C57" s="378"/>
      <c r="D57" s="620"/>
      <c r="E57" s="620"/>
      <c r="F57" s="620"/>
      <c r="G57" s="620"/>
      <c r="H57" s="620"/>
      <c r="I57" s="620"/>
      <c r="J57" s="620"/>
      <c r="K57" s="620"/>
      <c r="L57" s="620"/>
      <c r="M57" s="620"/>
      <c r="N57" s="620"/>
      <c r="O57" s="620"/>
      <c r="P57" s="620"/>
      <c r="Q57" s="620"/>
      <c r="R57" s="620"/>
      <c r="S57" s="620"/>
      <c r="T57" s="620"/>
      <c r="U57" s="620"/>
      <c r="V57" s="620"/>
      <c r="W57" s="620"/>
      <c r="X57" s="620"/>
      <c r="Y57" s="620"/>
      <c r="Z57" s="620"/>
      <c r="AA57" s="431"/>
      <c r="AB57" s="859"/>
      <c r="AC57" s="727"/>
    </row>
    <row r="58" customFormat="false" ht="11.25" hidden="false" customHeight="true" outlineLevel="0" collapsed="false">
      <c r="A58" s="719" t="s">
        <v>661</v>
      </c>
      <c r="B58" s="712"/>
      <c r="C58" s="378"/>
      <c r="D58" s="847" t="n">
        <v>0</v>
      </c>
      <c r="E58" s="847" t="n">
        <v>1</v>
      </c>
      <c r="F58" s="847" t="n">
        <v>0.95</v>
      </c>
      <c r="G58" s="847" t="n">
        <v>0.9</v>
      </c>
      <c r="H58" s="847" t="n">
        <v>0.85</v>
      </c>
      <c r="I58" s="847" t="n">
        <v>0.8</v>
      </c>
      <c r="J58" s="847" t="n">
        <v>0.7</v>
      </c>
      <c r="K58" s="847" t="n">
        <v>0.55</v>
      </c>
      <c r="L58" s="847" t="n">
        <v>0.4</v>
      </c>
      <c r="M58" s="847" t="n">
        <v>0.3</v>
      </c>
      <c r="N58" s="847" t="n">
        <v>0.25</v>
      </c>
      <c r="O58" s="431"/>
      <c r="P58" s="431"/>
      <c r="Q58" s="431"/>
      <c r="R58" s="431"/>
      <c r="S58" s="431"/>
      <c r="T58" s="431"/>
      <c r="U58" s="431"/>
      <c r="V58" s="431"/>
      <c r="W58" s="431"/>
      <c r="X58" s="431"/>
      <c r="Y58" s="431"/>
      <c r="Z58" s="431"/>
      <c r="AA58" s="431"/>
      <c r="AB58" s="859"/>
      <c r="AC58" s="727"/>
    </row>
    <row r="59" customFormat="false" ht="11.25" hidden="false" customHeight="true" outlineLevel="0" collapsed="false">
      <c r="A59" s="719" t="s">
        <v>662</v>
      </c>
      <c r="B59" s="712"/>
      <c r="C59" s="378"/>
      <c r="D59" s="847" t="n">
        <v>0</v>
      </c>
      <c r="E59" s="847" t="n">
        <v>1</v>
      </c>
      <c r="F59" s="847" t="n">
        <v>0.95</v>
      </c>
      <c r="G59" s="847" t="n">
        <v>0.8</v>
      </c>
      <c r="H59" s="847" t="n">
        <v>0.65</v>
      </c>
      <c r="I59" s="847" t="n">
        <v>0.5</v>
      </c>
      <c r="J59" s="847" t="n">
        <v>0.4</v>
      </c>
      <c r="K59" s="847" t="n">
        <v>0.3</v>
      </c>
      <c r="L59" s="847" t="n">
        <v>0.2</v>
      </c>
      <c r="M59" s="847" t="n">
        <v>0.1</v>
      </c>
      <c r="N59" s="847" t="n">
        <v>0.05</v>
      </c>
      <c r="O59" s="431"/>
      <c r="P59" s="431"/>
      <c r="Q59" s="431"/>
      <c r="R59" s="431"/>
      <c r="S59" s="431"/>
      <c r="T59" s="431"/>
      <c r="U59" s="431"/>
      <c r="V59" s="431"/>
      <c r="W59" s="431"/>
      <c r="X59" s="431"/>
      <c r="Y59" s="431"/>
      <c r="Z59" s="431"/>
      <c r="AA59" s="431"/>
      <c r="AB59" s="859"/>
      <c r="AC59" s="727"/>
    </row>
    <row r="60" customFormat="false" ht="23.25" hidden="false" customHeight="true" outlineLevel="0" collapsed="false">
      <c r="A60" s="719"/>
      <c r="B60" s="862" t="s">
        <v>663</v>
      </c>
      <c r="C60" s="863" t="s">
        <v>664</v>
      </c>
      <c r="D60" s="725"/>
      <c r="E60" s="725"/>
      <c r="F60" s="725"/>
      <c r="G60" s="725"/>
      <c r="H60" s="725"/>
      <c r="I60" s="725"/>
      <c r="J60" s="725"/>
      <c r="K60" s="725"/>
      <c r="L60" s="725"/>
      <c r="M60" s="725"/>
      <c r="N60" s="725"/>
      <c r="O60" s="725"/>
      <c r="P60" s="725"/>
      <c r="Q60" s="725"/>
      <c r="R60" s="725"/>
      <c r="S60" s="725"/>
      <c r="T60" s="725"/>
      <c r="U60" s="725"/>
      <c r="V60" s="725"/>
      <c r="W60" s="725"/>
      <c r="X60" s="725"/>
      <c r="Y60" s="725"/>
      <c r="Z60" s="725"/>
      <c r="AA60" s="725"/>
      <c r="AB60" s="864"/>
      <c r="AC60" s="727"/>
      <c r="AD60" s="838"/>
      <c r="AE60" s="838"/>
    </row>
    <row r="61" customFormat="false" ht="12" hidden="false" customHeight="true" outlineLevel="0" collapsed="false">
      <c r="A61" s="719" t="s">
        <v>665</v>
      </c>
      <c r="B61" s="865" t="n">
        <f aca="false">SchoolMillageTaxRate</f>
        <v>0.074828</v>
      </c>
      <c r="C61" s="866" t="n">
        <f aca="false">'Project Assumtions'!U8</f>
        <v>0.157545</v>
      </c>
      <c r="D61" s="431" t="n">
        <f aca="false">D51*SchoolMillageTaxRate*(1-D58)*(1-'Project Assumtions'!$U$8)*D55</f>
        <v>138.646833778487</v>
      </c>
      <c r="E61" s="431" t="n">
        <f aca="false">E51*SchoolMillageTaxRate*(1-E58)*(1-'Project Assumtions'!$U$8)*E55</f>
        <v>0</v>
      </c>
      <c r="F61" s="431" t="n">
        <f aca="false">F51*SchoolMillageTaxRate*(1-F58)*(1-'Project Assumtions'!$U$8)*F55</f>
        <v>84.6736020575761</v>
      </c>
      <c r="G61" s="431" t="n">
        <f aca="false">G51*SchoolMillageTaxRate*(1-G58)*(1-'Project Assumtions'!$U$8)*G55</f>
        <v>152.40147998667</v>
      </c>
      <c r="H61" s="431" t="n">
        <f aca="false">H51*SchoolMillageTaxRate*(1-H58)*(1-'Project Assumtions'!$U$8)*H55</f>
        <v>205.725492406555</v>
      </c>
      <c r="I61" s="431" t="n">
        <f aca="false">I51*SchoolMillageTaxRate*(1-I58)*(1-'Project Assumtions'!$U$8)*I55</f>
        <v>246.879393861439</v>
      </c>
      <c r="J61" s="431" t="n">
        <f aca="false">J51*SchoolMillageTaxRate*(1-J58)*(1-'Project Assumtions'!$U$8)*J55</f>
        <v>331.365932730584</v>
      </c>
      <c r="K61" s="431" t="n">
        <f aca="false">K51*SchoolMillageTaxRate*(1-K58)*(1-'Project Assumtions'!$U$8)*K55</f>
        <v>438.520128550815</v>
      </c>
      <c r="L61" s="431" t="n">
        <f aca="false">L51*SchoolMillageTaxRate*(1-L58)*(1-'Project Assumtions'!$U$8)*L55</f>
        <v>506.78718861127</v>
      </c>
      <c r="M61" s="431" t="n">
        <f aca="false">M51*SchoolMillageTaxRate*(1-M58)*(1-'Project Assumtions'!$U$8)*M55</f>
        <v>500.206965865275</v>
      </c>
      <c r="N61" s="431" t="n">
        <f aca="false">N51*SchoolMillageTaxRate*(1-N58)*(1-'Project Assumtions'!$U$8)*N55</f>
        <v>495.167263494597</v>
      </c>
      <c r="O61" s="431" t="n">
        <f aca="false">O51*SchoolMillageTaxRate*(1-O58)*(1-'Project Assumtions'!$U$8)*O55</f>
        <v>660.223017992796</v>
      </c>
      <c r="P61" s="431" t="n">
        <f aca="false">P51*SchoolMillageTaxRate*(1-P58)*(1-'Project Assumtions'!$U$8)*P55</f>
        <v>660.223017992796</v>
      </c>
      <c r="Q61" s="431" t="n">
        <f aca="false">Q51*SchoolMillageTaxRate*(1-Q58)*(1-'Project Assumtions'!$U$8)*Q55</f>
        <v>660.223017992796</v>
      </c>
      <c r="R61" s="431" t="n">
        <f aca="false">R51*SchoolMillageTaxRate*(1-R58)*(1-'Project Assumtions'!$U$8)*R55</f>
        <v>660.223017992796</v>
      </c>
      <c r="S61" s="431" t="n">
        <f aca="false">S51*SchoolMillageTaxRate*(1-S58)*(1-'Project Assumtions'!$U$8)*S55</f>
        <v>660.223017992796</v>
      </c>
      <c r="T61" s="431" t="n">
        <f aca="false">T51*SchoolMillageTaxRate*(1-T58)*(1-'Project Assumtions'!$U$8)*T55</f>
        <v>660.223017992796</v>
      </c>
      <c r="U61" s="431" t="n">
        <f aca="false">U51*SchoolMillageTaxRate*(1-U58)*(1-'Project Assumtions'!$U$8)*U55</f>
        <v>660.223017992796</v>
      </c>
      <c r="V61" s="431" t="n">
        <f aca="false">V51*SchoolMillageTaxRate*(1-V58)*(1-'Project Assumtions'!$U$8)*V55</f>
        <v>660.223017992796</v>
      </c>
      <c r="W61" s="431" t="n">
        <f aca="false">W51*SchoolMillageTaxRate*(1-W58)*(1-'Project Assumtions'!$U$8)*W55</f>
        <v>660.223017992796</v>
      </c>
      <c r="X61" s="431" t="n">
        <f aca="false">X51*SchoolMillageTaxRate*(1-X58)*(1-'Project Assumtions'!$U$8)*X55</f>
        <v>660.223017992796</v>
      </c>
      <c r="Y61" s="431" t="n">
        <f aca="false">Y51*SchoolMillageTaxRate*(1-Y58)*(1-'Project Assumtions'!$U$8)*Y55</f>
        <v>660.223017992796</v>
      </c>
      <c r="Z61" s="431" t="n">
        <f aca="false">Z51*SchoolMillageTaxRate*(1-Z58)*(1-'Project Assumtions'!$U$8)*Z55</f>
        <v>660.223017992796</v>
      </c>
      <c r="AA61" s="431" t="n">
        <f aca="false">AA51*SchoolMillageTaxRate*(1-AA58)*(1-'Project Assumtions'!$U$8)*AA55</f>
        <v>0</v>
      </c>
      <c r="AB61" s="859" t="n">
        <f aca="false">AB51*SchoolMillageTaxRate*(1-AB58)*(1-'Project Assumtions'!$U$8)*AB55</f>
        <v>0</v>
      </c>
      <c r="AC61" s="31"/>
      <c r="AD61" s="834"/>
      <c r="AE61" s="835"/>
    </row>
    <row r="62" customFormat="false" ht="12" hidden="false" customHeight="true" outlineLevel="0" collapsed="false">
      <c r="A62" s="719" t="s">
        <v>666</v>
      </c>
      <c r="B62" s="867" t="n">
        <f aca="false">SchoolMillageTaxRate</f>
        <v>0.074828</v>
      </c>
      <c r="C62" s="868" t="n">
        <f aca="false">'Project Assumtions'!U8</f>
        <v>0.157545</v>
      </c>
      <c r="D62" s="462" t="n">
        <f aca="false">D52*SchoolMillageTaxRate*(1-D59)*(1-'Project Assumtions'!$U$8)*D55</f>
        <v>4.11785945488238</v>
      </c>
      <c r="E62" s="462" t="n">
        <f aca="false">E52*SchoolMillageTaxRate*(1-E59)*(1-'Project Assumtions'!$U$8)*E55</f>
        <v>0</v>
      </c>
      <c r="F62" s="462" t="n">
        <f aca="false">F52*SchoolMillageTaxRate*(1-F59)*(1-'Project Assumtions'!$U$8)*F55</f>
        <v>2.51483559566031</v>
      </c>
      <c r="G62" s="462" t="n">
        <f aca="false">G52*SchoolMillageTaxRate*(1-G59)*(1-'Project Assumtions'!$U$8)*G55</f>
        <v>9.0527545158922</v>
      </c>
      <c r="H62" s="462" t="n">
        <f aca="false">H52*SchoolMillageTaxRate*(1-H59)*(1-'Project Assumtions'!$U$8)*H55</f>
        <v>14.2569445126816</v>
      </c>
      <c r="I62" s="462" t="n">
        <f aca="false">I52*SchoolMillageTaxRate*(1-I59)*(1-'Project Assumtions'!$U$8)*I55</f>
        <v>18.3310108590756</v>
      </c>
      <c r="J62" s="462" t="n">
        <f aca="false">J52*SchoolMillageTaxRate*(1-J59)*(1-'Project Assumtions'!$U$8)*J55</f>
        <v>19.6833681943377</v>
      </c>
      <c r="K62" s="462" t="n">
        <f aca="false">K52*SchoolMillageTaxRate*(1-K59)*(1-'Project Assumtions'!$U$8)*K55</f>
        <v>20.2598685180213</v>
      </c>
      <c r="L62" s="462" t="n">
        <f aca="false">L52*SchoolMillageTaxRate*(1-L59)*(1-'Project Assumtions'!$U$8)*L55</f>
        <v>20.0690090004299</v>
      </c>
      <c r="M62" s="462" t="n">
        <f aca="false">M52*SchoolMillageTaxRate*(1-M59)*(1-'Project Assumtions'!$U$8)*M55</f>
        <v>19.1009852142901</v>
      </c>
      <c r="N62" s="462" t="n">
        <f aca="false">N52*SchoolMillageTaxRate*(1-N59)*(1-'Project Assumtions'!$U$8)*N55</f>
        <v>18.628411819706</v>
      </c>
      <c r="O62" s="462" t="n">
        <f aca="false">O52*SchoolMillageTaxRate*(1-O59)*(1-'Project Assumtions'!$U$8)*O55</f>
        <v>19.6088545470589</v>
      </c>
      <c r="P62" s="462" t="n">
        <f aca="false">P52*SchoolMillageTaxRate*(1-P59)*(1-'Project Assumtions'!$U$8)*P55</f>
        <v>19.6088545470589</v>
      </c>
      <c r="Q62" s="462" t="n">
        <f aca="false">Q52*SchoolMillageTaxRate*(1-Q59)*(1-'Project Assumtions'!$U$8)*Q55</f>
        <v>19.6088545470589</v>
      </c>
      <c r="R62" s="462" t="n">
        <f aca="false">R52*SchoolMillageTaxRate*(1-R59)*(1-'Project Assumtions'!$U$8)*R55</f>
        <v>19.6088545470589</v>
      </c>
      <c r="S62" s="462" t="n">
        <f aca="false">S52*SchoolMillageTaxRate*(1-S59)*(1-'Project Assumtions'!$U$8)*S55</f>
        <v>19.6088545470589</v>
      </c>
      <c r="T62" s="462" t="n">
        <f aca="false">T52*SchoolMillageTaxRate*(1-T59)*(1-'Project Assumtions'!$U$8)*T55</f>
        <v>19.6088545470589</v>
      </c>
      <c r="U62" s="462" t="n">
        <f aca="false">U52*SchoolMillageTaxRate*(1-U59)*(1-'Project Assumtions'!$U$8)*U55</f>
        <v>19.6088545470589</v>
      </c>
      <c r="V62" s="462" t="n">
        <f aca="false">V52*SchoolMillageTaxRate*(1-V59)*(1-'Project Assumtions'!$U$8)*V55</f>
        <v>19.6088545470589</v>
      </c>
      <c r="W62" s="462" t="n">
        <f aca="false">W52*SchoolMillageTaxRate*(1-W59)*(1-'Project Assumtions'!$U$8)*W55</f>
        <v>19.6088545470589</v>
      </c>
      <c r="X62" s="462" t="n">
        <f aca="false">X52*SchoolMillageTaxRate*(1-X59)*(1-'Project Assumtions'!$U$8)*X55</f>
        <v>19.6088545470589</v>
      </c>
      <c r="Y62" s="462" t="n">
        <f aca="false">Y52*SchoolMillageTaxRate*(1-Y59)*(1-'Project Assumtions'!$U$8)*Y55</f>
        <v>19.6088545470589</v>
      </c>
      <c r="Z62" s="462" t="n">
        <f aca="false">Z52*SchoolMillageTaxRate*(1-Z59)*(1-'Project Assumtions'!$U$8)*Z55</f>
        <v>19.6088545470589</v>
      </c>
      <c r="AA62" s="462" t="n">
        <f aca="false">AA52*SchoolMillageTaxRate*(1-AA59)*(1-'Project Assumtions'!$U$8)*AA55</f>
        <v>0</v>
      </c>
      <c r="AB62" s="859" t="n">
        <f aca="false">AB52*SchoolMillageTaxRate*(1-AB59)*(1-'Project Assumtions'!$U$8)*AB55</f>
        <v>0</v>
      </c>
      <c r="AC62" s="32"/>
      <c r="AD62" s="834"/>
      <c r="AE62" s="835"/>
    </row>
    <row r="63" customFormat="false" ht="12" hidden="false" customHeight="true" outlineLevel="0" collapsed="false">
      <c r="A63" s="719" t="s">
        <v>667</v>
      </c>
      <c r="B63" s="869" t="s">
        <v>668</v>
      </c>
      <c r="C63" s="378"/>
      <c r="D63" s="870" t="n">
        <f aca="false">D53*SchoolMillageTaxRate*(1-D59)*(1-'Project Assumtions'!$U$8)*D55</f>
        <v>4.0149680963106</v>
      </c>
      <c r="E63" s="870" t="n">
        <f aca="false">E53*SchoolMillageTaxRate*(1-E59)*(1-'Project Assumtions'!$U$8)*E55</f>
        <v>0</v>
      </c>
      <c r="F63" s="870" t="n">
        <f aca="false">F53*SchoolMillageTaxRate*(1-F59)*(1-'Project Assumtions'!$U$8)*F55</f>
        <v>0.20074840481553</v>
      </c>
      <c r="G63" s="870" t="n">
        <f aca="false">G53*SchoolMillageTaxRate*(1-G59)*(1-'Project Assumtions'!$U$8)*G55</f>
        <v>0.80299361926212</v>
      </c>
      <c r="H63" s="870" t="n">
        <f aca="false">H53*SchoolMillageTaxRate*(1-H59)*(1-'Project Assumtions'!$U$8)*H55</f>
        <v>1.40523883370871</v>
      </c>
      <c r="I63" s="870" t="n">
        <f aca="false">I53*SchoolMillageTaxRate*(1-I59)*(1-'Project Assumtions'!$U$8)*I55</f>
        <v>2.0074840481553</v>
      </c>
      <c r="J63" s="870" t="n">
        <f aca="false">J53*SchoolMillageTaxRate*(1-J59)*(1-'Project Assumtions'!$U$8)*J55</f>
        <v>2.40898085778636</v>
      </c>
      <c r="K63" s="870" t="n">
        <f aca="false">K53*SchoolMillageTaxRate*(1-K59)*(1-'Project Assumtions'!$U$8)*K55</f>
        <v>2.81047766741742</v>
      </c>
      <c r="L63" s="870" t="n">
        <f aca="false">L53*SchoolMillageTaxRate*(1-L59)*(1-'Project Assumtions'!$U$8)*L55</f>
        <v>3.21197447704848</v>
      </c>
      <c r="M63" s="870" t="n">
        <f aca="false">M53*SchoolMillageTaxRate*(1-M59)*(1-'Project Assumtions'!$U$8)*M55</f>
        <v>3.61347128667954</v>
      </c>
      <c r="N63" s="870" t="n">
        <f aca="false">N53*SchoolMillageTaxRate*(1-N59)*(1-'Project Assumtions'!$U$8)*N55</f>
        <v>3.81421969149507</v>
      </c>
      <c r="O63" s="870" t="n">
        <f aca="false">O53*SchoolMillageTaxRate*(1-O59)*(1-'Project Assumtions'!$U$8)*O55</f>
        <v>4.0149680963106</v>
      </c>
      <c r="P63" s="870" t="n">
        <f aca="false">P53*SchoolMillageTaxRate*(1-P59)*(1-'Project Assumtions'!$U$8)*P55</f>
        <v>4.0149680963106</v>
      </c>
      <c r="Q63" s="870" t="n">
        <f aca="false">Q53*SchoolMillageTaxRate*(1-Q59)*(1-'Project Assumtions'!$U$8)*Q55</f>
        <v>4.0149680963106</v>
      </c>
      <c r="R63" s="870" t="n">
        <f aca="false">R53*SchoolMillageTaxRate*(1-R59)*(1-'Project Assumtions'!$U$8)*R55</f>
        <v>4.0149680963106</v>
      </c>
      <c r="S63" s="870" t="n">
        <f aca="false">S53*SchoolMillageTaxRate*(1-S59)*(1-'Project Assumtions'!$U$8)*S55</f>
        <v>4.0149680963106</v>
      </c>
      <c r="T63" s="870" t="n">
        <f aca="false">T53*SchoolMillageTaxRate*(1-T59)*(1-'Project Assumtions'!$U$8)*T55</f>
        <v>4.0149680963106</v>
      </c>
      <c r="U63" s="870" t="n">
        <f aca="false">U53*SchoolMillageTaxRate*(1-U59)*(1-'Project Assumtions'!$U$8)*U55</f>
        <v>4.0149680963106</v>
      </c>
      <c r="V63" s="870" t="n">
        <f aca="false">V53*SchoolMillageTaxRate*(1-V59)*(1-'Project Assumtions'!$U$8)*V55</f>
        <v>4.0149680963106</v>
      </c>
      <c r="W63" s="870" t="n">
        <f aca="false">W53*SchoolMillageTaxRate*(1-W59)*(1-'Project Assumtions'!$U$8)*W55</f>
        <v>4.0149680963106</v>
      </c>
      <c r="X63" s="870" t="n">
        <f aca="false">X53*SchoolMillageTaxRate*(1-X59)*(1-'Project Assumtions'!$U$8)*X55</f>
        <v>4.0149680963106</v>
      </c>
      <c r="Y63" s="870" t="n">
        <f aca="false">Y53*SchoolMillageTaxRate*(1-Y59)*(1-'Project Assumtions'!$U$8)*Y55</f>
        <v>4.0149680963106</v>
      </c>
      <c r="Z63" s="870" t="n">
        <f aca="false">Z53*SchoolMillageTaxRate*(1-Z59)*(1-'Project Assumtions'!$U$8)*Z55</f>
        <v>4.0149680963106</v>
      </c>
      <c r="AA63" s="870" t="n">
        <f aca="false">AA53*SchoolMillageTaxRate*(1-AA59)*(1-'Project Assumtions'!$U$8)*AA55</f>
        <v>0</v>
      </c>
      <c r="AB63" s="871" t="n">
        <f aca="false">AB53*SchoolMillageTaxRate*(1-AB59)*(1-'Project Assumtions'!$U$8)*AB55</f>
        <v>0</v>
      </c>
      <c r="AC63" s="872"/>
      <c r="AD63" s="834"/>
      <c r="AE63" s="835"/>
    </row>
    <row r="64" customFormat="false" ht="11.25" hidden="false" customHeight="false" outlineLevel="0" collapsed="false">
      <c r="A64" s="457" t="s">
        <v>669</v>
      </c>
      <c r="B64" s="873" t="n">
        <f aca="false">AVERAGE(D64:AB64)</f>
        <v>459.073678945796</v>
      </c>
      <c r="C64" s="874"/>
      <c r="D64" s="656" t="n">
        <f aca="false">SUM(D61:D63)</f>
        <v>146.77966132968</v>
      </c>
      <c r="E64" s="656" t="n">
        <f aca="false">SUM(E61:E63)</f>
        <v>0</v>
      </c>
      <c r="F64" s="656" t="n">
        <f aca="false">SUM(F61:F63)</f>
        <v>87.3891860580519</v>
      </c>
      <c r="G64" s="656" t="n">
        <f aca="false">SUM(G61:G63)</f>
        <v>162.257228121825</v>
      </c>
      <c r="H64" s="656" t="n">
        <f aca="false">SUM(H61:H63)</f>
        <v>221.387675752945</v>
      </c>
      <c r="I64" s="656" t="n">
        <f aca="false">SUM(I61:I63)</f>
        <v>267.21788876867</v>
      </c>
      <c r="J64" s="656" t="n">
        <f aca="false">SUM(J61:J63)</f>
        <v>353.458281782708</v>
      </c>
      <c r="K64" s="656" t="n">
        <f aca="false">SUM(K61:K63)</f>
        <v>461.590474736253</v>
      </c>
      <c r="L64" s="656" t="n">
        <f aca="false">SUM(L61:L63)</f>
        <v>530.068172088748</v>
      </c>
      <c r="M64" s="656" t="n">
        <f aca="false">SUM(M61:M63)</f>
        <v>522.921422366245</v>
      </c>
      <c r="N64" s="656" t="n">
        <f aca="false">SUM(N61:N63)</f>
        <v>517.609895005798</v>
      </c>
      <c r="O64" s="656" t="n">
        <f aca="false">SUM(O61:O63)</f>
        <v>683.846840636165</v>
      </c>
      <c r="P64" s="656" t="n">
        <f aca="false">SUM(P61:P63)</f>
        <v>683.846840636165</v>
      </c>
      <c r="Q64" s="656" t="n">
        <f aca="false">SUM(Q61:Q63)</f>
        <v>683.846840636165</v>
      </c>
      <c r="R64" s="656" t="n">
        <f aca="false">SUM(R61:R63)</f>
        <v>683.846840636165</v>
      </c>
      <c r="S64" s="656" t="n">
        <f aca="false">SUM(S61:S63)</f>
        <v>683.846840636165</v>
      </c>
      <c r="T64" s="656" t="n">
        <f aca="false">SUM(T61:T63)</f>
        <v>683.846840636165</v>
      </c>
      <c r="U64" s="656" t="n">
        <f aca="false">SUM(U61:U63)</f>
        <v>683.846840636165</v>
      </c>
      <c r="V64" s="656" t="n">
        <f aca="false">SUM(V61:V63)</f>
        <v>683.846840636165</v>
      </c>
      <c r="W64" s="656" t="n">
        <f aca="false">SUM(W61:W63)</f>
        <v>683.846840636165</v>
      </c>
      <c r="X64" s="656" t="n">
        <f aca="false">SUM(X61:X63)</f>
        <v>683.846840636165</v>
      </c>
      <c r="Y64" s="656" t="n">
        <f aca="false">SUM(Y61:Y63)</f>
        <v>683.846840636165</v>
      </c>
      <c r="Z64" s="656" t="n">
        <f aca="false">SUM(Z61:Z63)</f>
        <v>683.846840636165</v>
      </c>
      <c r="AA64" s="656" t="n">
        <f aca="false">SUM(AA61:AA63)</f>
        <v>0</v>
      </c>
      <c r="AB64" s="657" t="n">
        <f aca="false">SUM(AB61:AB63)</f>
        <v>0</v>
      </c>
      <c r="AC64" s="875"/>
      <c r="AD64" s="812"/>
      <c r="AE64" s="812"/>
      <c r="AF64" s="812"/>
      <c r="AG64" s="812"/>
      <c r="AH64" s="812"/>
      <c r="AI64" s="812"/>
      <c r="AJ64" s="812"/>
      <c r="AK64" s="812"/>
      <c r="AL64" s="812"/>
      <c r="AM64" s="812"/>
      <c r="AN64" s="812"/>
      <c r="AO64" s="812"/>
      <c r="AP64" s="812"/>
      <c r="AQ64" s="812"/>
      <c r="AR64" s="812"/>
      <c r="AS64" s="812"/>
      <c r="AT64" s="812"/>
      <c r="AU64" s="812"/>
      <c r="AV64" s="812"/>
      <c r="AW64" s="812"/>
      <c r="AX64" s="812"/>
      <c r="AY64" s="812"/>
      <c r="AZ64" s="812"/>
      <c r="BA64" s="812"/>
      <c r="BB64" s="812"/>
      <c r="BC64" s="812"/>
      <c r="BD64" s="812"/>
      <c r="BE64" s="812"/>
      <c r="BF64" s="812"/>
      <c r="BG64" s="812"/>
      <c r="BH64" s="812"/>
      <c r="BI64" s="812"/>
      <c r="BJ64" s="812"/>
      <c r="BK64" s="812"/>
      <c r="BL64" s="812"/>
      <c r="BM64" s="812"/>
      <c r="BN64" s="812"/>
      <c r="BO64" s="812"/>
      <c r="BP64" s="812"/>
      <c r="BQ64" s="812"/>
      <c r="BR64" s="812"/>
      <c r="BS64" s="812"/>
      <c r="BT64" s="812"/>
      <c r="BU64" s="812"/>
      <c r="BV64" s="812"/>
      <c r="BW64" s="812"/>
      <c r="BX64" s="812"/>
      <c r="BY64" s="812"/>
      <c r="BZ64" s="812"/>
      <c r="CA64" s="812"/>
      <c r="CB64" s="812"/>
      <c r="CC64" s="812"/>
      <c r="CD64" s="812"/>
      <c r="CE64" s="812"/>
      <c r="CF64" s="812"/>
      <c r="CG64" s="812"/>
      <c r="CH64" s="812"/>
      <c r="CI64" s="812"/>
      <c r="CJ64" s="812"/>
      <c r="CK64" s="812"/>
      <c r="CL64" s="812"/>
      <c r="CM64" s="812"/>
      <c r="CN64" s="812"/>
      <c r="CO64" s="812"/>
      <c r="CP64" s="812"/>
      <c r="CQ64" s="812"/>
      <c r="CR64" s="812"/>
      <c r="CS64" s="812"/>
      <c r="CT64" s="812"/>
      <c r="CU64" s="812"/>
      <c r="CV64" s="812"/>
      <c r="CW64" s="812"/>
      <c r="CX64" s="812"/>
      <c r="CY64" s="812"/>
      <c r="CZ64" s="812"/>
      <c r="DA64" s="812"/>
      <c r="DB64" s="812"/>
      <c r="DC64" s="812"/>
      <c r="DD64" s="812"/>
      <c r="DE64" s="812"/>
      <c r="DF64" s="812"/>
      <c r="DG64" s="812"/>
      <c r="DH64" s="812"/>
      <c r="DI64" s="812"/>
      <c r="DJ64" s="812"/>
      <c r="DK64" s="812"/>
      <c r="DL64" s="812"/>
      <c r="DM64" s="812"/>
      <c r="DN64" s="812"/>
      <c r="DO64" s="812"/>
      <c r="DP64" s="812"/>
      <c r="DQ64" s="812"/>
      <c r="DR64" s="812"/>
      <c r="DS64" s="812"/>
      <c r="DT64" s="812"/>
      <c r="DU64" s="812"/>
      <c r="DV64" s="812"/>
      <c r="DW64" s="812"/>
      <c r="DX64" s="812"/>
      <c r="DY64" s="812"/>
      <c r="DZ64" s="812"/>
      <c r="EA64" s="812"/>
      <c r="EB64" s="812"/>
      <c r="EC64" s="812"/>
      <c r="ED64" s="812"/>
      <c r="EE64" s="812"/>
      <c r="EF64" s="812"/>
      <c r="EG64" s="812"/>
      <c r="EH64" s="812"/>
      <c r="EI64" s="812"/>
      <c r="EJ64" s="812"/>
      <c r="EK64" s="812"/>
      <c r="EL64" s="812"/>
      <c r="EM64" s="812"/>
      <c r="EN64" s="812"/>
      <c r="EO64" s="812"/>
      <c r="EP64" s="812"/>
      <c r="EQ64" s="812"/>
      <c r="ER64" s="812"/>
      <c r="ES64" s="812"/>
      <c r="ET64" s="812"/>
      <c r="EU64" s="812"/>
      <c r="EV64" s="812"/>
      <c r="EW64" s="812"/>
      <c r="EX64" s="812"/>
      <c r="EY64" s="812"/>
      <c r="EZ64" s="812"/>
      <c r="FA64" s="812"/>
      <c r="FB64" s="812"/>
      <c r="FC64" s="812"/>
      <c r="FD64" s="812"/>
      <c r="FE64" s="812"/>
      <c r="FF64" s="812"/>
      <c r="FG64" s="812"/>
      <c r="FH64" s="812"/>
      <c r="FI64" s="812"/>
      <c r="FJ64" s="812"/>
      <c r="FK64" s="812"/>
      <c r="FL64" s="812"/>
      <c r="FM64" s="812"/>
      <c r="FN64" s="812"/>
      <c r="FO64" s="812"/>
      <c r="FP64" s="812"/>
      <c r="FQ64" s="812"/>
      <c r="FR64" s="812"/>
      <c r="FS64" s="812"/>
      <c r="FT64" s="812"/>
      <c r="FU64" s="812"/>
      <c r="FV64" s="812"/>
      <c r="FW64" s="812"/>
      <c r="FX64" s="812"/>
      <c r="FY64" s="812"/>
      <c r="FZ64" s="812"/>
      <c r="GA64" s="812"/>
      <c r="GB64" s="812"/>
      <c r="GC64" s="812"/>
      <c r="GD64" s="812"/>
      <c r="GE64" s="812"/>
      <c r="GF64" s="812"/>
      <c r="GG64" s="812"/>
      <c r="GH64" s="812"/>
      <c r="GI64" s="812"/>
      <c r="GJ64" s="812"/>
      <c r="GK64" s="812"/>
      <c r="GL64" s="812"/>
      <c r="GM64" s="812"/>
      <c r="GN64" s="812"/>
      <c r="GO64" s="812"/>
      <c r="GP64" s="812"/>
      <c r="GQ64" s="812"/>
      <c r="GR64" s="812"/>
      <c r="GS64" s="812"/>
      <c r="GT64" s="812"/>
      <c r="GU64" s="812"/>
      <c r="GV64" s="812"/>
      <c r="GW64" s="812"/>
      <c r="GX64" s="812"/>
      <c r="GY64" s="812"/>
      <c r="GZ64" s="812"/>
      <c r="HA64" s="812"/>
      <c r="HB64" s="812"/>
      <c r="HC64" s="812"/>
      <c r="HD64" s="812"/>
      <c r="HE64" s="812"/>
      <c r="HF64" s="812"/>
      <c r="HG64" s="812"/>
      <c r="HH64" s="812"/>
      <c r="HI64" s="812"/>
      <c r="HJ64" s="812"/>
      <c r="HK64" s="812"/>
      <c r="HL64" s="812"/>
      <c r="HM64" s="812"/>
      <c r="HN64" s="812"/>
      <c r="HO64" s="812"/>
      <c r="HP64" s="812"/>
      <c r="HQ64" s="812"/>
      <c r="HR64" s="812"/>
      <c r="HS64" s="812"/>
      <c r="HT64" s="812"/>
      <c r="HU64" s="812"/>
      <c r="HV64" s="812"/>
      <c r="HW64" s="812"/>
      <c r="HX64" s="812"/>
      <c r="HY64" s="812"/>
      <c r="HZ64" s="812"/>
      <c r="IA64" s="812"/>
      <c r="IB64" s="812"/>
      <c r="IC64" s="812"/>
      <c r="ID64" s="812"/>
      <c r="IE64" s="812"/>
      <c r="IF64" s="812"/>
      <c r="IG64" s="812"/>
      <c r="IH64" s="812"/>
      <c r="II64" s="812"/>
      <c r="IJ64" s="812"/>
      <c r="IK64" s="812"/>
      <c r="IL64" s="812"/>
      <c r="IM64" s="812"/>
      <c r="IN64" s="812"/>
      <c r="IO64" s="812"/>
      <c r="IP64" s="812"/>
      <c r="IQ64" s="812"/>
      <c r="IR64" s="812"/>
      <c r="IS64" s="812"/>
      <c r="IT64" s="812"/>
      <c r="IU64" s="812"/>
      <c r="IV64" s="812"/>
      <c r="IW64" s="812"/>
    </row>
    <row r="65" customFormat="false" ht="11.25" hidden="false" customHeight="true" outlineLevel="0" collapsed="false">
      <c r="A65" s="801"/>
      <c r="B65" s="876"/>
      <c r="C65" s="750" t="n">
        <f aca="false">NPV(0.1,D64:Z64)</f>
        <v>3235.89643458919</v>
      </c>
      <c r="D65" s="431"/>
      <c r="E65" s="431"/>
      <c r="F65" s="431"/>
      <c r="G65" s="431"/>
      <c r="H65" s="431"/>
      <c r="I65" s="431"/>
      <c r="J65" s="431"/>
      <c r="K65" s="431"/>
      <c r="L65" s="431"/>
      <c r="M65" s="431"/>
      <c r="N65" s="431"/>
      <c r="O65" s="431"/>
      <c r="P65" s="431"/>
      <c r="Q65" s="431"/>
      <c r="R65" s="431"/>
      <c r="S65" s="431"/>
      <c r="T65" s="431"/>
      <c r="U65" s="431"/>
      <c r="V65" s="431"/>
      <c r="W65" s="431"/>
      <c r="X65" s="431"/>
      <c r="Y65" s="431"/>
      <c r="Z65" s="431"/>
      <c r="AA65" s="431"/>
      <c r="AB65" s="431"/>
      <c r="AC65" s="834"/>
      <c r="AD65" s="834"/>
      <c r="AE65" s="835"/>
    </row>
    <row r="66" customFormat="false" ht="13.5" hidden="false" customHeight="true" outlineLevel="0" collapsed="false">
      <c r="A66" s="801"/>
      <c r="B66" s="843"/>
      <c r="D66" s="843"/>
      <c r="E66" s="0"/>
      <c r="F66" s="0"/>
      <c r="G66" s="0"/>
      <c r="H66" s="0"/>
      <c r="I66" s="0"/>
      <c r="J66" s="0"/>
      <c r="K66" s="0"/>
      <c r="L66" s="0"/>
      <c r="M66" s="0"/>
      <c r="N66" s="0"/>
      <c r="O66" s="0"/>
      <c r="P66" s="0"/>
      <c r="Q66" s="0"/>
      <c r="R66" s="0"/>
      <c r="S66" s="0"/>
      <c r="T66" s="0"/>
      <c r="U66" s="0"/>
      <c r="V66" s="0"/>
      <c r="W66" s="0"/>
      <c r="X66" s="0"/>
      <c r="Y66" s="0"/>
      <c r="Z66" s="0"/>
      <c r="AA66" s="0"/>
      <c r="AB66" s="0"/>
      <c r="AC66" s="838"/>
      <c r="AD66" s="838"/>
      <c r="AE66" s="727"/>
    </row>
    <row r="67" customFormat="false" ht="13.5" hidden="false" customHeight="true" outlineLevel="0" collapsed="false">
      <c r="A67" s="877" t="s">
        <v>670</v>
      </c>
      <c r="B67" s="878"/>
      <c r="D67" s="843" t="n">
        <v>2000</v>
      </c>
      <c r="E67" s="843" t="n">
        <f aca="false">D67+1</f>
        <v>2001</v>
      </c>
      <c r="F67" s="843" t="n">
        <f aca="false">E67+1</f>
        <v>2002</v>
      </c>
      <c r="G67" s="843" t="n">
        <f aca="false">F67+1</f>
        <v>2003</v>
      </c>
      <c r="H67" s="843" t="n">
        <f aca="false">G67+1</f>
        <v>2004</v>
      </c>
      <c r="I67" s="843" t="n">
        <f aca="false">H67+1</f>
        <v>2005</v>
      </c>
      <c r="J67" s="843" t="n">
        <f aca="false">I67+1</f>
        <v>2006</v>
      </c>
      <c r="K67" s="843" t="n">
        <f aca="false">J67+1</f>
        <v>2007</v>
      </c>
      <c r="L67" s="843" t="n">
        <f aca="false">K67+1</f>
        <v>2008</v>
      </c>
      <c r="M67" s="843" t="n">
        <f aca="false">L67+1</f>
        <v>2009</v>
      </c>
      <c r="N67" s="843" t="n">
        <f aca="false">M67+1</f>
        <v>2010</v>
      </c>
      <c r="O67" s="843" t="n">
        <f aca="false">N67+1</f>
        <v>2011</v>
      </c>
      <c r="P67" s="843" t="n">
        <f aca="false">O67+1</f>
        <v>2012</v>
      </c>
      <c r="Q67" s="843" t="n">
        <f aca="false">P67+1</f>
        <v>2013</v>
      </c>
      <c r="R67" s="843" t="n">
        <f aca="false">Q67+1</f>
        <v>2014</v>
      </c>
      <c r="S67" s="843" t="n">
        <f aca="false">R67+1</f>
        <v>2015</v>
      </c>
      <c r="T67" s="843" t="n">
        <f aca="false">S67+1</f>
        <v>2016</v>
      </c>
      <c r="U67" s="843" t="n">
        <f aca="false">T67+1</f>
        <v>2017</v>
      </c>
      <c r="V67" s="843" t="n">
        <f aca="false">U67+1</f>
        <v>2018</v>
      </c>
      <c r="W67" s="843" t="n">
        <f aca="false">V67+1</f>
        <v>2019</v>
      </c>
      <c r="X67" s="843" t="n">
        <f aca="false">W67+1</f>
        <v>2020</v>
      </c>
      <c r="Y67" s="843" t="n">
        <f aca="false">X67+1</f>
        <v>2021</v>
      </c>
      <c r="Z67" s="843" t="n">
        <f aca="false">Y67+1</f>
        <v>2022</v>
      </c>
      <c r="AA67" s="843"/>
      <c r="AB67" s="843"/>
      <c r="AC67" s="838"/>
      <c r="AD67" s="838"/>
      <c r="AE67" s="727"/>
    </row>
    <row r="68" customFormat="false" ht="13.5" hidden="false" customHeight="true" outlineLevel="1" collapsed="false">
      <c r="A68" s="6" t="s">
        <v>671</v>
      </c>
      <c r="B68" s="6"/>
      <c r="C68" s="1" t="s">
        <v>672</v>
      </c>
      <c r="D68" s="879" t="n">
        <v>0.1</v>
      </c>
      <c r="E68" s="879" t="n">
        <v>0.4</v>
      </c>
      <c r="F68" s="879" t="n">
        <v>0.7695</v>
      </c>
      <c r="G68" s="879" t="n">
        <v>0.6925</v>
      </c>
      <c r="H68" s="879" t="n">
        <v>0.6232</v>
      </c>
      <c r="I68" s="879" t="n">
        <v>0.5609</v>
      </c>
      <c r="J68" s="879" t="n">
        <v>0.5019</v>
      </c>
      <c r="K68" s="879" t="n">
        <v>0.4428</v>
      </c>
      <c r="L68" s="879" t="n">
        <v>0.3838</v>
      </c>
      <c r="M68" s="879" t="n">
        <v>0.3247</v>
      </c>
      <c r="N68" s="879" t="n">
        <v>0.3</v>
      </c>
      <c r="O68" s="879" t="n">
        <v>0.3</v>
      </c>
      <c r="P68" s="879" t="n">
        <v>0.3</v>
      </c>
      <c r="Q68" s="879" t="n">
        <v>0.3</v>
      </c>
      <c r="R68" s="879" t="n">
        <v>0.3</v>
      </c>
      <c r="S68" s="879" t="n">
        <v>0.3</v>
      </c>
      <c r="T68" s="879" t="n">
        <v>0.3</v>
      </c>
      <c r="U68" s="879" t="n">
        <v>0.3</v>
      </c>
      <c r="V68" s="879" t="n">
        <v>0.3</v>
      </c>
      <c r="W68" s="879" t="n">
        <v>0.3</v>
      </c>
      <c r="X68" s="879" t="n">
        <v>0.3</v>
      </c>
      <c r="Y68" s="879" t="n">
        <v>0.3</v>
      </c>
      <c r="Z68" s="879" t="n">
        <v>0.3</v>
      </c>
      <c r="AA68" s="0"/>
      <c r="AB68" s="0"/>
      <c r="AC68" s="838"/>
      <c r="AD68" s="838"/>
      <c r="AE68" s="727"/>
    </row>
    <row r="69" customFormat="false" ht="13.5" hidden="false" customHeight="true" outlineLevel="1" collapsed="false">
      <c r="A69" s="6" t="s">
        <v>673</v>
      </c>
      <c r="B69" s="878" t="s">
        <v>674</v>
      </c>
      <c r="C69" s="1" t="s">
        <v>675</v>
      </c>
      <c r="D69" s="880" t="n">
        <v>0.1</v>
      </c>
      <c r="E69" s="880" t="n">
        <v>0.4</v>
      </c>
      <c r="F69" s="880" t="n">
        <v>0.6</v>
      </c>
      <c r="G69" s="880" t="n">
        <v>0.63</v>
      </c>
      <c r="H69" s="880" t="n">
        <v>0.54</v>
      </c>
      <c r="I69" s="880" t="n">
        <v>0.46</v>
      </c>
      <c r="J69" s="880" t="n">
        <v>0.4</v>
      </c>
      <c r="K69" s="880" t="n">
        <v>0.34</v>
      </c>
      <c r="L69" s="880" t="n">
        <v>0.3</v>
      </c>
      <c r="M69" s="880" t="n">
        <v>0.3</v>
      </c>
      <c r="N69" s="880" t="n">
        <v>0.3</v>
      </c>
      <c r="O69" s="880" t="n">
        <v>0.3</v>
      </c>
      <c r="P69" s="880" t="n">
        <v>0.3</v>
      </c>
      <c r="Q69" s="880" t="n">
        <v>0.3</v>
      </c>
      <c r="R69" s="880" t="n">
        <v>0.3</v>
      </c>
      <c r="S69" s="880" t="n">
        <v>0.3</v>
      </c>
      <c r="T69" s="880" t="n">
        <v>0.3</v>
      </c>
      <c r="U69" s="880" t="n">
        <v>0.3</v>
      </c>
      <c r="V69" s="880" t="n">
        <v>0.3</v>
      </c>
      <c r="W69" s="880" t="n">
        <v>0.3</v>
      </c>
      <c r="X69" s="880" t="n">
        <v>0.3</v>
      </c>
      <c r="Y69" s="880" t="n">
        <v>0.3</v>
      </c>
      <c r="Z69" s="880" t="n">
        <v>0.3</v>
      </c>
    </row>
    <row r="70" customFormat="false" ht="13.5" hidden="false" customHeight="true" outlineLevel="1" collapsed="false">
      <c r="A70" s="6" t="n">
        <v>1</v>
      </c>
      <c r="B70" s="881" t="n">
        <v>0.05</v>
      </c>
    </row>
    <row r="71" customFormat="false" ht="13.5" hidden="false" customHeight="true" outlineLevel="1" collapsed="false">
      <c r="A71" s="6" t="n">
        <v>2</v>
      </c>
      <c r="B71" s="881" t="n">
        <v>0.095</v>
      </c>
      <c r="D71" s="1" t="n">
        <f aca="false">D67</f>
        <v>2000</v>
      </c>
      <c r="E71" s="1" t="n">
        <f aca="false">E67</f>
        <v>2001</v>
      </c>
      <c r="F71" s="1" t="n">
        <f aca="false">F67</f>
        <v>2002</v>
      </c>
      <c r="G71" s="1" t="n">
        <f aca="false">G67</f>
        <v>2003</v>
      </c>
      <c r="H71" s="1" t="n">
        <f aca="false">H67</f>
        <v>2004</v>
      </c>
      <c r="I71" s="1" t="n">
        <f aca="false">I67</f>
        <v>2005</v>
      </c>
      <c r="J71" s="1" t="n">
        <f aca="false">J67</f>
        <v>2006</v>
      </c>
      <c r="K71" s="1" t="n">
        <f aca="false">K67</f>
        <v>2007</v>
      </c>
      <c r="L71" s="1" t="n">
        <f aca="false">L67</f>
        <v>2008</v>
      </c>
      <c r="M71" s="1" t="n">
        <f aca="false">M67</f>
        <v>2009</v>
      </c>
      <c r="N71" s="1" t="n">
        <f aca="false">N67</f>
        <v>2010</v>
      </c>
      <c r="O71" s="1" t="n">
        <f aca="false">O67</f>
        <v>2011</v>
      </c>
      <c r="P71" s="1" t="n">
        <f aca="false">P67</f>
        <v>2012</v>
      </c>
      <c r="Q71" s="1" t="n">
        <f aca="false">Q67</f>
        <v>2013</v>
      </c>
      <c r="R71" s="1" t="n">
        <f aca="false">R67</f>
        <v>2014</v>
      </c>
      <c r="S71" s="1" t="n">
        <f aca="false">S67</f>
        <v>2015</v>
      </c>
      <c r="T71" s="1" t="n">
        <f aca="false">T67</f>
        <v>2016</v>
      </c>
      <c r="U71" s="1" t="n">
        <f aca="false">U67</f>
        <v>2017</v>
      </c>
      <c r="V71" s="1" t="n">
        <f aca="false">V67</f>
        <v>2018</v>
      </c>
      <c r="W71" s="1" t="n">
        <f aca="false">W67</f>
        <v>2019</v>
      </c>
      <c r="X71" s="1" t="n">
        <f aca="false">X67</f>
        <v>2020</v>
      </c>
      <c r="Y71" s="1" t="n">
        <f aca="false">Y67</f>
        <v>2021</v>
      </c>
      <c r="Z71" s="1" t="n">
        <f aca="false">Z67</f>
        <v>2022</v>
      </c>
    </row>
    <row r="72" customFormat="false" ht="13.5" hidden="false" customHeight="true" outlineLevel="1" collapsed="false">
      <c r="A72" s="6" t="n">
        <v>3</v>
      </c>
      <c r="B72" s="881" t="n">
        <v>0.0855</v>
      </c>
      <c r="C72" s="1" t="s">
        <v>672</v>
      </c>
      <c r="D72" s="882" t="n">
        <v>0</v>
      </c>
      <c r="E72" s="882" t="n">
        <v>53.0980570884253</v>
      </c>
      <c r="F72" s="882" t="n">
        <v>408.589549295432</v>
      </c>
      <c r="G72" s="882" t="n">
        <v>643.482079340353</v>
      </c>
      <c r="H72" s="882" t="n">
        <v>827.267729437665</v>
      </c>
      <c r="I72" s="882" t="n">
        <v>893.481006626931</v>
      </c>
      <c r="J72" s="882" t="n">
        <v>932.747019843822</v>
      </c>
      <c r="K72" s="882" t="n">
        <v>940.472787150187</v>
      </c>
      <c r="L72" s="882" t="n">
        <v>917.056543974192</v>
      </c>
      <c r="M72" s="882" t="n">
        <v>818.944608989054</v>
      </c>
      <c r="N72" s="882" t="n">
        <v>796.470856326378</v>
      </c>
      <c r="O72" s="882" t="n">
        <v>796.470856326378</v>
      </c>
      <c r="P72" s="882" t="n">
        <v>796.470856326378</v>
      </c>
      <c r="Q72" s="882" t="n">
        <v>796.470856326378</v>
      </c>
      <c r="R72" s="882" t="n">
        <v>796.470856326378</v>
      </c>
      <c r="S72" s="882" t="n">
        <v>796.470856326378</v>
      </c>
      <c r="T72" s="882" t="n">
        <v>796.470856326378</v>
      </c>
      <c r="U72" s="882" t="n">
        <v>796.470856326378</v>
      </c>
      <c r="V72" s="882" t="n">
        <v>796.470856326378</v>
      </c>
      <c r="W72" s="882" t="n">
        <v>796.470856326378</v>
      </c>
      <c r="X72" s="882" t="n">
        <v>796.470856326378</v>
      </c>
      <c r="Y72" s="882" t="n">
        <v>796.470856326378</v>
      </c>
      <c r="Z72" s="882" t="n">
        <v>796.470856326378</v>
      </c>
    </row>
    <row r="73" customFormat="false" ht="13.5" hidden="false" customHeight="true" outlineLevel="1" collapsed="false">
      <c r="A73" s="6" t="n">
        <v>4</v>
      </c>
      <c r="B73" s="881" t="n">
        <v>0.077</v>
      </c>
      <c r="C73" s="1" t="s">
        <v>675</v>
      </c>
      <c r="D73" s="882" t="n">
        <v>0</v>
      </c>
      <c r="E73" s="882" t="n">
        <v>53.0980570884253</v>
      </c>
      <c r="F73" s="882" t="n">
        <v>318.588342530551</v>
      </c>
      <c r="G73" s="882" t="n">
        <v>585.406079399888</v>
      </c>
      <c r="H73" s="882" t="n">
        <v>716.82377069374</v>
      </c>
      <c r="I73" s="882" t="n">
        <v>732.753187820268</v>
      </c>
      <c r="J73" s="882" t="n">
        <v>743.372799237953</v>
      </c>
      <c r="K73" s="882" t="n">
        <v>722.133576402583</v>
      </c>
      <c r="L73" s="882" t="n">
        <v>716.82377069374</v>
      </c>
      <c r="M73" s="882" t="n">
        <v>756.647313510059</v>
      </c>
      <c r="N73" s="882" t="n">
        <v>796.470856326378</v>
      </c>
      <c r="O73" s="882" t="n">
        <v>796.470856326378</v>
      </c>
      <c r="P73" s="882" t="n">
        <v>796.470856326378</v>
      </c>
      <c r="Q73" s="882" t="n">
        <v>796.470856326378</v>
      </c>
      <c r="R73" s="882" t="n">
        <v>796.470856326378</v>
      </c>
      <c r="S73" s="882" t="n">
        <v>796.470856326378</v>
      </c>
      <c r="T73" s="882" t="n">
        <v>796.470856326378</v>
      </c>
      <c r="U73" s="882" t="n">
        <v>796.470856326378</v>
      </c>
      <c r="V73" s="882" t="n">
        <v>796.470856326378</v>
      </c>
      <c r="W73" s="882" t="n">
        <v>796.470856326378</v>
      </c>
      <c r="X73" s="882" t="n">
        <v>796.470856326378</v>
      </c>
      <c r="Y73" s="882" t="n">
        <v>796.470856326378</v>
      </c>
      <c r="Z73" s="882" t="n">
        <v>796.470856326378</v>
      </c>
    </row>
    <row r="74" customFormat="false" ht="13.5" hidden="false" customHeight="true" outlineLevel="1" collapsed="false">
      <c r="A74" s="6" t="n">
        <v>5</v>
      </c>
      <c r="B74" s="881" t="n">
        <v>0.0693</v>
      </c>
    </row>
    <row r="75" customFormat="false" ht="13.5" hidden="false" customHeight="true" outlineLevel="1" collapsed="false">
      <c r="A75" s="6" t="n">
        <v>6</v>
      </c>
      <c r="B75" s="881" t="n">
        <v>0.0623</v>
      </c>
    </row>
    <row r="76" customFormat="false" ht="13.5" hidden="false" customHeight="true" outlineLevel="1" collapsed="false">
      <c r="A76" s="6" t="n">
        <v>7</v>
      </c>
      <c r="B76" s="881" t="n">
        <v>0.059</v>
      </c>
      <c r="D76" s="883" t="n">
        <v>3235.89643458919</v>
      </c>
      <c r="E76" s="883"/>
    </row>
    <row r="77" customFormat="false" ht="13.5" hidden="false" customHeight="true" outlineLevel="1" collapsed="false">
      <c r="A77" s="6" t="n">
        <v>8</v>
      </c>
      <c r="B77" s="881" t="n">
        <v>0.0591</v>
      </c>
      <c r="D77" s="883" t="n">
        <v>3651.85850143209</v>
      </c>
      <c r="E77" s="883" t="n">
        <f aca="false">D77-D76</f>
        <v>415.962066842902</v>
      </c>
    </row>
    <row r="78" customFormat="false" ht="13.5" hidden="false" customHeight="true" outlineLevel="1" collapsed="false">
      <c r="A78" s="6" t="n">
        <v>9</v>
      </c>
      <c r="B78" s="881" t="n">
        <v>0.059</v>
      </c>
      <c r="E78" s="1" t="s">
        <v>676</v>
      </c>
    </row>
    <row r="79" customFormat="false" ht="13.5" hidden="false" customHeight="true" outlineLevel="1" collapsed="false">
      <c r="A79" s="6" t="n">
        <v>10</v>
      </c>
      <c r="B79" s="881" t="n">
        <v>0.0591</v>
      </c>
    </row>
    <row r="80" customFormat="false" ht="13.5" hidden="false" customHeight="true" outlineLevel="1" collapsed="false">
      <c r="A80" s="6" t="n">
        <v>11</v>
      </c>
      <c r="B80" s="881" t="n">
        <v>0.059</v>
      </c>
    </row>
    <row r="81" customFormat="false" ht="12.75" hidden="false" customHeight="false" outlineLevel="1" collapsed="false">
      <c r="A81" s="6" t="n">
        <v>12</v>
      </c>
      <c r="B81" s="881" t="n">
        <v>0.0591</v>
      </c>
    </row>
    <row r="82" customFormat="false" ht="12.75" hidden="false" customHeight="false" outlineLevel="1" collapsed="false">
      <c r="A82" s="6" t="n">
        <v>13</v>
      </c>
      <c r="B82" s="881" t="n">
        <v>0.059</v>
      </c>
    </row>
    <row r="83" customFormat="false" ht="12.75" hidden="false" customHeight="false" outlineLevel="1" collapsed="false">
      <c r="A83" s="6" t="n">
        <v>14</v>
      </c>
      <c r="B83" s="881" t="n">
        <v>0.0591</v>
      </c>
    </row>
    <row r="84" customFormat="false" ht="12.75" hidden="false" customHeight="false" outlineLevel="1" collapsed="false">
      <c r="A84" s="6" t="n">
        <v>15</v>
      </c>
      <c r="B84" s="881" t="n">
        <v>0.059</v>
      </c>
    </row>
    <row r="85" customFormat="false" ht="12.75" hidden="false" customHeight="false" outlineLevel="1" collapsed="false">
      <c r="A85" s="6" t="n">
        <v>16</v>
      </c>
      <c r="B85" s="884" t="n">
        <v>0.0295</v>
      </c>
    </row>
    <row r="86" customFormat="false" ht="11.25" hidden="false" customHeight="false" outlineLevel="0" collapsed="false">
      <c r="B86" s="885" t="n">
        <f aca="false">SUM(B70:B85)</f>
        <v>1</v>
      </c>
    </row>
    <row r="87" customFormat="false" ht="12.75" hidden="false" customHeight="false" outlineLevel="0" collapsed="false">
      <c r="A87" s="877" t="s">
        <v>677</v>
      </c>
      <c r="B87" s="6"/>
    </row>
    <row r="88" customFormat="false" ht="12.75" hidden="true" customHeight="false" outlineLevel="1" collapsed="false">
      <c r="A88" s="6" t="s">
        <v>671</v>
      </c>
      <c r="B88" s="6"/>
    </row>
    <row r="89" customFormat="false" ht="12.75" hidden="true" customHeight="false" outlineLevel="1" collapsed="false">
      <c r="A89" s="6" t="s">
        <v>673</v>
      </c>
      <c r="B89" s="6" t="s">
        <v>674</v>
      </c>
    </row>
    <row r="90" customFormat="false" ht="12.75" hidden="true" customHeight="false" outlineLevel="1" collapsed="false">
      <c r="A90" s="6" t="n">
        <v>1</v>
      </c>
      <c r="B90" s="538" t="n">
        <v>0.0375</v>
      </c>
    </row>
    <row r="91" customFormat="false" ht="12.75" hidden="true" customHeight="false" outlineLevel="1" collapsed="false">
      <c r="A91" s="6" t="n">
        <v>2</v>
      </c>
      <c r="B91" s="538" t="n">
        <v>0.07219</v>
      </c>
    </row>
    <row r="92" customFormat="false" ht="12.75" hidden="true" customHeight="false" outlineLevel="1" collapsed="false">
      <c r="A92" s="6" t="n">
        <v>3</v>
      </c>
      <c r="B92" s="538" t="n">
        <v>0.06677</v>
      </c>
    </row>
    <row r="93" customFormat="false" ht="12.75" hidden="true" customHeight="false" outlineLevel="1" collapsed="false">
      <c r="A93" s="6" t="n">
        <v>4</v>
      </c>
      <c r="B93" s="538" t="n">
        <v>0.06177</v>
      </c>
    </row>
    <row r="94" customFormat="false" ht="12.75" hidden="true" customHeight="false" outlineLevel="1" collapsed="false">
      <c r="A94" s="6" t="n">
        <v>5</v>
      </c>
      <c r="B94" s="538" t="n">
        <v>0.05713</v>
      </c>
    </row>
    <row r="95" customFormat="false" ht="12.75" hidden="true" customHeight="false" outlineLevel="1" collapsed="false">
      <c r="A95" s="6" t="n">
        <v>6</v>
      </c>
      <c r="B95" s="538" t="n">
        <v>0.05285</v>
      </c>
    </row>
    <row r="96" customFormat="false" ht="12.75" hidden="true" customHeight="false" outlineLevel="1" collapsed="false">
      <c r="A96" s="6" t="n">
        <v>7</v>
      </c>
      <c r="B96" s="538" t="n">
        <v>0.04888</v>
      </c>
    </row>
    <row r="97" customFormat="false" ht="12.75" hidden="true" customHeight="false" outlineLevel="1" collapsed="false">
      <c r="A97" s="6" t="n">
        <v>8</v>
      </c>
      <c r="B97" s="538" t="n">
        <v>0.04522</v>
      </c>
    </row>
    <row r="98" customFormat="false" ht="12.75" hidden="true" customHeight="false" outlineLevel="1" collapsed="false">
      <c r="A98" s="6" t="n">
        <v>9</v>
      </c>
      <c r="B98" s="538" t="n">
        <v>0.04462</v>
      </c>
    </row>
    <row r="99" customFormat="false" ht="12.75" hidden="true" customHeight="false" outlineLevel="1" collapsed="false">
      <c r="A99" s="6" t="n">
        <v>10</v>
      </c>
      <c r="B99" s="538" t="n">
        <v>0.04461</v>
      </c>
    </row>
    <row r="100" customFormat="false" ht="12.75" hidden="true" customHeight="false" outlineLevel="1" collapsed="false">
      <c r="A100" s="6" t="n">
        <v>11</v>
      </c>
      <c r="B100" s="538" t="n">
        <v>0.04462</v>
      </c>
    </row>
    <row r="101" customFormat="false" ht="12.75" hidden="true" customHeight="false" outlineLevel="1" collapsed="false">
      <c r="A101" s="6" t="n">
        <v>12</v>
      </c>
      <c r="B101" s="538" t="n">
        <v>0.04461</v>
      </c>
    </row>
    <row r="102" customFormat="false" ht="12.75" hidden="true" customHeight="false" outlineLevel="1" collapsed="false">
      <c r="A102" s="6" t="n">
        <v>13</v>
      </c>
      <c r="B102" s="538" t="n">
        <v>0.04462</v>
      </c>
    </row>
    <row r="103" customFormat="false" ht="12.75" hidden="true" customHeight="false" outlineLevel="1" collapsed="false">
      <c r="A103" s="6" t="n">
        <v>14</v>
      </c>
      <c r="B103" s="538" t="n">
        <v>0.04461</v>
      </c>
    </row>
    <row r="104" customFormat="false" ht="12.75" hidden="true" customHeight="false" outlineLevel="1" collapsed="false">
      <c r="A104" s="6" t="n">
        <v>15</v>
      </c>
      <c r="B104" s="538" t="n">
        <v>0.04462</v>
      </c>
    </row>
    <row r="105" customFormat="false" ht="12.75" hidden="true" customHeight="false" outlineLevel="1" collapsed="false">
      <c r="A105" s="6" t="n">
        <v>16</v>
      </c>
      <c r="B105" s="538" t="n">
        <v>0.04461</v>
      </c>
    </row>
    <row r="106" customFormat="false" ht="12.75" hidden="true" customHeight="false" outlineLevel="1" collapsed="false">
      <c r="A106" s="6" t="n">
        <v>17</v>
      </c>
      <c r="B106" s="538" t="n">
        <v>0.04462</v>
      </c>
    </row>
    <row r="107" customFormat="false" ht="12.75" hidden="true" customHeight="false" outlineLevel="1" collapsed="false">
      <c r="A107" s="6" t="n">
        <v>18</v>
      </c>
      <c r="B107" s="538" t="n">
        <v>0.04461</v>
      </c>
    </row>
    <row r="108" customFormat="false" ht="12.75" hidden="true" customHeight="false" outlineLevel="1" collapsed="false">
      <c r="A108" s="6" t="n">
        <v>19</v>
      </c>
      <c r="B108" s="538" t="n">
        <v>0.04462</v>
      </c>
    </row>
    <row r="109" customFormat="false" ht="12.75" hidden="true" customHeight="false" outlineLevel="1" collapsed="false">
      <c r="A109" s="6" t="n">
        <v>20</v>
      </c>
      <c r="B109" s="538" t="n">
        <v>0.04461</v>
      </c>
    </row>
    <row r="110" customFormat="false" ht="12.75" hidden="true" customHeight="false" outlineLevel="1" collapsed="false">
      <c r="A110" s="6" t="n">
        <v>21</v>
      </c>
      <c r="B110" s="538" t="n">
        <v>0.0225</v>
      </c>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2" manualBreakCount="2">
    <brk id="15" man="true" max="65535" min="0"/>
    <brk id="32" man="true" max="65535" min="0"/>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312"/>
  <sheetViews>
    <sheetView showFormulas="false" showGridLines="true" showRowColHeaders="true" showZeros="true" rightToLeft="false" tabSelected="false" showOutlineSymbols="true" defaultGridColor="true" view="normal" topLeftCell="A13" colorId="64" zoomScale="75" zoomScaleNormal="75" zoomScalePageLayoutView="100" workbookViewId="0">
      <selection pane="topLeft" activeCell="B21" activeCellId="0" sqref="B21:B33"/>
    </sheetView>
  </sheetViews>
  <sheetFormatPr defaultColWidth="8.9921875" defaultRowHeight="11.25" customHeight="true" zeroHeight="false" outlineLevelRow="0" outlineLevelCol="0"/>
  <cols>
    <col collapsed="false" customWidth="true" hidden="false" outlineLevel="0" max="1" min="1" style="886" width="16.28"/>
    <col collapsed="false" customWidth="true" hidden="false" outlineLevel="0" max="2" min="2" style="886" width="18.28"/>
    <col collapsed="false" customWidth="true" hidden="false" outlineLevel="0" max="3" min="3" style="886" width="9.14"/>
    <col collapsed="false" customWidth="true" hidden="false" outlineLevel="0" max="4" min="4" style="886" width="17.7"/>
    <col collapsed="false" customWidth="true" hidden="false" outlineLevel="0" max="5" min="5" style="886" width="14.28"/>
    <col collapsed="false" customWidth="true" hidden="false" outlineLevel="0" max="6" min="6" style="886" width="16.99"/>
    <col collapsed="false" customWidth="false" hidden="false" outlineLevel="0" max="7" min="7" style="886" width="8.99"/>
    <col collapsed="false" customWidth="true" hidden="false" outlineLevel="0" max="8" min="8" style="886" width="12.28"/>
    <col collapsed="false" customWidth="true" hidden="false" outlineLevel="0" max="9" min="9" style="886" width="7.28"/>
    <col collapsed="false" customWidth="false" hidden="false" outlineLevel="0" max="257" min="10" style="887" width="8.99"/>
  </cols>
  <sheetData>
    <row r="1" customFormat="false" ht="20.25" hidden="false" customHeight="false" outlineLevel="0" collapsed="false">
      <c r="A1" s="367" t="str">
        <f aca="false">'Project Assumtions'!$A$2</f>
        <v>WHEATLAND POWER IN, L.L.C.</v>
      </c>
      <c r="B1" s="478"/>
      <c r="C1" s="888"/>
      <c r="D1" s="889"/>
      <c r="E1" s="890"/>
      <c r="F1" s="891"/>
      <c r="G1" s="891"/>
      <c r="H1" s="891"/>
      <c r="I1" s="890"/>
      <c r="J1" s="892"/>
      <c r="K1" s="892"/>
      <c r="L1" s="892"/>
      <c r="M1" s="892"/>
      <c r="N1" s="892"/>
      <c r="O1" s="892"/>
      <c r="P1" s="892"/>
      <c r="Q1" s="892"/>
      <c r="R1" s="892"/>
    </row>
    <row r="2" customFormat="false" ht="12.75" hidden="false" customHeight="false" outlineLevel="0" collapsed="false">
      <c r="A2" s="370" t="s">
        <v>678</v>
      </c>
      <c r="B2" s="893"/>
      <c r="C2" s="893"/>
      <c r="D2" s="894"/>
      <c r="E2" s="890"/>
      <c r="F2" s="891"/>
      <c r="G2" s="891"/>
      <c r="H2" s="891"/>
      <c r="I2" s="890"/>
      <c r="J2" s="892"/>
      <c r="K2" s="892"/>
      <c r="L2" s="892"/>
      <c r="M2" s="892"/>
      <c r="N2" s="892"/>
      <c r="O2" s="892"/>
      <c r="P2" s="892"/>
      <c r="Q2" s="892"/>
      <c r="R2" s="892"/>
    </row>
    <row r="3" customFormat="false" ht="12.75" hidden="false" customHeight="false" outlineLevel="0" collapsed="false">
      <c r="A3" s="20"/>
      <c r="B3" s="895"/>
      <c r="C3" s="890"/>
      <c r="D3" s="890"/>
      <c r="E3" s="890"/>
      <c r="F3" s="891"/>
      <c r="G3" s="891"/>
      <c r="H3" s="891"/>
      <c r="I3" s="890"/>
      <c r="J3" s="892"/>
      <c r="K3" s="892"/>
      <c r="L3" s="892"/>
      <c r="M3" s="892"/>
      <c r="N3" s="892"/>
      <c r="O3" s="892"/>
      <c r="P3" s="892"/>
      <c r="Q3" s="892"/>
      <c r="R3" s="892"/>
    </row>
    <row r="4" customFormat="false" ht="11.45" hidden="false" customHeight="true" outlineLevel="0" collapsed="false">
      <c r="A4" s="896" t="s">
        <v>679</v>
      </c>
      <c r="B4" s="890"/>
      <c r="C4" s="890"/>
      <c r="D4" s="890"/>
      <c r="E4" s="890"/>
      <c r="F4" s="891"/>
      <c r="G4" s="891"/>
      <c r="H4" s="891"/>
      <c r="I4" s="890"/>
      <c r="J4" s="892"/>
      <c r="K4" s="892"/>
      <c r="L4" s="892"/>
      <c r="M4" s="892"/>
      <c r="N4" s="892"/>
      <c r="O4" s="892"/>
      <c r="P4" s="892"/>
      <c r="Q4" s="892"/>
      <c r="R4" s="892"/>
    </row>
    <row r="5" customFormat="false" ht="11.45" hidden="false" customHeight="true" outlineLevel="0" collapsed="false">
      <c r="C5" s="897"/>
      <c r="D5" s="897"/>
      <c r="E5" s="897"/>
      <c r="F5" s="891"/>
      <c r="G5" s="891"/>
      <c r="H5" s="890"/>
      <c r="I5" s="898"/>
      <c r="J5" s="892"/>
      <c r="K5" s="892"/>
      <c r="L5" s="892"/>
      <c r="M5" s="892"/>
      <c r="N5" s="892"/>
      <c r="O5" s="892"/>
      <c r="P5" s="892"/>
      <c r="Q5" s="892"/>
      <c r="R5" s="892"/>
    </row>
    <row r="6" customFormat="false" ht="11.45" hidden="false" customHeight="true" outlineLevel="0" collapsed="false">
      <c r="A6" s="899" t="s">
        <v>680</v>
      </c>
      <c r="B6" s="900"/>
      <c r="C6" s="901" t="n">
        <v>136882</v>
      </c>
      <c r="D6" s="902" t="str">
        <f aca="false">IF(ABS(C6-C58)&gt;1,"Check Total Drawndown","")</f>
        <v/>
      </c>
      <c r="E6" s="890"/>
      <c r="H6" s="898"/>
      <c r="I6" s="898"/>
      <c r="J6" s="892"/>
      <c r="K6" s="892"/>
      <c r="L6" s="892"/>
      <c r="M6" s="892"/>
      <c r="N6" s="892"/>
      <c r="O6" s="892"/>
      <c r="P6" s="892"/>
      <c r="Q6" s="892"/>
      <c r="R6" s="892"/>
    </row>
    <row r="7" customFormat="false" ht="11.45" hidden="false" customHeight="true" outlineLevel="0" collapsed="false">
      <c r="A7" s="903" t="s">
        <v>681</v>
      </c>
      <c r="B7" s="904"/>
      <c r="C7" s="905" t="n">
        <f aca="false">'Project Assumtions'!B53</f>
        <v>0.064</v>
      </c>
      <c r="D7" s="906"/>
      <c r="H7" s="904"/>
      <c r="I7" s="907"/>
      <c r="J7" s="892"/>
      <c r="K7" s="892"/>
      <c r="L7" s="892"/>
      <c r="M7" s="892"/>
      <c r="N7" s="892"/>
      <c r="O7" s="892"/>
      <c r="P7" s="892"/>
      <c r="Q7" s="892"/>
      <c r="R7" s="892"/>
    </row>
    <row r="8" customFormat="false" ht="11.45" hidden="false" customHeight="true" outlineLevel="0" collapsed="false">
      <c r="A8" s="903" t="s">
        <v>682</v>
      </c>
      <c r="B8" s="904"/>
      <c r="C8" s="908" t="n">
        <v>18</v>
      </c>
      <c r="D8" s="909"/>
      <c r="G8" s="910"/>
      <c r="H8" s="907"/>
      <c r="I8" s="907"/>
      <c r="J8" s="892"/>
      <c r="K8" s="892"/>
      <c r="L8" s="892"/>
      <c r="M8" s="892"/>
      <c r="N8" s="892"/>
      <c r="O8" s="892"/>
      <c r="P8" s="892"/>
      <c r="Q8" s="892"/>
      <c r="R8" s="892"/>
    </row>
    <row r="9" customFormat="false" ht="11.25" hidden="false" customHeight="false" outlineLevel="0" collapsed="false">
      <c r="A9" s="903" t="s">
        <v>683</v>
      </c>
      <c r="B9" s="904"/>
      <c r="C9" s="905" t="n">
        <f aca="false">C7/12</f>
        <v>0.00533333333333333</v>
      </c>
      <c r="D9" s="906"/>
      <c r="G9" s="910"/>
      <c r="H9" s="907"/>
      <c r="I9" s="907"/>
      <c r="J9" s="892"/>
      <c r="K9" s="892"/>
      <c r="L9" s="892"/>
      <c r="M9" s="892"/>
      <c r="N9" s="892"/>
      <c r="O9" s="892"/>
      <c r="P9" s="892"/>
      <c r="Q9" s="892"/>
      <c r="R9" s="892"/>
    </row>
    <row r="10" customFormat="false" ht="11.45" hidden="false" customHeight="true" outlineLevel="0" collapsed="false">
      <c r="A10" s="911"/>
      <c r="B10" s="904"/>
      <c r="C10" s="912"/>
      <c r="D10" s="904"/>
      <c r="H10" s="907"/>
      <c r="I10" s="907"/>
      <c r="J10" s="892"/>
      <c r="K10" s="892"/>
      <c r="L10" s="892"/>
      <c r="M10" s="892"/>
      <c r="N10" s="892"/>
      <c r="O10" s="892"/>
      <c r="P10" s="892"/>
      <c r="Q10" s="892"/>
      <c r="R10" s="892"/>
    </row>
    <row r="11" customFormat="false" ht="11.45" hidden="false" customHeight="true" outlineLevel="0" collapsed="false">
      <c r="A11" s="903" t="s">
        <v>684</v>
      </c>
      <c r="B11" s="904"/>
      <c r="C11" s="913" t="n">
        <v>0.0035</v>
      </c>
      <c r="D11" s="906"/>
      <c r="H11" s="914"/>
      <c r="I11" s="914"/>
      <c r="J11" s="892"/>
      <c r="K11" s="892"/>
      <c r="L11" s="892"/>
      <c r="M11" s="892"/>
      <c r="N11" s="892"/>
      <c r="O11" s="892"/>
      <c r="P11" s="892"/>
      <c r="Q11" s="892"/>
      <c r="R11" s="892"/>
    </row>
    <row r="12" customFormat="false" ht="11.45" hidden="false" customHeight="true" outlineLevel="0" collapsed="false">
      <c r="A12" s="911"/>
      <c r="B12" s="904"/>
      <c r="C12" s="912"/>
      <c r="D12" s="904"/>
      <c r="J12" s="892"/>
      <c r="K12" s="892"/>
      <c r="L12" s="892"/>
      <c r="M12" s="892"/>
      <c r="N12" s="892"/>
      <c r="O12" s="892"/>
      <c r="P12" s="892"/>
      <c r="Q12" s="892"/>
      <c r="R12" s="892"/>
    </row>
    <row r="13" customFormat="false" ht="11.45" hidden="false" customHeight="true" outlineLevel="0" collapsed="false">
      <c r="A13" s="903" t="s">
        <v>685</v>
      </c>
      <c r="B13" s="904"/>
      <c r="C13" s="915" t="n">
        <v>1</v>
      </c>
      <c r="D13" s="916"/>
      <c r="F13" s="917"/>
      <c r="J13" s="892"/>
      <c r="K13" s="892"/>
      <c r="L13" s="892"/>
      <c r="M13" s="892"/>
      <c r="N13" s="892"/>
      <c r="O13" s="892"/>
      <c r="P13" s="892"/>
      <c r="Q13" s="892"/>
      <c r="R13" s="892"/>
    </row>
    <row r="14" customFormat="false" ht="11.45" hidden="false" customHeight="true" outlineLevel="0" collapsed="false">
      <c r="A14" s="918" t="s">
        <v>686</v>
      </c>
      <c r="B14" s="919"/>
      <c r="C14" s="920"/>
      <c r="D14" s="896"/>
      <c r="G14" s="910"/>
      <c r="H14" s="910"/>
      <c r="I14" s="910"/>
      <c r="J14" s="892"/>
      <c r="K14" s="892"/>
      <c r="L14" s="892"/>
      <c r="M14" s="892"/>
      <c r="N14" s="892"/>
      <c r="O14" s="892"/>
      <c r="P14" s="892"/>
      <c r="Q14" s="892"/>
      <c r="R14" s="892"/>
    </row>
    <row r="15" customFormat="false" ht="11.45" hidden="false" customHeight="true" outlineLevel="0" collapsed="false">
      <c r="A15" s="921" t="s">
        <v>687</v>
      </c>
      <c r="B15" s="919"/>
      <c r="C15" s="922" t="n">
        <f aca="false">VLOOKUP(C8,A21:F57,6)</f>
        <v>9575.0415334822</v>
      </c>
      <c r="D15" s="923"/>
      <c r="G15" s="910"/>
      <c r="H15" s="910"/>
      <c r="I15" s="910"/>
      <c r="J15" s="892"/>
      <c r="K15" s="892"/>
      <c r="L15" s="892"/>
      <c r="M15" s="892"/>
      <c r="N15" s="892"/>
      <c r="O15" s="892"/>
      <c r="P15" s="892"/>
      <c r="Q15" s="892"/>
      <c r="R15" s="892"/>
    </row>
    <row r="16" customFormat="false" ht="11.45" hidden="false" customHeight="true" outlineLevel="0" collapsed="false">
      <c r="A16" s="896"/>
      <c r="B16" s="904"/>
      <c r="C16" s="923"/>
      <c r="D16" s="923"/>
      <c r="F16" s="924"/>
      <c r="G16" s="924"/>
      <c r="H16" s="924"/>
      <c r="I16" s="924"/>
      <c r="J16" s="925"/>
      <c r="K16" s="925"/>
      <c r="L16" s="925"/>
      <c r="M16" s="925"/>
      <c r="N16" s="925"/>
      <c r="O16" s="925"/>
      <c r="P16" s="925"/>
      <c r="Q16" s="925"/>
      <c r="R16" s="925"/>
      <c r="S16" s="925"/>
      <c r="T16" s="925"/>
      <c r="U16" s="925"/>
      <c r="V16" s="925"/>
      <c r="W16" s="925"/>
      <c r="X16" s="925"/>
      <c r="Y16" s="925"/>
      <c r="Z16" s="925"/>
      <c r="AA16" s="925"/>
      <c r="AB16" s="925"/>
      <c r="AC16" s="925"/>
      <c r="AD16" s="925"/>
      <c r="AE16" s="925"/>
      <c r="AF16" s="925"/>
    </row>
    <row r="17" customFormat="false" ht="11.45" hidden="false" customHeight="true" outlineLevel="0" collapsed="false">
      <c r="A17" s="896"/>
      <c r="B17" s="904"/>
      <c r="C17" s="923"/>
      <c r="D17" s="923"/>
      <c r="G17" s="910"/>
      <c r="H17" s="910"/>
      <c r="I17" s="910"/>
      <c r="J17" s="892"/>
      <c r="K17" s="892"/>
      <c r="L17" s="892"/>
      <c r="M17" s="892"/>
      <c r="N17" s="892"/>
      <c r="O17" s="892"/>
      <c r="P17" s="892"/>
      <c r="Q17" s="892"/>
      <c r="R17" s="892"/>
    </row>
    <row r="18" customFormat="false" ht="11.45" hidden="false" customHeight="true" outlineLevel="0" collapsed="false">
      <c r="A18" s="926" t="s">
        <v>688</v>
      </c>
      <c r="B18" s="926" t="s">
        <v>689</v>
      </c>
      <c r="C18" s="926" t="s">
        <v>276</v>
      </c>
      <c r="D18" s="926" t="s">
        <v>690</v>
      </c>
      <c r="E18" s="926" t="s">
        <v>691</v>
      </c>
      <c r="F18" s="927" t="s">
        <v>692</v>
      </c>
      <c r="G18" s="910"/>
      <c r="H18" s="0"/>
      <c r="I18" s="0"/>
      <c r="J18" s="892"/>
      <c r="K18" s="892"/>
      <c r="L18" s="892"/>
      <c r="M18" s="892"/>
      <c r="N18" s="892"/>
      <c r="O18" s="892"/>
      <c r="P18" s="892"/>
      <c r="Q18" s="892"/>
      <c r="R18" s="892"/>
    </row>
    <row r="19" customFormat="false" ht="11.45" hidden="false" customHeight="true" outlineLevel="0" collapsed="false">
      <c r="A19" s="928"/>
      <c r="B19" s="929"/>
      <c r="C19" s="928"/>
      <c r="D19" s="928"/>
      <c r="E19" s="929"/>
      <c r="F19" s="930"/>
      <c r="G19" s="910"/>
      <c r="H19" s="0"/>
      <c r="I19" s="0"/>
      <c r="J19" s="892"/>
      <c r="K19" s="892"/>
      <c r="L19" s="892"/>
      <c r="M19" s="892"/>
      <c r="N19" s="892"/>
      <c r="O19" s="892"/>
      <c r="P19" s="892"/>
      <c r="Q19" s="892"/>
      <c r="R19" s="892"/>
    </row>
    <row r="20" customFormat="false" ht="12.75" hidden="false" customHeight="false" outlineLevel="0" collapsed="false">
      <c r="A20" s="928"/>
      <c r="B20" s="929"/>
      <c r="C20" s="928"/>
      <c r="D20" s="928"/>
      <c r="E20" s="929"/>
      <c r="F20" s="930"/>
      <c r="H20" s="0"/>
      <c r="I20" s="0"/>
    </row>
    <row r="21" customFormat="false" ht="11.45" hidden="false" customHeight="true" outlineLevel="0" collapsed="false">
      <c r="A21" s="931" t="n">
        <v>0</v>
      </c>
      <c r="B21" s="932" t="n">
        <f aca="false">C21/$C$6</f>
        <v>0.121808565041423</v>
      </c>
      <c r="C21" s="933" t="n">
        <v>16673.4</v>
      </c>
      <c r="D21" s="934" t="n">
        <f aca="false">C21+D20+E20</f>
        <v>16673.4</v>
      </c>
      <c r="E21" s="933" t="n">
        <v>413.818</v>
      </c>
      <c r="F21" s="935" t="n">
        <f aca="false">E21</f>
        <v>413.818</v>
      </c>
      <c r="H21" s="0"/>
      <c r="I21" s="0"/>
    </row>
    <row r="22" customFormat="false" ht="11.45" hidden="false" customHeight="true" outlineLevel="0" collapsed="false">
      <c r="A22" s="931" t="n">
        <v>1</v>
      </c>
      <c r="B22" s="932" t="n">
        <f aca="false">C22/$C$6</f>
        <v>0.31707346473605</v>
      </c>
      <c r="C22" s="933" t="n">
        <v>43401.65</v>
      </c>
      <c r="D22" s="934" t="n">
        <f aca="false">C22+D21+E21</f>
        <v>60488.868</v>
      </c>
      <c r="E22" s="933" t="n">
        <v>239.841</v>
      </c>
      <c r="F22" s="935" t="n">
        <f aca="false">IF(A22&lt;=$C$8,E22+F21,F21)</f>
        <v>653.659</v>
      </c>
      <c r="H22" s="0"/>
      <c r="I22" s="0"/>
    </row>
    <row r="23" customFormat="false" ht="11.45" hidden="false" customHeight="true" outlineLevel="0" collapsed="false">
      <c r="A23" s="931" t="n">
        <f aca="false">A22+1</f>
        <v>2</v>
      </c>
      <c r="B23" s="932" t="n">
        <f aca="false">C23/$C$6</f>
        <v>0</v>
      </c>
      <c r="C23" s="933" t="n">
        <v>0</v>
      </c>
      <c r="D23" s="934" t="n">
        <f aca="false">C23+D22+E22</f>
        <v>60728.709</v>
      </c>
      <c r="E23" s="933" t="n">
        <v>375.473</v>
      </c>
      <c r="F23" s="935" t="n">
        <f aca="false">IF(A23&lt;=$C$8,E23+F22,F22)</f>
        <v>1029.132</v>
      </c>
      <c r="H23" s="0"/>
      <c r="I23" s="0"/>
    </row>
    <row r="24" customFormat="false" ht="11.45" hidden="false" customHeight="true" outlineLevel="0" collapsed="false">
      <c r="A24" s="931" t="n">
        <f aca="false">A23+1</f>
        <v>3</v>
      </c>
      <c r="B24" s="932" t="n">
        <f aca="false">C24/$C$6</f>
        <v>0.0313487164126766</v>
      </c>
      <c r="C24" s="933" t="n">
        <v>4291.075</v>
      </c>
      <c r="D24" s="934" t="n">
        <f aca="false">C24+D23+E23</f>
        <v>65395.257</v>
      </c>
      <c r="E24" s="936" t="n">
        <f aca="false">IF(A24&gt;$C$8,0,((D23+(C24/2))*($C$9))+(($C$6-SUM($C$20:C24))*($C$11/12)))</f>
        <v>356.479778208333</v>
      </c>
      <c r="F24" s="935" t="n">
        <f aca="false">IF(A24&lt;=$C$8,E24+F23,F23)</f>
        <v>1385.61177820833</v>
      </c>
      <c r="H24" s="0"/>
      <c r="I24" s="0"/>
    </row>
    <row r="25" customFormat="false" ht="11.45" hidden="false" customHeight="true" outlineLevel="0" collapsed="false">
      <c r="A25" s="931" t="n">
        <f aca="false">A24+1</f>
        <v>4</v>
      </c>
      <c r="B25" s="932" t="n">
        <f aca="false">C25/$C$6</f>
        <v>0.0317955611402522</v>
      </c>
      <c r="C25" s="933" t="n">
        <v>4352.24</v>
      </c>
      <c r="D25" s="934" t="n">
        <f aca="false">C25+D24+E24</f>
        <v>70103.9767782083</v>
      </c>
      <c r="E25" s="936" t="n">
        <f aca="false">IF(A25&gt;$C$8,0,((D24+(C25/2))*($C$9))+(($C$6-SUM($C$20:C25))*($C$11/12)))</f>
        <v>380.261737541667</v>
      </c>
      <c r="F25" s="935" t="n">
        <f aca="false">IF(A25&lt;=$C$8,E25+F24,F24)</f>
        <v>1765.87351575</v>
      </c>
      <c r="H25" s="0"/>
      <c r="I25" s="0"/>
    </row>
    <row r="26" customFormat="false" ht="11.45" hidden="false" customHeight="true" outlineLevel="0" collapsed="false">
      <c r="A26" s="931" t="n">
        <f aca="false">A25+1</f>
        <v>5</v>
      </c>
      <c r="B26" s="932" t="n">
        <f aca="false">C26/$C$6</f>
        <v>0.0327301909674026</v>
      </c>
      <c r="C26" s="933" t="n">
        <v>4480.174</v>
      </c>
      <c r="D26" s="934" t="n">
        <f aca="false">C26+D25+E25</f>
        <v>74964.41251575</v>
      </c>
      <c r="E26" s="936" t="n">
        <f aca="false">IF(A26&gt;$C$8,0,((D25+(C26/2))*($C$9))+(($C$6-SUM($C$20:C26))*($C$11/12)))</f>
        <v>404.409349608778</v>
      </c>
      <c r="F26" s="935" t="n">
        <f aca="false">IF(A26&lt;=$C$8,E26+F25,F25)</f>
        <v>2170.28286535878</v>
      </c>
      <c r="H26" s="0"/>
      <c r="I26" s="0"/>
    </row>
    <row r="27" customFormat="false" ht="11.45" hidden="false" customHeight="true" outlineLevel="0" collapsed="false">
      <c r="A27" s="931" t="n">
        <f aca="false">A26+1</f>
        <v>6</v>
      </c>
      <c r="B27" s="932" t="n">
        <f aca="false">C27/$C$6</f>
        <v>0.0325148522084715</v>
      </c>
      <c r="C27" s="933" t="n">
        <v>4450.698</v>
      </c>
      <c r="D27" s="934" t="n">
        <f aca="false">C27+D26+E26</f>
        <v>79819.5198653588</v>
      </c>
      <c r="E27" s="936" t="n">
        <f aca="false">IF(A27&gt;$C$8,0,((D26+(C27/2))*($C$9))+(($C$6-SUM($C$20:C27))*($C$11/12)))</f>
        <v>428.954950625667</v>
      </c>
      <c r="F27" s="935" t="n">
        <f aca="false">IF(A27&lt;=$C$8,E27+F26,F26)</f>
        <v>2599.23781598444</v>
      </c>
      <c r="H27" s="0"/>
      <c r="I27" s="0"/>
    </row>
    <row r="28" customFormat="false" ht="11.45" hidden="false" customHeight="true" outlineLevel="0" collapsed="false">
      <c r="A28" s="931" t="n">
        <f aca="false">A27+1</f>
        <v>7</v>
      </c>
      <c r="B28" s="932" t="n">
        <f aca="false">C28/$C$6</f>
        <v>0.00109793106471267</v>
      </c>
      <c r="C28" s="933" t="n">
        <v>150.287</v>
      </c>
      <c r="D28" s="934" t="n">
        <f aca="false">C28+D27+E27</f>
        <v>80398.7618159844</v>
      </c>
      <c r="E28" s="936" t="n">
        <f aca="false">IF(A28&gt;$C$8,0,((D27+(C28/2))*($C$9))+(($C$6-SUM($C$20:C28))*($C$11/12)))</f>
        <v>443.337260115247</v>
      </c>
      <c r="F28" s="935" t="n">
        <f aca="false">IF(A28&lt;=$C$8,E28+F27,F27)</f>
        <v>3042.57507609969</v>
      </c>
      <c r="H28" s="0"/>
      <c r="I28" s="0"/>
    </row>
    <row r="29" customFormat="false" ht="11.45" hidden="false" customHeight="true" outlineLevel="0" collapsed="false">
      <c r="A29" s="931" t="n">
        <f aca="false">A28+1</f>
        <v>8</v>
      </c>
      <c r="B29" s="932" t="n">
        <f aca="false">C29/$C$6</f>
        <v>0.0499115588609167</v>
      </c>
      <c r="C29" s="933" t="n">
        <v>6831.994</v>
      </c>
      <c r="D29" s="934" t="n">
        <f aca="false">C29+D28+E28</f>
        <v>87674.0930760997</v>
      </c>
      <c r="E29" s="936" t="n">
        <f aca="false">IF(A29&gt;$C$8,0,((D28+(C29/2))*($C$9))+(($C$6-SUM($C$20:C29))*($C$11/12)))</f>
        <v>462.25177093525</v>
      </c>
      <c r="F29" s="935" t="n">
        <f aca="false">IF(A29&lt;=$C$8,E29+F28,F28)</f>
        <v>3504.82684703494</v>
      </c>
      <c r="H29" s="0"/>
      <c r="I29" s="0"/>
    </row>
    <row r="30" customFormat="false" ht="11.45" hidden="false" customHeight="true" outlineLevel="0" collapsed="false">
      <c r="A30" s="931" t="n">
        <f aca="false">A29+1</f>
        <v>9</v>
      </c>
      <c r="B30" s="932" t="n">
        <f aca="false">C30/$C$6</f>
        <v>0.028343266463085</v>
      </c>
      <c r="C30" s="933" t="n">
        <v>3879.683</v>
      </c>
      <c r="D30" s="934" t="n">
        <f aca="false">C30+D29+E29</f>
        <v>92016.027847035</v>
      </c>
      <c r="E30" s="936" t="n">
        <f aca="false">IF(A30&gt;$C$8,0,((D29+(C30/2))*($C$9))+(($C$6-SUM($C$20:C30))*($C$11/12)))</f>
        <v>492.049134114198</v>
      </c>
      <c r="F30" s="935" t="n">
        <f aca="false">IF(A30&lt;=$C$8,E30+F29,F29)</f>
        <v>3996.87598114914</v>
      </c>
      <c r="H30" s="0"/>
      <c r="I30" s="0"/>
    </row>
    <row r="31" customFormat="false" ht="11.45" hidden="false" customHeight="true" outlineLevel="0" collapsed="false">
      <c r="A31" s="931" t="n">
        <f aca="false">A30+1</f>
        <v>10</v>
      </c>
      <c r="B31" s="932" t="n">
        <f aca="false">C31/$C$6</f>
        <v>0.021861544980348</v>
      </c>
      <c r="C31" s="933" t="n">
        <v>2992.452</v>
      </c>
      <c r="D31" s="934" t="n">
        <f aca="false">C31+D30+E30</f>
        <v>95500.5289811492</v>
      </c>
      <c r="E31" s="936" t="n">
        <f aca="false">IF(A31&gt;$C$8,0,((D30+(C31/2))*($C$9))+(($C$6-SUM($C$20:C31))*($C$11/12)))</f>
        <v>511.967371725853</v>
      </c>
      <c r="F31" s="935" t="n">
        <f aca="false">IF(A31&lt;=$C$8,E31+F30,F30)</f>
        <v>4508.84335287499</v>
      </c>
      <c r="H31" s="0"/>
      <c r="I31" s="0"/>
    </row>
    <row r="32" customFormat="false" ht="11.45" hidden="false" customHeight="true" outlineLevel="0" collapsed="false">
      <c r="A32" s="931" t="n">
        <f aca="false">A31+1</f>
        <v>11</v>
      </c>
      <c r="B32" s="932" t="n">
        <f aca="false">C32/$C$6</f>
        <v>0.0219346006049006</v>
      </c>
      <c r="C32" s="933" t="n">
        <v>3002.452</v>
      </c>
      <c r="D32" s="934" t="n">
        <f aca="false">C32+D31+E31</f>
        <v>99014.948352875</v>
      </c>
      <c r="E32" s="936" t="n">
        <f aca="false">IF(A32&gt;$C$8,0,((D31+(C32/2))*($C$9))+(($C$6-SUM($C$20:C32))*($C$11/12)))</f>
        <v>529.702329274462</v>
      </c>
      <c r="F32" s="935" t="n">
        <f aca="false">IF(A32&lt;=$C$8,E32+F31,F31)</f>
        <v>5038.54568214946</v>
      </c>
      <c r="H32" s="0"/>
      <c r="I32" s="0"/>
    </row>
    <row r="33" customFormat="false" ht="11.45" hidden="false" customHeight="true" outlineLevel="0" collapsed="false">
      <c r="A33" s="931" t="n">
        <f aca="false">A32+1</f>
        <v>12</v>
      </c>
      <c r="B33" s="932" t="n">
        <f aca="false">C33/$C$6</f>
        <v>0.0309934980494148</v>
      </c>
      <c r="C33" s="933" t="n">
        <v>4242.452</v>
      </c>
      <c r="D33" s="934" t="n">
        <f aca="false">C33+D32+E32</f>
        <v>103787.102682149</v>
      </c>
      <c r="E33" s="936" t="n">
        <f aca="false">IF(A33&gt;$C$8,0,((D32+(C33/2))*($C$9))+(($C$6-SUM($C$20:C33))*($C$11/12)))</f>
        <v>550.515184090333</v>
      </c>
      <c r="F33" s="935" t="n">
        <f aca="false">IF(A33&lt;=$C$8,E33+F32,F32)</f>
        <v>5589.06086623979</v>
      </c>
      <c r="H33" s="0"/>
      <c r="I33" s="0"/>
    </row>
    <row r="34" customFormat="false" ht="11.45" hidden="false" customHeight="true" outlineLevel="0" collapsed="false">
      <c r="A34" s="931" t="n">
        <f aca="false">A33+1</f>
        <v>13</v>
      </c>
      <c r="B34" s="932" t="n">
        <f aca="false">C34/$C$6</f>
        <v>0.0519726333630426</v>
      </c>
      <c r="C34" s="933" t="n">
        <v>7114.118</v>
      </c>
      <c r="D34" s="934" t="n">
        <f aca="false">C34+D33+E33</f>
        <v>111451.73586624</v>
      </c>
      <c r="E34" s="936" t="n">
        <f aca="false">IF(A34&gt;$C$8,0,((D33+(C34/2))*($C$9))+(($C$6-SUM($C$20:C34))*($C$11/12)))</f>
        <v>581.549498763131</v>
      </c>
      <c r="F34" s="935" t="n">
        <f aca="false">IF(A34&lt;=$C$8,E34+F33,F33)</f>
        <v>6170.61036500292</v>
      </c>
      <c r="H34" s="0"/>
      <c r="I34" s="0"/>
    </row>
    <row r="35" customFormat="false" ht="11.45" hidden="false" customHeight="true" outlineLevel="0" collapsed="false">
      <c r="A35" s="931" t="n">
        <f aca="false">A34+1</f>
        <v>14</v>
      </c>
      <c r="B35" s="932" t="n">
        <f aca="false">C35/$C$6</f>
        <v>0.0441354524334829</v>
      </c>
      <c r="C35" s="933" t="n">
        <v>6041.349</v>
      </c>
      <c r="D35" s="934" t="n">
        <f aca="false">C35+D34+E34</f>
        <v>118074.634365003</v>
      </c>
      <c r="E35" s="936" t="n">
        <f aca="false">IF(A35&gt;$C$8,0,((D34+(C35/2))*($C$9))+(($C$6-SUM($C$20:C35))*($C$11/12)))</f>
        <v>617.804764953279</v>
      </c>
      <c r="F35" s="935" t="n">
        <f aca="false">IF(A35&lt;=$C$8,E35+F34,F34)</f>
        <v>6788.4151299562</v>
      </c>
      <c r="H35" s="0"/>
      <c r="I35" s="0"/>
    </row>
    <row r="36" customFormat="false" ht="11.45" hidden="false" customHeight="true" outlineLevel="0" collapsed="false">
      <c r="A36" s="931" t="n">
        <f aca="false">A35+1</f>
        <v>15</v>
      </c>
      <c r="B36" s="932" t="n">
        <f aca="false">C36/$C$6</f>
        <v>0.0382770853728029</v>
      </c>
      <c r="C36" s="933" t="n">
        <v>5239.444</v>
      </c>
      <c r="D36" s="934" t="n">
        <f aca="false">C36+D35+E35</f>
        <v>123931.883129956</v>
      </c>
      <c r="E36" s="936" t="n">
        <f aca="false">IF(A36&gt;$C$8,0,((D35+(C36/2))*($C$9))+(($C$6-SUM($C$20:C36))*($C$11/12)))</f>
        <v>649.460305780016</v>
      </c>
      <c r="F36" s="935" t="n">
        <f aca="false">IF(A36&lt;=$C$8,E36+F35,F35)</f>
        <v>7437.87543573622</v>
      </c>
      <c r="H36" s="0"/>
      <c r="I36" s="0"/>
    </row>
    <row r="37" customFormat="false" ht="11.45" hidden="false" customHeight="true" outlineLevel="0" collapsed="false">
      <c r="A37" s="931" t="n">
        <f aca="false">A36+1</f>
        <v>16</v>
      </c>
      <c r="B37" s="932" t="n">
        <f aca="false">C37/$C$6</f>
        <v>0.0419298666004296</v>
      </c>
      <c r="C37" s="933" t="n">
        <v>5739.444</v>
      </c>
      <c r="D37" s="934" t="n">
        <f aca="false">C37+D36+E36</f>
        <v>130320.787435736</v>
      </c>
      <c r="E37" s="936" t="n">
        <f aca="false">IF(A37&gt;$C$8,0,((D36+(C37/2))*($C$9))+(($C$6-SUM($C$20:C37))*($C$11/12)))</f>
        <v>680.3582946931</v>
      </c>
      <c r="F37" s="935" t="n">
        <f aca="false">IF(A37&lt;=$C$8,E37+F36,F36)</f>
        <v>8118.23373042932</v>
      </c>
      <c r="H37" s="0"/>
      <c r="I37" s="0"/>
    </row>
    <row r="38" customFormat="false" ht="11.45" hidden="false" customHeight="true" outlineLevel="0" collapsed="false">
      <c r="A38" s="931" t="n">
        <f aca="false">A37+1</f>
        <v>17</v>
      </c>
      <c r="B38" s="932" t="n">
        <f aca="false">C38/$C$6</f>
        <v>0.0314098566648646</v>
      </c>
      <c r="C38" s="933" t="n">
        <v>4299.444</v>
      </c>
      <c r="D38" s="934" t="n">
        <f aca="false">C38+D37+E37</f>
        <v>135300.589730429</v>
      </c>
      <c r="E38" s="936" t="n">
        <f aca="false">IF(A38&gt;$C$8,0,((D37+(C38/2))*($C$9))+(($C$6-SUM($C$20:C38))*($C$11/12)))</f>
        <v>709.338446490593</v>
      </c>
      <c r="F38" s="935" t="n">
        <f aca="false">IF(A38&lt;=$C$8,E38+F37,F37)</f>
        <v>8827.57217691991</v>
      </c>
      <c r="H38" s="0"/>
      <c r="I38" s="0"/>
    </row>
    <row r="39" customFormat="false" ht="11.45" hidden="false" customHeight="true" outlineLevel="0" collapsed="false">
      <c r="A39" s="931" t="n">
        <f aca="false">A38+1</f>
        <v>18</v>
      </c>
      <c r="B39" s="932" t="n">
        <f aca="false">C39/$C$6</f>
        <v>0.0708628745927149</v>
      </c>
      <c r="C39" s="933" t="n">
        <v>9699.852</v>
      </c>
      <c r="D39" s="934" t="n">
        <f aca="false">C39+D38+E38</f>
        <v>145709.78017692</v>
      </c>
      <c r="E39" s="936" t="n">
        <f aca="false">IF(A39&gt;$C$8,0,((D38+(C39/2))*($C$9))+(($C$6-SUM($C$20:C39))*($C$11/12)))</f>
        <v>747.46935656229</v>
      </c>
      <c r="F39" s="935" t="n">
        <f aca="false">IF(A39&lt;=$C$8,E39+F38,F38)</f>
        <v>9575.0415334822</v>
      </c>
      <c r="H39" s="0"/>
      <c r="I39" s="0"/>
    </row>
    <row r="40" customFormat="false" ht="11.45" hidden="false" customHeight="true" outlineLevel="0" collapsed="false">
      <c r="A40" s="931" t="n">
        <f aca="false">A39+1</f>
        <v>19</v>
      </c>
      <c r="B40" s="932" t="n">
        <f aca="false">C40/$C$6</f>
        <v>0</v>
      </c>
      <c r="C40" s="933" t="n">
        <v>0</v>
      </c>
      <c r="D40" s="934" t="n">
        <f aca="false">C40+D39+E39</f>
        <v>146457.249533482</v>
      </c>
      <c r="E40" s="936" t="n">
        <f aca="false">IF(A40&gt;$C$8,0,((D39+(C40/2))*($C$9))+(($C$6-SUM($C$20:C40))*($C$11/12)))</f>
        <v>0</v>
      </c>
      <c r="F40" s="935" t="n">
        <f aca="false">IF(A40&lt;=$C$8,E40+F39,F39)</f>
        <v>9575.0415334822</v>
      </c>
      <c r="H40" s="0"/>
      <c r="I40" s="0"/>
    </row>
    <row r="41" customFormat="false" ht="11.45" hidden="false" customHeight="true" outlineLevel="0" collapsed="false">
      <c r="A41" s="931" t="n">
        <f aca="false">A40+1</f>
        <v>20</v>
      </c>
      <c r="B41" s="932" t="n">
        <f aca="false">C41/$C$6</f>
        <v>0</v>
      </c>
      <c r="C41" s="933" t="n">
        <v>0</v>
      </c>
      <c r="D41" s="934" t="n">
        <f aca="false">C41+D40+E40</f>
        <v>146457.249533482</v>
      </c>
      <c r="E41" s="936" t="n">
        <f aca="false">IF(A41&gt;$C$8,0,((D40+(C41/2))*($C$9))+(($C$6-SUM($C$20:C41))*($C$11/12)))</f>
        <v>0</v>
      </c>
      <c r="F41" s="935" t="n">
        <f aca="false">IF(A41&lt;=$C$8,E41+F40,F40)</f>
        <v>9575.0415334822</v>
      </c>
      <c r="H41" s="0"/>
      <c r="I41" s="0"/>
    </row>
    <row r="42" customFormat="false" ht="11.45" hidden="false" customHeight="true" outlineLevel="0" collapsed="false">
      <c r="A42" s="931" t="n">
        <f aca="false">A41+1</f>
        <v>21</v>
      </c>
      <c r="B42" s="932" t="n">
        <f aca="false">C42/$C$6</f>
        <v>0</v>
      </c>
      <c r="C42" s="933" t="n">
        <v>0</v>
      </c>
      <c r="D42" s="934" t="n">
        <f aca="false">C42+D41+E41</f>
        <v>146457.249533482</v>
      </c>
      <c r="E42" s="936" t="n">
        <f aca="false">IF(A42&gt;$C$8,0,((D41+(C42/2))*($C$9))+(($C$6-SUM($C$20:C42))*($C$11/12)))</f>
        <v>0</v>
      </c>
      <c r="F42" s="935" t="n">
        <f aca="false">IF(A42&lt;=$C$8,E42+F41,F41)</f>
        <v>9575.0415334822</v>
      </c>
      <c r="H42" s="0"/>
      <c r="I42" s="0"/>
    </row>
    <row r="43" customFormat="false" ht="11.45" hidden="false" customHeight="true" outlineLevel="0" collapsed="false">
      <c r="A43" s="931" t="n">
        <f aca="false">A42+1</f>
        <v>22</v>
      </c>
      <c r="B43" s="932" t="n">
        <f aca="false">C43/$C$6</f>
        <v>0</v>
      </c>
      <c r="C43" s="933" t="n">
        <v>0</v>
      </c>
      <c r="D43" s="934" t="n">
        <f aca="false">C43+D42+E42</f>
        <v>146457.249533482</v>
      </c>
      <c r="E43" s="936" t="n">
        <f aca="false">IF(A43&gt;$C$8,0,((D42+(C43/2))*($C$9))+(($C$6-SUM($C$20:C43))*($C$11/12)))</f>
        <v>0</v>
      </c>
      <c r="F43" s="935" t="n">
        <f aca="false">IF(A43&lt;=$C$8,E43+F42,F42)</f>
        <v>9575.0415334822</v>
      </c>
      <c r="G43" s="6"/>
      <c r="H43" s="0"/>
      <c r="I43" s="0"/>
      <c r="J43" s="892"/>
      <c r="K43" s="892"/>
      <c r="L43" s="892"/>
      <c r="M43" s="892"/>
      <c r="N43" s="892"/>
      <c r="O43" s="892"/>
      <c r="P43" s="892"/>
      <c r="Q43" s="892"/>
      <c r="R43" s="892"/>
    </row>
    <row r="44" customFormat="false" ht="11.45" hidden="false" customHeight="true" outlineLevel="0" collapsed="false">
      <c r="A44" s="931" t="n">
        <f aca="false">A43+1</f>
        <v>23</v>
      </c>
      <c r="B44" s="932" t="n">
        <f aca="false">C44/$C$6</f>
        <v>0</v>
      </c>
      <c r="C44" s="933" t="n">
        <v>0</v>
      </c>
      <c r="D44" s="934" t="n">
        <f aca="false">C44+D43+E43</f>
        <v>146457.249533482</v>
      </c>
      <c r="E44" s="936" t="n">
        <f aca="false">IF(A44&gt;$C$8,0,((D43+(C44/2))*($C$9))+(($C$6-SUM($C$20:C44))*($C$11/12)))</f>
        <v>0</v>
      </c>
      <c r="F44" s="935" t="n">
        <f aca="false">IF(A44&lt;=$C$8,E44+F43,F43)</f>
        <v>9575.0415334822</v>
      </c>
      <c r="G44" s="6"/>
      <c r="H44" s="0"/>
      <c r="I44" s="0"/>
      <c r="J44" s="892"/>
      <c r="K44" s="892"/>
      <c r="L44" s="892"/>
      <c r="M44" s="892"/>
      <c r="N44" s="892"/>
      <c r="O44" s="892"/>
      <c r="P44" s="892"/>
      <c r="Q44" s="892"/>
      <c r="R44" s="892"/>
    </row>
    <row r="45" customFormat="false" ht="11.45" hidden="false" customHeight="true" outlineLevel="0" collapsed="false">
      <c r="A45" s="931" t="n">
        <f aca="false">A44+1</f>
        <v>24</v>
      </c>
      <c r="B45" s="932" t="n">
        <f aca="false">C45/$C$6</f>
        <v>0</v>
      </c>
      <c r="C45" s="933" t="n">
        <v>0</v>
      </c>
      <c r="D45" s="934" t="n">
        <f aca="false">C45+D44+E44</f>
        <v>146457.249533482</v>
      </c>
      <c r="E45" s="936" t="n">
        <f aca="false">IF(A45&gt;$C$8,0,((D44+(C45/2))*($C$9))+(($C$6-SUM($C$20:C45))*($C$11/12)))</f>
        <v>0</v>
      </c>
      <c r="F45" s="935" t="n">
        <f aca="false">IF(A45&lt;=$C$8,E45+F44,F44)</f>
        <v>9575.0415334822</v>
      </c>
      <c r="G45" s="6"/>
      <c r="H45" s="0"/>
      <c r="I45" s="0"/>
      <c r="J45" s="892"/>
      <c r="K45" s="892"/>
      <c r="L45" s="892"/>
      <c r="M45" s="892"/>
      <c r="N45" s="892"/>
      <c r="O45" s="892"/>
      <c r="P45" s="892"/>
      <c r="Q45" s="892"/>
      <c r="R45" s="892"/>
    </row>
    <row r="46" customFormat="false" ht="11.45" hidden="false" customHeight="true" outlineLevel="0" collapsed="false">
      <c r="A46" s="931" t="n">
        <f aca="false">A45+1</f>
        <v>25</v>
      </c>
      <c r="B46" s="932" t="n">
        <f aca="false">C46/$C$6</f>
        <v>0</v>
      </c>
      <c r="C46" s="933" t="n">
        <v>0</v>
      </c>
      <c r="D46" s="934" t="n">
        <f aca="false">C46+D45+E45</f>
        <v>146457.249533482</v>
      </c>
      <c r="E46" s="936" t="n">
        <f aca="false">IF(A46&gt;$C$8,0,((D45+(C46/2))*($C$9))+(($C$6-SUM($C$20:C46))*($C$11/12)))</f>
        <v>0</v>
      </c>
      <c r="F46" s="935" t="n">
        <f aca="false">IF(A46&lt;=$C$8,E46+F45,F45)</f>
        <v>9575.0415334822</v>
      </c>
      <c r="G46" s="6"/>
      <c r="H46" s="0"/>
      <c r="I46" s="0"/>
      <c r="J46" s="892"/>
      <c r="K46" s="892"/>
      <c r="L46" s="892"/>
      <c r="M46" s="892"/>
      <c r="N46" s="892"/>
      <c r="O46" s="892"/>
      <c r="P46" s="892"/>
      <c r="Q46" s="892"/>
      <c r="R46" s="892"/>
    </row>
    <row r="47" customFormat="false" ht="11.45" hidden="false" customHeight="true" outlineLevel="0" collapsed="false">
      <c r="A47" s="931" t="n">
        <f aca="false">A46+1</f>
        <v>26</v>
      </c>
      <c r="B47" s="932" t="n">
        <f aca="false">C47/$C$6</f>
        <v>0</v>
      </c>
      <c r="C47" s="933" t="n">
        <v>0</v>
      </c>
      <c r="D47" s="934" t="n">
        <f aca="false">C47+D46+E46</f>
        <v>146457.249533482</v>
      </c>
      <c r="E47" s="936" t="n">
        <f aca="false">IF(A47&gt;$C$8,0,((D46+(C47/2))*($C$9))+(($C$6-SUM($C$20:C47))*($C$11/12)))</f>
        <v>0</v>
      </c>
      <c r="F47" s="935" t="n">
        <f aca="false">IF(A47&lt;=$C$8,E47+F46,F46)</f>
        <v>9575.0415334822</v>
      </c>
      <c r="G47" s="6"/>
      <c r="H47" s="0"/>
      <c r="I47" s="0"/>
      <c r="J47" s="892"/>
      <c r="K47" s="892"/>
      <c r="L47" s="892"/>
      <c r="M47" s="892"/>
      <c r="N47" s="892"/>
      <c r="O47" s="892"/>
      <c r="P47" s="892"/>
      <c r="Q47" s="892"/>
      <c r="R47" s="892"/>
    </row>
    <row r="48" customFormat="false" ht="11.45" hidden="false" customHeight="true" outlineLevel="0" collapsed="false">
      <c r="A48" s="931" t="n">
        <f aca="false">A47+1</f>
        <v>27</v>
      </c>
      <c r="B48" s="932" t="n">
        <f aca="false">C48/$C$6</f>
        <v>0</v>
      </c>
      <c r="C48" s="933" t="n">
        <v>0</v>
      </c>
      <c r="D48" s="934" t="n">
        <f aca="false">C48+D47+E47</f>
        <v>146457.249533482</v>
      </c>
      <c r="E48" s="936" t="n">
        <f aca="false">IF(A48&gt;$C$8,0,((D47+(C48/2))*($C$9))+(($C$6-SUM($C$20:C48))*($C$11/12)))</f>
        <v>0</v>
      </c>
      <c r="F48" s="935" t="n">
        <f aca="false">IF(A48&lt;=$C$8,E48+F47,F47)</f>
        <v>9575.0415334822</v>
      </c>
      <c r="G48" s="6"/>
      <c r="H48" s="0"/>
      <c r="I48" s="0"/>
      <c r="J48" s="892"/>
      <c r="K48" s="892"/>
      <c r="L48" s="892"/>
      <c r="M48" s="892"/>
      <c r="N48" s="892"/>
      <c r="O48" s="892"/>
      <c r="P48" s="892"/>
      <c r="Q48" s="892"/>
      <c r="R48" s="892"/>
    </row>
    <row r="49" customFormat="false" ht="11.45" hidden="false" customHeight="true" outlineLevel="0" collapsed="false">
      <c r="A49" s="931" t="n">
        <f aca="false">A48+1</f>
        <v>28</v>
      </c>
      <c r="B49" s="932" t="n">
        <f aca="false">C49/$C$6</f>
        <v>0</v>
      </c>
      <c r="C49" s="933" t="n">
        <v>0</v>
      </c>
      <c r="D49" s="934" t="n">
        <f aca="false">C49+D48+E48</f>
        <v>146457.249533482</v>
      </c>
      <c r="E49" s="936" t="n">
        <f aca="false">IF(A49&gt;$C$8,0,((D48+(C49/2))*($C$9))+(($C$6-SUM($C$20:C49))*($C$11/12)))</f>
        <v>0</v>
      </c>
      <c r="F49" s="935" t="n">
        <f aca="false">IF(A49&lt;=$C$8,E49+F48,F48)</f>
        <v>9575.0415334822</v>
      </c>
      <c r="G49" s="6"/>
      <c r="H49" s="0"/>
      <c r="I49" s="0"/>
      <c r="J49" s="892"/>
      <c r="K49" s="892"/>
      <c r="L49" s="892"/>
      <c r="M49" s="892"/>
      <c r="N49" s="892"/>
      <c r="O49" s="892"/>
      <c r="P49" s="892"/>
      <c r="Q49" s="892"/>
      <c r="R49" s="892"/>
    </row>
    <row r="50" customFormat="false" ht="11.45" hidden="false" customHeight="true" outlineLevel="0" collapsed="false">
      <c r="A50" s="931" t="n">
        <f aca="false">A49+1</f>
        <v>29</v>
      </c>
      <c r="B50" s="932" t="n">
        <f aca="false">C50/$C$6</f>
        <v>0</v>
      </c>
      <c r="C50" s="933" t="n">
        <v>0</v>
      </c>
      <c r="D50" s="934" t="n">
        <f aca="false">C50+D49+E49</f>
        <v>146457.249533482</v>
      </c>
      <c r="E50" s="936" t="n">
        <f aca="false">IF(A50&gt;$C$8,0,((D49+(C50/2))*($C$9))+(($C$6-SUM($C$20:C50))*($C$11/12)))</f>
        <v>0</v>
      </c>
      <c r="F50" s="935" t="n">
        <f aca="false">IF(A50&lt;=$C$8,E50+F49,F49)</f>
        <v>9575.0415334822</v>
      </c>
      <c r="G50" s="6"/>
      <c r="H50" s="0"/>
      <c r="I50" s="0"/>
      <c r="J50" s="892"/>
      <c r="K50" s="892"/>
      <c r="L50" s="892"/>
      <c r="M50" s="892"/>
      <c r="N50" s="892"/>
      <c r="O50" s="892"/>
      <c r="P50" s="892"/>
      <c r="Q50" s="892"/>
      <c r="R50" s="892"/>
    </row>
    <row r="51" customFormat="false" ht="11.45" hidden="false" customHeight="true" outlineLevel="0" collapsed="false">
      <c r="A51" s="931" t="n">
        <f aca="false">A50+1</f>
        <v>30</v>
      </c>
      <c r="B51" s="932" t="n">
        <f aca="false">C51/$C$6</f>
        <v>0</v>
      </c>
      <c r="C51" s="933" t="n">
        <v>0</v>
      </c>
      <c r="D51" s="934" t="n">
        <f aca="false">C51+D50+E50</f>
        <v>146457.249533482</v>
      </c>
      <c r="E51" s="936" t="n">
        <f aca="false">IF(A51&gt;$C$8,0,((D50+(C51/2))*($C$9))+(($C$6-SUM($C$20:C51))*($C$11/12)))</f>
        <v>0</v>
      </c>
      <c r="F51" s="935" t="n">
        <f aca="false">IF(A51&lt;=$C$8,E51+F50,F50)</f>
        <v>9575.0415334822</v>
      </c>
      <c r="G51" s="6"/>
      <c r="H51" s="0"/>
      <c r="I51" s="0"/>
      <c r="J51" s="892"/>
      <c r="K51" s="892"/>
      <c r="L51" s="892"/>
      <c r="M51" s="892"/>
      <c r="N51" s="892"/>
      <c r="O51" s="892"/>
      <c r="P51" s="892"/>
      <c r="Q51" s="892"/>
      <c r="R51" s="892"/>
    </row>
    <row r="52" customFormat="false" ht="11.45" hidden="false" customHeight="true" outlineLevel="0" collapsed="false">
      <c r="A52" s="931" t="n">
        <f aca="false">A51+1</f>
        <v>31</v>
      </c>
      <c r="B52" s="932" t="n">
        <f aca="false">C52/$C$6</f>
        <v>0</v>
      </c>
      <c r="C52" s="933" t="n">
        <v>0</v>
      </c>
      <c r="D52" s="934" t="n">
        <f aca="false">C52+D51+E51</f>
        <v>146457.249533482</v>
      </c>
      <c r="E52" s="936" t="n">
        <f aca="false">IF(A52&gt;$C$8,0,((D51+(C52/2))*($C$9))+(($C$6-SUM($C$20:C52))*($C$11/12)))</f>
        <v>0</v>
      </c>
      <c r="F52" s="935" t="n">
        <f aca="false">IF(A52&lt;=$C$8,E52+F51,F51)</f>
        <v>9575.0415334822</v>
      </c>
      <c r="G52" s="6"/>
      <c r="H52" s="0"/>
      <c r="I52" s="0"/>
      <c r="J52" s="892"/>
      <c r="K52" s="892"/>
      <c r="L52" s="892"/>
      <c r="M52" s="892"/>
      <c r="N52" s="892"/>
      <c r="O52" s="892"/>
      <c r="P52" s="892"/>
      <c r="Q52" s="892"/>
      <c r="R52" s="892"/>
    </row>
    <row r="53" customFormat="false" ht="11.45" hidden="false" customHeight="true" outlineLevel="0" collapsed="false">
      <c r="A53" s="931" t="n">
        <f aca="false">A52+1</f>
        <v>32</v>
      </c>
      <c r="B53" s="932" t="n">
        <f aca="false">C53/$C$6</f>
        <v>0</v>
      </c>
      <c r="C53" s="933" t="n">
        <v>0</v>
      </c>
      <c r="D53" s="934" t="n">
        <f aca="false">C53+D52+E52</f>
        <v>146457.249533482</v>
      </c>
      <c r="E53" s="936" t="n">
        <f aca="false">IF(A53&gt;$C$8,0,((D52+(C53/2))*($C$9))+(($C$6-SUM($C$20:C53))*($C$11/12)))</f>
        <v>0</v>
      </c>
      <c r="F53" s="935" t="n">
        <f aca="false">IF(A53&lt;=$C$8,E53+F52,F52)</f>
        <v>9575.0415334822</v>
      </c>
      <c r="G53" s="6"/>
      <c r="H53" s="0"/>
      <c r="I53" s="0"/>
      <c r="J53" s="892"/>
      <c r="K53" s="892"/>
      <c r="L53" s="892"/>
      <c r="M53" s="892"/>
      <c r="N53" s="892"/>
      <c r="O53" s="892"/>
      <c r="P53" s="892"/>
      <c r="Q53" s="892"/>
      <c r="R53" s="892"/>
    </row>
    <row r="54" customFormat="false" ht="11.45" hidden="false" customHeight="true" outlineLevel="0" collapsed="false">
      <c r="A54" s="931" t="n">
        <f aca="false">A53+1</f>
        <v>33</v>
      </c>
      <c r="B54" s="932" t="n">
        <f aca="false">C54/$C$6</f>
        <v>0</v>
      </c>
      <c r="C54" s="933" t="n">
        <v>0</v>
      </c>
      <c r="D54" s="934" t="n">
        <f aca="false">C54+D53+E53</f>
        <v>146457.249533482</v>
      </c>
      <c r="E54" s="936" t="n">
        <f aca="false">IF(A54&gt;$C$8,0,((D53+(C54/2))*($C$9))+(($C$6-SUM($C$20:C54))*($C$11/12)))</f>
        <v>0</v>
      </c>
      <c r="F54" s="935" t="n">
        <f aca="false">IF(A54&lt;=$C$8,E54+F53,F53)</f>
        <v>9575.0415334822</v>
      </c>
      <c r="G54" s="6"/>
      <c r="H54" s="0"/>
      <c r="I54" s="0"/>
      <c r="J54" s="892"/>
      <c r="K54" s="892"/>
      <c r="L54" s="892"/>
      <c r="M54" s="892"/>
      <c r="N54" s="892"/>
      <c r="O54" s="892"/>
      <c r="P54" s="892"/>
      <c r="Q54" s="892"/>
      <c r="R54" s="892"/>
    </row>
    <row r="55" customFormat="false" ht="11.45" hidden="false" customHeight="true" outlineLevel="0" collapsed="false">
      <c r="A55" s="931" t="n">
        <f aca="false">A54+1</f>
        <v>34</v>
      </c>
      <c r="B55" s="932" t="n">
        <f aca="false">C55/$C$6</f>
        <v>0</v>
      </c>
      <c r="C55" s="933" t="n">
        <v>0</v>
      </c>
      <c r="D55" s="934" t="n">
        <f aca="false">C55+D54+E54</f>
        <v>146457.249533482</v>
      </c>
      <c r="E55" s="936" t="n">
        <f aca="false">IF(A55&gt;$C$8,0,((D54+(C55/2))*($C$9))+(($C$6-SUM($C$20:C55))*($C$11/12)))</f>
        <v>0</v>
      </c>
      <c r="F55" s="935" t="n">
        <f aca="false">IF(A55&lt;=$C$8,E55+F54,F54)</f>
        <v>9575.0415334822</v>
      </c>
      <c r="G55" s="6"/>
      <c r="H55" s="0"/>
      <c r="I55" s="0"/>
      <c r="J55" s="892"/>
      <c r="K55" s="892"/>
      <c r="L55" s="892"/>
      <c r="M55" s="892"/>
      <c r="N55" s="892"/>
      <c r="O55" s="892"/>
      <c r="P55" s="892"/>
      <c r="Q55" s="892"/>
      <c r="R55" s="892"/>
    </row>
    <row r="56" customFormat="false" ht="11.45" hidden="false" customHeight="true" outlineLevel="0" collapsed="false">
      <c r="A56" s="931" t="n">
        <f aca="false">A55+1</f>
        <v>35</v>
      </c>
      <c r="B56" s="932" t="n">
        <f aca="false">C56/$C$6</f>
        <v>0</v>
      </c>
      <c r="C56" s="933" t="n">
        <v>0</v>
      </c>
      <c r="D56" s="934" t="n">
        <f aca="false">C56+D55+E55</f>
        <v>146457.249533482</v>
      </c>
      <c r="E56" s="936" t="n">
        <f aca="false">IF(A56&gt;$C$8,0,((D55+(C56/2))*($C$9))+(($C$6-SUM($C$20:C56))*($C$11/12)))</f>
        <v>0</v>
      </c>
      <c r="F56" s="935" t="n">
        <f aca="false">IF(A56&lt;=$C$8,E56+F55,F55)</f>
        <v>9575.0415334822</v>
      </c>
      <c r="G56" s="6"/>
      <c r="H56" s="0"/>
      <c r="I56" s="0"/>
      <c r="J56" s="892"/>
      <c r="K56" s="892"/>
      <c r="L56" s="892"/>
      <c r="M56" s="892"/>
      <c r="N56" s="892"/>
      <c r="O56" s="892"/>
      <c r="P56" s="892"/>
      <c r="Q56" s="892"/>
      <c r="R56" s="892"/>
    </row>
    <row r="57" customFormat="false" ht="11.45" hidden="false" customHeight="true" outlineLevel="0" collapsed="false">
      <c r="A57" s="937" t="n">
        <f aca="false">A56+1</f>
        <v>36</v>
      </c>
      <c r="B57" s="938" t="n">
        <f aca="false">IF($C$13=1,I57,H57)</f>
        <v>0</v>
      </c>
      <c r="C57" s="939" t="n">
        <v>0</v>
      </c>
      <c r="D57" s="940" t="n">
        <f aca="false">C57+D56+E56</f>
        <v>146457.249533482</v>
      </c>
      <c r="E57" s="941" t="n">
        <f aca="false">IF(A57&gt;$C$8,0,((D56+(C57))*($C$9))+(($C$6-SUM($C$21:C57))*($C$11/12)))</f>
        <v>0</v>
      </c>
      <c r="F57" s="942" t="n">
        <f aca="false">IF(A57&lt;=$C$8,E57+F56,F56)</f>
        <v>9575.0415334822</v>
      </c>
      <c r="G57" s="6"/>
      <c r="H57" s="0"/>
      <c r="I57" s="0"/>
      <c r="J57" s="892"/>
      <c r="K57" s="892"/>
      <c r="L57" s="892"/>
      <c r="M57" s="892"/>
      <c r="N57" s="892"/>
      <c r="O57" s="892"/>
      <c r="P57" s="892"/>
      <c r="Q57" s="892"/>
      <c r="R57" s="892"/>
    </row>
    <row r="58" customFormat="false" ht="12.75" hidden="false" customHeight="false" outlineLevel="0" collapsed="false">
      <c r="A58" s="6"/>
      <c r="B58" s="6"/>
      <c r="C58" s="25" t="n">
        <f aca="false">SUM(C21:C57)</f>
        <v>136882.208</v>
      </c>
      <c r="D58" s="6"/>
      <c r="E58" s="6"/>
      <c r="F58" s="6"/>
      <c r="G58" s="6"/>
      <c r="H58" s="0"/>
      <c r="I58" s="0"/>
      <c r="J58" s="892"/>
      <c r="K58" s="892"/>
      <c r="L58" s="892"/>
      <c r="M58" s="892"/>
      <c r="N58" s="892"/>
      <c r="O58" s="892"/>
      <c r="P58" s="892"/>
      <c r="Q58" s="892"/>
      <c r="R58" s="892"/>
    </row>
    <row r="59" customFormat="false" ht="12.75" hidden="false" customHeight="false" outlineLevel="0" collapsed="false">
      <c r="A59" s="6"/>
      <c r="B59" s="6"/>
      <c r="C59" s="6"/>
      <c r="D59" s="6"/>
      <c r="E59" s="6"/>
      <c r="F59" s="6"/>
      <c r="G59" s="6"/>
      <c r="H59" s="0"/>
      <c r="I59" s="0"/>
      <c r="J59" s="892"/>
      <c r="K59" s="892"/>
      <c r="L59" s="892"/>
      <c r="M59" s="892"/>
      <c r="N59" s="892"/>
      <c r="O59" s="892"/>
      <c r="P59" s="892"/>
      <c r="Q59" s="892"/>
      <c r="R59" s="892"/>
    </row>
    <row r="60" customFormat="false" ht="12.75" hidden="false" customHeight="false" outlineLevel="0" collapsed="false">
      <c r="A60" s="6"/>
      <c r="B60" s="6"/>
      <c r="C60" s="6"/>
      <c r="D60" s="6"/>
      <c r="E60" s="6"/>
      <c r="F60" s="6"/>
      <c r="G60" s="6"/>
      <c r="H60" s="0"/>
      <c r="I60" s="0"/>
      <c r="J60" s="892"/>
      <c r="K60" s="892"/>
      <c r="L60" s="892"/>
      <c r="M60" s="892"/>
      <c r="N60" s="892"/>
      <c r="O60" s="892"/>
      <c r="P60" s="892"/>
      <c r="Q60" s="892"/>
      <c r="R60" s="892"/>
    </row>
    <row r="61" customFormat="false" ht="12.75" hidden="false" customHeight="false" outlineLevel="0" collapsed="false">
      <c r="A61" s="6"/>
      <c r="B61" s="6"/>
      <c r="C61" s="6"/>
      <c r="D61" s="6"/>
      <c r="E61" s="6"/>
      <c r="F61" s="6"/>
      <c r="G61" s="6"/>
      <c r="H61" s="0"/>
      <c r="I61" s="0"/>
      <c r="J61" s="892"/>
      <c r="K61" s="892"/>
      <c r="L61" s="892"/>
      <c r="M61" s="892"/>
      <c r="N61" s="892"/>
      <c r="O61" s="892"/>
      <c r="P61" s="892"/>
      <c r="Q61" s="892"/>
      <c r="R61" s="892"/>
    </row>
    <row r="62" customFormat="false" ht="12.75" hidden="false" customHeight="false" outlineLevel="0" collapsed="false">
      <c r="A62" s="6"/>
      <c r="B62" s="6"/>
      <c r="C62" s="6"/>
      <c r="D62" s="6"/>
      <c r="E62" s="6"/>
      <c r="F62" s="6"/>
      <c r="G62" s="6"/>
      <c r="H62" s="0"/>
      <c r="I62" s="0"/>
      <c r="J62" s="892"/>
      <c r="K62" s="892"/>
      <c r="L62" s="892"/>
      <c r="M62" s="892"/>
      <c r="N62" s="892"/>
      <c r="O62" s="892"/>
      <c r="P62" s="892"/>
      <c r="Q62" s="892"/>
      <c r="R62" s="892"/>
    </row>
    <row r="63" customFormat="false" ht="12.75" hidden="false" customHeight="false" outlineLevel="0" collapsed="false">
      <c r="A63" s="6"/>
      <c r="B63" s="6"/>
      <c r="C63" s="6"/>
      <c r="D63" s="6"/>
      <c r="E63" s="6"/>
      <c r="F63" s="6"/>
      <c r="G63" s="6"/>
      <c r="H63" s="0"/>
      <c r="I63" s="0"/>
      <c r="J63" s="892"/>
      <c r="K63" s="892"/>
      <c r="L63" s="892"/>
      <c r="M63" s="892"/>
      <c r="N63" s="892"/>
      <c r="O63" s="892"/>
      <c r="P63" s="892"/>
      <c r="Q63" s="892"/>
      <c r="R63" s="892"/>
    </row>
    <row r="64" customFormat="false" ht="12.75" hidden="false" customHeight="false" outlineLevel="0" collapsed="false">
      <c r="H64" s="0"/>
      <c r="I64" s="0"/>
      <c r="J64" s="892"/>
      <c r="K64" s="892"/>
      <c r="L64" s="892"/>
      <c r="M64" s="892"/>
      <c r="N64" s="892"/>
      <c r="O64" s="892"/>
      <c r="P64" s="892"/>
      <c r="Q64" s="892"/>
      <c r="R64" s="892"/>
    </row>
    <row r="65" customFormat="false" ht="12.75" hidden="false" customHeight="false" outlineLevel="0" collapsed="false">
      <c r="H65" s="0"/>
      <c r="I65" s="0"/>
      <c r="J65" s="892"/>
      <c r="K65" s="892"/>
      <c r="L65" s="892"/>
      <c r="M65" s="892"/>
      <c r="N65" s="892"/>
      <c r="O65" s="892"/>
      <c r="P65" s="892"/>
      <c r="Q65" s="892"/>
      <c r="R65" s="892"/>
    </row>
    <row r="66" customFormat="false" ht="12.75" hidden="false" customHeight="false" outlineLevel="0" collapsed="false">
      <c r="H66" s="0"/>
      <c r="I66" s="0"/>
      <c r="J66" s="892"/>
      <c r="K66" s="892"/>
      <c r="L66" s="892"/>
      <c r="M66" s="892"/>
      <c r="N66" s="892"/>
      <c r="O66" s="892"/>
      <c r="P66" s="892"/>
      <c r="Q66" s="892"/>
      <c r="R66" s="892"/>
    </row>
    <row r="67" customFormat="false" ht="12.75" hidden="false" customHeight="false" outlineLevel="0" collapsed="false">
      <c r="A67" s="896"/>
      <c r="B67" s="896"/>
      <c r="C67" s="943"/>
      <c r="D67" s="943"/>
      <c r="E67" s="943"/>
      <c r="F67" s="943"/>
      <c r="G67" s="943"/>
      <c r="H67" s="0"/>
      <c r="I67" s="0"/>
      <c r="J67" s="944"/>
      <c r="K67" s="944"/>
      <c r="L67" s="944"/>
      <c r="M67" s="944"/>
      <c r="N67" s="944"/>
      <c r="O67" s="944"/>
      <c r="P67" s="944"/>
      <c r="Q67" s="944"/>
      <c r="R67" s="944"/>
      <c r="S67" s="944"/>
      <c r="T67" s="944"/>
      <c r="U67" s="944"/>
      <c r="V67" s="944"/>
      <c r="W67" s="944"/>
      <c r="X67" s="944"/>
      <c r="Y67" s="944"/>
      <c r="Z67" s="944"/>
      <c r="AA67" s="944"/>
      <c r="AB67" s="944"/>
      <c r="AC67" s="944"/>
      <c r="AD67" s="944"/>
      <c r="AE67" s="944"/>
    </row>
    <row r="68" customFormat="false" ht="12.75" hidden="false" customHeight="false" outlineLevel="0" collapsed="false">
      <c r="A68" s="896"/>
      <c r="B68" s="896"/>
      <c r="C68" s="945"/>
      <c r="D68" s="945"/>
      <c r="E68" s="945"/>
      <c r="F68" s="945"/>
      <c r="G68" s="945"/>
      <c r="H68" s="0"/>
      <c r="I68" s="0"/>
      <c r="J68" s="946"/>
      <c r="K68" s="946"/>
      <c r="L68" s="946"/>
      <c r="M68" s="946"/>
      <c r="N68" s="946"/>
      <c r="O68" s="946"/>
      <c r="P68" s="946"/>
      <c r="Q68" s="946"/>
      <c r="R68" s="946"/>
      <c r="S68" s="946"/>
      <c r="T68" s="946"/>
      <c r="U68" s="946"/>
      <c r="V68" s="946"/>
      <c r="W68" s="946"/>
      <c r="X68" s="946"/>
      <c r="Y68" s="946"/>
      <c r="Z68" s="946"/>
      <c r="AA68" s="946"/>
      <c r="AB68" s="946"/>
      <c r="AC68" s="946"/>
      <c r="AD68" s="946"/>
      <c r="AE68" s="946"/>
    </row>
    <row r="69" customFormat="false" ht="12.75" hidden="false" customHeight="false" outlineLevel="0" collapsed="false">
      <c r="H69" s="0"/>
      <c r="I69" s="0"/>
      <c r="J69" s="892"/>
      <c r="K69" s="892"/>
      <c r="L69" s="892"/>
      <c r="M69" s="892"/>
      <c r="N69" s="892"/>
      <c r="O69" s="892"/>
      <c r="P69" s="892"/>
      <c r="Q69" s="892"/>
      <c r="R69" s="892"/>
    </row>
    <row r="70" customFormat="false" ht="12.75" hidden="false" customHeight="false" outlineLevel="0" collapsed="false">
      <c r="H70" s="0"/>
      <c r="I70" s="0"/>
      <c r="J70" s="892"/>
      <c r="K70" s="892"/>
      <c r="L70" s="892"/>
      <c r="M70" s="892"/>
      <c r="N70" s="892"/>
      <c r="O70" s="892"/>
      <c r="P70" s="892"/>
      <c r="Q70" s="892"/>
      <c r="R70" s="892"/>
    </row>
    <row r="71" customFormat="false" ht="12.75" hidden="false" customHeight="false" outlineLevel="0" collapsed="false">
      <c r="H71" s="0"/>
      <c r="I71" s="0"/>
      <c r="J71" s="892"/>
      <c r="K71" s="892"/>
      <c r="L71" s="892"/>
      <c r="M71" s="892"/>
      <c r="N71" s="892"/>
      <c r="O71" s="892"/>
      <c r="P71" s="892"/>
      <c r="Q71" s="892"/>
      <c r="R71" s="892"/>
    </row>
    <row r="72" customFormat="false" ht="12.75" hidden="false" customHeight="false" outlineLevel="0" collapsed="false">
      <c r="H72" s="0"/>
      <c r="I72" s="0"/>
      <c r="J72" s="892"/>
      <c r="K72" s="892"/>
      <c r="L72" s="892"/>
      <c r="M72" s="892"/>
      <c r="N72" s="892"/>
      <c r="O72" s="892"/>
      <c r="P72" s="892"/>
      <c r="Q72" s="892"/>
      <c r="R72" s="892"/>
    </row>
    <row r="73" customFormat="false" ht="12.75" hidden="false" customHeight="false" outlineLevel="0" collapsed="false">
      <c r="G73" s="910"/>
      <c r="H73" s="0"/>
      <c r="I73" s="0"/>
      <c r="J73" s="892"/>
      <c r="K73" s="892"/>
      <c r="L73" s="892"/>
      <c r="M73" s="892"/>
      <c r="N73" s="892"/>
      <c r="O73" s="892"/>
      <c r="P73" s="892"/>
      <c r="Q73" s="892"/>
      <c r="R73" s="892"/>
    </row>
    <row r="74" customFormat="false" ht="12.75" hidden="false" customHeight="false" outlineLevel="0" collapsed="false">
      <c r="G74" s="910"/>
      <c r="H74" s="0"/>
      <c r="I74" s="0"/>
      <c r="J74" s="892"/>
      <c r="K74" s="892"/>
      <c r="L74" s="892"/>
      <c r="M74" s="892"/>
      <c r="N74" s="892"/>
      <c r="O74" s="892"/>
      <c r="P74" s="892"/>
      <c r="Q74" s="892"/>
      <c r="R74" s="892"/>
    </row>
    <row r="75" customFormat="false" ht="12.75" hidden="false" customHeight="false" outlineLevel="0" collapsed="false">
      <c r="H75" s="0"/>
      <c r="I75" s="0"/>
      <c r="J75" s="892"/>
      <c r="K75" s="892"/>
      <c r="L75" s="892"/>
      <c r="M75" s="892"/>
      <c r="N75" s="892"/>
      <c r="O75" s="892"/>
      <c r="P75" s="892"/>
      <c r="Q75" s="892"/>
      <c r="R75" s="892"/>
    </row>
    <row r="76" customFormat="false" ht="12.75" hidden="false" customHeight="false" outlineLevel="0" collapsed="false">
      <c r="H76" s="0"/>
      <c r="I76" s="0"/>
      <c r="J76" s="892"/>
      <c r="K76" s="892"/>
      <c r="L76" s="892"/>
      <c r="M76" s="892"/>
      <c r="N76" s="892"/>
      <c r="O76" s="892"/>
      <c r="P76" s="892"/>
      <c r="Q76" s="892"/>
      <c r="R76" s="892"/>
    </row>
    <row r="77" customFormat="false" ht="12.75" hidden="false" customHeight="false" outlineLevel="0" collapsed="false">
      <c r="H77" s="0"/>
      <c r="I77" s="0"/>
      <c r="J77" s="892"/>
      <c r="K77" s="892"/>
      <c r="L77" s="892"/>
      <c r="M77" s="892"/>
      <c r="N77" s="892"/>
      <c r="O77" s="892"/>
      <c r="P77" s="892"/>
      <c r="Q77" s="892"/>
      <c r="R77" s="892"/>
    </row>
    <row r="78" customFormat="false" ht="12.75" hidden="false" customHeight="false" outlineLevel="0" collapsed="false">
      <c r="H78" s="0"/>
      <c r="I78" s="0"/>
      <c r="J78" s="892"/>
      <c r="K78" s="892"/>
      <c r="L78" s="892"/>
      <c r="M78" s="892"/>
      <c r="N78" s="892"/>
      <c r="O78" s="892"/>
      <c r="P78" s="892"/>
      <c r="Q78" s="892"/>
      <c r="R78" s="892"/>
    </row>
    <row r="79" customFormat="false" ht="12.75" hidden="false" customHeight="false" outlineLevel="0" collapsed="false">
      <c r="G79" s="910"/>
      <c r="H79" s="0"/>
      <c r="I79" s="0"/>
      <c r="J79" s="892"/>
      <c r="K79" s="892"/>
      <c r="L79" s="892"/>
      <c r="M79" s="892"/>
      <c r="N79" s="892"/>
      <c r="O79" s="892"/>
      <c r="P79" s="892"/>
      <c r="Q79" s="892"/>
      <c r="R79" s="892"/>
    </row>
    <row r="80" customFormat="false" ht="12.75" hidden="false" customHeight="false" outlineLevel="0" collapsed="false">
      <c r="G80" s="910"/>
      <c r="H80" s="0"/>
      <c r="I80" s="0"/>
      <c r="J80" s="892"/>
      <c r="K80" s="892"/>
      <c r="L80" s="892"/>
      <c r="M80" s="892"/>
      <c r="N80" s="892"/>
      <c r="O80" s="892"/>
      <c r="P80" s="892"/>
      <c r="Q80" s="892"/>
      <c r="R80" s="892"/>
    </row>
    <row r="81" customFormat="false" ht="12.75" hidden="false" customHeight="false" outlineLevel="0" collapsed="false">
      <c r="A81" s="896"/>
      <c r="B81" s="904"/>
      <c r="C81" s="923"/>
      <c r="D81" s="923"/>
      <c r="G81" s="910"/>
      <c r="H81" s="0"/>
      <c r="I81" s="0"/>
      <c r="J81" s="892"/>
      <c r="K81" s="892"/>
      <c r="L81" s="892"/>
      <c r="M81" s="892"/>
      <c r="N81" s="892"/>
      <c r="O81" s="892"/>
      <c r="P81" s="892"/>
      <c r="Q81" s="892"/>
      <c r="R81" s="892"/>
    </row>
    <row r="82" customFormat="false" ht="12.75" hidden="false" customHeight="false" outlineLevel="0" collapsed="false">
      <c r="A82" s="6"/>
      <c r="B82" s="6"/>
      <c r="C82" s="6"/>
      <c r="D82" s="6"/>
      <c r="E82" s="6"/>
      <c r="F82" s="6"/>
      <c r="G82" s="6"/>
      <c r="H82" s="0"/>
      <c r="I82" s="0"/>
      <c r="J82" s="892"/>
      <c r="K82" s="892"/>
      <c r="L82" s="892"/>
      <c r="M82" s="892"/>
      <c r="N82" s="892"/>
      <c r="O82" s="892"/>
      <c r="P82" s="892"/>
      <c r="Q82" s="892"/>
      <c r="R82" s="892"/>
    </row>
    <row r="83" customFormat="false" ht="12.75" hidden="false" customHeight="false" outlineLevel="0" collapsed="false">
      <c r="A83" s="6"/>
      <c r="B83" s="6"/>
      <c r="C83" s="6"/>
      <c r="D83" s="6"/>
      <c r="E83" s="6"/>
      <c r="F83" s="6"/>
      <c r="G83" s="6"/>
      <c r="H83" s="0"/>
      <c r="I83" s="0"/>
      <c r="J83" s="892"/>
      <c r="K83" s="892"/>
      <c r="L83" s="892"/>
      <c r="M83" s="892"/>
      <c r="N83" s="892"/>
      <c r="O83" s="892"/>
      <c r="P83" s="892"/>
      <c r="Q83" s="892"/>
      <c r="R83" s="892"/>
    </row>
    <row r="84" customFormat="false" ht="12.75" hidden="false" customHeight="false" outlineLevel="0" collapsed="false">
      <c r="A84" s="6"/>
      <c r="B84" s="6"/>
      <c r="C84" s="6"/>
      <c r="D84" s="6"/>
      <c r="E84" s="6"/>
      <c r="F84" s="6"/>
      <c r="G84" s="6"/>
      <c r="H84" s="0"/>
      <c r="I84" s="0"/>
      <c r="J84" s="892"/>
      <c r="K84" s="892"/>
      <c r="L84" s="892"/>
      <c r="M84" s="892"/>
      <c r="N84" s="892"/>
      <c r="O84" s="892"/>
      <c r="P84" s="892"/>
      <c r="Q84" s="892"/>
      <c r="R84" s="892"/>
    </row>
    <row r="85" customFormat="false" ht="12.75" hidden="false" customHeight="false" outlineLevel="0" collapsed="false">
      <c r="A85" s="6"/>
      <c r="B85" s="6"/>
      <c r="C85" s="6"/>
      <c r="D85" s="6"/>
      <c r="E85" s="6"/>
      <c r="F85" s="6"/>
      <c r="G85" s="6"/>
      <c r="H85" s="0"/>
      <c r="I85" s="0"/>
      <c r="J85" s="892"/>
      <c r="K85" s="892"/>
      <c r="L85" s="892"/>
      <c r="M85" s="892"/>
      <c r="N85" s="892"/>
      <c r="O85" s="892"/>
      <c r="P85" s="892"/>
      <c r="Q85" s="892"/>
      <c r="R85" s="892"/>
    </row>
    <row r="86" customFormat="false" ht="12.75" hidden="false" customHeight="false" outlineLevel="0" collapsed="false">
      <c r="A86" s="6"/>
      <c r="B86" s="6"/>
      <c r="C86" s="6"/>
      <c r="D86" s="6"/>
      <c r="E86" s="6"/>
      <c r="F86" s="6"/>
      <c r="G86" s="6"/>
      <c r="H86" s="0"/>
      <c r="I86" s="0"/>
      <c r="J86" s="892"/>
      <c r="K86" s="892"/>
      <c r="L86" s="892"/>
      <c r="M86" s="892"/>
      <c r="N86" s="892"/>
      <c r="O86" s="892"/>
      <c r="P86" s="892"/>
      <c r="Q86" s="892"/>
      <c r="R86" s="892"/>
    </row>
    <row r="87" customFormat="false" ht="12.75" hidden="false" customHeight="false" outlineLevel="0" collapsed="false">
      <c r="A87" s="6"/>
      <c r="B87" s="6"/>
      <c r="C87" s="6"/>
      <c r="D87" s="6"/>
      <c r="E87" s="6"/>
      <c r="F87" s="6"/>
      <c r="G87" s="6"/>
      <c r="H87" s="0"/>
      <c r="I87" s="0"/>
      <c r="J87" s="892"/>
      <c r="K87" s="892"/>
      <c r="L87" s="892"/>
      <c r="M87" s="892"/>
      <c r="N87" s="892"/>
      <c r="O87" s="892"/>
      <c r="P87" s="892"/>
      <c r="Q87" s="892"/>
      <c r="R87" s="892"/>
    </row>
    <row r="88" customFormat="false" ht="12.75" hidden="false" customHeight="false" outlineLevel="0" collapsed="false">
      <c r="A88" s="6"/>
      <c r="B88" s="6"/>
      <c r="C88" s="6"/>
      <c r="D88" s="6"/>
      <c r="E88" s="6"/>
      <c r="F88" s="6"/>
      <c r="G88" s="6"/>
      <c r="H88" s="0"/>
      <c r="I88" s="0"/>
      <c r="J88" s="892"/>
      <c r="K88" s="892"/>
      <c r="L88" s="892"/>
      <c r="M88" s="892"/>
      <c r="N88" s="892"/>
      <c r="O88" s="892"/>
      <c r="P88" s="892"/>
      <c r="Q88" s="892"/>
      <c r="R88" s="892"/>
    </row>
    <row r="89" customFormat="false" ht="11.45" hidden="false" customHeight="true" outlineLevel="0" collapsed="false">
      <c r="A89" s="896"/>
      <c r="B89" s="904"/>
      <c r="C89" s="923"/>
      <c r="D89" s="923"/>
      <c r="G89" s="910"/>
      <c r="H89" s="0"/>
      <c r="I89" s="0"/>
      <c r="J89" s="892"/>
      <c r="K89" s="892"/>
      <c r="L89" s="892"/>
      <c r="M89" s="892"/>
      <c r="N89" s="892"/>
      <c r="O89" s="892"/>
      <c r="P89" s="892"/>
      <c r="Q89" s="892"/>
      <c r="R89" s="892"/>
    </row>
    <row r="90" customFormat="false" ht="11.45" hidden="false" customHeight="true" outlineLevel="0" collapsed="false">
      <c r="A90" s="896"/>
      <c r="B90" s="904"/>
      <c r="C90" s="904"/>
      <c r="D90" s="904"/>
      <c r="E90" s="923"/>
      <c r="H90" s="910"/>
      <c r="I90" s="910"/>
      <c r="K90" s="892"/>
      <c r="L90" s="892"/>
      <c r="M90" s="892"/>
      <c r="N90" s="892"/>
      <c r="O90" s="892"/>
      <c r="P90" s="892"/>
      <c r="Q90" s="892"/>
      <c r="R90" s="892"/>
      <c r="S90" s="892"/>
    </row>
    <row r="91" customFormat="false" ht="11.45" hidden="false" customHeight="true" outlineLevel="0" collapsed="false">
      <c r="A91" s="904"/>
      <c r="B91" s="896"/>
      <c r="C91" s="896"/>
      <c r="D91" s="896"/>
      <c r="E91" s="943"/>
      <c r="F91" s="943"/>
      <c r="G91" s="943"/>
      <c r="H91" s="943"/>
      <c r="I91" s="943"/>
      <c r="J91" s="944"/>
      <c r="K91" s="944"/>
      <c r="L91" s="944"/>
      <c r="M91" s="944"/>
      <c r="N91" s="944"/>
      <c r="O91" s="944"/>
      <c r="P91" s="944"/>
      <c r="Q91" s="944"/>
      <c r="R91" s="944"/>
      <c r="S91" s="944"/>
      <c r="T91" s="944"/>
      <c r="U91" s="944"/>
      <c r="V91" s="944"/>
      <c r="W91" s="944"/>
      <c r="X91" s="944"/>
      <c r="Y91" s="944"/>
      <c r="Z91" s="944"/>
      <c r="AA91" s="944"/>
      <c r="AB91" s="944"/>
      <c r="AC91" s="944"/>
      <c r="AD91" s="944"/>
      <c r="AE91" s="944"/>
      <c r="AF91" s="944"/>
    </row>
    <row r="92" customFormat="false" ht="11.45" hidden="false" customHeight="true" outlineLevel="0" collapsed="false">
      <c r="A92" s="904"/>
      <c r="B92" s="896"/>
      <c r="C92" s="896"/>
      <c r="D92" s="896"/>
      <c r="E92" s="945"/>
      <c r="F92" s="945"/>
      <c r="G92" s="945"/>
      <c r="H92" s="945"/>
      <c r="I92" s="945"/>
      <c r="J92" s="946"/>
      <c r="K92" s="946"/>
      <c r="L92" s="946"/>
      <c r="M92" s="946"/>
      <c r="N92" s="946"/>
      <c r="O92" s="946"/>
      <c r="P92" s="946"/>
      <c r="Q92" s="946"/>
      <c r="R92" s="946"/>
      <c r="S92" s="946"/>
      <c r="T92" s="946"/>
      <c r="U92" s="946"/>
      <c r="V92" s="946"/>
      <c r="W92" s="946"/>
      <c r="X92" s="946"/>
      <c r="Y92" s="946"/>
      <c r="Z92" s="946"/>
      <c r="AA92" s="946"/>
      <c r="AB92" s="946"/>
      <c r="AC92" s="946"/>
      <c r="AD92" s="946"/>
      <c r="AE92" s="946"/>
      <c r="AF92" s="946"/>
    </row>
    <row r="93" customFormat="false" ht="11.45" hidden="false" customHeight="true" outlineLevel="0" collapsed="false">
      <c r="A93" s="896"/>
      <c r="B93" s="904"/>
      <c r="C93" s="904"/>
      <c r="D93" s="904"/>
      <c r="E93" s="923"/>
      <c r="H93" s="910"/>
      <c r="I93" s="910"/>
      <c r="K93" s="892"/>
      <c r="L93" s="892"/>
      <c r="M93" s="892"/>
      <c r="N93" s="892"/>
      <c r="O93" s="892"/>
      <c r="P93" s="892"/>
      <c r="Q93" s="892"/>
      <c r="R93" s="892"/>
      <c r="S93" s="892"/>
    </row>
    <row r="94" customFormat="false" ht="11.45" hidden="false" customHeight="true" outlineLevel="0" collapsed="false">
      <c r="A94" s="896"/>
      <c r="B94" s="904"/>
      <c r="C94" s="904"/>
      <c r="D94" s="904"/>
      <c r="E94" s="904"/>
      <c r="F94" s="904"/>
      <c r="G94" s="904"/>
      <c r="H94" s="904"/>
      <c r="I94" s="904"/>
      <c r="J94" s="947"/>
      <c r="K94" s="947"/>
      <c r="L94" s="947"/>
      <c r="M94" s="947"/>
      <c r="N94" s="947"/>
      <c r="O94" s="947"/>
      <c r="P94" s="947"/>
      <c r="Q94" s="947"/>
      <c r="R94" s="947"/>
      <c r="S94" s="947"/>
      <c r="T94" s="947"/>
      <c r="U94" s="947"/>
      <c r="V94" s="947"/>
      <c r="W94" s="947"/>
      <c r="X94" s="947"/>
      <c r="Y94" s="947"/>
      <c r="Z94" s="947"/>
      <c r="AA94" s="947"/>
      <c r="AB94" s="947"/>
      <c r="AC94" s="947"/>
      <c r="AD94" s="947"/>
      <c r="AE94" s="947"/>
      <c r="AF94" s="947"/>
    </row>
    <row r="95" customFormat="false" ht="11.45" hidden="false" customHeight="true" outlineLevel="0" collapsed="false">
      <c r="A95" s="896"/>
      <c r="B95" s="896"/>
      <c r="C95" s="896"/>
      <c r="D95" s="896"/>
      <c r="E95" s="943"/>
      <c r="F95" s="943"/>
      <c r="G95" s="943"/>
      <c r="H95" s="943"/>
      <c r="I95" s="943"/>
      <c r="J95" s="944"/>
      <c r="K95" s="944"/>
      <c r="L95" s="944"/>
      <c r="M95" s="944"/>
      <c r="N95" s="944"/>
      <c r="O95" s="944"/>
      <c r="P95" s="944"/>
      <c r="Q95" s="944"/>
      <c r="R95" s="944"/>
      <c r="S95" s="944"/>
      <c r="T95" s="944"/>
      <c r="U95" s="944"/>
      <c r="V95" s="944"/>
      <c r="W95" s="944"/>
      <c r="X95" s="944"/>
      <c r="Y95" s="944"/>
      <c r="Z95" s="944"/>
      <c r="AA95" s="944"/>
      <c r="AB95" s="944"/>
      <c r="AC95" s="944"/>
      <c r="AD95" s="944"/>
      <c r="AE95" s="944"/>
      <c r="AF95" s="944"/>
    </row>
    <row r="96" customFormat="false" ht="11.45" hidden="false" customHeight="true" outlineLevel="0" collapsed="false">
      <c r="A96" s="896"/>
      <c r="B96" s="904"/>
      <c r="C96" s="904"/>
      <c r="D96" s="904"/>
      <c r="E96" s="904"/>
      <c r="F96" s="948"/>
      <c r="G96" s="948"/>
      <c r="H96" s="948"/>
      <c r="I96" s="948"/>
      <c r="J96" s="949"/>
      <c r="K96" s="949"/>
      <c r="L96" s="949"/>
      <c r="M96" s="949"/>
      <c r="N96" s="949"/>
      <c r="O96" s="949"/>
      <c r="P96" s="949"/>
      <c r="Q96" s="949"/>
      <c r="R96" s="949"/>
      <c r="S96" s="949"/>
      <c r="T96" s="949"/>
      <c r="U96" s="949"/>
      <c r="V96" s="949"/>
      <c r="W96" s="949"/>
      <c r="X96" s="949"/>
      <c r="Y96" s="949"/>
      <c r="Z96" s="949"/>
      <c r="AA96" s="949"/>
      <c r="AB96" s="949"/>
      <c r="AC96" s="949"/>
      <c r="AD96" s="949"/>
      <c r="AE96" s="949"/>
      <c r="AF96" s="949"/>
    </row>
    <row r="97" customFormat="false" ht="11.45" hidden="false" customHeight="true" outlineLevel="0" collapsed="false">
      <c r="A97" s="896"/>
      <c r="B97" s="896"/>
      <c r="C97" s="896"/>
      <c r="D97" s="896"/>
      <c r="E97" s="904"/>
      <c r="F97" s="948"/>
      <c r="G97" s="948"/>
      <c r="H97" s="948"/>
      <c r="I97" s="948"/>
      <c r="J97" s="949"/>
      <c r="K97" s="949"/>
      <c r="L97" s="949"/>
      <c r="M97" s="949"/>
      <c r="N97" s="949"/>
      <c r="O97" s="949"/>
      <c r="P97" s="949"/>
      <c r="Q97" s="949"/>
      <c r="R97" s="949"/>
      <c r="S97" s="949"/>
      <c r="T97" s="949"/>
      <c r="U97" s="949"/>
      <c r="V97" s="949"/>
      <c r="W97" s="949"/>
      <c r="X97" s="949"/>
      <c r="Y97" s="949"/>
      <c r="Z97" s="949"/>
      <c r="AA97" s="949"/>
      <c r="AB97" s="949"/>
      <c r="AC97" s="949"/>
      <c r="AD97" s="949"/>
      <c r="AE97" s="949"/>
      <c r="AF97" s="949"/>
    </row>
    <row r="98" customFormat="false" ht="11.45" hidden="false" customHeight="true" outlineLevel="0" collapsed="false">
      <c r="A98" s="896"/>
      <c r="B98" s="896"/>
      <c r="C98" s="896"/>
      <c r="D98" s="896"/>
      <c r="E98" s="904"/>
      <c r="F98" s="948"/>
      <c r="G98" s="948"/>
      <c r="H98" s="948"/>
      <c r="I98" s="948"/>
      <c r="J98" s="949"/>
      <c r="K98" s="949"/>
      <c r="L98" s="949"/>
      <c r="M98" s="949"/>
      <c r="N98" s="949"/>
      <c r="O98" s="949"/>
      <c r="P98" s="949"/>
      <c r="Q98" s="949"/>
      <c r="R98" s="949"/>
      <c r="S98" s="949"/>
      <c r="T98" s="949"/>
      <c r="U98" s="949"/>
      <c r="V98" s="949"/>
      <c r="W98" s="949"/>
      <c r="X98" s="949"/>
      <c r="Y98" s="949"/>
      <c r="Z98" s="949"/>
      <c r="AA98" s="949"/>
      <c r="AB98" s="949"/>
      <c r="AC98" s="949"/>
      <c r="AD98" s="949"/>
      <c r="AE98" s="949"/>
      <c r="AF98" s="949"/>
    </row>
    <row r="99" customFormat="false" ht="12.75" hidden="false" customHeight="false" outlineLevel="0" collapsed="false">
      <c r="A99" s="6"/>
      <c r="B99" s="6"/>
      <c r="C99" s="6"/>
      <c r="D99" s="6"/>
      <c r="E99" s="6"/>
      <c r="F99" s="6"/>
      <c r="G99" s="6"/>
      <c r="H99" s="6"/>
      <c r="J99" s="892"/>
      <c r="K99" s="892"/>
      <c r="L99" s="892"/>
      <c r="M99" s="892"/>
      <c r="N99" s="892"/>
      <c r="O99" s="892"/>
      <c r="P99" s="892"/>
      <c r="Q99" s="892"/>
      <c r="R99" s="892"/>
    </row>
    <row r="100" customFormat="false" ht="12.75" hidden="false" customHeight="false" outlineLevel="0" collapsed="false">
      <c r="A100" s="6"/>
      <c r="B100" s="6"/>
      <c r="C100" s="6"/>
      <c r="D100" s="6"/>
      <c r="E100" s="6"/>
      <c r="F100" s="6"/>
      <c r="G100" s="6"/>
      <c r="H100" s="6"/>
      <c r="J100" s="892"/>
      <c r="K100" s="892"/>
      <c r="L100" s="892"/>
      <c r="M100" s="892"/>
      <c r="N100" s="892"/>
      <c r="O100" s="892"/>
      <c r="P100" s="892"/>
      <c r="Q100" s="892"/>
      <c r="R100" s="892"/>
    </row>
    <row r="101" customFormat="false" ht="12.75" hidden="false" customHeight="false" outlineLevel="0" collapsed="false">
      <c r="A101" s="6"/>
      <c r="B101" s="6"/>
      <c r="C101" s="6"/>
      <c r="D101" s="6"/>
      <c r="E101" s="6"/>
      <c r="F101" s="6"/>
      <c r="G101" s="6"/>
      <c r="H101" s="6"/>
      <c r="J101" s="892"/>
      <c r="K101" s="892"/>
      <c r="L101" s="892"/>
      <c r="M101" s="892"/>
      <c r="N101" s="892"/>
      <c r="O101" s="892"/>
      <c r="P101" s="892"/>
      <c r="Q101" s="892"/>
      <c r="R101" s="892"/>
    </row>
    <row r="102" customFormat="false" ht="12.75" hidden="false" customHeight="false" outlineLevel="0" collapsed="false">
      <c r="A102" s="6"/>
      <c r="B102" s="6"/>
      <c r="C102" s="6"/>
      <c r="D102" s="6"/>
      <c r="E102" s="6"/>
      <c r="F102" s="6"/>
      <c r="G102" s="6"/>
      <c r="H102" s="6"/>
      <c r="J102" s="892"/>
      <c r="K102" s="892"/>
      <c r="L102" s="892"/>
      <c r="M102" s="892"/>
      <c r="N102" s="892"/>
      <c r="O102" s="892"/>
      <c r="P102" s="892"/>
      <c r="Q102" s="892"/>
      <c r="R102" s="892"/>
    </row>
    <row r="103" customFormat="false" ht="12.75" hidden="false" customHeight="false" outlineLevel="0" collapsed="false">
      <c r="A103" s="6"/>
      <c r="B103" s="6"/>
      <c r="C103" s="6"/>
      <c r="D103" s="6"/>
      <c r="E103" s="6"/>
      <c r="F103" s="6"/>
      <c r="G103" s="6"/>
      <c r="H103" s="6"/>
      <c r="J103" s="892"/>
      <c r="K103" s="892"/>
      <c r="L103" s="892"/>
      <c r="M103" s="892"/>
      <c r="N103" s="892"/>
      <c r="O103" s="892"/>
      <c r="P103" s="892"/>
      <c r="Q103" s="892"/>
      <c r="R103" s="892"/>
    </row>
    <row r="104" customFormat="false" ht="12.75" hidden="false" customHeight="false" outlineLevel="0" collapsed="false">
      <c r="A104" s="6"/>
      <c r="B104" s="6"/>
      <c r="C104" s="6"/>
      <c r="D104" s="6"/>
      <c r="E104" s="6"/>
      <c r="F104" s="6"/>
      <c r="G104" s="6"/>
      <c r="H104" s="6"/>
      <c r="J104" s="892"/>
      <c r="K104" s="892"/>
      <c r="L104" s="892"/>
      <c r="M104" s="892"/>
      <c r="N104" s="892"/>
      <c r="O104" s="892"/>
      <c r="P104" s="892"/>
      <c r="Q104" s="892"/>
      <c r="R104" s="892"/>
    </row>
    <row r="105" customFormat="false" ht="12.75" hidden="false" customHeight="false" outlineLevel="0" collapsed="false">
      <c r="A105" s="6"/>
      <c r="B105" s="6"/>
      <c r="C105" s="6"/>
      <c r="D105" s="6"/>
      <c r="E105" s="6"/>
      <c r="F105" s="6"/>
      <c r="G105" s="6"/>
      <c r="H105" s="6"/>
      <c r="J105" s="892"/>
      <c r="K105" s="892"/>
      <c r="L105" s="892"/>
      <c r="M105" s="892"/>
      <c r="N105" s="892"/>
      <c r="O105" s="892"/>
      <c r="P105" s="892"/>
      <c r="Q105" s="892"/>
      <c r="R105" s="892"/>
    </row>
    <row r="106" customFormat="false" ht="12.75" hidden="false" customHeight="false" outlineLevel="0" collapsed="false">
      <c r="A106" s="6"/>
      <c r="B106" s="6"/>
      <c r="C106" s="6"/>
      <c r="D106" s="6"/>
      <c r="E106" s="6"/>
      <c r="F106" s="6"/>
      <c r="G106" s="6"/>
      <c r="H106" s="6"/>
      <c r="J106" s="892"/>
      <c r="K106" s="892"/>
      <c r="L106" s="892"/>
      <c r="M106" s="892"/>
      <c r="N106" s="892"/>
      <c r="O106" s="892"/>
      <c r="P106" s="892"/>
      <c r="Q106" s="892"/>
      <c r="R106" s="892"/>
    </row>
    <row r="107" customFormat="false" ht="12.75" hidden="false" customHeight="false" outlineLevel="0" collapsed="false">
      <c r="A107" s="6"/>
      <c r="B107" s="6"/>
      <c r="C107" s="6"/>
      <c r="D107" s="6"/>
      <c r="E107" s="6"/>
      <c r="F107" s="6"/>
      <c r="G107" s="6"/>
      <c r="H107" s="6"/>
      <c r="J107" s="892"/>
      <c r="K107" s="892"/>
      <c r="L107" s="892"/>
      <c r="M107" s="892"/>
      <c r="N107" s="892"/>
      <c r="O107" s="892"/>
      <c r="P107" s="892"/>
      <c r="Q107" s="892"/>
      <c r="R107" s="892"/>
    </row>
    <row r="108" customFormat="false" ht="12.75" hidden="false" customHeight="false" outlineLevel="0" collapsed="false">
      <c r="A108" s="6"/>
      <c r="B108" s="6"/>
      <c r="C108" s="6"/>
      <c r="D108" s="6"/>
      <c r="E108" s="6"/>
      <c r="F108" s="6"/>
      <c r="G108" s="6"/>
      <c r="H108" s="6"/>
      <c r="J108" s="892"/>
      <c r="K108" s="892"/>
      <c r="L108" s="892"/>
      <c r="M108" s="892"/>
      <c r="N108" s="892"/>
      <c r="O108" s="892"/>
      <c r="P108" s="892"/>
      <c r="Q108" s="892"/>
      <c r="R108" s="892"/>
    </row>
    <row r="109" customFormat="false" ht="12.75" hidden="false" customHeight="false" outlineLevel="0" collapsed="false">
      <c r="A109" s="6"/>
      <c r="B109" s="6"/>
      <c r="C109" s="6"/>
      <c r="D109" s="6"/>
      <c r="E109" s="6"/>
      <c r="F109" s="6"/>
      <c r="G109" s="6"/>
      <c r="H109" s="6"/>
      <c r="J109" s="892"/>
      <c r="K109" s="892"/>
      <c r="L109" s="892"/>
      <c r="M109" s="892"/>
      <c r="N109" s="892"/>
      <c r="O109" s="892"/>
      <c r="P109" s="892"/>
      <c r="Q109" s="892"/>
      <c r="R109" s="892"/>
    </row>
    <row r="110" customFormat="false" ht="12.75" hidden="false" customHeight="false" outlineLevel="0" collapsed="false">
      <c r="A110" s="6"/>
      <c r="B110" s="6"/>
      <c r="C110" s="6"/>
      <c r="D110" s="6"/>
      <c r="E110" s="6"/>
      <c r="F110" s="6"/>
      <c r="G110" s="6"/>
      <c r="H110" s="6"/>
      <c r="J110" s="892"/>
      <c r="K110" s="892"/>
      <c r="L110" s="892"/>
      <c r="M110" s="892"/>
      <c r="N110" s="892"/>
      <c r="O110" s="892"/>
      <c r="P110" s="892"/>
      <c r="Q110" s="892"/>
      <c r="R110" s="892"/>
    </row>
    <row r="111" customFormat="false" ht="12.75" hidden="false" customHeight="false" outlineLevel="0" collapsed="false">
      <c r="A111" s="6"/>
      <c r="B111" s="6"/>
      <c r="C111" s="6"/>
      <c r="D111" s="6"/>
      <c r="E111" s="6"/>
      <c r="F111" s="6"/>
      <c r="G111" s="6"/>
      <c r="H111" s="6"/>
      <c r="J111" s="892"/>
      <c r="K111" s="892"/>
      <c r="L111" s="892"/>
      <c r="M111" s="892"/>
      <c r="N111" s="892"/>
      <c r="O111" s="892"/>
      <c r="P111" s="892"/>
      <c r="Q111" s="892"/>
      <c r="R111" s="892"/>
    </row>
    <row r="112" customFormat="false" ht="12.75" hidden="false" customHeight="false" outlineLevel="0" collapsed="false">
      <c r="A112" s="6"/>
      <c r="B112" s="6"/>
      <c r="C112" s="6"/>
      <c r="D112" s="6"/>
      <c r="E112" s="6"/>
      <c r="F112" s="6"/>
      <c r="G112" s="6"/>
      <c r="H112" s="6"/>
      <c r="J112" s="892"/>
      <c r="K112" s="892"/>
      <c r="L112" s="892"/>
      <c r="M112" s="892"/>
      <c r="N112" s="892"/>
      <c r="O112" s="892"/>
      <c r="P112" s="892"/>
      <c r="Q112" s="892"/>
      <c r="R112" s="892"/>
    </row>
    <row r="113" customFormat="false" ht="12.75" hidden="false" customHeight="false" outlineLevel="0" collapsed="false">
      <c r="A113" s="6"/>
      <c r="B113" s="6"/>
      <c r="C113" s="6"/>
      <c r="D113" s="6"/>
      <c r="E113" s="6"/>
      <c r="F113" s="6"/>
      <c r="G113" s="6"/>
      <c r="H113" s="6"/>
      <c r="J113" s="892"/>
      <c r="K113" s="892"/>
      <c r="L113" s="892"/>
      <c r="M113" s="892"/>
      <c r="N113" s="892"/>
      <c r="O113" s="892"/>
      <c r="P113" s="892"/>
      <c r="Q113" s="892"/>
      <c r="R113" s="892"/>
    </row>
    <row r="114" customFormat="false" ht="12.75" hidden="false" customHeight="false" outlineLevel="0" collapsed="false">
      <c r="A114" s="6"/>
      <c r="B114" s="6"/>
      <c r="C114" s="6"/>
      <c r="D114" s="6"/>
      <c r="E114" s="6"/>
      <c r="F114" s="6"/>
      <c r="G114" s="6"/>
      <c r="H114" s="6"/>
      <c r="J114" s="892"/>
      <c r="K114" s="892"/>
      <c r="L114" s="892"/>
      <c r="M114" s="892"/>
      <c r="N114" s="892"/>
      <c r="O114" s="892"/>
      <c r="P114" s="892"/>
      <c r="Q114" s="892"/>
      <c r="R114" s="892"/>
    </row>
    <row r="115" customFormat="false" ht="12.75" hidden="false" customHeight="false" outlineLevel="0" collapsed="false">
      <c r="A115" s="6"/>
      <c r="B115" s="6"/>
      <c r="C115" s="6"/>
      <c r="D115" s="6"/>
      <c r="E115" s="6"/>
      <c r="F115" s="6"/>
      <c r="G115" s="6"/>
      <c r="H115" s="6"/>
      <c r="J115" s="892"/>
      <c r="K115" s="892"/>
      <c r="L115" s="892"/>
      <c r="M115" s="892"/>
      <c r="N115" s="892"/>
      <c r="O115" s="892"/>
      <c r="P115" s="892"/>
      <c r="Q115" s="892"/>
      <c r="R115" s="892"/>
    </row>
    <row r="116" customFormat="false" ht="12.75" hidden="false" customHeight="false" outlineLevel="0" collapsed="false">
      <c r="A116" s="6"/>
      <c r="B116" s="6"/>
      <c r="C116" s="6"/>
      <c r="D116" s="6"/>
      <c r="E116" s="6"/>
      <c r="F116" s="6"/>
      <c r="G116" s="6"/>
      <c r="H116" s="6"/>
      <c r="J116" s="892"/>
      <c r="K116" s="892"/>
      <c r="L116" s="892"/>
      <c r="M116" s="892"/>
      <c r="N116" s="892"/>
      <c r="O116" s="892"/>
      <c r="P116" s="892"/>
      <c r="Q116" s="892"/>
      <c r="R116" s="892"/>
    </row>
    <row r="117" customFormat="false" ht="12.75" hidden="false" customHeight="false" outlineLevel="0" collapsed="false">
      <c r="A117" s="6"/>
      <c r="B117" s="6"/>
      <c r="C117" s="6"/>
      <c r="D117" s="6"/>
      <c r="E117" s="6"/>
      <c r="F117" s="6"/>
      <c r="G117" s="6"/>
      <c r="H117" s="6"/>
      <c r="J117" s="892"/>
      <c r="K117" s="892"/>
      <c r="L117" s="892"/>
      <c r="M117" s="892"/>
      <c r="N117" s="892"/>
      <c r="O117" s="892"/>
      <c r="P117" s="892"/>
      <c r="Q117" s="892"/>
      <c r="R117" s="892"/>
    </row>
    <row r="118" customFormat="false" ht="12.75" hidden="false" customHeight="false" outlineLevel="0" collapsed="false">
      <c r="A118" s="6"/>
      <c r="B118" s="6"/>
      <c r="C118" s="6"/>
      <c r="D118" s="6"/>
      <c r="E118" s="6"/>
      <c r="F118" s="6"/>
      <c r="G118" s="6"/>
      <c r="H118" s="6"/>
      <c r="J118" s="892"/>
      <c r="K118" s="892"/>
      <c r="L118" s="892"/>
      <c r="M118" s="892"/>
      <c r="N118" s="892"/>
      <c r="O118" s="892"/>
      <c r="P118" s="892"/>
      <c r="Q118" s="892"/>
      <c r="R118" s="892"/>
    </row>
    <row r="119" customFormat="false" ht="12.75" hidden="false" customHeight="false" outlineLevel="0" collapsed="false">
      <c r="A119" s="6"/>
      <c r="B119" s="6"/>
      <c r="C119" s="6"/>
      <c r="D119" s="6"/>
      <c r="E119" s="6"/>
      <c r="F119" s="6"/>
      <c r="G119" s="6"/>
      <c r="H119" s="6"/>
      <c r="J119" s="892"/>
      <c r="K119" s="892"/>
      <c r="L119" s="892"/>
      <c r="M119" s="892"/>
      <c r="N119" s="892"/>
      <c r="O119" s="892"/>
      <c r="P119" s="892"/>
      <c r="Q119" s="892"/>
      <c r="R119" s="892"/>
    </row>
    <row r="120" customFormat="false" ht="12.75" hidden="false" customHeight="false" outlineLevel="0" collapsed="false">
      <c r="A120" s="6"/>
      <c r="B120" s="6"/>
      <c r="C120" s="6"/>
      <c r="D120" s="6"/>
      <c r="E120" s="6"/>
      <c r="F120" s="6"/>
      <c r="G120" s="6"/>
      <c r="H120" s="6"/>
      <c r="J120" s="892"/>
      <c r="K120" s="892"/>
      <c r="L120" s="892"/>
      <c r="M120" s="892"/>
      <c r="N120" s="892"/>
      <c r="O120" s="892"/>
      <c r="P120" s="892"/>
      <c r="Q120" s="892"/>
      <c r="R120" s="892"/>
    </row>
    <row r="121" customFormat="false" ht="12.75" hidden="false" customHeight="false" outlineLevel="0" collapsed="false">
      <c r="A121" s="6"/>
      <c r="B121" s="6"/>
      <c r="C121" s="6"/>
      <c r="D121" s="6"/>
      <c r="E121" s="6"/>
      <c r="F121" s="6"/>
      <c r="G121" s="6"/>
      <c r="H121" s="6"/>
      <c r="J121" s="892"/>
      <c r="K121" s="892"/>
      <c r="L121" s="892"/>
      <c r="M121" s="892"/>
      <c r="N121" s="892"/>
      <c r="O121" s="892"/>
      <c r="P121" s="892"/>
      <c r="Q121" s="892"/>
      <c r="R121" s="892"/>
    </row>
    <row r="122" customFormat="false" ht="12.75" hidden="false" customHeight="false" outlineLevel="0" collapsed="false">
      <c r="A122" s="6"/>
      <c r="B122" s="6"/>
      <c r="C122" s="6"/>
      <c r="D122" s="6"/>
      <c r="E122" s="6"/>
      <c r="F122" s="6"/>
      <c r="G122" s="6"/>
      <c r="H122" s="6"/>
      <c r="J122" s="892"/>
      <c r="K122" s="892"/>
      <c r="L122" s="892"/>
      <c r="M122" s="892"/>
      <c r="N122" s="892"/>
      <c r="O122" s="892"/>
      <c r="P122" s="892"/>
      <c r="Q122" s="892"/>
      <c r="R122" s="892"/>
    </row>
    <row r="123" customFormat="false" ht="12.75" hidden="false" customHeight="false" outlineLevel="0" collapsed="false">
      <c r="A123" s="6"/>
      <c r="B123" s="6"/>
      <c r="C123" s="6"/>
      <c r="D123" s="6"/>
      <c r="E123" s="6"/>
      <c r="F123" s="6"/>
      <c r="G123" s="6"/>
      <c r="H123" s="6"/>
      <c r="J123" s="892"/>
      <c r="K123" s="892"/>
      <c r="L123" s="892"/>
      <c r="M123" s="892"/>
      <c r="N123" s="892"/>
      <c r="O123" s="892"/>
      <c r="P123" s="892"/>
      <c r="Q123" s="892"/>
      <c r="R123" s="892"/>
    </row>
    <row r="124" customFormat="false" ht="12.75" hidden="false" customHeight="false" outlineLevel="0" collapsed="false">
      <c r="A124" s="6"/>
      <c r="B124" s="6"/>
      <c r="C124" s="6"/>
      <c r="D124" s="6"/>
      <c r="E124" s="6"/>
      <c r="F124" s="6"/>
      <c r="G124" s="6"/>
      <c r="H124" s="6"/>
      <c r="J124" s="892"/>
      <c r="K124" s="892"/>
      <c r="L124" s="892"/>
      <c r="M124" s="892"/>
      <c r="N124" s="892"/>
      <c r="O124" s="892"/>
      <c r="P124" s="892"/>
      <c r="Q124" s="892"/>
      <c r="R124" s="892"/>
    </row>
    <row r="125" customFormat="false" ht="12.75" hidden="false" customHeight="false" outlineLevel="0" collapsed="false">
      <c r="A125" s="6"/>
      <c r="B125" s="6"/>
      <c r="C125" s="6"/>
      <c r="D125" s="6"/>
      <c r="E125" s="6"/>
      <c r="F125" s="6"/>
      <c r="G125" s="6"/>
      <c r="H125" s="6"/>
      <c r="J125" s="892"/>
      <c r="K125" s="892"/>
      <c r="L125" s="892"/>
      <c r="M125" s="892"/>
      <c r="N125" s="892"/>
      <c r="O125" s="892"/>
      <c r="P125" s="892"/>
      <c r="Q125" s="892"/>
      <c r="R125" s="892"/>
    </row>
    <row r="126" customFormat="false" ht="12.75" hidden="false" customHeight="false" outlineLevel="0" collapsed="false">
      <c r="A126" s="6"/>
      <c r="B126" s="6"/>
      <c r="C126" s="6"/>
      <c r="D126" s="6"/>
      <c r="E126" s="6"/>
      <c r="F126" s="6"/>
      <c r="G126" s="6"/>
      <c r="H126" s="6"/>
      <c r="J126" s="892"/>
      <c r="K126" s="892"/>
      <c r="L126" s="892"/>
      <c r="M126" s="892"/>
      <c r="N126" s="892"/>
      <c r="O126" s="892"/>
      <c r="P126" s="892"/>
      <c r="Q126" s="892"/>
      <c r="R126" s="892"/>
    </row>
    <row r="127" customFormat="false" ht="12.75" hidden="false" customHeight="false" outlineLevel="0" collapsed="false">
      <c r="A127" s="6"/>
      <c r="B127" s="6"/>
      <c r="C127" s="6"/>
      <c r="D127" s="6"/>
      <c r="E127" s="6"/>
      <c r="F127" s="6"/>
      <c r="G127" s="6"/>
      <c r="H127" s="6"/>
      <c r="J127" s="892"/>
      <c r="K127" s="892"/>
      <c r="L127" s="892"/>
      <c r="M127" s="892"/>
      <c r="N127" s="892"/>
      <c r="O127" s="892"/>
      <c r="P127" s="892"/>
      <c r="Q127" s="892"/>
      <c r="R127" s="892"/>
    </row>
    <row r="128" customFormat="false" ht="12.75" hidden="false" customHeight="false" outlineLevel="0" collapsed="false">
      <c r="A128" s="6"/>
      <c r="B128" s="6"/>
      <c r="C128" s="6"/>
      <c r="D128" s="6"/>
      <c r="E128" s="6"/>
      <c r="F128" s="6"/>
      <c r="G128" s="6"/>
      <c r="H128" s="6"/>
      <c r="J128" s="892"/>
      <c r="K128" s="892"/>
      <c r="L128" s="892"/>
      <c r="M128" s="892"/>
      <c r="N128" s="892"/>
      <c r="O128" s="892"/>
      <c r="P128" s="892"/>
      <c r="Q128" s="892"/>
      <c r="R128" s="892"/>
    </row>
    <row r="129" customFormat="false" ht="12.75" hidden="false" customHeight="false" outlineLevel="0" collapsed="false">
      <c r="A129" s="6"/>
      <c r="B129" s="6"/>
      <c r="C129" s="6"/>
      <c r="D129" s="6"/>
      <c r="E129" s="6"/>
      <c r="F129" s="6"/>
      <c r="G129" s="6"/>
      <c r="H129" s="6"/>
      <c r="J129" s="892"/>
      <c r="K129" s="892"/>
      <c r="L129" s="892"/>
      <c r="M129" s="892"/>
      <c r="N129" s="892"/>
      <c r="O129" s="892"/>
      <c r="P129" s="892"/>
      <c r="Q129" s="892"/>
      <c r="R129" s="892"/>
    </row>
    <row r="130" customFormat="false" ht="12.75" hidden="false" customHeight="false" outlineLevel="0" collapsed="false">
      <c r="A130" s="6"/>
      <c r="B130" s="6"/>
      <c r="C130" s="6"/>
      <c r="D130" s="6"/>
      <c r="E130" s="6"/>
      <c r="F130" s="6"/>
      <c r="G130" s="6"/>
      <c r="H130" s="6"/>
      <c r="J130" s="892"/>
      <c r="K130" s="892"/>
      <c r="L130" s="892"/>
      <c r="M130" s="892"/>
      <c r="N130" s="892"/>
      <c r="O130" s="892"/>
      <c r="P130" s="892"/>
      <c r="Q130" s="892"/>
      <c r="R130" s="892"/>
    </row>
    <row r="131" customFormat="false" ht="12.75" hidden="false" customHeight="false" outlineLevel="0" collapsed="false">
      <c r="A131" s="6"/>
      <c r="B131" s="6"/>
      <c r="C131" s="6"/>
      <c r="D131" s="6"/>
      <c r="E131" s="6"/>
      <c r="F131" s="6"/>
      <c r="G131" s="6"/>
      <c r="H131" s="6"/>
      <c r="J131" s="892"/>
      <c r="K131" s="892"/>
      <c r="L131" s="892"/>
      <c r="M131" s="892"/>
      <c r="N131" s="892"/>
      <c r="O131" s="892"/>
      <c r="P131" s="892"/>
      <c r="Q131" s="892"/>
      <c r="R131" s="892"/>
    </row>
    <row r="132" customFormat="false" ht="12.75" hidden="false" customHeight="false" outlineLevel="0" collapsed="false">
      <c r="A132" s="6"/>
      <c r="B132" s="6"/>
      <c r="C132" s="6"/>
      <c r="D132" s="6"/>
      <c r="E132" s="6"/>
      <c r="F132" s="6"/>
      <c r="G132" s="6"/>
      <c r="H132" s="6"/>
      <c r="J132" s="892"/>
      <c r="K132" s="892"/>
      <c r="L132" s="892"/>
      <c r="M132" s="892"/>
      <c r="N132" s="892"/>
      <c r="O132" s="892"/>
      <c r="P132" s="892"/>
      <c r="Q132" s="892"/>
      <c r="R132" s="892"/>
    </row>
    <row r="133" customFormat="false" ht="11.25" hidden="false" customHeight="false" outlineLevel="0" collapsed="false">
      <c r="J133" s="892"/>
      <c r="K133" s="892"/>
      <c r="L133" s="892"/>
      <c r="M133" s="892"/>
      <c r="N133" s="892"/>
      <c r="O133" s="892"/>
      <c r="P133" s="892"/>
      <c r="Q133" s="892"/>
      <c r="R133" s="892"/>
    </row>
    <row r="134" customFormat="false" ht="11.25" hidden="false" customHeight="false" outlineLevel="0" collapsed="false">
      <c r="J134" s="892"/>
      <c r="K134" s="892"/>
      <c r="L134" s="892"/>
      <c r="M134" s="892"/>
      <c r="N134" s="892"/>
      <c r="O134" s="892"/>
      <c r="P134" s="892"/>
      <c r="Q134" s="892"/>
      <c r="R134" s="892"/>
    </row>
    <row r="135" customFormat="false" ht="11.25" hidden="false" customHeight="false" outlineLevel="0" collapsed="false">
      <c r="J135" s="892"/>
      <c r="K135" s="892"/>
      <c r="L135" s="892"/>
      <c r="M135" s="892"/>
      <c r="N135" s="892"/>
      <c r="O135" s="892"/>
      <c r="P135" s="892"/>
      <c r="Q135" s="892"/>
      <c r="R135" s="892"/>
    </row>
    <row r="136" customFormat="false" ht="11.25" hidden="false" customHeight="false" outlineLevel="0" collapsed="false">
      <c r="J136" s="892"/>
      <c r="K136" s="892"/>
      <c r="L136" s="892"/>
      <c r="M136" s="892"/>
      <c r="N136" s="892"/>
      <c r="O136" s="892"/>
      <c r="P136" s="892"/>
      <c r="Q136" s="892"/>
      <c r="R136" s="892"/>
    </row>
    <row r="137" customFormat="false" ht="11.25" hidden="false" customHeight="false" outlineLevel="0" collapsed="false">
      <c r="J137" s="892"/>
      <c r="K137" s="892"/>
      <c r="L137" s="892"/>
      <c r="M137" s="892"/>
      <c r="N137" s="892"/>
      <c r="O137" s="892"/>
      <c r="P137" s="892"/>
      <c r="Q137" s="892"/>
      <c r="R137" s="892"/>
    </row>
    <row r="138" customFormat="false" ht="11.25" hidden="false" customHeight="false" outlineLevel="0" collapsed="false">
      <c r="J138" s="892"/>
      <c r="K138" s="892"/>
      <c r="L138" s="892"/>
      <c r="M138" s="892"/>
      <c r="N138" s="892"/>
      <c r="O138" s="892"/>
      <c r="P138" s="892"/>
      <c r="Q138" s="892"/>
      <c r="R138" s="892"/>
    </row>
    <row r="139" customFormat="false" ht="11.25" hidden="false" customHeight="false" outlineLevel="0" collapsed="false">
      <c r="J139" s="892"/>
      <c r="K139" s="892"/>
      <c r="L139" s="892"/>
      <c r="M139" s="892"/>
      <c r="N139" s="892"/>
      <c r="O139" s="892"/>
      <c r="P139" s="892"/>
      <c r="Q139" s="892"/>
      <c r="R139" s="892"/>
    </row>
    <row r="140" customFormat="false" ht="11.25" hidden="false" customHeight="false" outlineLevel="0" collapsed="false">
      <c r="J140" s="892"/>
      <c r="K140" s="892"/>
      <c r="L140" s="892"/>
      <c r="M140" s="892"/>
      <c r="N140" s="892"/>
      <c r="O140" s="892"/>
      <c r="P140" s="892"/>
      <c r="Q140" s="892"/>
      <c r="R140" s="892"/>
    </row>
    <row r="141" customFormat="false" ht="11.25" hidden="false" customHeight="false" outlineLevel="0" collapsed="false">
      <c r="J141" s="892"/>
      <c r="K141" s="892"/>
      <c r="L141" s="892"/>
      <c r="M141" s="892"/>
      <c r="N141" s="892"/>
      <c r="O141" s="892"/>
      <c r="P141" s="892"/>
      <c r="Q141" s="892"/>
      <c r="R141" s="892"/>
    </row>
    <row r="142" customFormat="false" ht="11.25" hidden="false" customHeight="false" outlineLevel="0" collapsed="false">
      <c r="J142" s="892"/>
      <c r="K142" s="892"/>
      <c r="L142" s="892"/>
      <c r="M142" s="892"/>
      <c r="N142" s="892"/>
      <c r="O142" s="892"/>
      <c r="P142" s="892"/>
      <c r="Q142" s="892"/>
      <c r="R142" s="892"/>
    </row>
    <row r="143" customFormat="false" ht="11.25" hidden="false" customHeight="false" outlineLevel="0" collapsed="false">
      <c r="J143" s="892"/>
      <c r="K143" s="892"/>
      <c r="L143" s="892"/>
      <c r="M143" s="892"/>
      <c r="N143" s="892"/>
      <c r="O143" s="892"/>
      <c r="P143" s="892"/>
      <c r="Q143" s="892"/>
      <c r="R143" s="892"/>
    </row>
    <row r="144" customFormat="false" ht="11.25" hidden="false" customHeight="false" outlineLevel="0" collapsed="false">
      <c r="J144" s="892"/>
      <c r="K144" s="892"/>
      <c r="L144" s="892"/>
      <c r="M144" s="892"/>
      <c r="N144" s="892"/>
      <c r="O144" s="892"/>
      <c r="P144" s="892"/>
      <c r="Q144" s="892"/>
      <c r="R144" s="892"/>
    </row>
    <row r="145" customFormat="false" ht="11.25" hidden="false" customHeight="false" outlineLevel="0" collapsed="false">
      <c r="J145" s="892"/>
      <c r="K145" s="892"/>
      <c r="L145" s="892"/>
      <c r="M145" s="892"/>
      <c r="N145" s="892"/>
      <c r="O145" s="892"/>
      <c r="P145" s="892"/>
      <c r="Q145" s="892"/>
      <c r="R145" s="892"/>
    </row>
    <row r="146" customFormat="false" ht="11.25" hidden="false" customHeight="false" outlineLevel="0" collapsed="false">
      <c r="J146" s="892"/>
      <c r="K146" s="892"/>
      <c r="L146" s="892"/>
      <c r="M146" s="892"/>
      <c r="N146" s="892"/>
      <c r="O146" s="892"/>
      <c r="P146" s="892"/>
      <c r="Q146" s="892"/>
      <c r="R146" s="892"/>
    </row>
    <row r="147" customFormat="false" ht="11.25" hidden="false" customHeight="false" outlineLevel="0" collapsed="false">
      <c r="J147" s="892"/>
      <c r="K147" s="892"/>
      <c r="L147" s="892"/>
      <c r="M147" s="892"/>
      <c r="N147" s="892"/>
      <c r="O147" s="892"/>
      <c r="P147" s="892"/>
      <c r="Q147" s="892"/>
      <c r="R147" s="892"/>
    </row>
    <row r="148" customFormat="false" ht="11.25" hidden="false" customHeight="false" outlineLevel="0" collapsed="false">
      <c r="J148" s="892"/>
      <c r="K148" s="892"/>
      <c r="L148" s="892"/>
      <c r="M148" s="892"/>
      <c r="N148" s="892"/>
      <c r="O148" s="892"/>
      <c r="P148" s="892"/>
      <c r="Q148" s="892"/>
      <c r="R148" s="892"/>
    </row>
    <row r="149" customFormat="false" ht="11.25" hidden="false" customHeight="false" outlineLevel="0" collapsed="false">
      <c r="J149" s="892"/>
      <c r="K149" s="892"/>
      <c r="L149" s="892"/>
      <c r="M149" s="892"/>
      <c r="N149" s="892"/>
      <c r="O149" s="892"/>
      <c r="P149" s="892"/>
      <c r="Q149" s="892"/>
      <c r="R149" s="892"/>
    </row>
    <row r="150" customFormat="false" ht="11.25" hidden="false" customHeight="false" outlineLevel="0" collapsed="false">
      <c r="J150" s="892"/>
      <c r="K150" s="892"/>
      <c r="L150" s="892"/>
      <c r="M150" s="892"/>
      <c r="N150" s="892"/>
      <c r="O150" s="892"/>
      <c r="P150" s="892"/>
      <c r="Q150" s="892"/>
      <c r="R150" s="892"/>
    </row>
    <row r="151" customFormat="false" ht="11.25" hidden="false" customHeight="false" outlineLevel="0" collapsed="false">
      <c r="J151" s="892"/>
      <c r="K151" s="892"/>
      <c r="L151" s="892"/>
      <c r="M151" s="892"/>
      <c r="N151" s="892"/>
      <c r="O151" s="892"/>
      <c r="P151" s="892"/>
      <c r="Q151" s="892"/>
      <c r="R151" s="892"/>
    </row>
    <row r="152" customFormat="false" ht="11.25" hidden="false" customHeight="false" outlineLevel="0" collapsed="false">
      <c r="J152" s="892"/>
      <c r="K152" s="892"/>
      <c r="L152" s="892"/>
      <c r="M152" s="892"/>
      <c r="N152" s="892"/>
      <c r="O152" s="892"/>
      <c r="P152" s="892"/>
      <c r="Q152" s="892"/>
      <c r="R152" s="892"/>
    </row>
    <row r="153" customFormat="false" ht="11.25" hidden="false" customHeight="false" outlineLevel="0" collapsed="false">
      <c r="J153" s="892"/>
      <c r="K153" s="892"/>
      <c r="L153" s="892"/>
      <c r="M153" s="892"/>
      <c r="N153" s="892"/>
      <c r="O153" s="892"/>
      <c r="P153" s="892"/>
      <c r="Q153" s="892"/>
      <c r="R153" s="892"/>
    </row>
    <row r="154" customFormat="false" ht="11.25" hidden="false" customHeight="false" outlineLevel="0" collapsed="false">
      <c r="J154" s="892"/>
      <c r="K154" s="892"/>
      <c r="L154" s="892"/>
      <c r="M154" s="892"/>
      <c r="N154" s="892"/>
      <c r="O154" s="892"/>
      <c r="P154" s="892"/>
      <c r="Q154" s="892"/>
      <c r="R154" s="892"/>
    </row>
    <row r="155" customFormat="false" ht="11.25" hidden="false" customHeight="false" outlineLevel="0" collapsed="false">
      <c r="J155" s="892"/>
      <c r="K155" s="892"/>
      <c r="L155" s="892"/>
      <c r="M155" s="892"/>
      <c r="N155" s="892"/>
      <c r="O155" s="892"/>
      <c r="P155" s="892"/>
      <c r="Q155" s="892"/>
      <c r="R155" s="892"/>
    </row>
    <row r="156" customFormat="false" ht="11.25" hidden="false" customHeight="false" outlineLevel="0" collapsed="false">
      <c r="J156" s="892"/>
      <c r="K156" s="892"/>
      <c r="L156" s="892"/>
      <c r="M156" s="892"/>
      <c r="N156" s="892"/>
      <c r="O156" s="892"/>
      <c r="P156" s="892"/>
      <c r="Q156" s="892"/>
      <c r="R156" s="892"/>
    </row>
    <row r="157" customFormat="false" ht="11.25" hidden="false" customHeight="false" outlineLevel="0" collapsed="false">
      <c r="J157" s="892"/>
      <c r="K157" s="892"/>
      <c r="L157" s="892"/>
      <c r="M157" s="892"/>
      <c r="N157" s="892"/>
      <c r="O157" s="892"/>
      <c r="P157" s="892"/>
      <c r="Q157" s="892"/>
      <c r="R157" s="892"/>
    </row>
    <row r="158" customFormat="false" ht="11.25" hidden="false" customHeight="false" outlineLevel="0" collapsed="false">
      <c r="J158" s="892"/>
      <c r="K158" s="892"/>
      <c r="L158" s="892"/>
      <c r="M158" s="892"/>
      <c r="N158" s="892"/>
      <c r="O158" s="892"/>
      <c r="P158" s="892"/>
      <c r="Q158" s="892"/>
      <c r="R158" s="892"/>
    </row>
    <row r="159" customFormat="false" ht="11.25" hidden="false" customHeight="false" outlineLevel="0" collapsed="false">
      <c r="J159" s="892"/>
      <c r="K159" s="892"/>
      <c r="L159" s="892"/>
      <c r="M159" s="892"/>
      <c r="N159" s="892"/>
      <c r="O159" s="892"/>
      <c r="P159" s="892"/>
      <c r="Q159" s="892"/>
      <c r="R159" s="892"/>
    </row>
    <row r="160" customFormat="false" ht="11.25" hidden="false" customHeight="false" outlineLevel="0" collapsed="false">
      <c r="J160" s="892"/>
      <c r="K160" s="892"/>
      <c r="L160" s="892"/>
      <c r="M160" s="892"/>
      <c r="N160" s="892"/>
      <c r="O160" s="892"/>
      <c r="P160" s="892"/>
      <c r="Q160" s="892"/>
      <c r="R160" s="892"/>
    </row>
    <row r="161" customFormat="false" ht="11.25" hidden="false" customHeight="false" outlineLevel="0" collapsed="false">
      <c r="J161" s="892"/>
      <c r="K161" s="892"/>
      <c r="L161" s="892"/>
      <c r="M161" s="892"/>
      <c r="N161" s="892"/>
      <c r="O161" s="892"/>
      <c r="P161" s="892"/>
      <c r="Q161" s="892"/>
      <c r="R161" s="892"/>
    </row>
    <row r="162" customFormat="false" ht="11.25" hidden="false" customHeight="false" outlineLevel="0" collapsed="false">
      <c r="J162" s="892"/>
      <c r="K162" s="892"/>
      <c r="L162" s="892"/>
      <c r="M162" s="892"/>
      <c r="N162" s="892"/>
      <c r="O162" s="892"/>
      <c r="P162" s="892"/>
      <c r="Q162" s="892"/>
      <c r="R162" s="892"/>
    </row>
    <row r="163" customFormat="false" ht="11.25" hidden="false" customHeight="false" outlineLevel="0" collapsed="false">
      <c r="J163" s="892"/>
      <c r="K163" s="892"/>
      <c r="L163" s="892"/>
      <c r="M163" s="892"/>
      <c r="N163" s="892"/>
      <c r="O163" s="892"/>
      <c r="P163" s="892"/>
      <c r="Q163" s="892"/>
      <c r="R163" s="892"/>
    </row>
    <row r="164" customFormat="false" ht="11.25" hidden="false" customHeight="false" outlineLevel="0" collapsed="false">
      <c r="J164" s="892"/>
      <c r="K164" s="892"/>
      <c r="L164" s="892"/>
      <c r="M164" s="892"/>
      <c r="N164" s="892"/>
      <c r="O164" s="892"/>
      <c r="P164" s="892"/>
      <c r="Q164" s="892"/>
      <c r="R164" s="892"/>
    </row>
    <row r="165" customFormat="false" ht="11.25" hidden="false" customHeight="false" outlineLevel="0" collapsed="false">
      <c r="E165" s="950"/>
      <c r="J165" s="892"/>
      <c r="K165" s="892"/>
      <c r="L165" s="892"/>
      <c r="M165" s="892"/>
      <c r="N165" s="892"/>
      <c r="O165" s="892"/>
      <c r="P165" s="892"/>
      <c r="Q165" s="892"/>
      <c r="R165" s="892"/>
    </row>
    <row r="166" customFormat="false" ht="11.25" hidden="false" customHeight="false" outlineLevel="0" collapsed="false">
      <c r="J166" s="892"/>
      <c r="K166" s="892"/>
      <c r="L166" s="892"/>
      <c r="M166" s="892"/>
      <c r="N166" s="892"/>
      <c r="O166" s="892"/>
      <c r="P166" s="892"/>
      <c r="Q166" s="892"/>
      <c r="R166" s="892"/>
    </row>
    <row r="167" customFormat="false" ht="11.25" hidden="false" customHeight="false" outlineLevel="0" collapsed="false">
      <c r="J167" s="892"/>
      <c r="K167" s="892"/>
      <c r="L167" s="892"/>
      <c r="M167" s="892"/>
      <c r="N167" s="892"/>
      <c r="O167" s="892"/>
      <c r="P167" s="892"/>
      <c r="Q167" s="892"/>
      <c r="R167" s="892"/>
    </row>
    <row r="168" customFormat="false" ht="11.25" hidden="false" customHeight="false" outlineLevel="0" collapsed="false">
      <c r="J168" s="892"/>
      <c r="K168" s="892"/>
      <c r="L168" s="892"/>
      <c r="M168" s="892"/>
      <c r="N168" s="892"/>
      <c r="O168" s="892"/>
      <c r="P168" s="892"/>
      <c r="Q168" s="892"/>
      <c r="R168" s="892"/>
    </row>
    <row r="169" customFormat="false" ht="11.25" hidden="false" customHeight="false" outlineLevel="0" collapsed="false">
      <c r="J169" s="892"/>
      <c r="K169" s="892"/>
      <c r="L169" s="892"/>
      <c r="M169" s="892"/>
      <c r="N169" s="892"/>
      <c r="O169" s="892"/>
      <c r="P169" s="892"/>
      <c r="Q169" s="892"/>
      <c r="R169" s="892"/>
    </row>
    <row r="170" customFormat="false" ht="11.25" hidden="false" customHeight="false" outlineLevel="0" collapsed="false">
      <c r="J170" s="892"/>
      <c r="K170" s="892"/>
      <c r="L170" s="892"/>
      <c r="M170" s="892"/>
      <c r="N170" s="892"/>
      <c r="O170" s="892"/>
      <c r="P170" s="892"/>
      <c r="Q170" s="892"/>
      <c r="R170" s="892"/>
    </row>
    <row r="171" customFormat="false" ht="11.25" hidden="false" customHeight="false" outlineLevel="0" collapsed="false">
      <c r="J171" s="892"/>
      <c r="K171" s="892"/>
      <c r="L171" s="892"/>
      <c r="M171" s="892"/>
      <c r="N171" s="892"/>
      <c r="O171" s="892"/>
      <c r="P171" s="892"/>
      <c r="Q171" s="892"/>
      <c r="R171" s="892"/>
    </row>
    <row r="172" customFormat="false" ht="11.25" hidden="false" customHeight="false" outlineLevel="0" collapsed="false">
      <c r="J172" s="892"/>
      <c r="K172" s="892"/>
      <c r="L172" s="892"/>
      <c r="M172" s="892"/>
      <c r="N172" s="892"/>
      <c r="O172" s="892"/>
      <c r="P172" s="892"/>
      <c r="Q172" s="892"/>
      <c r="R172" s="892"/>
    </row>
    <row r="173" customFormat="false" ht="11.25" hidden="false" customHeight="false" outlineLevel="0" collapsed="false">
      <c r="J173" s="892"/>
      <c r="K173" s="892"/>
      <c r="L173" s="892"/>
      <c r="M173" s="892"/>
      <c r="N173" s="892"/>
      <c r="O173" s="892"/>
      <c r="P173" s="892"/>
      <c r="Q173" s="892"/>
      <c r="R173" s="892"/>
    </row>
    <row r="174" customFormat="false" ht="11.25" hidden="false" customHeight="false" outlineLevel="0" collapsed="false">
      <c r="J174" s="892"/>
      <c r="K174" s="892"/>
      <c r="L174" s="892"/>
      <c r="M174" s="892"/>
      <c r="N174" s="892"/>
      <c r="O174" s="892"/>
      <c r="P174" s="892"/>
      <c r="Q174" s="892"/>
      <c r="R174" s="892"/>
    </row>
    <row r="175" customFormat="false" ht="11.25" hidden="false" customHeight="false" outlineLevel="0" collapsed="false">
      <c r="J175" s="892"/>
      <c r="K175" s="892"/>
      <c r="L175" s="892"/>
      <c r="M175" s="892"/>
      <c r="N175" s="892"/>
      <c r="O175" s="892"/>
      <c r="P175" s="892"/>
      <c r="Q175" s="892"/>
      <c r="R175" s="892"/>
    </row>
    <row r="176" customFormat="false" ht="11.25" hidden="false" customHeight="false" outlineLevel="0" collapsed="false">
      <c r="J176" s="892"/>
      <c r="K176" s="892"/>
      <c r="L176" s="892"/>
      <c r="M176" s="892"/>
      <c r="N176" s="892"/>
      <c r="O176" s="892"/>
      <c r="P176" s="892"/>
      <c r="Q176" s="892"/>
      <c r="R176" s="892"/>
    </row>
    <row r="177" customFormat="false" ht="11.25" hidden="false" customHeight="false" outlineLevel="0" collapsed="false">
      <c r="J177" s="892"/>
      <c r="K177" s="892"/>
      <c r="L177" s="892"/>
      <c r="M177" s="892"/>
      <c r="N177" s="892"/>
      <c r="O177" s="892"/>
      <c r="P177" s="892"/>
      <c r="Q177" s="892"/>
      <c r="R177" s="892"/>
    </row>
    <row r="178" customFormat="false" ht="11.25" hidden="false" customHeight="false" outlineLevel="0" collapsed="false">
      <c r="J178" s="892"/>
      <c r="K178" s="892"/>
      <c r="L178" s="892"/>
      <c r="M178" s="892"/>
      <c r="N178" s="892"/>
      <c r="O178" s="892"/>
      <c r="P178" s="892"/>
      <c r="Q178" s="892"/>
      <c r="R178" s="892"/>
    </row>
    <row r="179" customFormat="false" ht="11.25" hidden="false" customHeight="false" outlineLevel="0" collapsed="false">
      <c r="J179" s="892"/>
      <c r="K179" s="892"/>
      <c r="L179" s="892"/>
      <c r="M179" s="892"/>
      <c r="N179" s="892"/>
      <c r="O179" s="892"/>
      <c r="P179" s="892"/>
      <c r="Q179" s="892"/>
      <c r="R179" s="892"/>
    </row>
    <row r="180" customFormat="false" ht="11.25" hidden="false" customHeight="false" outlineLevel="0" collapsed="false">
      <c r="J180" s="892"/>
      <c r="K180" s="892"/>
      <c r="L180" s="892"/>
      <c r="M180" s="892"/>
      <c r="N180" s="892"/>
      <c r="O180" s="892"/>
      <c r="P180" s="892"/>
      <c r="Q180" s="892"/>
      <c r="R180" s="892"/>
    </row>
    <row r="181" customFormat="false" ht="11.25" hidden="false" customHeight="false" outlineLevel="0" collapsed="false">
      <c r="J181" s="892"/>
      <c r="K181" s="892"/>
      <c r="L181" s="892"/>
      <c r="M181" s="892"/>
      <c r="N181" s="892"/>
      <c r="O181" s="892"/>
      <c r="P181" s="892"/>
      <c r="Q181" s="892"/>
      <c r="R181" s="892"/>
    </row>
    <row r="182" customFormat="false" ht="11.25" hidden="false" customHeight="false" outlineLevel="0" collapsed="false">
      <c r="J182" s="892"/>
      <c r="K182" s="892"/>
      <c r="L182" s="892"/>
      <c r="M182" s="892"/>
      <c r="N182" s="892"/>
      <c r="O182" s="892"/>
      <c r="P182" s="892"/>
      <c r="Q182" s="892"/>
      <c r="R182" s="892"/>
    </row>
    <row r="183" customFormat="false" ht="11.25" hidden="false" customHeight="false" outlineLevel="0" collapsed="false">
      <c r="J183" s="892"/>
      <c r="K183" s="892"/>
      <c r="L183" s="892"/>
      <c r="M183" s="892"/>
      <c r="N183" s="892"/>
      <c r="O183" s="892"/>
      <c r="P183" s="892"/>
      <c r="Q183" s="892"/>
      <c r="R183" s="892"/>
    </row>
    <row r="184" customFormat="false" ht="11.25" hidden="false" customHeight="false" outlineLevel="0" collapsed="false">
      <c r="J184" s="892"/>
      <c r="K184" s="892"/>
      <c r="L184" s="892"/>
      <c r="M184" s="892"/>
      <c r="N184" s="892"/>
      <c r="O184" s="892"/>
      <c r="P184" s="892"/>
      <c r="Q184" s="892"/>
      <c r="R184" s="892"/>
    </row>
    <row r="185" customFormat="false" ht="11.25" hidden="false" customHeight="false" outlineLevel="0" collapsed="false">
      <c r="J185" s="892"/>
      <c r="K185" s="892"/>
      <c r="L185" s="892"/>
      <c r="M185" s="892"/>
      <c r="N185" s="892"/>
      <c r="O185" s="892"/>
      <c r="P185" s="892"/>
      <c r="Q185" s="892"/>
      <c r="R185" s="892"/>
    </row>
    <row r="186" customFormat="false" ht="11.25" hidden="false" customHeight="false" outlineLevel="0" collapsed="false">
      <c r="J186" s="892"/>
      <c r="K186" s="892"/>
      <c r="L186" s="892"/>
      <c r="M186" s="892"/>
      <c r="N186" s="892"/>
      <c r="O186" s="892"/>
      <c r="P186" s="892"/>
      <c r="Q186" s="892"/>
      <c r="R186" s="892"/>
    </row>
    <row r="187" customFormat="false" ht="11.25" hidden="false" customHeight="false" outlineLevel="0" collapsed="false">
      <c r="J187" s="892"/>
      <c r="K187" s="892"/>
      <c r="L187" s="892"/>
      <c r="M187" s="892"/>
      <c r="N187" s="892"/>
      <c r="O187" s="892"/>
      <c r="P187" s="892"/>
      <c r="Q187" s="892"/>
      <c r="R187" s="892"/>
    </row>
    <row r="188" customFormat="false" ht="11.25" hidden="false" customHeight="false" outlineLevel="0" collapsed="false">
      <c r="J188" s="892"/>
      <c r="K188" s="892"/>
      <c r="L188" s="892"/>
      <c r="M188" s="892"/>
      <c r="N188" s="892"/>
      <c r="O188" s="892"/>
      <c r="P188" s="892"/>
      <c r="Q188" s="892"/>
      <c r="R188" s="892"/>
    </row>
    <row r="189" customFormat="false" ht="11.25" hidden="false" customHeight="false" outlineLevel="0" collapsed="false">
      <c r="J189" s="892"/>
      <c r="K189" s="892"/>
      <c r="L189" s="892"/>
      <c r="M189" s="892"/>
      <c r="N189" s="892"/>
      <c r="O189" s="892"/>
      <c r="P189" s="892"/>
      <c r="Q189" s="892"/>
      <c r="R189" s="892"/>
    </row>
    <row r="190" customFormat="false" ht="11.25" hidden="false" customHeight="false" outlineLevel="0" collapsed="false">
      <c r="J190" s="892"/>
      <c r="K190" s="892"/>
      <c r="L190" s="892"/>
      <c r="M190" s="892"/>
      <c r="N190" s="892"/>
      <c r="O190" s="892"/>
      <c r="P190" s="892"/>
      <c r="Q190" s="892"/>
      <c r="R190" s="892"/>
    </row>
    <row r="191" customFormat="false" ht="11.25" hidden="false" customHeight="false" outlineLevel="0" collapsed="false">
      <c r="J191" s="892"/>
      <c r="K191" s="892"/>
      <c r="L191" s="892"/>
      <c r="M191" s="892"/>
      <c r="N191" s="892"/>
      <c r="O191" s="892"/>
      <c r="P191" s="892"/>
      <c r="Q191" s="892"/>
      <c r="R191" s="892"/>
    </row>
    <row r="192" customFormat="false" ht="11.25" hidden="false" customHeight="false" outlineLevel="0" collapsed="false">
      <c r="J192" s="892"/>
      <c r="K192" s="892"/>
      <c r="L192" s="892"/>
      <c r="M192" s="892"/>
      <c r="N192" s="892"/>
      <c r="O192" s="892"/>
      <c r="P192" s="892"/>
      <c r="Q192" s="892"/>
      <c r="R192" s="892"/>
    </row>
    <row r="193" customFormat="false" ht="11.25" hidden="false" customHeight="false" outlineLevel="0" collapsed="false">
      <c r="J193" s="892"/>
      <c r="K193" s="892"/>
      <c r="L193" s="892"/>
      <c r="M193" s="892"/>
      <c r="N193" s="892"/>
      <c r="O193" s="892"/>
      <c r="P193" s="892"/>
      <c r="Q193" s="892"/>
      <c r="R193" s="892"/>
    </row>
    <row r="194" customFormat="false" ht="11.25" hidden="false" customHeight="false" outlineLevel="0" collapsed="false">
      <c r="J194" s="892"/>
      <c r="K194" s="892"/>
      <c r="L194" s="892"/>
      <c r="M194" s="892"/>
      <c r="N194" s="892"/>
      <c r="O194" s="892"/>
      <c r="P194" s="892"/>
      <c r="Q194" s="892"/>
      <c r="R194" s="892"/>
    </row>
    <row r="195" customFormat="false" ht="11.25" hidden="false" customHeight="false" outlineLevel="0" collapsed="false">
      <c r="J195" s="892"/>
      <c r="K195" s="892"/>
      <c r="L195" s="892"/>
      <c r="M195" s="892"/>
      <c r="N195" s="892"/>
      <c r="O195" s="892"/>
      <c r="P195" s="892"/>
      <c r="Q195" s="892"/>
      <c r="R195" s="892"/>
    </row>
    <row r="196" customFormat="false" ht="11.25" hidden="false" customHeight="false" outlineLevel="0" collapsed="false">
      <c r="J196" s="892"/>
      <c r="K196" s="892"/>
      <c r="L196" s="892"/>
      <c r="M196" s="892"/>
      <c r="N196" s="892"/>
      <c r="O196" s="892"/>
      <c r="P196" s="892"/>
      <c r="Q196" s="892"/>
      <c r="R196" s="892"/>
    </row>
    <row r="197" customFormat="false" ht="11.25" hidden="false" customHeight="false" outlineLevel="0" collapsed="false">
      <c r="J197" s="892"/>
      <c r="K197" s="892"/>
      <c r="L197" s="892"/>
      <c r="M197" s="892"/>
      <c r="N197" s="892"/>
      <c r="O197" s="892"/>
      <c r="P197" s="892"/>
      <c r="Q197" s="892"/>
      <c r="R197" s="892"/>
    </row>
    <row r="198" customFormat="false" ht="11.25" hidden="false" customHeight="false" outlineLevel="0" collapsed="false">
      <c r="J198" s="892"/>
      <c r="K198" s="892"/>
      <c r="L198" s="892"/>
      <c r="M198" s="892"/>
      <c r="N198" s="892"/>
      <c r="O198" s="892"/>
      <c r="P198" s="892"/>
      <c r="Q198" s="892"/>
      <c r="R198" s="892"/>
    </row>
    <row r="199" customFormat="false" ht="11.25" hidden="false" customHeight="false" outlineLevel="0" collapsed="false">
      <c r="J199" s="892"/>
      <c r="K199" s="892"/>
      <c r="L199" s="892"/>
      <c r="M199" s="892"/>
      <c r="N199" s="892"/>
      <c r="O199" s="892"/>
      <c r="P199" s="892"/>
      <c r="Q199" s="892"/>
      <c r="R199" s="892"/>
    </row>
    <row r="200" customFormat="false" ht="11.25" hidden="false" customHeight="false" outlineLevel="0" collapsed="false">
      <c r="J200" s="892"/>
      <c r="K200" s="892"/>
      <c r="L200" s="892"/>
      <c r="M200" s="892"/>
      <c r="N200" s="892"/>
      <c r="O200" s="892"/>
      <c r="P200" s="892"/>
      <c r="Q200" s="892"/>
      <c r="R200" s="892"/>
    </row>
    <row r="201" customFormat="false" ht="11.25" hidden="false" customHeight="false" outlineLevel="0" collapsed="false">
      <c r="J201" s="892"/>
      <c r="K201" s="892"/>
      <c r="L201" s="892"/>
      <c r="M201" s="892"/>
      <c r="N201" s="892"/>
      <c r="O201" s="892"/>
      <c r="P201" s="892"/>
      <c r="Q201" s="892"/>
      <c r="R201" s="892"/>
    </row>
    <row r="202" customFormat="false" ht="11.25" hidden="false" customHeight="false" outlineLevel="0" collapsed="false">
      <c r="J202" s="892"/>
      <c r="K202" s="892"/>
      <c r="L202" s="892"/>
      <c r="M202" s="892"/>
      <c r="N202" s="892"/>
      <c r="O202" s="892"/>
      <c r="P202" s="892"/>
      <c r="Q202" s="892"/>
      <c r="R202" s="892"/>
    </row>
    <row r="203" customFormat="false" ht="11.25" hidden="false" customHeight="false" outlineLevel="0" collapsed="false">
      <c r="J203" s="892"/>
      <c r="K203" s="892"/>
      <c r="L203" s="892"/>
      <c r="M203" s="892"/>
      <c r="N203" s="892"/>
      <c r="O203" s="892"/>
      <c r="P203" s="892"/>
      <c r="Q203" s="892"/>
      <c r="R203" s="892"/>
    </row>
    <row r="204" customFormat="false" ht="11.25" hidden="false" customHeight="false" outlineLevel="0" collapsed="false">
      <c r="J204" s="892"/>
      <c r="K204" s="892"/>
      <c r="L204" s="892"/>
      <c r="M204" s="892"/>
      <c r="N204" s="892"/>
      <c r="O204" s="892"/>
      <c r="P204" s="892"/>
      <c r="Q204" s="892"/>
      <c r="R204" s="892"/>
    </row>
    <row r="205" customFormat="false" ht="11.25" hidden="false" customHeight="false" outlineLevel="0" collapsed="false">
      <c r="J205" s="892"/>
      <c r="K205" s="892"/>
      <c r="L205" s="892"/>
      <c r="M205" s="892"/>
      <c r="N205" s="892"/>
      <c r="O205" s="892"/>
      <c r="P205" s="892"/>
      <c r="Q205" s="892"/>
      <c r="R205" s="892"/>
    </row>
    <row r="206" customFormat="false" ht="11.25" hidden="false" customHeight="false" outlineLevel="0" collapsed="false">
      <c r="J206" s="892"/>
      <c r="K206" s="892"/>
      <c r="L206" s="892"/>
      <c r="M206" s="892"/>
      <c r="N206" s="892"/>
      <c r="O206" s="892"/>
      <c r="P206" s="892"/>
      <c r="Q206" s="892"/>
      <c r="R206" s="892"/>
    </row>
    <row r="207" customFormat="false" ht="11.25" hidden="false" customHeight="false" outlineLevel="0" collapsed="false">
      <c r="J207" s="892"/>
      <c r="K207" s="892"/>
      <c r="L207" s="892"/>
      <c r="M207" s="892"/>
      <c r="N207" s="892"/>
      <c r="O207" s="892"/>
      <c r="P207" s="892"/>
      <c r="Q207" s="892"/>
      <c r="R207" s="892"/>
    </row>
    <row r="208" customFormat="false" ht="11.25" hidden="false" customHeight="false" outlineLevel="0" collapsed="false">
      <c r="J208" s="892"/>
      <c r="K208" s="892"/>
      <c r="L208" s="892"/>
      <c r="M208" s="892"/>
      <c r="N208" s="892"/>
      <c r="O208" s="892"/>
      <c r="P208" s="892"/>
      <c r="Q208" s="892"/>
      <c r="R208" s="892"/>
    </row>
    <row r="209" customFormat="false" ht="11.25" hidden="false" customHeight="false" outlineLevel="0" collapsed="false">
      <c r="J209" s="892"/>
      <c r="K209" s="892"/>
      <c r="L209" s="892"/>
      <c r="M209" s="892"/>
      <c r="N209" s="892"/>
      <c r="O209" s="892"/>
      <c r="P209" s="892"/>
      <c r="Q209" s="892"/>
      <c r="R209" s="892"/>
    </row>
    <row r="210" customFormat="false" ht="11.25" hidden="false" customHeight="false" outlineLevel="0" collapsed="false">
      <c r="J210" s="892"/>
      <c r="K210" s="892"/>
      <c r="L210" s="892"/>
      <c r="M210" s="892"/>
      <c r="N210" s="892"/>
      <c r="O210" s="892"/>
      <c r="P210" s="892"/>
      <c r="Q210" s="892"/>
      <c r="R210" s="892"/>
    </row>
    <row r="211" customFormat="false" ht="11.25" hidden="false" customHeight="false" outlineLevel="0" collapsed="false">
      <c r="J211" s="892"/>
      <c r="K211" s="892"/>
      <c r="L211" s="892"/>
      <c r="M211" s="892"/>
      <c r="N211" s="892"/>
      <c r="O211" s="892"/>
      <c r="P211" s="892"/>
      <c r="Q211" s="892"/>
      <c r="R211" s="892"/>
    </row>
    <row r="212" customFormat="false" ht="11.25" hidden="false" customHeight="false" outlineLevel="0" collapsed="false">
      <c r="J212" s="892"/>
      <c r="K212" s="892"/>
      <c r="L212" s="892"/>
      <c r="M212" s="892"/>
      <c r="N212" s="892"/>
      <c r="O212" s="892"/>
      <c r="P212" s="892"/>
      <c r="Q212" s="892"/>
      <c r="R212" s="892"/>
    </row>
    <row r="213" customFormat="false" ht="11.25" hidden="false" customHeight="false" outlineLevel="0" collapsed="false">
      <c r="J213" s="892"/>
      <c r="K213" s="892"/>
      <c r="L213" s="892"/>
      <c r="M213" s="892"/>
      <c r="N213" s="892"/>
      <c r="O213" s="892"/>
      <c r="P213" s="892"/>
      <c r="Q213" s="892"/>
      <c r="R213" s="892"/>
    </row>
    <row r="214" customFormat="false" ht="11.25" hidden="false" customHeight="false" outlineLevel="0" collapsed="false">
      <c r="J214" s="892"/>
      <c r="K214" s="892"/>
      <c r="L214" s="892"/>
      <c r="M214" s="892"/>
      <c r="N214" s="892"/>
      <c r="O214" s="892"/>
      <c r="P214" s="892"/>
      <c r="Q214" s="892"/>
      <c r="R214" s="892"/>
    </row>
    <row r="215" customFormat="false" ht="11.25" hidden="false" customHeight="false" outlineLevel="0" collapsed="false">
      <c r="J215" s="892"/>
      <c r="K215" s="892"/>
      <c r="L215" s="892"/>
      <c r="M215" s="892"/>
      <c r="N215" s="892"/>
      <c r="O215" s="892"/>
      <c r="P215" s="892"/>
      <c r="Q215" s="892"/>
      <c r="R215" s="892"/>
    </row>
    <row r="216" customFormat="false" ht="11.25" hidden="false" customHeight="false" outlineLevel="0" collapsed="false">
      <c r="J216" s="892"/>
      <c r="K216" s="892"/>
      <c r="L216" s="892"/>
      <c r="M216" s="892"/>
      <c r="N216" s="892"/>
      <c r="O216" s="892"/>
      <c r="P216" s="892"/>
      <c r="Q216" s="892"/>
      <c r="R216" s="892"/>
    </row>
    <row r="217" customFormat="false" ht="11.25" hidden="false" customHeight="false" outlineLevel="0" collapsed="false">
      <c r="J217" s="892"/>
      <c r="K217" s="892"/>
      <c r="L217" s="892"/>
      <c r="M217" s="892"/>
      <c r="N217" s="892"/>
      <c r="O217" s="892"/>
      <c r="P217" s="892"/>
      <c r="Q217" s="892"/>
      <c r="R217" s="892"/>
    </row>
    <row r="218" customFormat="false" ht="11.25" hidden="false" customHeight="false" outlineLevel="0" collapsed="false">
      <c r="J218" s="892"/>
      <c r="K218" s="892"/>
      <c r="L218" s="892"/>
      <c r="M218" s="892"/>
      <c r="N218" s="892"/>
      <c r="O218" s="892"/>
      <c r="P218" s="892"/>
      <c r="Q218" s="892"/>
      <c r="R218" s="892"/>
    </row>
    <row r="219" customFormat="false" ht="11.25" hidden="false" customHeight="false" outlineLevel="0" collapsed="false">
      <c r="J219" s="892"/>
      <c r="K219" s="892"/>
      <c r="L219" s="892"/>
      <c r="M219" s="892"/>
      <c r="N219" s="892"/>
      <c r="O219" s="892"/>
      <c r="P219" s="892"/>
      <c r="Q219" s="892"/>
      <c r="R219" s="892"/>
    </row>
    <row r="220" customFormat="false" ht="11.25" hidden="false" customHeight="false" outlineLevel="0" collapsed="false">
      <c r="J220" s="892"/>
      <c r="K220" s="892"/>
      <c r="L220" s="892"/>
      <c r="M220" s="892"/>
      <c r="N220" s="892"/>
      <c r="O220" s="892"/>
      <c r="P220" s="892"/>
      <c r="Q220" s="892"/>
      <c r="R220" s="892"/>
    </row>
    <row r="221" customFormat="false" ht="11.25" hidden="false" customHeight="false" outlineLevel="0" collapsed="false">
      <c r="J221" s="892"/>
      <c r="K221" s="892"/>
      <c r="L221" s="892"/>
      <c r="M221" s="892"/>
      <c r="N221" s="892"/>
      <c r="O221" s="892"/>
      <c r="P221" s="892"/>
      <c r="Q221" s="892"/>
      <c r="R221" s="892"/>
    </row>
    <row r="222" customFormat="false" ht="11.25" hidden="false" customHeight="false" outlineLevel="0" collapsed="false">
      <c r="J222" s="892"/>
      <c r="K222" s="892"/>
      <c r="L222" s="892"/>
      <c r="M222" s="892"/>
      <c r="N222" s="892"/>
      <c r="O222" s="892"/>
      <c r="P222" s="892"/>
      <c r="Q222" s="892"/>
      <c r="R222" s="892"/>
    </row>
    <row r="223" customFormat="false" ht="11.25" hidden="false" customHeight="false" outlineLevel="0" collapsed="false">
      <c r="J223" s="892"/>
      <c r="K223" s="892"/>
      <c r="L223" s="892"/>
      <c r="M223" s="892"/>
      <c r="N223" s="892"/>
      <c r="O223" s="892"/>
      <c r="P223" s="892"/>
      <c r="Q223" s="892"/>
      <c r="R223" s="892"/>
    </row>
    <row r="224" customFormat="false" ht="11.25" hidden="false" customHeight="false" outlineLevel="0" collapsed="false">
      <c r="J224" s="892"/>
      <c r="K224" s="892"/>
      <c r="L224" s="892"/>
      <c r="M224" s="892"/>
      <c r="N224" s="892"/>
      <c r="O224" s="892"/>
      <c r="P224" s="892"/>
      <c r="Q224" s="892"/>
      <c r="R224" s="892"/>
    </row>
    <row r="225" customFormat="false" ht="11.25" hidden="false" customHeight="false" outlineLevel="0" collapsed="false">
      <c r="J225" s="892"/>
      <c r="K225" s="892"/>
      <c r="L225" s="892"/>
      <c r="M225" s="892"/>
      <c r="N225" s="892"/>
      <c r="O225" s="892"/>
      <c r="P225" s="892"/>
      <c r="Q225" s="892"/>
      <c r="R225" s="892"/>
    </row>
    <row r="226" customFormat="false" ht="11.25" hidden="false" customHeight="false" outlineLevel="0" collapsed="false">
      <c r="J226" s="892"/>
      <c r="K226" s="892"/>
      <c r="L226" s="892"/>
      <c r="M226" s="892"/>
      <c r="N226" s="892"/>
      <c r="O226" s="892"/>
      <c r="P226" s="892"/>
      <c r="Q226" s="892"/>
      <c r="R226" s="892"/>
    </row>
    <row r="227" customFormat="false" ht="11.25" hidden="false" customHeight="false" outlineLevel="0" collapsed="false">
      <c r="J227" s="892"/>
      <c r="K227" s="892"/>
      <c r="L227" s="892"/>
      <c r="M227" s="892"/>
      <c r="N227" s="892"/>
      <c r="O227" s="892"/>
      <c r="P227" s="892"/>
      <c r="Q227" s="892"/>
      <c r="R227" s="892"/>
    </row>
    <row r="228" customFormat="false" ht="11.25" hidden="false" customHeight="false" outlineLevel="0" collapsed="false">
      <c r="J228" s="892"/>
      <c r="K228" s="892"/>
      <c r="L228" s="892"/>
      <c r="M228" s="892"/>
      <c r="N228" s="892"/>
      <c r="O228" s="892"/>
      <c r="P228" s="892"/>
      <c r="Q228" s="892"/>
      <c r="R228" s="892"/>
    </row>
    <row r="229" customFormat="false" ht="11.25" hidden="false" customHeight="false" outlineLevel="0" collapsed="false">
      <c r="J229" s="892"/>
      <c r="K229" s="892"/>
      <c r="L229" s="892"/>
      <c r="M229" s="892"/>
      <c r="N229" s="892"/>
      <c r="O229" s="892"/>
      <c r="P229" s="892"/>
      <c r="Q229" s="892"/>
      <c r="R229" s="892"/>
    </row>
    <row r="230" customFormat="false" ht="11.25" hidden="false" customHeight="false" outlineLevel="0" collapsed="false">
      <c r="J230" s="892"/>
      <c r="K230" s="892"/>
      <c r="L230" s="892"/>
      <c r="M230" s="892"/>
      <c r="N230" s="892"/>
      <c r="O230" s="892"/>
      <c r="P230" s="892"/>
      <c r="Q230" s="892"/>
      <c r="R230" s="892"/>
    </row>
    <row r="231" customFormat="false" ht="11.25" hidden="false" customHeight="false" outlineLevel="0" collapsed="false">
      <c r="J231" s="892"/>
      <c r="K231" s="892"/>
      <c r="L231" s="892"/>
      <c r="M231" s="892"/>
      <c r="N231" s="892"/>
      <c r="O231" s="892"/>
      <c r="P231" s="892"/>
      <c r="Q231" s="892"/>
      <c r="R231" s="892"/>
    </row>
    <row r="232" customFormat="false" ht="11.25" hidden="false" customHeight="false" outlineLevel="0" collapsed="false">
      <c r="J232" s="892"/>
      <c r="K232" s="892"/>
      <c r="L232" s="892"/>
      <c r="M232" s="892"/>
      <c r="N232" s="892"/>
      <c r="O232" s="892"/>
      <c r="P232" s="892"/>
      <c r="Q232" s="892"/>
      <c r="R232" s="892"/>
    </row>
    <row r="233" customFormat="false" ht="11.25" hidden="false" customHeight="false" outlineLevel="0" collapsed="false">
      <c r="J233" s="892"/>
      <c r="K233" s="892"/>
      <c r="L233" s="892"/>
      <c r="M233" s="892"/>
      <c r="N233" s="892"/>
      <c r="O233" s="892"/>
      <c r="P233" s="892"/>
      <c r="Q233" s="892"/>
      <c r="R233" s="892"/>
    </row>
    <row r="234" customFormat="false" ht="11.25" hidden="false" customHeight="false" outlineLevel="0" collapsed="false">
      <c r="J234" s="892"/>
      <c r="K234" s="892"/>
      <c r="L234" s="892"/>
      <c r="M234" s="892"/>
      <c r="N234" s="892"/>
      <c r="O234" s="892"/>
      <c r="P234" s="892"/>
      <c r="Q234" s="892"/>
      <c r="R234" s="892"/>
    </row>
    <row r="235" customFormat="false" ht="11.25" hidden="false" customHeight="false" outlineLevel="0" collapsed="false">
      <c r="J235" s="892"/>
      <c r="K235" s="892"/>
      <c r="L235" s="892"/>
      <c r="M235" s="892"/>
      <c r="N235" s="892"/>
      <c r="O235" s="892"/>
      <c r="P235" s="892"/>
      <c r="Q235" s="892"/>
      <c r="R235" s="892"/>
    </row>
    <row r="236" customFormat="false" ht="11.25" hidden="false" customHeight="false" outlineLevel="0" collapsed="false">
      <c r="J236" s="892"/>
      <c r="K236" s="892"/>
      <c r="L236" s="892"/>
      <c r="M236" s="892"/>
      <c r="N236" s="892"/>
      <c r="O236" s="892"/>
      <c r="P236" s="892"/>
      <c r="Q236" s="892"/>
      <c r="R236" s="892"/>
    </row>
    <row r="237" customFormat="false" ht="11.25" hidden="false" customHeight="false" outlineLevel="0" collapsed="false">
      <c r="J237" s="892"/>
      <c r="K237" s="892"/>
      <c r="L237" s="892"/>
      <c r="M237" s="892"/>
      <c r="N237" s="892"/>
      <c r="O237" s="892"/>
      <c r="P237" s="892"/>
      <c r="Q237" s="892"/>
      <c r="R237" s="892"/>
    </row>
    <row r="238" customFormat="false" ht="11.25" hidden="false" customHeight="false" outlineLevel="0" collapsed="false">
      <c r="J238" s="892"/>
      <c r="K238" s="892"/>
      <c r="L238" s="892"/>
      <c r="M238" s="892"/>
      <c r="N238" s="892"/>
      <c r="O238" s="892"/>
      <c r="P238" s="892"/>
      <c r="Q238" s="892"/>
      <c r="R238" s="892"/>
    </row>
    <row r="239" customFormat="false" ht="11.25" hidden="false" customHeight="false" outlineLevel="0" collapsed="false">
      <c r="J239" s="892"/>
      <c r="K239" s="892"/>
      <c r="L239" s="892"/>
      <c r="M239" s="892"/>
      <c r="N239" s="892"/>
      <c r="O239" s="892"/>
      <c r="P239" s="892"/>
      <c r="Q239" s="892"/>
      <c r="R239" s="892"/>
    </row>
    <row r="240" customFormat="false" ht="11.25" hidden="false" customHeight="false" outlineLevel="0" collapsed="false">
      <c r="J240" s="892"/>
      <c r="K240" s="892"/>
      <c r="L240" s="892"/>
      <c r="M240" s="892"/>
      <c r="N240" s="892"/>
      <c r="O240" s="892"/>
      <c r="P240" s="892"/>
      <c r="Q240" s="892"/>
      <c r="R240" s="892"/>
    </row>
    <row r="241" customFormat="false" ht="11.25" hidden="false" customHeight="false" outlineLevel="0" collapsed="false">
      <c r="J241" s="892"/>
      <c r="K241" s="892"/>
      <c r="L241" s="892"/>
      <c r="M241" s="892"/>
      <c r="N241" s="892"/>
      <c r="O241" s="892"/>
      <c r="P241" s="892"/>
      <c r="Q241" s="892"/>
      <c r="R241" s="892"/>
    </row>
    <row r="242" customFormat="false" ht="11.25" hidden="false" customHeight="false" outlineLevel="0" collapsed="false">
      <c r="J242" s="892"/>
      <c r="K242" s="892"/>
      <c r="L242" s="892"/>
      <c r="M242" s="892"/>
      <c r="N242" s="892"/>
      <c r="O242" s="892"/>
      <c r="P242" s="892"/>
      <c r="Q242" s="892"/>
      <c r="R242" s="892"/>
    </row>
    <row r="243" customFormat="false" ht="11.25" hidden="false" customHeight="false" outlineLevel="0" collapsed="false">
      <c r="J243" s="892"/>
      <c r="K243" s="892"/>
      <c r="L243" s="892"/>
      <c r="M243" s="892"/>
      <c r="N243" s="892"/>
      <c r="O243" s="892"/>
      <c r="P243" s="892"/>
      <c r="Q243" s="892"/>
      <c r="R243" s="892"/>
    </row>
    <row r="244" customFormat="false" ht="11.25" hidden="false" customHeight="false" outlineLevel="0" collapsed="false">
      <c r="J244" s="892"/>
      <c r="K244" s="892"/>
      <c r="L244" s="892"/>
      <c r="M244" s="892"/>
      <c r="N244" s="892"/>
      <c r="O244" s="892"/>
      <c r="P244" s="892"/>
      <c r="Q244" s="892"/>
      <c r="R244" s="892"/>
    </row>
    <row r="245" customFormat="false" ht="11.25" hidden="false" customHeight="false" outlineLevel="0" collapsed="false">
      <c r="J245" s="892"/>
      <c r="K245" s="892"/>
      <c r="L245" s="892"/>
      <c r="M245" s="892"/>
      <c r="N245" s="892"/>
      <c r="O245" s="892"/>
      <c r="P245" s="892"/>
      <c r="Q245" s="892"/>
      <c r="R245" s="892"/>
    </row>
    <row r="246" customFormat="false" ht="11.25" hidden="false" customHeight="false" outlineLevel="0" collapsed="false">
      <c r="J246" s="892"/>
      <c r="K246" s="892"/>
      <c r="L246" s="892"/>
      <c r="M246" s="892"/>
      <c r="N246" s="892"/>
      <c r="O246" s="892"/>
      <c r="P246" s="892"/>
      <c r="Q246" s="892"/>
      <c r="R246" s="892"/>
    </row>
    <row r="247" customFormat="false" ht="11.25" hidden="false" customHeight="false" outlineLevel="0" collapsed="false">
      <c r="J247" s="892"/>
      <c r="K247" s="892"/>
      <c r="L247" s="892"/>
      <c r="M247" s="892"/>
      <c r="N247" s="892"/>
      <c r="O247" s="892"/>
      <c r="P247" s="892"/>
      <c r="Q247" s="892"/>
      <c r="R247" s="892"/>
    </row>
    <row r="248" customFormat="false" ht="11.25" hidden="false" customHeight="false" outlineLevel="0" collapsed="false">
      <c r="J248" s="892"/>
      <c r="K248" s="892"/>
      <c r="L248" s="892"/>
      <c r="M248" s="892"/>
      <c r="N248" s="892"/>
      <c r="O248" s="892"/>
      <c r="P248" s="892"/>
      <c r="Q248" s="892"/>
      <c r="R248" s="892"/>
    </row>
    <row r="249" customFormat="false" ht="11.25" hidden="false" customHeight="false" outlineLevel="0" collapsed="false">
      <c r="J249" s="892"/>
      <c r="K249" s="892"/>
      <c r="L249" s="892"/>
      <c r="M249" s="892"/>
      <c r="N249" s="892"/>
      <c r="O249" s="892"/>
      <c r="P249" s="892"/>
      <c r="Q249" s="892"/>
      <c r="R249" s="892"/>
    </row>
    <row r="250" customFormat="false" ht="11.25" hidden="false" customHeight="false" outlineLevel="0" collapsed="false">
      <c r="J250" s="892"/>
      <c r="K250" s="892"/>
      <c r="L250" s="892"/>
      <c r="M250" s="892"/>
      <c r="N250" s="892"/>
      <c r="O250" s="892"/>
      <c r="P250" s="892"/>
      <c r="Q250" s="892"/>
      <c r="R250" s="892"/>
    </row>
    <row r="251" customFormat="false" ht="11.25" hidden="false" customHeight="false" outlineLevel="0" collapsed="false">
      <c r="J251" s="892"/>
      <c r="K251" s="892"/>
      <c r="L251" s="892"/>
      <c r="M251" s="892"/>
      <c r="N251" s="892"/>
      <c r="O251" s="892"/>
      <c r="P251" s="892"/>
      <c r="Q251" s="892"/>
      <c r="R251" s="892"/>
    </row>
    <row r="252" customFormat="false" ht="11.25" hidden="false" customHeight="false" outlineLevel="0" collapsed="false">
      <c r="J252" s="892"/>
      <c r="K252" s="892"/>
      <c r="L252" s="892"/>
      <c r="M252" s="892"/>
      <c r="N252" s="892"/>
      <c r="O252" s="892"/>
      <c r="P252" s="892"/>
      <c r="Q252" s="892"/>
      <c r="R252" s="892"/>
    </row>
    <row r="253" customFormat="false" ht="11.25" hidden="false" customHeight="false" outlineLevel="0" collapsed="false">
      <c r="J253" s="892"/>
      <c r="K253" s="892"/>
      <c r="L253" s="892"/>
      <c r="M253" s="892"/>
      <c r="N253" s="892"/>
      <c r="O253" s="892"/>
      <c r="P253" s="892"/>
      <c r="Q253" s="892"/>
      <c r="R253" s="892"/>
    </row>
    <row r="254" customFormat="false" ht="11.25" hidden="false" customHeight="false" outlineLevel="0" collapsed="false">
      <c r="J254" s="892"/>
      <c r="K254" s="892"/>
      <c r="L254" s="892"/>
      <c r="M254" s="892"/>
      <c r="N254" s="892"/>
      <c r="O254" s="892"/>
      <c r="P254" s="892"/>
      <c r="Q254" s="892"/>
      <c r="R254" s="892"/>
    </row>
    <row r="255" customFormat="false" ht="11.25" hidden="false" customHeight="false" outlineLevel="0" collapsed="false">
      <c r="J255" s="892"/>
      <c r="K255" s="892"/>
      <c r="L255" s="892"/>
      <c r="M255" s="892"/>
      <c r="N255" s="892"/>
      <c r="O255" s="892"/>
      <c r="P255" s="892"/>
      <c r="Q255" s="892"/>
      <c r="R255" s="892"/>
    </row>
    <row r="256" customFormat="false" ht="11.25" hidden="false" customHeight="false" outlineLevel="0" collapsed="false">
      <c r="J256" s="892"/>
      <c r="K256" s="892"/>
      <c r="L256" s="892"/>
      <c r="M256" s="892"/>
      <c r="N256" s="892"/>
      <c r="O256" s="892"/>
      <c r="P256" s="892"/>
      <c r="Q256" s="892"/>
      <c r="R256" s="892"/>
    </row>
    <row r="257" customFormat="false" ht="11.25" hidden="false" customHeight="false" outlineLevel="0" collapsed="false">
      <c r="J257" s="892"/>
      <c r="K257" s="892"/>
      <c r="L257" s="892"/>
      <c r="M257" s="892"/>
      <c r="N257" s="892"/>
      <c r="O257" s="892"/>
      <c r="P257" s="892"/>
      <c r="Q257" s="892"/>
      <c r="R257" s="892"/>
    </row>
    <row r="258" customFormat="false" ht="11.25" hidden="false" customHeight="false" outlineLevel="0" collapsed="false">
      <c r="J258" s="892"/>
      <c r="K258" s="892"/>
      <c r="L258" s="892"/>
      <c r="M258" s="892"/>
      <c r="N258" s="892"/>
      <c r="O258" s="892"/>
      <c r="P258" s="892"/>
      <c r="Q258" s="892"/>
      <c r="R258" s="892"/>
    </row>
    <row r="259" customFormat="false" ht="11.25" hidden="false" customHeight="false" outlineLevel="0" collapsed="false">
      <c r="J259" s="892"/>
      <c r="K259" s="892"/>
      <c r="L259" s="892"/>
      <c r="M259" s="892"/>
      <c r="N259" s="892"/>
      <c r="O259" s="892"/>
      <c r="P259" s="892"/>
      <c r="Q259" s="892"/>
      <c r="R259" s="892"/>
    </row>
    <row r="260" customFormat="false" ht="11.25" hidden="false" customHeight="false" outlineLevel="0" collapsed="false">
      <c r="J260" s="892"/>
      <c r="K260" s="892"/>
      <c r="L260" s="892"/>
      <c r="M260" s="892"/>
      <c r="N260" s="892"/>
      <c r="O260" s="892"/>
      <c r="P260" s="892"/>
      <c r="Q260" s="892"/>
      <c r="R260" s="892"/>
    </row>
    <row r="261" customFormat="false" ht="11.25" hidden="false" customHeight="false" outlineLevel="0" collapsed="false">
      <c r="J261" s="892"/>
      <c r="K261" s="892"/>
      <c r="L261" s="892"/>
      <c r="M261" s="892"/>
      <c r="N261" s="892"/>
      <c r="O261" s="892"/>
      <c r="P261" s="892"/>
      <c r="Q261" s="892"/>
      <c r="R261" s="892"/>
    </row>
    <row r="262" customFormat="false" ht="11.25" hidden="false" customHeight="false" outlineLevel="0" collapsed="false">
      <c r="J262" s="892"/>
      <c r="K262" s="892"/>
      <c r="L262" s="892"/>
      <c r="M262" s="892"/>
      <c r="N262" s="892"/>
      <c r="O262" s="892"/>
      <c r="P262" s="892"/>
      <c r="Q262" s="892"/>
      <c r="R262" s="892"/>
    </row>
    <row r="263" customFormat="false" ht="11.25" hidden="false" customHeight="false" outlineLevel="0" collapsed="false">
      <c r="J263" s="892"/>
      <c r="K263" s="892"/>
      <c r="L263" s="892"/>
      <c r="M263" s="892"/>
      <c r="N263" s="892"/>
      <c r="O263" s="892"/>
      <c r="P263" s="892"/>
      <c r="Q263" s="892"/>
      <c r="R263" s="892"/>
    </row>
    <row r="264" customFormat="false" ht="11.25" hidden="false" customHeight="false" outlineLevel="0" collapsed="false">
      <c r="J264" s="892"/>
      <c r="K264" s="892"/>
      <c r="L264" s="892"/>
      <c r="M264" s="892"/>
      <c r="N264" s="892"/>
      <c r="O264" s="892"/>
      <c r="P264" s="892"/>
      <c r="Q264" s="892"/>
      <c r="R264" s="892"/>
    </row>
    <row r="265" customFormat="false" ht="11.25" hidden="false" customHeight="false" outlineLevel="0" collapsed="false">
      <c r="J265" s="892"/>
      <c r="K265" s="892"/>
      <c r="L265" s="892"/>
      <c r="M265" s="892"/>
      <c r="N265" s="892"/>
      <c r="O265" s="892"/>
      <c r="P265" s="892"/>
      <c r="Q265" s="892"/>
      <c r="R265" s="892"/>
    </row>
    <row r="266" customFormat="false" ht="11.25" hidden="false" customHeight="false" outlineLevel="0" collapsed="false">
      <c r="J266" s="892"/>
      <c r="K266" s="892"/>
      <c r="L266" s="892"/>
      <c r="M266" s="892"/>
      <c r="N266" s="892"/>
      <c r="O266" s="892"/>
      <c r="P266" s="892"/>
      <c r="Q266" s="892"/>
      <c r="R266" s="892"/>
    </row>
    <row r="267" customFormat="false" ht="11.25" hidden="false" customHeight="false" outlineLevel="0" collapsed="false">
      <c r="J267" s="892"/>
      <c r="K267" s="892"/>
      <c r="L267" s="892"/>
      <c r="M267" s="892"/>
      <c r="N267" s="892"/>
      <c r="O267" s="892"/>
      <c r="P267" s="892"/>
      <c r="Q267" s="892"/>
      <c r="R267" s="892"/>
    </row>
    <row r="268" customFormat="false" ht="11.25" hidden="false" customHeight="false" outlineLevel="0" collapsed="false">
      <c r="J268" s="892"/>
      <c r="K268" s="892"/>
      <c r="L268" s="892"/>
      <c r="M268" s="892"/>
      <c r="N268" s="892"/>
      <c r="O268" s="892"/>
      <c r="P268" s="892"/>
      <c r="Q268" s="892"/>
      <c r="R268" s="892"/>
    </row>
    <row r="269" customFormat="false" ht="11.25" hidden="false" customHeight="false" outlineLevel="0" collapsed="false">
      <c r="J269" s="892"/>
      <c r="K269" s="892"/>
      <c r="L269" s="892"/>
      <c r="M269" s="892"/>
      <c r="N269" s="892"/>
      <c r="O269" s="892"/>
      <c r="P269" s="892"/>
      <c r="Q269" s="892"/>
      <c r="R269" s="892"/>
    </row>
    <row r="270" customFormat="false" ht="11.25" hidden="false" customHeight="false" outlineLevel="0" collapsed="false">
      <c r="J270" s="892"/>
      <c r="K270" s="892"/>
      <c r="L270" s="892"/>
      <c r="M270" s="892"/>
      <c r="N270" s="892"/>
      <c r="O270" s="892"/>
      <c r="P270" s="892"/>
      <c r="Q270" s="892"/>
      <c r="R270" s="892"/>
    </row>
    <row r="271" customFormat="false" ht="11.25" hidden="false" customHeight="false" outlineLevel="0" collapsed="false">
      <c r="J271" s="892"/>
      <c r="K271" s="892"/>
      <c r="L271" s="892"/>
      <c r="M271" s="892"/>
      <c r="N271" s="892"/>
      <c r="O271" s="892"/>
      <c r="P271" s="892"/>
      <c r="Q271" s="892"/>
      <c r="R271" s="892"/>
    </row>
    <row r="272" customFormat="false" ht="11.25" hidden="false" customHeight="false" outlineLevel="0" collapsed="false">
      <c r="J272" s="892"/>
      <c r="K272" s="892"/>
      <c r="L272" s="892"/>
      <c r="M272" s="892"/>
      <c r="N272" s="892"/>
      <c r="O272" s="892"/>
      <c r="P272" s="892"/>
      <c r="Q272" s="892"/>
      <c r="R272" s="892"/>
    </row>
    <row r="290" customFormat="false" ht="11.45" hidden="false" customHeight="true" outlineLevel="0" collapsed="false">
      <c r="G290" s="910"/>
      <c r="H290" s="910"/>
      <c r="I290" s="910"/>
      <c r="J290" s="892"/>
      <c r="K290" s="892"/>
      <c r="L290" s="892"/>
      <c r="M290" s="892"/>
      <c r="N290" s="892"/>
      <c r="O290" s="892"/>
      <c r="P290" s="892"/>
      <c r="Q290" s="892"/>
      <c r="R290" s="892"/>
    </row>
    <row r="291" customFormat="false" ht="11.45" hidden="false" customHeight="true" outlineLevel="0" collapsed="false">
      <c r="G291" s="910"/>
      <c r="H291" s="910"/>
      <c r="I291" s="910"/>
      <c r="J291" s="892"/>
      <c r="K291" s="892"/>
      <c r="L291" s="892"/>
      <c r="M291" s="892"/>
      <c r="N291" s="892"/>
      <c r="O291" s="892"/>
      <c r="P291" s="892"/>
      <c r="Q291" s="892"/>
      <c r="R291" s="892"/>
    </row>
    <row r="292" customFormat="false" ht="11.45" hidden="false" customHeight="true" outlineLevel="0" collapsed="false">
      <c r="E292" s="890"/>
      <c r="G292" s="910"/>
      <c r="H292" s="910"/>
      <c r="I292" s="910"/>
      <c r="J292" s="892"/>
      <c r="K292" s="892"/>
      <c r="L292" s="892"/>
      <c r="M292" s="892"/>
      <c r="N292" s="892"/>
      <c r="O292" s="892"/>
      <c r="P292" s="892"/>
      <c r="Q292" s="892"/>
      <c r="R292" s="892"/>
    </row>
    <row r="293" customFormat="false" ht="11.45" hidden="false" customHeight="true" outlineLevel="0" collapsed="false">
      <c r="G293" s="910"/>
      <c r="H293" s="910"/>
      <c r="I293" s="910"/>
      <c r="J293" s="892"/>
      <c r="K293" s="892"/>
      <c r="L293" s="892"/>
      <c r="M293" s="892"/>
      <c r="N293" s="892"/>
      <c r="O293" s="892"/>
      <c r="P293" s="892"/>
      <c r="Q293" s="892"/>
      <c r="R293" s="892"/>
    </row>
    <row r="294" customFormat="false" ht="11.25" hidden="false" customHeight="false" outlineLevel="0" collapsed="false">
      <c r="F294" s="910"/>
      <c r="G294" s="910"/>
      <c r="H294" s="910"/>
      <c r="I294" s="910"/>
      <c r="J294" s="892"/>
      <c r="K294" s="892"/>
      <c r="L294" s="892"/>
      <c r="M294" s="892"/>
      <c r="N294" s="892"/>
      <c r="O294" s="892"/>
      <c r="P294" s="892"/>
      <c r="Q294" s="892"/>
      <c r="R294" s="892"/>
    </row>
    <row r="295" customFormat="false" ht="12.75" hidden="false" customHeight="false" outlineLevel="0" collapsed="false">
      <c r="F295" s="6"/>
      <c r="G295" s="6"/>
      <c r="H295" s="6"/>
      <c r="J295" s="892"/>
      <c r="K295" s="892"/>
      <c r="L295" s="892"/>
      <c r="M295" s="892"/>
      <c r="N295" s="892"/>
      <c r="O295" s="892"/>
      <c r="P295" s="892"/>
      <c r="Q295" s="892"/>
      <c r="R295" s="892"/>
    </row>
    <row r="296" customFormat="false" ht="12.75" hidden="false" customHeight="false" outlineLevel="0" collapsed="false">
      <c r="F296" s="6"/>
      <c r="G296" s="6"/>
      <c r="H296" s="6"/>
      <c r="J296" s="892"/>
      <c r="K296" s="892"/>
      <c r="L296" s="892"/>
      <c r="M296" s="892"/>
      <c r="N296" s="892"/>
      <c r="O296" s="892"/>
      <c r="P296" s="892"/>
      <c r="Q296" s="892"/>
      <c r="R296" s="892"/>
    </row>
    <row r="297" customFormat="false" ht="12.75" hidden="false" customHeight="false" outlineLevel="0" collapsed="false">
      <c r="F297" s="6"/>
      <c r="G297" s="6"/>
      <c r="H297" s="6"/>
      <c r="J297" s="892"/>
      <c r="K297" s="892"/>
      <c r="L297" s="892"/>
      <c r="M297" s="892"/>
      <c r="N297" s="892"/>
      <c r="O297" s="892"/>
      <c r="P297" s="892"/>
      <c r="Q297" s="892"/>
      <c r="R297" s="892"/>
    </row>
    <row r="298" customFormat="false" ht="12.75" hidden="false" customHeight="false" outlineLevel="0" collapsed="false">
      <c r="F298" s="6"/>
      <c r="G298" s="6"/>
      <c r="H298" s="6"/>
      <c r="J298" s="892"/>
      <c r="K298" s="892"/>
      <c r="L298" s="892"/>
      <c r="M298" s="892"/>
      <c r="N298" s="892"/>
      <c r="O298" s="892"/>
      <c r="P298" s="892"/>
      <c r="Q298" s="892"/>
      <c r="R298" s="892"/>
    </row>
    <row r="299" customFormat="false" ht="12.75" hidden="false" customHeight="false" outlineLevel="0" collapsed="false">
      <c r="F299" s="6"/>
      <c r="G299" s="6"/>
      <c r="H299" s="6"/>
      <c r="J299" s="892"/>
      <c r="K299" s="892"/>
      <c r="L299" s="892"/>
      <c r="M299" s="892"/>
      <c r="N299" s="892"/>
      <c r="O299" s="892"/>
      <c r="P299" s="892"/>
      <c r="Q299" s="892"/>
      <c r="R299" s="892"/>
    </row>
    <row r="300" customFormat="false" ht="12.75" hidden="false" customHeight="false" outlineLevel="0" collapsed="false">
      <c r="F300" s="6"/>
      <c r="G300" s="6"/>
      <c r="H300" s="6"/>
      <c r="J300" s="892"/>
      <c r="K300" s="892"/>
      <c r="L300" s="892"/>
      <c r="M300" s="892"/>
      <c r="N300" s="892"/>
      <c r="O300" s="892"/>
      <c r="P300" s="892"/>
      <c r="Q300" s="892"/>
      <c r="R300" s="892"/>
    </row>
    <row r="301" customFormat="false" ht="12.75" hidden="false" customHeight="false" outlineLevel="0" collapsed="false">
      <c r="F301" s="6"/>
      <c r="G301" s="6"/>
      <c r="H301" s="6"/>
      <c r="J301" s="892"/>
      <c r="K301" s="892"/>
      <c r="L301" s="892"/>
      <c r="M301" s="892"/>
      <c r="N301" s="892"/>
      <c r="O301" s="892"/>
      <c r="P301" s="892"/>
      <c r="Q301" s="892"/>
      <c r="R301" s="892"/>
    </row>
    <row r="302" customFormat="false" ht="12.75" hidden="false" customHeight="false" outlineLevel="0" collapsed="false">
      <c r="A302" s="6"/>
      <c r="B302" s="6"/>
      <c r="C302" s="6"/>
      <c r="D302" s="6"/>
      <c r="E302" s="6"/>
      <c r="F302" s="6"/>
      <c r="G302" s="6"/>
      <c r="H302" s="6"/>
      <c r="J302" s="892"/>
      <c r="K302" s="892"/>
      <c r="L302" s="892"/>
      <c r="M302" s="892"/>
      <c r="N302" s="892"/>
      <c r="O302" s="892"/>
      <c r="P302" s="892"/>
      <c r="Q302" s="892"/>
      <c r="R302" s="892"/>
    </row>
    <row r="303" customFormat="false" ht="12.75" hidden="false" customHeight="false" outlineLevel="0" collapsed="false">
      <c r="A303" s="6"/>
      <c r="B303" s="6"/>
      <c r="C303" s="6"/>
      <c r="D303" s="6"/>
      <c r="E303" s="6"/>
      <c r="F303" s="6"/>
      <c r="G303" s="6"/>
      <c r="H303" s="6"/>
      <c r="J303" s="892"/>
      <c r="K303" s="892"/>
      <c r="L303" s="892"/>
      <c r="M303" s="892"/>
      <c r="N303" s="892"/>
      <c r="O303" s="892"/>
      <c r="P303" s="892"/>
      <c r="Q303" s="892"/>
      <c r="R303" s="892"/>
    </row>
    <row r="304" customFormat="false" ht="11.45" hidden="false" customHeight="true" outlineLevel="0" collapsed="false">
      <c r="A304" s="896"/>
      <c r="B304" s="904"/>
      <c r="C304" s="904"/>
      <c r="D304" s="904"/>
      <c r="E304" s="923"/>
      <c r="H304" s="910"/>
      <c r="I304" s="910"/>
      <c r="K304" s="892"/>
      <c r="L304" s="892"/>
      <c r="M304" s="892"/>
      <c r="N304" s="892"/>
      <c r="O304" s="892"/>
      <c r="P304" s="892"/>
      <c r="Q304" s="892"/>
      <c r="R304" s="892"/>
      <c r="S304" s="892"/>
    </row>
    <row r="305" customFormat="false" ht="11.45" hidden="false" customHeight="true" outlineLevel="0" collapsed="false">
      <c r="A305" s="904"/>
      <c r="B305" s="896"/>
      <c r="C305" s="896"/>
      <c r="D305" s="896"/>
      <c r="E305" s="943"/>
      <c r="F305" s="943"/>
      <c r="G305" s="943"/>
      <c r="H305" s="943"/>
      <c r="I305" s="943"/>
      <c r="J305" s="944"/>
      <c r="K305" s="944"/>
      <c r="L305" s="944"/>
      <c r="M305" s="944"/>
      <c r="N305" s="944"/>
      <c r="O305" s="944"/>
      <c r="P305" s="944"/>
      <c r="Q305" s="944"/>
      <c r="R305" s="944"/>
      <c r="S305" s="944"/>
      <c r="T305" s="944"/>
      <c r="U305" s="944"/>
      <c r="V305" s="944"/>
      <c r="W305" s="944"/>
      <c r="X305" s="944"/>
      <c r="Y305" s="944"/>
      <c r="Z305" s="944"/>
      <c r="AA305" s="944"/>
      <c r="AB305" s="944"/>
      <c r="AC305" s="944"/>
      <c r="AD305" s="944"/>
      <c r="AE305" s="944"/>
      <c r="AF305" s="944"/>
    </row>
    <row r="306" customFormat="false" ht="11.45" hidden="false" customHeight="true" outlineLevel="0" collapsed="false">
      <c r="A306" s="904"/>
      <c r="B306" s="896"/>
      <c r="C306" s="896"/>
      <c r="D306" s="896"/>
      <c r="E306" s="945"/>
      <c r="F306" s="945"/>
      <c r="G306" s="945"/>
      <c r="H306" s="945"/>
      <c r="I306" s="945"/>
      <c r="J306" s="946"/>
      <c r="K306" s="946"/>
      <c r="L306" s="946"/>
      <c r="M306" s="946"/>
      <c r="N306" s="946"/>
      <c r="O306" s="946"/>
      <c r="P306" s="946"/>
      <c r="Q306" s="946"/>
      <c r="R306" s="946"/>
      <c r="S306" s="946"/>
      <c r="T306" s="946"/>
      <c r="U306" s="946"/>
      <c r="V306" s="946"/>
      <c r="W306" s="946"/>
      <c r="X306" s="946"/>
      <c r="Y306" s="946"/>
      <c r="Z306" s="946"/>
      <c r="AA306" s="946"/>
      <c r="AB306" s="946"/>
      <c r="AC306" s="946"/>
      <c r="AD306" s="946"/>
      <c r="AE306" s="946"/>
      <c r="AF306" s="946"/>
    </row>
    <row r="307" customFormat="false" ht="11.45" hidden="false" customHeight="true" outlineLevel="0" collapsed="false">
      <c r="A307" s="896"/>
      <c r="B307" s="904"/>
      <c r="C307" s="904"/>
      <c r="D307" s="904"/>
      <c r="E307" s="923"/>
      <c r="H307" s="910"/>
      <c r="I307" s="910"/>
      <c r="K307" s="892"/>
      <c r="L307" s="892"/>
      <c r="M307" s="892"/>
      <c r="N307" s="892"/>
      <c r="O307" s="892"/>
      <c r="P307" s="892"/>
      <c r="Q307" s="892"/>
      <c r="R307" s="892"/>
      <c r="S307" s="892"/>
    </row>
    <row r="308" customFormat="false" ht="11.45" hidden="false" customHeight="true" outlineLevel="0" collapsed="false">
      <c r="A308" s="896"/>
      <c r="B308" s="904"/>
      <c r="C308" s="904"/>
      <c r="D308" s="904"/>
      <c r="E308" s="904"/>
      <c r="F308" s="904"/>
      <c r="G308" s="904"/>
      <c r="H308" s="904"/>
      <c r="I308" s="904"/>
      <c r="J308" s="947"/>
      <c r="K308" s="947"/>
      <c r="L308" s="947"/>
      <c r="M308" s="947"/>
      <c r="N308" s="947"/>
      <c r="O308" s="947"/>
      <c r="P308" s="947"/>
      <c r="Q308" s="947"/>
      <c r="R308" s="947"/>
      <c r="S308" s="947"/>
      <c r="T308" s="947"/>
      <c r="U308" s="947"/>
      <c r="V308" s="947"/>
      <c r="W308" s="947"/>
      <c r="X308" s="947"/>
      <c r="Y308" s="947"/>
      <c r="Z308" s="947"/>
      <c r="AA308" s="947"/>
      <c r="AB308" s="947"/>
      <c r="AC308" s="947"/>
      <c r="AD308" s="947"/>
      <c r="AE308" s="947"/>
      <c r="AF308" s="947"/>
    </row>
    <row r="309" customFormat="false" ht="11.45" hidden="false" customHeight="true" outlineLevel="0" collapsed="false">
      <c r="A309" s="896"/>
      <c r="B309" s="896"/>
      <c r="C309" s="896"/>
      <c r="D309" s="896"/>
      <c r="E309" s="943"/>
      <c r="F309" s="943"/>
      <c r="G309" s="943"/>
      <c r="H309" s="943"/>
      <c r="I309" s="943"/>
      <c r="J309" s="944"/>
      <c r="K309" s="944"/>
      <c r="L309" s="944"/>
      <c r="M309" s="944"/>
      <c r="N309" s="944"/>
      <c r="O309" s="944"/>
      <c r="P309" s="944"/>
      <c r="Q309" s="944"/>
      <c r="R309" s="944"/>
      <c r="S309" s="944"/>
      <c r="T309" s="944"/>
      <c r="U309" s="944"/>
      <c r="V309" s="944"/>
      <c r="W309" s="944"/>
      <c r="X309" s="944"/>
      <c r="Y309" s="944"/>
      <c r="Z309" s="944"/>
      <c r="AA309" s="944"/>
      <c r="AB309" s="944"/>
      <c r="AC309" s="944"/>
      <c r="AD309" s="944"/>
      <c r="AE309" s="944"/>
      <c r="AF309" s="944"/>
    </row>
    <row r="310" customFormat="false" ht="11.45" hidden="false" customHeight="true" outlineLevel="0" collapsed="false">
      <c r="A310" s="896"/>
      <c r="B310" s="904"/>
      <c r="C310" s="904"/>
      <c r="D310" s="904"/>
      <c r="E310" s="904"/>
      <c r="F310" s="948"/>
      <c r="G310" s="948"/>
      <c r="H310" s="948"/>
      <c r="I310" s="948"/>
      <c r="J310" s="949"/>
      <c r="K310" s="949"/>
      <c r="L310" s="949"/>
      <c r="M310" s="949"/>
      <c r="N310" s="949"/>
      <c r="O310" s="949"/>
      <c r="P310" s="949"/>
      <c r="Q310" s="949"/>
      <c r="R310" s="949"/>
      <c r="S310" s="949"/>
      <c r="T310" s="949"/>
      <c r="U310" s="949"/>
      <c r="V310" s="949"/>
      <c r="W310" s="949"/>
      <c r="X310" s="949"/>
      <c r="Y310" s="949"/>
      <c r="Z310" s="949"/>
      <c r="AA310" s="949"/>
      <c r="AB310" s="949"/>
      <c r="AC310" s="949"/>
      <c r="AD310" s="949"/>
      <c r="AE310" s="949"/>
      <c r="AF310" s="949"/>
    </row>
    <row r="311" customFormat="false" ht="11.45" hidden="false" customHeight="true" outlineLevel="0" collapsed="false">
      <c r="A311" s="896"/>
      <c r="B311" s="896"/>
      <c r="C311" s="896"/>
      <c r="D311" s="896"/>
      <c r="E311" s="904"/>
      <c r="F311" s="948"/>
      <c r="G311" s="948"/>
      <c r="H311" s="948"/>
      <c r="I311" s="948"/>
      <c r="J311" s="949"/>
      <c r="K311" s="949"/>
      <c r="L311" s="949"/>
      <c r="M311" s="949"/>
      <c r="N311" s="949"/>
      <c r="O311" s="949"/>
      <c r="P311" s="949"/>
      <c r="Q311" s="949"/>
      <c r="R311" s="949"/>
      <c r="S311" s="949"/>
      <c r="T311" s="949"/>
      <c r="U311" s="949"/>
      <c r="V311" s="949"/>
      <c r="W311" s="949"/>
      <c r="X311" s="949"/>
      <c r="Y311" s="949"/>
      <c r="Z311" s="949"/>
      <c r="AA311" s="949"/>
      <c r="AB311" s="949"/>
      <c r="AC311" s="949"/>
      <c r="AD311" s="949"/>
      <c r="AE311" s="949"/>
      <c r="AF311" s="949"/>
    </row>
    <row r="312" customFormat="false" ht="11.45" hidden="false" customHeight="true" outlineLevel="0" collapsed="false">
      <c r="A312" s="896"/>
      <c r="B312" s="896"/>
      <c r="C312" s="896"/>
      <c r="D312" s="896"/>
      <c r="E312" s="904"/>
      <c r="F312" s="948"/>
      <c r="G312" s="948"/>
      <c r="H312" s="948"/>
      <c r="I312" s="948"/>
      <c r="J312" s="949"/>
      <c r="K312" s="949"/>
      <c r="L312" s="949"/>
      <c r="M312" s="949"/>
      <c r="N312" s="949"/>
      <c r="O312" s="949"/>
      <c r="P312" s="949"/>
      <c r="Q312" s="949"/>
      <c r="R312" s="949"/>
      <c r="S312" s="949"/>
      <c r="T312" s="949"/>
      <c r="U312" s="949"/>
      <c r="V312" s="949"/>
      <c r="W312" s="949"/>
      <c r="X312" s="949"/>
      <c r="Y312" s="949"/>
      <c r="Z312" s="949"/>
      <c r="AA312" s="949"/>
      <c r="AB312" s="949"/>
      <c r="AC312" s="949"/>
      <c r="AD312" s="949"/>
      <c r="AE312" s="949"/>
      <c r="AF312" s="949"/>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44"/>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E11" activeCellId="0" sqref="E11"/>
    </sheetView>
  </sheetViews>
  <sheetFormatPr defaultColWidth="8.70703125" defaultRowHeight="12.75" customHeight="true" zeroHeight="false" outlineLevelRow="0" outlineLevelCol="0"/>
  <cols>
    <col collapsed="false" customWidth="true" hidden="false" outlineLevel="0" max="1" min="1" style="6" width="26.99"/>
    <col collapsed="false" customWidth="false" hidden="false" outlineLevel="0" max="2" min="2" style="6" width="8.7"/>
    <col collapsed="false" customWidth="true" hidden="false" outlineLevel="0" max="4" min="3" style="6" width="6.56"/>
    <col collapsed="false" customWidth="true" hidden="false" outlineLevel="0" max="5" min="5" style="6" width="9.41"/>
    <col collapsed="false" customWidth="true" hidden="false" outlineLevel="0" max="6" min="6" style="6" width="8.14"/>
    <col collapsed="false" customWidth="true" hidden="false" outlineLevel="0" max="7" min="7" style="6" width="7.14"/>
    <col collapsed="false" customWidth="true" hidden="false" outlineLevel="0" max="8" min="8" style="6" width="10.71"/>
    <col collapsed="false" customWidth="true" hidden="false" outlineLevel="0" max="9" min="9" style="6" width="6.99"/>
    <col collapsed="false" customWidth="false" hidden="false" outlineLevel="0" max="10" min="10" style="6" width="8.7"/>
    <col collapsed="false" customWidth="true" hidden="false" outlineLevel="0" max="11" min="11" style="6" width="6.99"/>
    <col collapsed="false" customWidth="true" hidden="false" outlineLevel="0" max="12" min="12" style="6" width="6.7"/>
    <col collapsed="false" customWidth="true" hidden="false" outlineLevel="0" max="13" min="13" style="6" width="7.14"/>
    <col collapsed="false" customWidth="true" hidden="false" outlineLevel="0" max="14" min="14" style="6" width="6.99"/>
    <col collapsed="false" customWidth="true" hidden="false" outlineLevel="0" max="15" min="15" style="6" width="6.56"/>
    <col collapsed="false" customWidth="true" hidden="false" outlineLevel="0" max="16" min="16" style="6" width="7.28"/>
    <col collapsed="false" customWidth="true" hidden="false" outlineLevel="0" max="17" min="17" style="6" width="8.14"/>
    <col collapsed="false" customWidth="true" hidden="false" outlineLevel="0" max="22" min="18" style="6" width="7.28"/>
    <col collapsed="false" customWidth="true" hidden="false" outlineLevel="0" max="23" min="23" style="6" width="8.14"/>
    <col collapsed="false" customWidth="true" hidden="false" outlineLevel="0" max="24" min="24" style="6" width="6.56"/>
    <col collapsed="false" customWidth="true" hidden="false" outlineLevel="0" max="25" min="25" style="6" width="6.99"/>
    <col collapsed="false" customWidth="true" hidden="true" outlineLevel="0" max="26" min="26" style="6" width="6.56"/>
    <col collapsed="false" customWidth="true" hidden="true" outlineLevel="0" max="27" min="27" style="6" width="6.99"/>
    <col collapsed="false" customWidth="true" hidden="false" outlineLevel="0" max="28" min="28" style="6" width="6.99"/>
    <col collapsed="false" customWidth="false" hidden="false" outlineLevel="0" max="257" min="29" style="951" width="8.7"/>
  </cols>
  <sheetData>
    <row r="1" customFormat="false" ht="20.25" hidden="false" customHeight="false" outlineLevel="0" collapsed="false">
      <c r="A1" s="367" t="str">
        <f aca="false">'Project Assumtions'!$A$2</f>
        <v>WHEATLAND POWER IN, L.L.C.</v>
      </c>
      <c r="B1" s="478"/>
      <c r="C1" s="478"/>
      <c r="D1" s="368"/>
    </row>
    <row r="2" customFormat="false" ht="12.75" hidden="false" customHeight="false" outlineLevel="0" collapsed="false">
      <c r="A2" s="370" t="s">
        <v>693</v>
      </c>
      <c r="B2" s="479"/>
      <c r="C2" s="479"/>
      <c r="D2" s="371"/>
    </row>
    <row r="3" customFormat="false" ht="11.25" hidden="false" customHeight="true" outlineLevel="0" collapsed="false">
      <c r="A3" s="64"/>
      <c r="B3" s="64"/>
      <c r="C3" s="952"/>
      <c r="D3" s="952"/>
      <c r="E3" s="952"/>
      <c r="F3" s="952"/>
      <c r="G3" s="952"/>
      <c r="H3" s="952"/>
      <c r="I3" s="952"/>
      <c r="J3" s="952"/>
      <c r="K3" s="952"/>
      <c r="L3" s="952"/>
      <c r="M3" s="952"/>
      <c r="N3" s="952"/>
      <c r="O3" s="952"/>
      <c r="P3" s="952"/>
      <c r="Q3" s="952"/>
      <c r="R3" s="64"/>
      <c r="S3" s="64"/>
      <c r="T3" s="64"/>
      <c r="U3" s="64"/>
      <c r="V3" s="64"/>
      <c r="W3" s="64"/>
      <c r="X3" s="64"/>
      <c r="Y3" s="64"/>
      <c r="Z3" s="64"/>
      <c r="AA3" s="64"/>
      <c r="AB3" s="64"/>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3"/>
      <c r="BM3" s="953"/>
      <c r="BN3" s="953"/>
      <c r="BO3" s="953"/>
      <c r="BP3" s="953"/>
      <c r="BQ3" s="953"/>
      <c r="BR3" s="953"/>
      <c r="BS3" s="953"/>
      <c r="BT3" s="953"/>
      <c r="BU3" s="953"/>
      <c r="BV3" s="953"/>
      <c r="BW3" s="953"/>
      <c r="BX3" s="953"/>
      <c r="BY3" s="953"/>
      <c r="BZ3" s="953"/>
      <c r="CA3" s="953"/>
      <c r="CB3" s="953"/>
      <c r="CC3" s="953"/>
      <c r="CD3" s="953"/>
      <c r="CE3" s="953"/>
      <c r="CF3" s="953"/>
      <c r="CG3" s="953"/>
      <c r="CH3" s="953"/>
      <c r="CI3" s="953"/>
      <c r="CJ3" s="953"/>
      <c r="CK3" s="953"/>
      <c r="CL3" s="953"/>
      <c r="CM3" s="953"/>
      <c r="CN3" s="953"/>
      <c r="CO3" s="953"/>
      <c r="CP3" s="953"/>
      <c r="CQ3" s="953"/>
      <c r="CR3" s="953"/>
      <c r="CS3" s="953"/>
      <c r="CT3" s="953"/>
      <c r="CU3" s="953"/>
      <c r="CV3" s="953"/>
      <c r="CW3" s="953"/>
      <c r="CX3" s="953"/>
      <c r="CY3" s="953"/>
      <c r="CZ3" s="953"/>
      <c r="DA3" s="953"/>
      <c r="DB3" s="953"/>
      <c r="DC3" s="953"/>
      <c r="DD3" s="953"/>
      <c r="DE3" s="953"/>
      <c r="DF3" s="953"/>
      <c r="DG3" s="953"/>
      <c r="DH3" s="953"/>
      <c r="DI3" s="953"/>
      <c r="DJ3" s="953"/>
      <c r="DK3" s="953"/>
      <c r="DL3" s="953"/>
      <c r="DM3" s="953"/>
      <c r="DN3" s="953"/>
      <c r="DO3" s="953"/>
      <c r="DP3" s="953"/>
      <c r="DQ3" s="953"/>
      <c r="DR3" s="953"/>
      <c r="DS3" s="953"/>
      <c r="DT3" s="953"/>
      <c r="DU3" s="953"/>
      <c r="DV3" s="953"/>
      <c r="DW3" s="953"/>
      <c r="DX3" s="953"/>
      <c r="DY3" s="953"/>
      <c r="DZ3" s="953"/>
      <c r="EA3" s="953"/>
      <c r="EB3" s="953"/>
      <c r="EC3" s="953"/>
      <c r="ED3" s="953"/>
      <c r="EE3" s="953"/>
      <c r="EF3" s="953"/>
      <c r="EG3" s="953"/>
      <c r="EH3" s="953"/>
      <c r="EI3" s="953"/>
      <c r="EJ3" s="953"/>
      <c r="EK3" s="953"/>
      <c r="EL3" s="953"/>
      <c r="EM3" s="953"/>
      <c r="EN3" s="953"/>
      <c r="EO3" s="953"/>
      <c r="EP3" s="953"/>
      <c r="EQ3" s="953"/>
      <c r="ER3" s="953"/>
      <c r="ES3" s="953"/>
      <c r="ET3" s="953"/>
      <c r="EU3" s="953"/>
      <c r="EV3" s="953"/>
      <c r="EW3" s="953"/>
      <c r="EX3" s="953"/>
      <c r="EY3" s="953"/>
      <c r="EZ3" s="953"/>
      <c r="FA3" s="953"/>
      <c r="FB3" s="953"/>
      <c r="FC3" s="953"/>
      <c r="FD3" s="953"/>
      <c r="FE3" s="953"/>
      <c r="FF3" s="953"/>
      <c r="FG3" s="953"/>
      <c r="FH3" s="953"/>
      <c r="FI3" s="953"/>
      <c r="FJ3" s="953"/>
      <c r="FK3" s="953"/>
      <c r="FL3" s="953"/>
      <c r="FM3" s="953"/>
      <c r="FN3" s="953"/>
      <c r="FO3" s="953"/>
      <c r="FP3" s="953"/>
      <c r="FQ3" s="953"/>
      <c r="FR3" s="953"/>
      <c r="FS3" s="953"/>
      <c r="FT3" s="953"/>
      <c r="FU3" s="953"/>
      <c r="FV3" s="953"/>
      <c r="FW3" s="953"/>
      <c r="FX3" s="953"/>
      <c r="FY3" s="953"/>
      <c r="FZ3" s="953"/>
      <c r="GA3" s="953"/>
      <c r="GB3" s="953"/>
      <c r="GC3" s="953"/>
      <c r="GD3" s="953"/>
      <c r="GE3" s="953"/>
      <c r="GF3" s="953"/>
      <c r="GG3" s="953"/>
      <c r="GH3" s="953"/>
      <c r="GI3" s="953"/>
      <c r="GJ3" s="953"/>
      <c r="GK3" s="953"/>
      <c r="GL3" s="953"/>
      <c r="GM3" s="953"/>
      <c r="GN3" s="953"/>
      <c r="GO3" s="953"/>
      <c r="GP3" s="953"/>
      <c r="GQ3" s="953"/>
      <c r="GR3" s="953"/>
      <c r="GS3" s="953"/>
      <c r="GT3" s="953"/>
      <c r="GU3" s="953"/>
      <c r="GV3" s="953"/>
      <c r="GW3" s="953"/>
      <c r="GX3" s="953"/>
      <c r="GY3" s="953"/>
      <c r="GZ3" s="953"/>
      <c r="HA3" s="953"/>
      <c r="HB3" s="953"/>
      <c r="HC3" s="953"/>
      <c r="HD3" s="953"/>
      <c r="HE3" s="953"/>
      <c r="HF3" s="953"/>
      <c r="HG3" s="953"/>
      <c r="HH3" s="953"/>
      <c r="HI3" s="953"/>
      <c r="HJ3" s="953"/>
      <c r="HK3" s="953"/>
      <c r="HL3" s="953"/>
      <c r="HM3" s="953"/>
      <c r="HN3" s="953"/>
      <c r="HO3" s="953"/>
      <c r="HP3" s="953"/>
      <c r="HQ3" s="953"/>
      <c r="HR3" s="953"/>
      <c r="HS3" s="953"/>
      <c r="HT3" s="953"/>
      <c r="HU3" s="953"/>
      <c r="HV3" s="953"/>
      <c r="HW3" s="953"/>
      <c r="HX3" s="953"/>
      <c r="HY3" s="953"/>
      <c r="HZ3" s="953"/>
      <c r="IA3" s="953"/>
      <c r="IB3" s="953"/>
      <c r="IC3" s="953"/>
      <c r="ID3" s="953"/>
      <c r="IE3" s="953"/>
      <c r="IF3" s="953"/>
      <c r="IG3" s="953"/>
      <c r="IH3" s="953"/>
      <c r="II3" s="953"/>
      <c r="IJ3" s="953"/>
      <c r="IK3" s="953"/>
      <c r="IL3" s="953"/>
      <c r="IM3" s="953"/>
      <c r="IN3" s="953"/>
      <c r="IO3" s="953"/>
      <c r="IP3" s="953"/>
      <c r="IQ3" s="953"/>
      <c r="IR3" s="953"/>
      <c r="IS3" s="953"/>
      <c r="IT3" s="953"/>
      <c r="IU3" s="953"/>
      <c r="IV3" s="953"/>
      <c r="IW3" s="953"/>
    </row>
    <row r="4" customFormat="false" ht="11.25" hidden="false" customHeight="true" outlineLevel="0" collapsed="false">
      <c r="A4" s="1"/>
      <c r="B4" s="1"/>
      <c r="C4" s="481" t="n">
        <v>0</v>
      </c>
      <c r="D4" s="481" t="n">
        <v>1</v>
      </c>
      <c r="E4" s="481" t="n">
        <v>2</v>
      </c>
      <c r="F4" s="481" t="n">
        <v>3</v>
      </c>
      <c r="G4" s="481" t="n">
        <v>4</v>
      </c>
      <c r="H4" s="481" t="n">
        <v>5</v>
      </c>
      <c r="I4" s="481" t="n">
        <v>6</v>
      </c>
      <c r="J4" s="482" t="n">
        <v>7</v>
      </c>
      <c r="K4" s="481" t="n">
        <v>8</v>
      </c>
      <c r="L4" s="481" t="n">
        <v>9</v>
      </c>
      <c r="M4" s="481" t="n">
        <v>10</v>
      </c>
      <c r="N4" s="481" t="n">
        <v>11</v>
      </c>
      <c r="O4" s="481" t="n">
        <v>12</v>
      </c>
      <c r="P4" s="482" t="n">
        <v>13</v>
      </c>
      <c r="Q4" s="481" t="n">
        <v>14</v>
      </c>
      <c r="R4" s="481" t="n">
        <v>15</v>
      </c>
      <c r="S4" s="481" t="n">
        <v>16</v>
      </c>
      <c r="T4" s="481" t="n">
        <v>17</v>
      </c>
      <c r="U4" s="481" t="n">
        <v>18</v>
      </c>
      <c r="V4" s="482" t="n">
        <v>19</v>
      </c>
      <c r="W4" s="481" t="n">
        <v>20</v>
      </c>
      <c r="X4" s="481" t="n">
        <v>21</v>
      </c>
      <c r="Y4" s="481" t="n">
        <v>22</v>
      </c>
      <c r="Z4" s="481" t="n">
        <v>23</v>
      </c>
      <c r="AA4" s="481" t="n">
        <v>24</v>
      </c>
      <c r="AB4" s="482" t="n">
        <v>25</v>
      </c>
      <c r="AC4" s="812"/>
      <c r="AD4" s="812"/>
      <c r="AE4" s="812"/>
      <c r="AF4" s="812"/>
      <c r="AG4" s="812"/>
      <c r="AH4" s="812"/>
      <c r="AI4" s="812"/>
      <c r="AJ4" s="812"/>
      <c r="AK4" s="812"/>
      <c r="AL4" s="812"/>
      <c r="AM4" s="812"/>
      <c r="AN4" s="812"/>
      <c r="AO4" s="812"/>
      <c r="AP4" s="812"/>
      <c r="AQ4" s="812"/>
      <c r="AR4" s="812"/>
      <c r="AS4" s="812"/>
      <c r="AT4" s="812"/>
      <c r="AU4" s="812"/>
      <c r="AV4" s="812"/>
      <c r="AW4" s="812"/>
      <c r="AX4" s="812"/>
      <c r="AY4" s="812"/>
      <c r="AZ4" s="812"/>
      <c r="BA4" s="812"/>
      <c r="BB4" s="812"/>
      <c r="BC4" s="812"/>
      <c r="BD4" s="812"/>
      <c r="BE4" s="812"/>
      <c r="BF4" s="812"/>
      <c r="BG4" s="812"/>
      <c r="BH4" s="812"/>
      <c r="BI4" s="812"/>
      <c r="BJ4" s="812"/>
      <c r="BK4" s="812"/>
      <c r="BL4" s="812"/>
      <c r="BM4" s="812"/>
      <c r="BN4" s="812"/>
      <c r="BO4" s="812"/>
      <c r="BP4" s="812"/>
      <c r="BQ4" s="812"/>
      <c r="BR4" s="812"/>
      <c r="BS4" s="812"/>
      <c r="BT4" s="812"/>
      <c r="BU4" s="812"/>
      <c r="BV4" s="812"/>
      <c r="BW4" s="812"/>
      <c r="BX4" s="812"/>
      <c r="BY4" s="812"/>
      <c r="BZ4" s="812"/>
      <c r="CA4" s="812"/>
      <c r="CB4" s="812"/>
      <c r="CC4" s="812"/>
      <c r="CD4" s="812"/>
      <c r="CE4" s="812"/>
      <c r="CF4" s="812"/>
      <c r="CG4" s="812"/>
      <c r="CH4" s="812"/>
      <c r="CI4" s="812"/>
      <c r="CJ4" s="812"/>
      <c r="CK4" s="812"/>
      <c r="CL4" s="812"/>
      <c r="CM4" s="812"/>
      <c r="CN4" s="812"/>
      <c r="CO4" s="812"/>
      <c r="CP4" s="812"/>
      <c r="CQ4" s="812"/>
      <c r="CR4" s="812"/>
      <c r="CS4" s="812"/>
      <c r="CT4" s="812"/>
      <c r="CU4" s="812"/>
      <c r="CV4" s="812"/>
      <c r="CW4" s="812"/>
      <c r="CX4" s="812"/>
      <c r="CY4" s="812"/>
      <c r="CZ4" s="812"/>
      <c r="DA4" s="812"/>
      <c r="DB4" s="812"/>
      <c r="DC4" s="812"/>
      <c r="DD4" s="812"/>
      <c r="DE4" s="812"/>
      <c r="DF4" s="812"/>
      <c r="DG4" s="812"/>
      <c r="DH4" s="812"/>
      <c r="DI4" s="812"/>
      <c r="DJ4" s="812"/>
      <c r="DK4" s="812"/>
      <c r="DL4" s="812"/>
      <c r="DM4" s="812"/>
      <c r="DN4" s="812"/>
      <c r="DO4" s="812"/>
      <c r="DP4" s="812"/>
      <c r="DQ4" s="812"/>
      <c r="DR4" s="812"/>
      <c r="DS4" s="812"/>
      <c r="DT4" s="812"/>
      <c r="DU4" s="812"/>
      <c r="DV4" s="812"/>
      <c r="DW4" s="812"/>
      <c r="DX4" s="812"/>
      <c r="DY4" s="812"/>
      <c r="DZ4" s="812"/>
      <c r="EA4" s="812"/>
      <c r="EB4" s="812"/>
      <c r="EC4" s="812"/>
      <c r="ED4" s="812"/>
      <c r="EE4" s="812"/>
      <c r="EF4" s="812"/>
      <c r="EG4" s="812"/>
      <c r="EH4" s="812"/>
      <c r="EI4" s="812"/>
      <c r="EJ4" s="812"/>
      <c r="EK4" s="812"/>
      <c r="EL4" s="812"/>
      <c r="EM4" s="812"/>
      <c r="EN4" s="812"/>
      <c r="EO4" s="812"/>
      <c r="EP4" s="812"/>
      <c r="EQ4" s="812"/>
      <c r="ER4" s="812"/>
      <c r="ES4" s="812"/>
      <c r="ET4" s="812"/>
      <c r="EU4" s="812"/>
      <c r="EV4" s="812"/>
      <c r="EW4" s="812"/>
      <c r="EX4" s="812"/>
      <c r="EY4" s="812"/>
      <c r="EZ4" s="812"/>
      <c r="FA4" s="812"/>
      <c r="FB4" s="812"/>
      <c r="FC4" s="812"/>
      <c r="FD4" s="812"/>
      <c r="FE4" s="812"/>
      <c r="FF4" s="812"/>
      <c r="FG4" s="812"/>
      <c r="FH4" s="812"/>
      <c r="FI4" s="812"/>
      <c r="FJ4" s="812"/>
      <c r="FK4" s="812"/>
      <c r="FL4" s="812"/>
      <c r="FM4" s="812"/>
      <c r="FN4" s="812"/>
      <c r="FO4" s="812"/>
      <c r="FP4" s="812"/>
      <c r="FQ4" s="812"/>
      <c r="FR4" s="812"/>
      <c r="FS4" s="812"/>
      <c r="FT4" s="812"/>
      <c r="FU4" s="812"/>
      <c r="FV4" s="812"/>
      <c r="FW4" s="812"/>
      <c r="FX4" s="812"/>
      <c r="FY4" s="812"/>
      <c r="FZ4" s="812"/>
      <c r="GA4" s="812"/>
      <c r="GB4" s="812"/>
      <c r="GC4" s="812"/>
      <c r="GD4" s="812"/>
      <c r="GE4" s="812"/>
      <c r="GF4" s="812"/>
      <c r="GG4" s="812"/>
      <c r="GH4" s="812"/>
      <c r="GI4" s="812"/>
      <c r="GJ4" s="812"/>
      <c r="GK4" s="812"/>
      <c r="GL4" s="812"/>
      <c r="GM4" s="812"/>
      <c r="GN4" s="812"/>
      <c r="GO4" s="812"/>
      <c r="GP4" s="812"/>
      <c r="GQ4" s="812"/>
      <c r="GR4" s="812"/>
      <c r="GS4" s="812"/>
      <c r="GT4" s="812"/>
      <c r="GU4" s="812"/>
      <c r="GV4" s="812"/>
      <c r="GW4" s="812"/>
      <c r="GX4" s="812"/>
      <c r="GY4" s="812"/>
      <c r="GZ4" s="812"/>
      <c r="HA4" s="812"/>
      <c r="HB4" s="812"/>
      <c r="HC4" s="812"/>
      <c r="HD4" s="812"/>
      <c r="HE4" s="812"/>
      <c r="HF4" s="812"/>
      <c r="HG4" s="812"/>
      <c r="HH4" s="812"/>
      <c r="HI4" s="812"/>
      <c r="HJ4" s="812"/>
      <c r="HK4" s="812"/>
      <c r="HL4" s="812"/>
      <c r="HM4" s="812"/>
      <c r="HN4" s="812"/>
      <c r="HO4" s="812"/>
      <c r="HP4" s="812"/>
      <c r="HQ4" s="812"/>
      <c r="HR4" s="812"/>
      <c r="HS4" s="812"/>
      <c r="HT4" s="812"/>
      <c r="HU4" s="812"/>
      <c r="HV4" s="812"/>
      <c r="HW4" s="812"/>
      <c r="HX4" s="812"/>
      <c r="HY4" s="812"/>
      <c r="HZ4" s="812"/>
      <c r="IA4" s="812"/>
      <c r="IB4" s="812"/>
      <c r="IC4" s="812"/>
      <c r="ID4" s="812"/>
      <c r="IE4" s="812"/>
      <c r="IF4" s="812"/>
      <c r="IG4" s="812"/>
      <c r="IH4" s="812"/>
      <c r="II4" s="812"/>
      <c r="IJ4" s="812"/>
      <c r="IK4" s="812"/>
      <c r="IL4" s="812"/>
      <c r="IM4" s="812"/>
      <c r="IN4" s="812"/>
      <c r="IO4" s="812"/>
      <c r="IP4" s="812"/>
      <c r="IQ4" s="812"/>
      <c r="IR4" s="812"/>
      <c r="IS4" s="812"/>
      <c r="IT4" s="812"/>
      <c r="IU4" s="812"/>
      <c r="IV4" s="812"/>
      <c r="IW4" s="812"/>
    </row>
    <row r="5" customFormat="false" ht="11.25" hidden="false" customHeight="true" outlineLevel="0" collapsed="false">
      <c r="A5" s="954"/>
      <c r="B5" s="374"/>
      <c r="C5" s="375" t="n">
        <f aca="false">D5-1</f>
        <v>1999</v>
      </c>
      <c r="D5" s="375" t="n">
        <f aca="false">+YEAR('Project Assumtions'!$G$16)</f>
        <v>2000</v>
      </c>
      <c r="E5" s="375" t="n">
        <f aca="false">D5+1</f>
        <v>2001</v>
      </c>
      <c r="F5" s="375" t="n">
        <f aca="false">E5+1</f>
        <v>2002</v>
      </c>
      <c r="G5" s="375" t="n">
        <f aca="false">F5+1</f>
        <v>2003</v>
      </c>
      <c r="H5" s="375" t="n">
        <f aca="false">G5+1</f>
        <v>2004</v>
      </c>
      <c r="I5" s="375" t="n">
        <f aca="false">H5+1</f>
        <v>2005</v>
      </c>
      <c r="J5" s="375" t="n">
        <f aca="false">I5+1</f>
        <v>2006</v>
      </c>
      <c r="K5" s="375" t="n">
        <f aca="false">J5+1</f>
        <v>2007</v>
      </c>
      <c r="L5" s="375" t="n">
        <f aca="false">K5+1</f>
        <v>2008</v>
      </c>
      <c r="M5" s="375" t="n">
        <f aca="false">L5+1</f>
        <v>2009</v>
      </c>
      <c r="N5" s="375" t="n">
        <f aca="false">M5+1</f>
        <v>2010</v>
      </c>
      <c r="O5" s="375" t="n">
        <f aca="false">N5+1</f>
        <v>2011</v>
      </c>
      <c r="P5" s="375" t="n">
        <f aca="false">O5+1</f>
        <v>2012</v>
      </c>
      <c r="Q5" s="375" t="n">
        <f aca="false">P5+1</f>
        <v>2013</v>
      </c>
      <c r="R5" s="375" t="n">
        <f aca="false">Q5+1</f>
        <v>2014</v>
      </c>
      <c r="S5" s="375" t="n">
        <f aca="false">R5+1</f>
        <v>2015</v>
      </c>
      <c r="T5" s="375" t="n">
        <f aca="false">S5+1</f>
        <v>2016</v>
      </c>
      <c r="U5" s="375" t="n">
        <f aca="false">T5+1</f>
        <v>2017</v>
      </c>
      <c r="V5" s="375" t="n">
        <f aca="false">U5+1</f>
        <v>2018</v>
      </c>
      <c r="W5" s="375" t="n">
        <f aca="false">V5+1</f>
        <v>2019</v>
      </c>
      <c r="X5" s="375" t="n">
        <f aca="false">W5+1</f>
        <v>2020</v>
      </c>
      <c r="Y5" s="375" t="n">
        <f aca="false">X5+1</f>
        <v>2021</v>
      </c>
      <c r="Z5" s="375" t="n">
        <f aca="false">Y5+1</f>
        <v>2022</v>
      </c>
      <c r="AA5" s="375" t="n">
        <f aca="false">Z5+1</f>
        <v>2023</v>
      </c>
      <c r="AB5" s="376" t="n">
        <f aca="false">AA5+1</f>
        <v>2024</v>
      </c>
      <c r="AC5" s="812"/>
      <c r="AD5" s="812"/>
      <c r="AE5" s="812"/>
      <c r="AF5" s="812"/>
      <c r="AG5" s="812"/>
      <c r="AH5" s="812"/>
      <c r="AI5" s="812"/>
      <c r="AJ5" s="812"/>
      <c r="AK5" s="812"/>
      <c r="AL5" s="812"/>
      <c r="AM5" s="812"/>
      <c r="AN5" s="812"/>
      <c r="AO5" s="812"/>
      <c r="AP5" s="812"/>
      <c r="AQ5" s="812"/>
      <c r="AR5" s="812"/>
      <c r="AS5" s="812"/>
      <c r="AT5" s="812"/>
      <c r="AU5" s="812"/>
      <c r="AV5" s="812"/>
      <c r="AW5" s="812"/>
      <c r="AX5" s="812"/>
      <c r="AY5" s="812"/>
      <c r="AZ5" s="812"/>
      <c r="BA5" s="812"/>
      <c r="BB5" s="812"/>
      <c r="BC5" s="812"/>
      <c r="BD5" s="812"/>
      <c r="BE5" s="812"/>
      <c r="BF5" s="812"/>
      <c r="BG5" s="812"/>
      <c r="BH5" s="812"/>
      <c r="BI5" s="812"/>
      <c r="BJ5" s="812"/>
      <c r="BK5" s="812"/>
      <c r="BL5" s="812"/>
      <c r="BM5" s="812"/>
      <c r="BN5" s="812"/>
      <c r="BO5" s="812"/>
      <c r="BP5" s="812"/>
      <c r="BQ5" s="812"/>
      <c r="BR5" s="812"/>
      <c r="BS5" s="812"/>
      <c r="BT5" s="812"/>
      <c r="BU5" s="812"/>
      <c r="BV5" s="812"/>
      <c r="BW5" s="812"/>
      <c r="BX5" s="812"/>
      <c r="BY5" s="812"/>
      <c r="BZ5" s="812"/>
      <c r="CA5" s="812"/>
      <c r="CB5" s="812"/>
      <c r="CC5" s="812"/>
      <c r="CD5" s="812"/>
      <c r="CE5" s="812"/>
      <c r="CF5" s="812"/>
      <c r="CG5" s="812"/>
      <c r="CH5" s="812"/>
      <c r="CI5" s="812"/>
      <c r="CJ5" s="812"/>
      <c r="CK5" s="812"/>
      <c r="CL5" s="812"/>
      <c r="CM5" s="812"/>
      <c r="CN5" s="812"/>
      <c r="CO5" s="812"/>
      <c r="CP5" s="812"/>
      <c r="CQ5" s="812"/>
      <c r="CR5" s="812"/>
      <c r="CS5" s="812"/>
      <c r="CT5" s="812"/>
      <c r="CU5" s="812"/>
      <c r="CV5" s="812"/>
      <c r="CW5" s="812"/>
      <c r="CX5" s="812"/>
      <c r="CY5" s="812"/>
      <c r="CZ5" s="812"/>
      <c r="DA5" s="812"/>
      <c r="DB5" s="812"/>
      <c r="DC5" s="812"/>
      <c r="DD5" s="812"/>
      <c r="DE5" s="812"/>
      <c r="DF5" s="812"/>
      <c r="DG5" s="812"/>
      <c r="DH5" s="812"/>
      <c r="DI5" s="812"/>
      <c r="DJ5" s="812"/>
      <c r="DK5" s="812"/>
      <c r="DL5" s="812"/>
      <c r="DM5" s="812"/>
      <c r="DN5" s="812"/>
      <c r="DO5" s="812"/>
      <c r="DP5" s="812"/>
      <c r="DQ5" s="812"/>
      <c r="DR5" s="812"/>
      <c r="DS5" s="812"/>
      <c r="DT5" s="812"/>
      <c r="DU5" s="812"/>
      <c r="DV5" s="812"/>
      <c r="DW5" s="812"/>
      <c r="DX5" s="812"/>
      <c r="DY5" s="812"/>
      <c r="DZ5" s="812"/>
      <c r="EA5" s="812"/>
      <c r="EB5" s="812"/>
      <c r="EC5" s="812"/>
      <c r="ED5" s="812"/>
      <c r="EE5" s="812"/>
      <c r="EF5" s="812"/>
      <c r="EG5" s="812"/>
      <c r="EH5" s="812"/>
      <c r="EI5" s="812"/>
      <c r="EJ5" s="812"/>
      <c r="EK5" s="812"/>
      <c r="EL5" s="812"/>
      <c r="EM5" s="812"/>
      <c r="EN5" s="812"/>
      <c r="EO5" s="812"/>
      <c r="EP5" s="812"/>
      <c r="EQ5" s="812"/>
      <c r="ER5" s="812"/>
      <c r="ES5" s="812"/>
      <c r="ET5" s="812"/>
      <c r="EU5" s="812"/>
      <c r="EV5" s="812"/>
      <c r="EW5" s="812"/>
      <c r="EX5" s="812"/>
      <c r="EY5" s="812"/>
      <c r="EZ5" s="812"/>
      <c r="FA5" s="812"/>
      <c r="FB5" s="812"/>
      <c r="FC5" s="812"/>
      <c r="FD5" s="812"/>
      <c r="FE5" s="812"/>
      <c r="FF5" s="812"/>
      <c r="FG5" s="812"/>
      <c r="FH5" s="812"/>
      <c r="FI5" s="812"/>
      <c r="FJ5" s="812"/>
      <c r="FK5" s="812"/>
      <c r="FL5" s="812"/>
      <c r="FM5" s="812"/>
      <c r="FN5" s="812"/>
      <c r="FO5" s="812"/>
      <c r="FP5" s="812"/>
      <c r="FQ5" s="812"/>
      <c r="FR5" s="812"/>
      <c r="FS5" s="812"/>
      <c r="FT5" s="812"/>
      <c r="FU5" s="812"/>
      <c r="FV5" s="812"/>
      <c r="FW5" s="812"/>
      <c r="FX5" s="812"/>
      <c r="FY5" s="812"/>
      <c r="FZ5" s="812"/>
      <c r="GA5" s="812"/>
      <c r="GB5" s="812"/>
      <c r="GC5" s="812"/>
      <c r="GD5" s="812"/>
      <c r="GE5" s="812"/>
      <c r="GF5" s="812"/>
      <c r="GG5" s="812"/>
      <c r="GH5" s="812"/>
      <c r="GI5" s="812"/>
      <c r="GJ5" s="812"/>
      <c r="GK5" s="812"/>
      <c r="GL5" s="812"/>
      <c r="GM5" s="812"/>
      <c r="GN5" s="812"/>
      <c r="GO5" s="812"/>
      <c r="GP5" s="812"/>
      <c r="GQ5" s="812"/>
      <c r="GR5" s="812"/>
      <c r="GS5" s="812"/>
      <c r="GT5" s="812"/>
      <c r="GU5" s="812"/>
      <c r="GV5" s="812"/>
      <c r="GW5" s="812"/>
      <c r="GX5" s="812"/>
      <c r="GY5" s="812"/>
      <c r="GZ5" s="812"/>
      <c r="HA5" s="812"/>
      <c r="HB5" s="812"/>
      <c r="HC5" s="812"/>
      <c r="HD5" s="812"/>
      <c r="HE5" s="812"/>
      <c r="HF5" s="812"/>
      <c r="HG5" s="812"/>
      <c r="HH5" s="812"/>
      <c r="HI5" s="812"/>
      <c r="HJ5" s="812"/>
      <c r="HK5" s="812"/>
      <c r="HL5" s="812"/>
      <c r="HM5" s="812"/>
      <c r="HN5" s="812"/>
      <c r="HO5" s="812"/>
      <c r="HP5" s="812"/>
      <c r="HQ5" s="812"/>
      <c r="HR5" s="812"/>
      <c r="HS5" s="812"/>
      <c r="HT5" s="812"/>
      <c r="HU5" s="812"/>
      <c r="HV5" s="812"/>
      <c r="HW5" s="812"/>
      <c r="HX5" s="812"/>
      <c r="HY5" s="812"/>
      <c r="HZ5" s="812"/>
      <c r="IA5" s="812"/>
      <c r="IB5" s="812"/>
      <c r="IC5" s="812"/>
      <c r="ID5" s="812"/>
      <c r="IE5" s="812"/>
      <c r="IF5" s="812"/>
      <c r="IG5" s="812"/>
      <c r="IH5" s="812"/>
      <c r="II5" s="812"/>
      <c r="IJ5" s="812"/>
      <c r="IK5" s="812"/>
      <c r="IL5" s="812"/>
      <c r="IM5" s="812"/>
      <c r="IN5" s="812"/>
      <c r="IO5" s="812"/>
      <c r="IP5" s="812"/>
      <c r="IQ5" s="812"/>
      <c r="IR5" s="812"/>
      <c r="IS5" s="812"/>
      <c r="IT5" s="812"/>
      <c r="IU5" s="812"/>
      <c r="IV5" s="812"/>
      <c r="IW5" s="812"/>
    </row>
    <row r="6" customFormat="false" ht="11.25" hidden="false" customHeight="true" outlineLevel="0" collapsed="false">
      <c r="A6" s="403" t="s">
        <v>694</v>
      </c>
      <c r="B6" s="0"/>
      <c r="C6" s="955"/>
      <c r="D6" s="512"/>
      <c r="E6" s="512"/>
      <c r="F6" s="512"/>
      <c r="G6" s="512"/>
      <c r="H6" s="512"/>
      <c r="I6" s="512"/>
      <c r="J6" s="512"/>
      <c r="K6" s="512"/>
      <c r="L6" s="512"/>
      <c r="M6" s="512"/>
      <c r="N6" s="512"/>
      <c r="O6" s="512"/>
      <c r="P6" s="512"/>
      <c r="Q6" s="512"/>
      <c r="R6" s="512"/>
      <c r="S6" s="512"/>
      <c r="T6" s="512"/>
      <c r="U6" s="512"/>
      <c r="V6" s="512"/>
      <c r="W6" s="512"/>
      <c r="X6" s="512"/>
      <c r="Y6" s="512"/>
      <c r="Z6" s="378"/>
      <c r="AA6" s="378"/>
      <c r="AB6" s="408"/>
      <c r="AC6" s="812"/>
      <c r="AD6" s="812"/>
      <c r="AE6" s="812"/>
      <c r="AF6" s="812"/>
      <c r="AG6" s="812"/>
      <c r="AH6" s="812"/>
      <c r="AI6" s="812"/>
      <c r="AJ6" s="812"/>
      <c r="AK6" s="812"/>
      <c r="AL6" s="812"/>
      <c r="AM6" s="812"/>
      <c r="AN6" s="812"/>
      <c r="AO6" s="812"/>
      <c r="AP6" s="812"/>
      <c r="AQ6" s="812"/>
      <c r="AR6" s="812"/>
      <c r="AS6" s="812"/>
      <c r="AT6" s="812"/>
      <c r="AU6" s="812"/>
      <c r="AV6" s="812"/>
      <c r="AW6" s="812"/>
      <c r="AX6" s="812"/>
      <c r="AY6" s="812"/>
      <c r="AZ6" s="812"/>
      <c r="BA6" s="812"/>
      <c r="BB6" s="812"/>
      <c r="BC6" s="812"/>
      <c r="BD6" s="812"/>
      <c r="BE6" s="812"/>
      <c r="BF6" s="812"/>
      <c r="BG6" s="812"/>
      <c r="BH6" s="812"/>
      <c r="BI6" s="812"/>
      <c r="BJ6" s="812"/>
      <c r="BK6" s="812"/>
      <c r="BL6" s="812"/>
      <c r="BM6" s="812"/>
      <c r="BN6" s="812"/>
      <c r="BO6" s="812"/>
      <c r="BP6" s="812"/>
      <c r="BQ6" s="812"/>
      <c r="BR6" s="812"/>
      <c r="BS6" s="812"/>
      <c r="BT6" s="812"/>
      <c r="BU6" s="812"/>
      <c r="BV6" s="812"/>
      <c r="BW6" s="812"/>
      <c r="BX6" s="812"/>
      <c r="BY6" s="812"/>
      <c r="BZ6" s="812"/>
      <c r="CA6" s="812"/>
      <c r="CB6" s="812"/>
      <c r="CC6" s="812"/>
      <c r="CD6" s="812"/>
      <c r="CE6" s="812"/>
      <c r="CF6" s="812"/>
      <c r="CG6" s="812"/>
      <c r="CH6" s="812"/>
      <c r="CI6" s="812"/>
      <c r="CJ6" s="812"/>
      <c r="CK6" s="812"/>
      <c r="CL6" s="812"/>
      <c r="CM6" s="812"/>
      <c r="CN6" s="812"/>
      <c r="CO6" s="812"/>
      <c r="CP6" s="812"/>
      <c r="CQ6" s="812"/>
      <c r="CR6" s="812"/>
      <c r="CS6" s="812"/>
      <c r="CT6" s="812"/>
      <c r="CU6" s="812"/>
      <c r="CV6" s="812"/>
      <c r="CW6" s="812"/>
      <c r="CX6" s="812"/>
      <c r="CY6" s="812"/>
      <c r="CZ6" s="812"/>
      <c r="DA6" s="812"/>
      <c r="DB6" s="812"/>
      <c r="DC6" s="812"/>
      <c r="DD6" s="812"/>
      <c r="DE6" s="812"/>
      <c r="DF6" s="812"/>
      <c r="DG6" s="812"/>
      <c r="DH6" s="812"/>
      <c r="DI6" s="812"/>
      <c r="DJ6" s="812"/>
      <c r="DK6" s="812"/>
      <c r="DL6" s="812"/>
      <c r="DM6" s="812"/>
      <c r="DN6" s="812"/>
      <c r="DO6" s="812"/>
      <c r="DP6" s="812"/>
      <c r="DQ6" s="812"/>
      <c r="DR6" s="812"/>
      <c r="DS6" s="812"/>
      <c r="DT6" s="812"/>
      <c r="DU6" s="812"/>
      <c r="DV6" s="812"/>
      <c r="DW6" s="812"/>
      <c r="DX6" s="812"/>
      <c r="DY6" s="812"/>
      <c r="DZ6" s="812"/>
      <c r="EA6" s="812"/>
      <c r="EB6" s="812"/>
      <c r="EC6" s="812"/>
      <c r="ED6" s="812"/>
      <c r="EE6" s="812"/>
      <c r="EF6" s="812"/>
      <c r="EG6" s="812"/>
      <c r="EH6" s="812"/>
      <c r="EI6" s="812"/>
      <c r="EJ6" s="812"/>
      <c r="EK6" s="812"/>
      <c r="EL6" s="812"/>
      <c r="EM6" s="812"/>
      <c r="EN6" s="812"/>
      <c r="EO6" s="812"/>
      <c r="EP6" s="812"/>
      <c r="EQ6" s="812"/>
      <c r="ER6" s="812"/>
      <c r="ES6" s="812"/>
      <c r="ET6" s="812"/>
      <c r="EU6" s="812"/>
      <c r="EV6" s="812"/>
      <c r="EW6" s="812"/>
      <c r="EX6" s="812"/>
      <c r="EY6" s="812"/>
      <c r="EZ6" s="812"/>
      <c r="FA6" s="812"/>
      <c r="FB6" s="812"/>
      <c r="FC6" s="812"/>
      <c r="FD6" s="812"/>
      <c r="FE6" s="812"/>
      <c r="FF6" s="812"/>
      <c r="FG6" s="812"/>
      <c r="FH6" s="812"/>
      <c r="FI6" s="812"/>
      <c r="FJ6" s="812"/>
      <c r="FK6" s="812"/>
      <c r="FL6" s="812"/>
      <c r="FM6" s="812"/>
      <c r="FN6" s="812"/>
      <c r="FO6" s="812"/>
      <c r="FP6" s="812"/>
      <c r="FQ6" s="812"/>
      <c r="FR6" s="812"/>
      <c r="FS6" s="812"/>
      <c r="FT6" s="812"/>
      <c r="FU6" s="812"/>
      <c r="FV6" s="812"/>
      <c r="FW6" s="812"/>
      <c r="FX6" s="812"/>
      <c r="FY6" s="812"/>
      <c r="FZ6" s="812"/>
      <c r="GA6" s="812"/>
      <c r="GB6" s="812"/>
      <c r="GC6" s="812"/>
      <c r="GD6" s="812"/>
      <c r="GE6" s="812"/>
      <c r="GF6" s="812"/>
      <c r="GG6" s="812"/>
      <c r="GH6" s="812"/>
      <c r="GI6" s="812"/>
      <c r="GJ6" s="812"/>
      <c r="GK6" s="812"/>
      <c r="GL6" s="812"/>
      <c r="GM6" s="812"/>
      <c r="GN6" s="812"/>
      <c r="GO6" s="812"/>
      <c r="GP6" s="812"/>
      <c r="GQ6" s="812"/>
      <c r="GR6" s="812"/>
      <c r="GS6" s="812"/>
      <c r="GT6" s="812"/>
      <c r="GU6" s="812"/>
      <c r="GV6" s="812"/>
      <c r="GW6" s="812"/>
      <c r="GX6" s="812"/>
      <c r="GY6" s="812"/>
      <c r="GZ6" s="812"/>
      <c r="HA6" s="812"/>
      <c r="HB6" s="812"/>
      <c r="HC6" s="812"/>
      <c r="HD6" s="812"/>
      <c r="HE6" s="812"/>
      <c r="HF6" s="812"/>
      <c r="HG6" s="812"/>
      <c r="HH6" s="812"/>
      <c r="HI6" s="812"/>
      <c r="HJ6" s="812"/>
      <c r="HK6" s="812"/>
      <c r="HL6" s="812"/>
      <c r="HM6" s="812"/>
      <c r="HN6" s="812"/>
      <c r="HO6" s="812"/>
      <c r="HP6" s="812"/>
      <c r="HQ6" s="812"/>
      <c r="HR6" s="812"/>
      <c r="HS6" s="812"/>
      <c r="HT6" s="812"/>
      <c r="HU6" s="812"/>
      <c r="HV6" s="812"/>
      <c r="HW6" s="812"/>
      <c r="HX6" s="812"/>
      <c r="HY6" s="812"/>
      <c r="HZ6" s="812"/>
      <c r="IA6" s="812"/>
      <c r="IB6" s="812"/>
      <c r="IC6" s="812"/>
      <c r="ID6" s="812"/>
      <c r="IE6" s="812"/>
      <c r="IF6" s="812"/>
      <c r="IG6" s="812"/>
      <c r="IH6" s="812"/>
      <c r="II6" s="812"/>
      <c r="IJ6" s="812"/>
      <c r="IK6" s="812"/>
      <c r="IL6" s="812"/>
      <c r="IM6" s="812"/>
      <c r="IN6" s="812"/>
      <c r="IO6" s="812"/>
      <c r="IP6" s="812"/>
      <c r="IQ6" s="812"/>
      <c r="IR6" s="812"/>
      <c r="IS6" s="812"/>
      <c r="IT6" s="812"/>
      <c r="IU6" s="812"/>
      <c r="IV6" s="812"/>
      <c r="IW6" s="812"/>
    </row>
    <row r="7" customFormat="false" ht="11.25" hidden="false" customHeight="true" outlineLevel="0" collapsed="false">
      <c r="A7" s="403" t="s">
        <v>695</v>
      </c>
      <c r="B7" s="378"/>
      <c r="C7" s="731"/>
      <c r="D7" s="744" t="n">
        <f aca="false">IF(D4&lt;=ProjectLife+1,'Project Assumtions'!$L$15,0)</f>
        <v>120</v>
      </c>
      <c r="E7" s="744" t="n">
        <f aca="false">IF(E4&lt;=ProjectLife+1,'Project Assumtions'!$L$15,0)</f>
        <v>120</v>
      </c>
      <c r="F7" s="744" t="n">
        <f aca="false">IF(F4&lt;=ProjectLife+1,'Project Assumtions'!$L$15,0)</f>
        <v>120</v>
      </c>
      <c r="G7" s="744" t="n">
        <f aca="false">IF(G4&lt;=ProjectLife+1,'Project Assumtions'!$L$15,0)</f>
        <v>120</v>
      </c>
      <c r="H7" s="744" t="n">
        <f aca="false">IF(H4&lt;=ProjectLife+1,'Project Assumtions'!$L$15,0)</f>
        <v>120</v>
      </c>
      <c r="I7" s="744" t="n">
        <f aca="false">IF(I4&lt;=ProjectLife+1,'Project Assumtions'!$L$15,0)</f>
        <v>120</v>
      </c>
      <c r="J7" s="744" t="n">
        <f aca="false">IF(J4&lt;=ProjectLife+1,'Project Assumtions'!$L$15,0)</f>
        <v>120</v>
      </c>
      <c r="K7" s="744" t="n">
        <f aca="false">IF(K4&lt;=ProjectLife+1,'Project Assumtions'!$L$15,0)</f>
        <v>120</v>
      </c>
      <c r="L7" s="744" t="n">
        <f aca="false">IF(L4&lt;=ProjectLife+1,'Project Assumtions'!$L$15,0)</f>
        <v>120</v>
      </c>
      <c r="M7" s="744" t="n">
        <f aca="false">IF(M4&lt;=ProjectLife+1,'Project Assumtions'!$L$15,0)</f>
        <v>120</v>
      </c>
      <c r="N7" s="744" t="n">
        <f aca="false">IF(N4&lt;=ProjectLife+1,'Project Assumtions'!$L$15,0)</f>
        <v>120</v>
      </c>
      <c r="O7" s="744" t="n">
        <f aca="false">IF(O4&lt;=ProjectLife+1,'Project Assumtions'!$L$15,0)</f>
        <v>120</v>
      </c>
      <c r="P7" s="744" t="n">
        <f aca="false">IF(P4&lt;=ProjectLife+1,'Project Assumtions'!$L$15,0)</f>
        <v>120</v>
      </c>
      <c r="Q7" s="744" t="n">
        <f aca="false">IF(Q4&lt;=ProjectLife+1,'Project Assumtions'!$L$15,0)</f>
        <v>120</v>
      </c>
      <c r="R7" s="744" t="n">
        <f aca="false">IF(R4&lt;=ProjectLife+1,'Project Assumtions'!$L$15,0)</f>
        <v>120</v>
      </c>
      <c r="S7" s="744" t="n">
        <f aca="false">IF(S4&lt;=ProjectLife+1,'Project Assumtions'!$L$15,0)</f>
        <v>120</v>
      </c>
      <c r="T7" s="744" t="n">
        <f aca="false">IF(T4&lt;=ProjectLife+1,'Project Assumtions'!$L$15,0)</f>
        <v>120</v>
      </c>
      <c r="U7" s="744" t="n">
        <f aca="false">IF(U4&lt;=ProjectLife+1,'Project Assumtions'!$L$15,0)</f>
        <v>120</v>
      </c>
      <c r="V7" s="744" t="n">
        <f aca="false">IF(V4&lt;=ProjectLife+1,'Project Assumtions'!$L$15,0)</f>
        <v>120</v>
      </c>
      <c r="W7" s="744" t="n">
        <f aca="false">IF(W4&lt;=ProjectLife+1,'Project Assumtions'!$L$15,0)</f>
        <v>120</v>
      </c>
      <c r="X7" s="744" t="n">
        <f aca="false">IF(X4&lt;=ProjectLife+1,'Project Assumtions'!$L$15,0)</f>
        <v>120</v>
      </c>
      <c r="Y7" s="744" t="n">
        <f aca="false">IF(Y4&lt;=ProjectLife+1,'Project Assumtions'!$L$15,0)</f>
        <v>0</v>
      </c>
      <c r="Z7" s="744" t="n">
        <f aca="false">IF(Z4&lt;=ProjectLife+1,'Project Assumtions'!$L$15,0)</f>
        <v>0</v>
      </c>
      <c r="AA7" s="744" t="n">
        <f aca="false">IF(AA4&lt;=ProjectLife+1,'Project Assumtions'!$L$15,0)</f>
        <v>0</v>
      </c>
      <c r="AB7" s="782" t="n">
        <f aca="false">IF(AB4&lt;=ProjectLife+1,'Project Assumtions'!$L$15,0)</f>
        <v>0</v>
      </c>
      <c r="AC7" s="812"/>
      <c r="AD7" s="812"/>
      <c r="AE7" s="812"/>
      <c r="AF7" s="812"/>
      <c r="AG7" s="812"/>
      <c r="AH7" s="812"/>
      <c r="AI7" s="812"/>
      <c r="AJ7" s="812"/>
      <c r="AK7" s="812"/>
      <c r="AL7" s="812"/>
      <c r="AM7" s="812"/>
      <c r="AN7" s="812"/>
      <c r="AO7" s="812"/>
      <c r="AP7" s="812"/>
      <c r="AQ7" s="812"/>
      <c r="AR7" s="812"/>
      <c r="AS7" s="812"/>
      <c r="AT7" s="812"/>
      <c r="AU7" s="812"/>
      <c r="AV7" s="812"/>
      <c r="AW7" s="812"/>
      <c r="AX7" s="812"/>
      <c r="AY7" s="812"/>
      <c r="AZ7" s="812"/>
      <c r="BA7" s="812"/>
      <c r="BB7" s="812"/>
      <c r="BC7" s="812"/>
      <c r="BD7" s="812"/>
      <c r="BE7" s="812"/>
      <c r="BF7" s="812"/>
      <c r="BG7" s="812"/>
      <c r="BH7" s="812"/>
      <c r="BI7" s="812"/>
      <c r="BJ7" s="812"/>
      <c r="BK7" s="812"/>
      <c r="BL7" s="812"/>
      <c r="BM7" s="812"/>
      <c r="BN7" s="812"/>
      <c r="BO7" s="812"/>
      <c r="BP7" s="812"/>
      <c r="BQ7" s="812"/>
      <c r="BR7" s="812"/>
      <c r="BS7" s="812"/>
      <c r="BT7" s="812"/>
      <c r="BU7" s="812"/>
      <c r="BV7" s="812"/>
      <c r="BW7" s="812"/>
      <c r="BX7" s="812"/>
      <c r="BY7" s="812"/>
      <c r="BZ7" s="812"/>
      <c r="CA7" s="812"/>
      <c r="CB7" s="812"/>
      <c r="CC7" s="812"/>
      <c r="CD7" s="812"/>
      <c r="CE7" s="812"/>
      <c r="CF7" s="812"/>
      <c r="CG7" s="812"/>
      <c r="CH7" s="812"/>
      <c r="CI7" s="812"/>
      <c r="CJ7" s="812"/>
      <c r="CK7" s="812"/>
      <c r="CL7" s="812"/>
      <c r="CM7" s="812"/>
      <c r="CN7" s="812"/>
      <c r="CO7" s="812"/>
      <c r="CP7" s="812"/>
      <c r="CQ7" s="812"/>
      <c r="CR7" s="812"/>
      <c r="CS7" s="812"/>
      <c r="CT7" s="812"/>
      <c r="CU7" s="812"/>
      <c r="CV7" s="812"/>
      <c r="CW7" s="812"/>
      <c r="CX7" s="812"/>
      <c r="CY7" s="812"/>
      <c r="CZ7" s="812"/>
      <c r="DA7" s="812"/>
      <c r="DB7" s="812"/>
      <c r="DC7" s="812"/>
      <c r="DD7" s="812"/>
      <c r="DE7" s="812"/>
      <c r="DF7" s="812"/>
      <c r="DG7" s="812"/>
      <c r="DH7" s="812"/>
      <c r="DI7" s="812"/>
      <c r="DJ7" s="812"/>
      <c r="DK7" s="812"/>
      <c r="DL7" s="812"/>
      <c r="DM7" s="812"/>
      <c r="DN7" s="812"/>
      <c r="DO7" s="812"/>
      <c r="DP7" s="812"/>
      <c r="DQ7" s="812"/>
      <c r="DR7" s="812"/>
      <c r="DS7" s="812"/>
      <c r="DT7" s="812"/>
      <c r="DU7" s="812"/>
      <c r="DV7" s="812"/>
      <c r="DW7" s="812"/>
      <c r="DX7" s="812"/>
      <c r="DY7" s="812"/>
      <c r="DZ7" s="812"/>
      <c r="EA7" s="812"/>
      <c r="EB7" s="812"/>
      <c r="EC7" s="812"/>
      <c r="ED7" s="812"/>
      <c r="EE7" s="812"/>
      <c r="EF7" s="812"/>
      <c r="EG7" s="812"/>
      <c r="EH7" s="812"/>
      <c r="EI7" s="812"/>
      <c r="EJ7" s="812"/>
      <c r="EK7" s="812"/>
      <c r="EL7" s="812"/>
      <c r="EM7" s="812"/>
      <c r="EN7" s="812"/>
      <c r="EO7" s="812"/>
      <c r="EP7" s="812"/>
      <c r="EQ7" s="812"/>
      <c r="ER7" s="812"/>
      <c r="ES7" s="812"/>
      <c r="ET7" s="812"/>
      <c r="EU7" s="812"/>
      <c r="EV7" s="812"/>
      <c r="EW7" s="812"/>
      <c r="EX7" s="812"/>
      <c r="EY7" s="812"/>
      <c r="EZ7" s="812"/>
      <c r="FA7" s="812"/>
      <c r="FB7" s="812"/>
      <c r="FC7" s="812"/>
      <c r="FD7" s="812"/>
      <c r="FE7" s="812"/>
      <c r="FF7" s="812"/>
      <c r="FG7" s="812"/>
      <c r="FH7" s="812"/>
      <c r="FI7" s="812"/>
      <c r="FJ7" s="812"/>
      <c r="FK7" s="812"/>
      <c r="FL7" s="812"/>
      <c r="FM7" s="812"/>
      <c r="FN7" s="812"/>
      <c r="FO7" s="812"/>
      <c r="FP7" s="812"/>
      <c r="FQ7" s="812"/>
      <c r="FR7" s="812"/>
      <c r="FS7" s="812"/>
      <c r="FT7" s="812"/>
      <c r="FU7" s="812"/>
      <c r="FV7" s="812"/>
      <c r="FW7" s="812"/>
      <c r="FX7" s="812"/>
      <c r="FY7" s="812"/>
      <c r="FZ7" s="812"/>
      <c r="GA7" s="812"/>
      <c r="GB7" s="812"/>
      <c r="GC7" s="812"/>
      <c r="GD7" s="812"/>
      <c r="GE7" s="812"/>
      <c r="GF7" s="812"/>
      <c r="GG7" s="812"/>
      <c r="GH7" s="812"/>
      <c r="GI7" s="812"/>
      <c r="GJ7" s="812"/>
      <c r="GK7" s="812"/>
      <c r="GL7" s="812"/>
      <c r="GM7" s="812"/>
      <c r="GN7" s="812"/>
      <c r="GO7" s="812"/>
      <c r="GP7" s="812"/>
      <c r="GQ7" s="812"/>
      <c r="GR7" s="812"/>
      <c r="GS7" s="812"/>
      <c r="GT7" s="812"/>
      <c r="GU7" s="812"/>
      <c r="GV7" s="812"/>
      <c r="GW7" s="812"/>
      <c r="GX7" s="812"/>
      <c r="GY7" s="812"/>
      <c r="GZ7" s="812"/>
      <c r="HA7" s="812"/>
      <c r="HB7" s="812"/>
      <c r="HC7" s="812"/>
      <c r="HD7" s="812"/>
      <c r="HE7" s="812"/>
      <c r="HF7" s="812"/>
      <c r="HG7" s="812"/>
      <c r="HH7" s="812"/>
      <c r="HI7" s="812"/>
      <c r="HJ7" s="812"/>
      <c r="HK7" s="812"/>
      <c r="HL7" s="812"/>
      <c r="HM7" s="812"/>
      <c r="HN7" s="812"/>
      <c r="HO7" s="812"/>
      <c r="HP7" s="812"/>
      <c r="HQ7" s="812"/>
      <c r="HR7" s="812"/>
      <c r="HS7" s="812"/>
      <c r="HT7" s="812"/>
      <c r="HU7" s="812"/>
      <c r="HV7" s="812"/>
      <c r="HW7" s="812"/>
      <c r="HX7" s="812"/>
      <c r="HY7" s="812"/>
      <c r="HZ7" s="812"/>
      <c r="IA7" s="812"/>
      <c r="IB7" s="812"/>
      <c r="IC7" s="812"/>
      <c r="ID7" s="812"/>
      <c r="IE7" s="812"/>
      <c r="IF7" s="812"/>
      <c r="IG7" s="812"/>
      <c r="IH7" s="812"/>
      <c r="II7" s="812"/>
      <c r="IJ7" s="812"/>
      <c r="IK7" s="812"/>
      <c r="IL7" s="812"/>
      <c r="IM7" s="812"/>
      <c r="IN7" s="812"/>
      <c r="IO7" s="812"/>
      <c r="IP7" s="812"/>
      <c r="IQ7" s="812"/>
      <c r="IR7" s="812"/>
      <c r="IS7" s="812"/>
      <c r="IT7" s="812"/>
      <c r="IU7" s="812"/>
      <c r="IV7" s="812"/>
      <c r="IW7" s="812"/>
    </row>
    <row r="8" customFormat="false" ht="11.25" hidden="false" customHeight="true" outlineLevel="0" collapsed="false">
      <c r="A8" s="403" t="s">
        <v>696</v>
      </c>
      <c r="B8" s="620"/>
      <c r="C8" s="731"/>
      <c r="D8" s="744" t="n">
        <f aca="false">D7</f>
        <v>120</v>
      </c>
      <c r="E8" s="744" t="n">
        <f aca="false">D8+E7</f>
        <v>240</v>
      </c>
      <c r="F8" s="744" t="n">
        <f aca="false">E8+F7</f>
        <v>360</v>
      </c>
      <c r="G8" s="744" t="n">
        <f aca="false">F8+G7</f>
        <v>480</v>
      </c>
      <c r="H8" s="744" t="n">
        <f aca="false">G8+H7</f>
        <v>600</v>
      </c>
      <c r="I8" s="744" t="n">
        <f aca="false">H8+I7</f>
        <v>720</v>
      </c>
      <c r="J8" s="744" t="n">
        <f aca="false">I8+J7</f>
        <v>840</v>
      </c>
      <c r="K8" s="744" t="n">
        <f aca="false">J8+K7</f>
        <v>960</v>
      </c>
      <c r="L8" s="744" t="n">
        <f aca="false">K8+L7</f>
        <v>1080</v>
      </c>
      <c r="M8" s="744" t="n">
        <f aca="false">L8+M7</f>
        <v>1200</v>
      </c>
      <c r="N8" s="744" t="n">
        <f aca="false">M8+N7</f>
        <v>1320</v>
      </c>
      <c r="O8" s="744" t="n">
        <f aca="false">N8+O7</f>
        <v>1440</v>
      </c>
      <c r="P8" s="744" t="n">
        <f aca="false">O8+P7</f>
        <v>1560</v>
      </c>
      <c r="Q8" s="744" t="n">
        <f aca="false">P8+Q7</f>
        <v>1680</v>
      </c>
      <c r="R8" s="744" t="n">
        <f aca="false">Q8+R7</f>
        <v>1800</v>
      </c>
      <c r="S8" s="744" t="n">
        <f aca="false">R8+S7</f>
        <v>1920</v>
      </c>
      <c r="T8" s="744" t="n">
        <f aca="false">S8+T7</f>
        <v>2040</v>
      </c>
      <c r="U8" s="744" t="n">
        <f aca="false">T8+U7</f>
        <v>2160</v>
      </c>
      <c r="V8" s="744" t="n">
        <f aca="false">U8+V7</f>
        <v>2280</v>
      </c>
      <c r="W8" s="744" t="n">
        <f aca="false">V8+W7</f>
        <v>2400</v>
      </c>
      <c r="X8" s="744" t="n">
        <f aca="false">W8+X7</f>
        <v>2520</v>
      </c>
      <c r="Y8" s="744" t="n">
        <f aca="false">X8+Y7</f>
        <v>2520</v>
      </c>
      <c r="Z8" s="744" t="n">
        <f aca="false">Y8+Z7</f>
        <v>2520</v>
      </c>
      <c r="AA8" s="744" t="n">
        <f aca="false">Z8+AA7</f>
        <v>2520</v>
      </c>
      <c r="AB8" s="782" t="n">
        <f aca="false">AA8+AB7</f>
        <v>2520</v>
      </c>
      <c r="AC8" s="812"/>
      <c r="AD8" s="812"/>
      <c r="AE8" s="812"/>
      <c r="AF8" s="812"/>
      <c r="AG8" s="812"/>
      <c r="AH8" s="812"/>
      <c r="AI8" s="812"/>
      <c r="AJ8" s="812"/>
      <c r="AK8" s="812"/>
      <c r="AL8" s="812"/>
      <c r="AM8" s="812"/>
      <c r="AN8" s="812"/>
      <c r="AO8" s="812"/>
      <c r="AP8" s="812"/>
      <c r="AQ8" s="812"/>
      <c r="AR8" s="812"/>
      <c r="AS8" s="812"/>
      <c r="AT8" s="812"/>
      <c r="AU8" s="812"/>
      <c r="AV8" s="812"/>
      <c r="AW8" s="812"/>
      <c r="AX8" s="812"/>
      <c r="AY8" s="812"/>
      <c r="AZ8" s="812"/>
      <c r="BA8" s="812"/>
      <c r="BB8" s="812"/>
      <c r="BC8" s="812"/>
      <c r="BD8" s="812"/>
      <c r="BE8" s="812"/>
      <c r="BF8" s="812"/>
      <c r="BG8" s="812"/>
      <c r="BH8" s="812"/>
      <c r="BI8" s="812"/>
      <c r="BJ8" s="812"/>
      <c r="BK8" s="812"/>
      <c r="BL8" s="812"/>
      <c r="BM8" s="812"/>
      <c r="BN8" s="812"/>
      <c r="BO8" s="812"/>
      <c r="BP8" s="812"/>
      <c r="BQ8" s="812"/>
      <c r="BR8" s="812"/>
      <c r="BS8" s="812"/>
      <c r="BT8" s="812"/>
      <c r="BU8" s="812"/>
      <c r="BV8" s="812"/>
      <c r="BW8" s="812"/>
      <c r="BX8" s="812"/>
      <c r="BY8" s="812"/>
      <c r="BZ8" s="812"/>
      <c r="CA8" s="812"/>
      <c r="CB8" s="812"/>
      <c r="CC8" s="812"/>
      <c r="CD8" s="812"/>
      <c r="CE8" s="812"/>
      <c r="CF8" s="812"/>
      <c r="CG8" s="812"/>
      <c r="CH8" s="812"/>
      <c r="CI8" s="812"/>
      <c r="CJ8" s="812"/>
      <c r="CK8" s="812"/>
      <c r="CL8" s="812"/>
      <c r="CM8" s="812"/>
      <c r="CN8" s="812"/>
      <c r="CO8" s="812"/>
      <c r="CP8" s="812"/>
      <c r="CQ8" s="812"/>
      <c r="CR8" s="812"/>
      <c r="CS8" s="812"/>
      <c r="CT8" s="812"/>
      <c r="CU8" s="812"/>
      <c r="CV8" s="812"/>
      <c r="CW8" s="812"/>
      <c r="CX8" s="812"/>
      <c r="CY8" s="812"/>
      <c r="CZ8" s="812"/>
      <c r="DA8" s="812"/>
      <c r="DB8" s="812"/>
      <c r="DC8" s="812"/>
      <c r="DD8" s="812"/>
      <c r="DE8" s="812"/>
      <c r="DF8" s="812"/>
      <c r="DG8" s="812"/>
      <c r="DH8" s="812"/>
      <c r="DI8" s="812"/>
      <c r="DJ8" s="812"/>
      <c r="DK8" s="812"/>
      <c r="DL8" s="812"/>
      <c r="DM8" s="812"/>
      <c r="DN8" s="812"/>
      <c r="DO8" s="812"/>
      <c r="DP8" s="812"/>
      <c r="DQ8" s="812"/>
      <c r="DR8" s="812"/>
      <c r="DS8" s="812"/>
      <c r="DT8" s="812"/>
      <c r="DU8" s="812"/>
      <c r="DV8" s="812"/>
      <c r="DW8" s="812"/>
      <c r="DX8" s="812"/>
      <c r="DY8" s="812"/>
      <c r="DZ8" s="812"/>
      <c r="EA8" s="812"/>
      <c r="EB8" s="812"/>
      <c r="EC8" s="812"/>
      <c r="ED8" s="812"/>
      <c r="EE8" s="812"/>
      <c r="EF8" s="812"/>
      <c r="EG8" s="812"/>
      <c r="EH8" s="812"/>
      <c r="EI8" s="812"/>
      <c r="EJ8" s="812"/>
      <c r="EK8" s="812"/>
      <c r="EL8" s="812"/>
      <c r="EM8" s="812"/>
      <c r="EN8" s="812"/>
      <c r="EO8" s="812"/>
      <c r="EP8" s="812"/>
      <c r="EQ8" s="812"/>
      <c r="ER8" s="812"/>
      <c r="ES8" s="812"/>
      <c r="ET8" s="812"/>
      <c r="EU8" s="812"/>
      <c r="EV8" s="812"/>
      <c r="EW8" s="812"/>
      <c r="EX8" s="812"/>
      <c r="EY8" s="812"/>
      <c r="EZ8" s="812"/>
      <c r="FA8" s="812"/>
      <c r="FB8" s="812"/>
      <c r="FC8" s="812"/>
      <c r="FD8" s="812"/>
      <c r="FE8" s="812"/>
      <c r="FF8" s="812"/>
      <c r="FG8" s="812"/>
      <c r="FH8" s="812"/>
      <c r="FI8" s="812"/>
      <c r="FJ8" s="812"/>
      <c r="FK8" s="812"/>
      <c r="FL8" s="812"/>
      <c r="FM8" s="812"/>
      <c r="FN8" s="812"/>
      <c r="FO8" s="812"/>
      <c r="FP8" s="812"/>
      <c r="FQ8" s="812"/>
      <c r="FR8" s="812"/>
      <c r="FS8" s="812"/>
      <c r="FT8" s="812"/>
      <c r="FU8" s="812"/>
      <c r="FV8" s="812"/>
      <c r="FW8" s="812"/>
      <c r="FX8" s="812"/>
      <c r="FY8" s="812"/>
      <c r="FZ8" s="812"/>
      <c r="GA8" s="812"/>
      <c r="GB8" s="812"/>
      <c r="GC8" s="812"/>
      <c r="GD8" s="812"/>
      <c r="GE8" s="812"/>
      <c r="GF8" s="812"/>
      <c r="GG8" s="812"/>
      <c r="GH8" s="812"/>
      <c r="GI8" s="812"/>
      <c r="GJ8" s="812"/>
      <c r="GK8" s="812"/>
      <c r="GL8" s="812"/>
      <c r="GM8" s="812"/>
      <c r="GN8" s="812"/>
      <c r="GO8" s="812"/>
      <c r="GP8" s="812"/>
      <c r="GQ8" s="812"/>
      <c r="GR8" s="812"/>
      <c r="GS8" s="812"/>
      <c r="GT8" s="812"/>
      <c r="GU8" s="812"/>
      <c r="GV8" s="812"/>
      <c r="GW8" s="812"/>
      <c r="GX8" s="812"/>
      <c r="GY8" s="812"/>
      <c r="GZ8" s="812"/>
      <c r="HA8" s="812"/>
      <c r="HB8" s="812"/>
      <c r="HC8" s="812"/>
      <c r="HD8" s="812"/>
      <c r="HE8" s="812"/>
      <c r="HF8" s="812"/>
      <c r="HG8" s="812"/>
      <c r="HH8" s="812"/>
      <c r="HI8" s="812"/>
      <c r="HJ8" s="812"/>
      <c r="HK8" s="812"/>
      <c r="HL8" s="812"/>
      <c r="HM8" s="812"/>
      <c r="HN8" s="812"/>
      <c r="HO8" s="812"/>
      <c r="HP8" s="812"/>
      <c r="HQ8" s="812"/>
      <c r="HR8" s="812"/>
      <c r="HS8" s="812"/>
      <c r="HT8" s="812"/>
      <c r="HU8" s="812"/>
      <c r="HV8" s="812"/>
      <c r="HW8" s="812"/>
      <c r="HX8" s="812"/>
      <c r="HY8" s="812"/>
      <c r="HZ8" s="812"/>
      <c r="IA8" s="812"/>
      <c r="IB8" s="812"/>
      <c r="IC8" s="812"/>
      <c r="ID8" s="812"/>
      <c r="IE8" s="812"/>
      <c r="IF8" s="812"/>
      <c r="IG8" s="812"/>
      <c r="IH8" s="812"/>
      <c r="II8" s="812"/>
      <c r="IJ8" s="812"/>
      <c r="IK8" s="812"/>
      <c r="IL8" s="812"/>
      <c r="IM8" s="812"/>
      <c r="IN8" s="812"/>
      <c r="IO8" s="812"/>
      <c r="IP8" s="812"/>
      <c r="IQ8" s="812"/>
      <c r="IR8" s="812"/>
      <c r="IS8" s="812"/>
      <c r="IT8" s="812"/>
      <c r="IU8" s="812"/>
      <c r="IV8" s="812"/>
      <c r="IW8" s="812"/>
    </row>
    <row r="9" customFormat="false" ht="11.25" hidden="false" customHeight="true" outlineLevel="0" collapsed="false">
      <c r="A9" s="403"/>
      <c r="B9" s="620"/>
      <c r="C9" s="731"/>
      <c r="D9" s="744"/>
      <c r="E9" s="744"/>
      <c r="F9" s="744"/>
      <c r="G9" s="744"/>
      <c r="H9" s="744"/>
      <c r="I9" s="744"/>
      <c r="J9" s="744"/>
      <c r="K9" s="744"/>
      <c r="L9" s="744"/>
      <c r="M9" s="744"/>
      <c r="N9" s="744"/>
      <c r="O9" s="744"/>
      <c r="P9" s="744"/>
      <c r="Q9" s="744"/>
      <c r="R9" s="744"/>
      <c r="S9" s="744"/>
      <c r="T9" s="744"/>
      <c r="U9" s="744"/>
      <c r="V9" s="744"/>
      <c r="W9" s="744"/>
      <c r="X9" s="744"/>
      <c r="Y9" s="744"/>
      <c r="Z9" s="744"/>
      <c r="AA9" s="744"/>
      <c r="AB9" s="782"/>
      <c r="AC9" s="812"/>
      <c r="AD9" s="812"/>
      <c r="AE9" s="812"/>
      <c r="AF9" s="812"/>
      <c r="AG9" s="812"/>
      <c r="AH9" s="812"/>
      <c r="AI9" s="812"/>
      <c r="AJ9" s="812"/>
      <c r="AK9" s="812"/>
      <c r="AL9" s="812"/>
      <c r="AM9" s="812"/>
      <c r="AN9" s="812"/>
      <c r="AO9" s="812"/>
      <c r="AP9" s="812"/>
      <c r="AQ9" s="812"/>
      <c r="AR9" s="812"/>
      <c r="AS9" s="812"/>
      <c r="AT9" s="812"/>
      <c r="AU9" s="812"/>
      <c r="AV9" s="812"/>
      <c r="AW9" s="812"/>
      <c r="AX9" s="812"/>
      <c r="AY9" s="812"/>
      <c r="AZ9" s="812"/>
      <c r="BA9" s="812"/>
      <c r="BB9" s="812"/>
      <c r="BC9" s="812"/>
      <c r="BD9" s="812"/>
      <c r="BE9" s="812"/>
      <c r="BF9" s="812"/>
      <c r="BG9" s="812"/>
      <c r="BH9" s="812"/>
      <c r="BI9" s="812"/>
      <c r="BJ9" s="812"/>
      <c r="BK9" s="812"/>
      <c r="BL9" s="812"/>
      <c r="BM9" s="812"/>
      <c r="BN9" s="812"/>
      <c r="BO9" s="812"/>
      <c r="BP9" s="812"/>
      <c r="BQ9" s="812"/>
      <c r="BR9" s="812"/>
      <c r="BS9" s="812"/>
      <c r="BT9" s="812"/>
      <c r="BU9" s="812"/>
      <c r="BV9" s="812"/>
      <c r="BW9" s="812"/>
      <c r="BX9" s="812"/>
      <c r="BY9" s="812"/>
      <c r="BZ9" s="812"/>
      <c r="CA9" s="812"/>
      <c r="CB9" s="812"/>
      <c r="CC9" s="812"/>
      <c r="CD9" s="812"/>
      <c r="CE9" s="812"/>
      <c r="CF9" s="812"/>
      <c r="CG9" s="812"/>
      <c r="CH9" s="812"/>
      <c r="CI9" s="812"/>
      <c r="CJ9" s="812"/>
      <c r="CK9" s="812"/>
      <c r="CL9" s="812"/>
      <c r="CM9" s="812"/>
      <c r="CN9" s="812"/>
      <c r="CO9" s="812"/>
      <c r="CP9" s="812"/>
      <c r="CQ9" s="812"/>
      <c r="CR9" s="812"/>
      <c r="CS9" s="812"/>
      <c r="CT9" s="812"/>
      <c r="CU9" s="812"/>
      <c r="CV9" s="812"/>
      <c r="CW9" s="812"/>
      <c r="CX9" s="812"/>
      <c r="CY9" s="812"/>
      <c r="CZ9" s="812"/>
      <c r="DA9" s="812"/>
      <c r="DB9" s="812"/>
      <c r="DC9" s="812"/>
      <c r="DD9" s="812"/>
      <c r="DE9" s="812"/>
      <c r="DF9" s="812"/>
      <c r="DG9" s="812"/>
      <c r="DH9" s="812"/>
      <c r="DI9" s="812"/>
      <c r="DJ9" s="812"/>
      <c r="DK9" s="812"/>
      <c r="DL9" s="812"/>
      <c r="DM9" s="812"/>
      <c r="DN9" s="812"/>
      <c r="DO9" s="812"/>
      <c r="DP9" s="812"/>
      <c r="DQ9" s="812"/>
      <c r="DR9" s="812"/>
      <c r="DS9" s="812"/>
      <c r="DT9" s="812"/>
      <c r="DU9" s="812"/>
      <c r="DV9" s="812"/>
      <c r="DW9" s="812"/>
      <c r="DX9" s="812"/>
      <c r="DY9" s="812"/>
      <c r="DZ9" s="812"/>
      <c r="EA9" s="812"/>
      <c r="EB9" s="812"/>
      <c r="EC9" s="812"/>
      <c r="ED9" s="812"/>
      <c r="EE9" s="812"/>
      <c r="EF9" s="812"/>
      <c r="EG9" s="812"/>
      <c r="EH9" s="812"/>
      <c r="EI9" s="812"/>
      <c r="EJ9" s="812"/>
      <c r="EK9" s="812"/>
      <c r="EL9" s="812"/>
      <c r="EM9" s="812"/>
      <c r="EN9" s="812"/>
      <c r="EO9" s="812"/>
      <c r="EP9" s="812"/>
      <c r="EQ9" s="812"/>
      <c r="ER9" s="812"/>
      <c r="ES9" s="812"/>
      <c r="ET9" s="812"/>
      <c r="EU9" s="812"/>
      <c r="EV9" s="812"/>
      <c r="EW9" s="812"/>
      <c r="EX9" s="812"/>
      <c r="EY9" s="812"/>
      <c r="EZ9" s="812"/>
      <c r="FA9" s="812"/>
      <c r="FB9" s="812"/>
      <c r="FC9" s="812"/>
      <c r="FD9" s="812"/>
      <c r="FE9" s="812"/>
      <c r="FF9" s="812"/>
      <c r="FG9" s="812"/>
      <c r="FH9" s="812"/>
      <c r="FI9" s="812"/>
      <c r="FJ9" s="812"/>
      <c r="FK9" s="812"/>
      <c r="FL9" s="812"/>
      <c r="FM9" s="812"/>
      <c r="FN9" s="812"/>
      <c r="FO9" s="812"/>
      <c r="FP9" s="812"/>
      <c r="FQ9" s="812"/>
      <c r="FR9" s="812"/>
      <c r="FS9" s="812"/>
      <c r="FT9" s="812"/>
      <c r="FU9" s="812"/>
      <c r="FV9" s="812"/>
      <c r="FW9" s="812"/>
      <c r="FX9" s="812"/>
      <c r="FY9" s="812"/>
      <c r="FZ9" s="812"/>
      <c r="GA9" s="812"/>
      <c r="GB9" s="812"/>
      <c r="GC9" s="812"/>
      <c r="GD9" s="812"/>
      <c r="GE9" s="812"/>
      <c r="GF9" s="812"/>
      <c r="GG9" s="812"/>
      <c r="GH9" s="812"/>
      <c r="GI9" s="812"/>
      <c r="GJ9" s="812"/>
      <c r="GK9" s="812"/>
      <c r="GL9" s="812"/>
      <c r="GM9" s="812"/>
      <c r="GN9" s="812"/>
      <c r="GO9" s="812"/>
      <c r="GP9" s="812"/>
      <c r="GQ9" s="812"/>
      <c r="GR9" s="812"/>
      <c r="GS9" s="812"/>
      <c r="GT9" s="812"/>
      <c r="GU9" s="812"/>
      <c r="GV9" s="812"/>
      <c r="GW9" s="812"/>
      <c r="GX9" s="812"/>
      <c r="GY9" s="812"/>
      <c r="GZ9" s="812"/>
      <c r="HA9" s="812"/>
      <c r="HB9" s="812"/>
      <c r="HC9" s="812"/>
      <c r="HD9" s="812"/>
      <c r="HE9" s="812"/>
      <c r="HF9" s="812"/>
      <c r="HG9" s="812"/>
      <c r="HH9" s="812"/>
      <c r="HI9" s="812"/>
      <c r="HJ9" s="812"/>
      <c r="HK9" s="812"/>
      <c r="HL9" s="812"/>
      <c r="HM9" s="812"/>
      <c r="HN9" s="812"/>
      <c r="HO9" s="812"/>
      <c r="HP9" s="812"/>
      <c r="HQ9" s="812"/>
      <c r="HR9" s="812"/>
      <c r="HS9" s="812"/>
      <c r="HT9" s="812"/>
      <c r="HU9" s="812"/>
      <c r="HV9" s="812"/>
      <c r="HW9" s="812"/>
      <c r="HX9" s="812"/>
      <c r="HY9" s="812"/>
      <c r="HZ9" s="812"/>
      <c r="IA9" s="812"/>
      <c r="IB9" s="812"/>
      <c r="IC9" s="812"/>
      <c r="ID9" s="812"/>
      <c r="IE9" s="812"/>
      <c r="IF9" s="812"/>
      <c r="IG9" s="812"/>
      <c r="IH9" s="812"/>
      <c r="II9" s="812"/>
      <c r="IJ9" s="812"/>
      <c r="IK9" s="812"/>
      <c r="IL9" s="812"/>
      <c r="IM9" s="812"/>
      <c r="IN9" s="812"/>
      <c r="IO9" s="812"/>
      <c r="IP9" s="812"/>
      <c r="IQ9" s="812"/>
      <c r="IR9" s="812"/>
      <c r="IS9" s="812"/>
      <c r="IT9" s="812"/>
      <c r="IU9" s="812"/>
      <c r="IV9" s="812"/>
      <c r="IW9" s="812"/>
    </row>
    <row r="10" customFormat="false" ht="11.25" hidden="false" customHeight="true" outlineLevel="0" collapsed="false">
      <c r="A10" s="403"/>
      <c r="B10" s="378"/>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408"/>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2"/>
      <c r="AY10" s="812"/>
      <c r="AZ10" s="812"/>
      <c r="BA10" s="812"/>
      <c r="BB10" s="812"/>
      <c r="BC10" s="812"/>
      <c r="BD10" s="812"/>
      <c r="BE10" s="812"/>
      <c r="BF10" s="812"/>
      <c r="BG10" s="812"/>
      <c r="BH10" s="812"/>
      <c r="BI10" s="812"/>
      <c r="BJ10" s="812"/>
      <c r="BK10" s="812"/>
      <c r="BL10" s="812"/>
      <c r="BM10" s="812"/>
      <c r="BN10" s="812"/>
      <c r="BO10" s="812"/>
      <c r="BP10" s="812"/>
      <c r="BQ10" s="812"/>
      <c r="BR10" s="812"/>
      <c r="BS10" s="812"/>
      <c r="BT10" s="812"/>
      <c r="BU10" s="812"/>
      <c r="BV10" s="812"/>
      <c r="BW10" s="812"/>
      <c r="BX10" s="812"/>
      <c r="BY10" s="812"/>
      <c r="BZ10" s="812"/>
      <c r="CA10" s="812"/>
      <c r="CB10" s="812"/>
      <c r="CC10" s="812"/>
      <c r="CD10" s="812"/>
      <c r="CE10" s="812"/>
      <c r="CF10" s="812"/>
      <c r="CG10" s="812"/>
      <c r="CH10" s="812"/>
      <c r="CI10" s="812"/>
      <c r="CJ10" s="812"/>
      <c r="CK10" s="812"/>
      <c r="CL10" s="812"/>
      <c r="CM10" s="812"/>
      <c r="CN10" s="812"/>
      <c r="CO10" s="812"/>
      <c r="CP10" s="812"/>
      <c r="CQ10" s="812"/>
      <c r="CR10" s="812"/>
      <c r="CS10" s="812"/>
      <c r="CT10" s="812"/>
      <c r="CU10" s="812"/>
      <c r="CV10" s="812"/>
      <c r="CW10" s="812"/>
      <c r="CX10" s="812"/>
      <c r="CY10" s="812"/>
      <c r="CZ10" s="812"/>
      <c r="DA10" s="812"/>
      <c r="DB10" s="812"/>
      <c r="DC10" s="812"/>
      <c r="DD10" s="812"/>
      <c r="DE10" s="812"/>
      <c r="DF10" s="812"/>
      <c r="DG10" s="812"/>
      <c r="DH10" s="812"/>
      <c r="DI10" s="812"/>
      <c r="DJ10" s="812"/>
      <c r="DK10" s="812"/>
      <c r="DL10" s="812"/>
      <c r="DM10" s="812"/>
      <c r="DN10" s="812"/>
      <c r="DO10" s="812"/>
      <c r="DP10" s="812"/>
      <c r="DQ10" s="812"/>
      <c r="DR10" s="812"/>
      <c r="DS10" s="812"/>
      <c r="DT10" s="812"/>
      <c r="DU10" s="812"/>
      <c r="DV10" s="812"/>
      <c r="DW10" s="812"/>
      <c r="DX10" s="812"/>
      <c r="DY10" s="812"/>
      <c r="DZ10" s="812"/>
      <c r="EA10" s="812"/>
      <c r="EB10" s="812"/>
      <c r="EC10" s="812"/>
      <c r="ED10" s="812"/>
      <c r="EE10" s="812"/>
      <c r="EF10" s="812"/>
      <c r="EG10" s="812"/>
      <c r="EH10" s="812"/>
      <c r="EI10" s="812"/>
      <c r="EJ10" s="812"/>
      <c r="EK10" s="812"/>
      <c r="EL10" s="812"/>
      <c r="EM10" s="812"/>
      <c r="EN10" s="812"/>
      <c r="EO10" s="812"/>
      <c r="EP10" s="812"/>
      <c r="EQ10" s="812"/>
      <c r="ER10" s="812"/>
      <c r="ES10" s="812"/>
      <c r="ET10" s="812"/>
      <c r="EU10" s="812"/>
      <c r="EV10" s="812"/>
      <c r="EW10" s="812"/>
      <c r="EX10" s="812"/>
      <c r="EY10" s="812"/>
      <c r="EZ10" s="812"/>
      <c r="FA10" s="812"/>
      <c r="FB10" s="812"/>
      <c r="FC10" s="812"/>
      <c r="FD10" s="812"/>
      <c r="FE10" s="812"/>
      <c r="FF10" s="812"/>
      <c r="FG10" s="812"/>
      <c r="FH10" s="812"/>
      <c r="FI10" s="812"/>
      <c r="FJ10" s="812"/>
      <c r="FK10" s="812"/>
      <c r="FL10" s="812"/>
      <c r="FM10" s="812"/>
      <c r="FN10" s="812"/>
      <c r="FO10" s="812"/>
      <c r="FP10" s="812"/>
      <c r="FQ10" s="812"/>
      <c r="FR10" s="812"/>
      <c r="FS10" s="812"/>
      <c r="FT10" s="812"/>
      <c r="FU10" s="812"/>
      <c r="FV10" s="812"/>
      <c r="FW10" s="812"/>
      <c r="FX10" s="812"/>
      <c r="FY10" s="812"/>
      <c r="FZ10" s="812"/>
      <c r="GA10" s="812"/>
      <c r="GB10" s="812"/>
      <c r="GC10" s="812"/>
      <c r="GD10" s="812"/>
      <c r="GE10" s="812"/>
      <c r="GF10" s="812"/>
      <c r="GG10" s="812"/>
      <c r="GH10" s="812"/>
      <c r="GI10" s="812"/>
      <c r="GJ10" s="812"/>
      <c r="GK10" s="812"/>
      <c r="GL10" s="812"/>
      <c r="GM10" s="812"/>
      <c r="GN10" s="812"/>
      <c r="GO10" s="812"/>
      <c r="GP10" s="812"/>
      <c r="GQ10" s="812"/>
      <c r="GR10" s="812"/>
      <c r="GS10" s="812"/>
      <c r="GT10" s="812"/>
      <c r="GU10" s="812"/>
      <c r="GV10" s="812"/>
      <c r="GW10" s="812"/>
      <c r="GX10" s="812"/>
      <c r="GY10" s="812"/>
      <c r="GZ10" s="812"/>
      <c r="HA10" s="812"/>
      <c r="HB10" s="812"/>
      <c r="HC10" s="812"/>
      <c r="HD10" s="812"/>
      <c r="HE10" s="812"/>
      <c r="HF10" s="812"/>
      <c r="HG10" s="812"/>
      <c r="HH10" s="812"/>
      <c r="HI10" s="812"/>
      <c r="HJ10" s="812"/>
      <c r="HK10" s="812"/>
      <c r="HL10" s="812"/>
      <c r="HM10" s="812"/>
      <c r="HN10" s="812"/>
      <c r="HO10" s="812"/>
      <c r="HP10" s="812"/>
      <c r="HQ10" s="812"/>
      <c r="HR10" s="812"/>
      <c r="HS10" s="812"/>
      <c r="HT10" s="812"/>
      <c r="HU10" s="812"/>
      <c r="HV10" s="812"/>
      <c r="HW10" s="812"/>
      <c r="HX10" s="812"/>
      <c r="HY10" s="812"/>
      <c r="HZ10" s="812"/>
      <c r="IA10" s="812"/>
      <c r="IB10" s="812"/>
      <c r="IC10" s="812"/>
      <c r="ID10" s="812"/>
      <c r="IE10" s="812"/>
      <c r="IF10" s="812"/>
      <c r="IG10" s="812"/>
      <c r="IH10" s="812"/>
      <c r="II10" s="812"/>
      <c r="IJ10" s="812"/>
      <c r="IK10" s="812"/>
      <c r="IL10" s="812"/>
      <c r="IM10" s="812"/>
      <c r="IN10" s="812"/>
      <c r="IO10" s="812"/>
      <c r="IP10" s="812"/>
      <c r="IQ10" s="812"/>
      <c r="IR10" s="812"/>
      <c r="IS10" s="812"/>
      <c r="IT10" s="812"/>
      <c r="IU10" s="812"/>
      <c r="IV10" s="812"/>
      <c r="IW10" s="812"/>
    </row>
    <row r="11" customFormat="false" ht="11.25" hidden="false" customHeight="true" outlineLevel="0" collapsed="false">
      <c r="A11" s="403" t="s">
        <v>697</v>
      </c>
      <c r="B11" s="378"/>
      <c r="C11" s="955"/>
      <c r="D11" s="744" t="n">
        <f aca="false">'Book Income Statement'!D31</f>
        <v>2140.752</v>
      </c>
      <c r="E11" s="744" t="n">
        <f aca="false">'Book Income Statement'!E31</f>
        <v>2204.97456</v>
      </c>
      <c r="F11" s="744" t="n">
        <f aca="false">'Book Income Statement'!F31</f>
        <v>2271.1237968</v>
      </c>
      <c r="G11" s="744" t="n">
        <f aca="false">'Book Income Statement'!G31</f>
        <v>2339.257510704</v>
      </c>
      <c r="H11" s="744" t="n">
        <f aca="false">'Book Income Statement'!H31</f>
        <v>2409.43523602512</v>
      </c>
      <c r="I11" s="744" t="n">
        <f aca="false">'Book Income Statement'!I31</f>
        <v>2481.71829310587</v>
      </c>
      <c r="J11" s="744" t="n">
        <f aca="false">'Book Income Statement'!J31</f>
        <v>2556.16984189905</v>
      </c>
      <c r="K11" s="744" t="n">
        <f aca="false">'Book Income Statement'!K31</f>
        <v>2632.85493715602</v>
      </c>
      <c r="L11" s="744" t="n">
        <f aca="false">'Book Income Statement'!L31</f>
        <v>2711.8405852707</v>
      </c>
      <c r="M11" s="744" t="n">
        <f aca="false">'Book Income Statement'!M31</f>
        <v>2793.19580282882</v>
      </c>
      <c r="N11" s="744" t="n">
        <f aca="false">'Book Income Statement'!N31</f>
        <v>2876.99167691369</v>
      </c>
      <c r="O11" s="744" t="n">
        <f aca="false">'Book Income Statement'!O31</f>
        <v>2963.3014272211</v>
      </c>
      <c r="P11" s="744" t="n">
        <f aca="false">'Book Income Statement'!P31</f>
        <v>3052.20047003773</v>
      </c>
      <c r="Q11" s="744" t="n">
        <f aca="false">'Book Income Statement'!Q31</f>
        <v>3143.76648413886</v>
      </c>
      <c r="R11" s="744" t="n">
        <f aca="false">'Book Income Statement'!R31</f>
        <v>3238.07947866303</v>
      </c>
      <c r="S11" s="744" t="n">
        <f aca="false">'Book Income Statement'!S31</f>
        <v>3335.22186302292</v>
      </c>
      <c r="T11" s="744" t="n">
        <f aca="false">'Book Income Statement'!T31</f>
        <v>3435.27851891361</v>
      </c>
      <c r="U11" s="744" t="n">
        <f aca="false">'Book Income Statement'!U31</f>
        <v>3538.33687448102</v>
      </c>
      <c r="V11" s="744" t="n">
        <f aca="false">'Book Income Statement'!V31</f>
        <v>3644.48698071545</v>
      </c>
      <c r="W11" s="744" t="n">
        <f aca="false">'Book Income Statement'!W31</f>
        <v>3753.82159013691</v>
      </c>
      <c r="X11" s="744" t="n">
        <f aca="false">'Book Income Statement'!X31</f>
        <v>3866.43623784102</v>
      </c>
      <c r="Y11" s="744" t="n">
        <f aca="false">'Book Income Statement'!Y31</f>
        <v>0</v>
      </c>
      <c r="Z11" s="744" t="n">
        <f aca="false">'Book Income Statement'!Z31</f>
        <v>0</v>
      </c>
      <c r="AA11" s="744" t="n">
        <f aca="false">'Book Income Statement'!AA31</f>
        <v>0</v>
      </c>
      <c r="AB11" s="782" t="n">
        <f aca="false">'Book Income Statement'!AB31</f>
        <v>0</v>
      </c>
      <c r="AC11" s="812"/>
      <c r="AD11" s="812"/>
      <c r="AE11" s="812"/>
      <c r="AF11" s="812"/>
      <c r="AG11" s="812"/>
      <c r="AH11" s="812"/>
      <c r="AI11" s="812"/>
      <c r="AJ11" s="812"/>
      <c r="AK11" s="812"/>
      <c r="AL11" s="812"/>
      <c r="AM11" s="812"/>
      <c r="AN11" s="812"/>
      <c r="AO11" s="812"/>
      <c r="AP11" s="812"/>
      <c r="AQ11" s="812"/>
      <c r="AR11" s="812"/>
      <c r="AS11" s="812"/>
      <c r="AT11" s="812"/>
      <c r="AU11" s="812"/>
      <c r="AV11" s="812"/>
      <c r="AW11" s="812"/>
      <c r="AX11" s="812"/>
      <c r="AY11" s="812"/>
      <c r="AZ11" s="812"/>
      <c r="BA11" s="812"/>
      <c r="BB11" s="812"/>
      <c r="BC11" s="812"/>
      <c r="BD11" s="812"/>
      <c r="BE11" s="812"/>
      <c r="BF11" s="812"/>
      <c r="BG11" s="812"/>
      <c r="BH11" s="812"/>
      <c r="BI11" s="812"/>
      <c r="BJ11" s="812"/>
      <c r="BK11" s="812"/>
      <c r="BL11" s="812"/>
      <c r="BM11" s="812"/>
      <c r="BN11" s="812"/>
      <c r="BO11" s="812"/>
      <c r="BP11" s="812"/>
      <c r="BQ11" s="812"/>
      <c r="BR11" s="812"/>
      <c r="BS11" s="812"/>
      <c r="BT11" s="812"/>
      <c r="BU11" s="812"/>
      <c r="BV11" s="812"/>
      <c r="BW11" s="812"/>
      <c r="BX11" s="812"/>
      <c r="BY11" s="812"/>
      <c r="BZ11" s="812"/>
      <c r="CA11" s="812"/>
      <c r="CB11" s="812"/>
      <c r="CC11" s="812"/>
      <c r="CD11" s="812"/>
      <c r="CE11" s="812"/>
      <c r="CF11" s="812"/>
      <c r="CG11" s="812"/>
      <c r="CH11" s="812"/>
      <c r="CI11" s="812"/>
      <c r="CJ11" s="812"/>
      <c r="CK11" s="812"/>
      <c r="CL11" s="812"/>
      <c r="CM11" s="812"/>
      <c r="CN11" s="812"/>
      <c r="CO11" s="812"/>
      <c r="CP11" s="812"/>
      <c r="CQ11" s="812"/>
      <c r="CR11" s="812"/>
      <c r="CS11" s="812"/>
      <c r="CT11" s="812"/>
      <c r="CU11" s="812"/>
      <c r="CV11" s="812"/>
      <c r="CW11" s="812"/>
      <c r="CX11" s="812"/>
      <c r="CY11" s="812"/>
      <c r="CZ11" s="812"/>
      <c r="DA11" s="812"/>
      <c r="DB11" s="812"/>
      <c r="DC11" s="812"/>
      <c r="DD11" s="812"/>
      <c r="DE11" s="812"/>
      <c r="DF11" s="812"/>
      <c r="DG11" s="812"/>
      <c r="DH11" s="812"/>
      <c r="DI11" s="812"/>
      <c r="DJ11" s="812"/>
      <c r="DK11" s="812"/>
      <c r="DL11" s="812"/>
      <c r="DM11" s="812"/>
      <c r="DN11" s="812"/>
      <c r="DO11" s="812"/>
      <c r="DP11" s="812"/>
      <c r="DQ11" s="812"/>
      <c r="DR11" s="812"/>
      <c r="DS11" s="812"/>
      <c r="DT11" s="812"/>
      <c r="DU11" s="812"/>
      <c r="DV11" s="812"/>
      <c r="DW11" s="812"/>
      <c r="DX11" s="812"/>
      <c r="DY11" s="812"/>
      <c r="DZ11" s="812"/>
      <c r="EA11" s="812"/>
      <c r="EB11" s="812"/>
      <c r="EC11" s="812"/>
      <c r="ED11" s="812"/>
      <c r="EE11" s="812"/>
      <c r="EF11" s="812"/>
      <c r="EG11" s="812"/>
      <c r="EH11" s="812"/>
      <c r="EI11" s="812"/>
      <c r="EJ11" s="812"/>
      <c r="EK11" s="812"/>
      <c r="EL11" s="812"/>
      <c r="EM11" s="812"/>
      <c r="EN11" s="812"/>
      <c r="EO11" s="812"/>
      <c r="EP11" s="812"/>
      <c r="EQ11" s="812"/>
      <c r="ER11" s="812"/>
      <c r="ES11" s="812"/>
      <c r="ET11" s="812"/>
      <c r="EU11" s="812"/>
      <c r="EV11" s="812"/>
      <c r="EW11" s="812"/>
      <c r="EX11" s="812"/>
      <c r="EY11" s="812"/>
      <c r="EZ11" s="812"/>
      <c r="FA11" s="812"/>
      <c r="FB11" s="812"/>
      <c r="FC11" s="812"/>
      <c r="FD11" s="812"/>
      <c r="FE11" s="812"/>
      <c r="FF11" s="812"/>
      <c r="FG11" s="812"/>
      <c r="FH11" s="812"/>
      <c r="FI11" s="812"/>
      <c r="FJ11" s="812"/>
      <c r="FK11" s="812"/>
      <c r="FL11" s="812"/>
      <c r="FM11" s="812"/>
      <c r="FN11" s="812"/>
      <c r="FO11" s="812"/>
      <c r="FP11" s="812"/>
      <c r="FQ11" s="812"/>
      <c r="FR11" s="812"/>
      <c r="FS11" s="812"/>
      <c r="FT11" s="812"/>
      <c r="FU11" s="812"/>
      <c r="FV11" s="812"/>
      <c r="FW11" s="812"/>
      <c r="FX11" s="812"/>
      <c r="FY11" s="812"/>
      <c r="FZ11" s="812"/>
      <c r="GA11" s="812"/>
      <c r="GB11" s="812"/>
      <c r="GC11" s="812"/>
      <c r="GD11" s="812"/>
      <c r="GE11" s="812"/>
      <c r="GF11" s="812"/>
      <c r="GG11" s="812"/>
      <c r="GH11" s="812"/>
      <c r="GI11" s="812"/>
      <c r="GJ11" s="812"/>
      <c r="GK11" s="812"/>
      <c r="GL11" s="812"/>
      <c r="GM11" s="812"/>
      <c r="GN11" s="812"/>
      <c r="GO11" s="812"/>
      <c r="GP11" s="812"/>
      <c r="GQ11" s="812"/>
      <c r="GR11" s="812"/>
      <c r="GS11" s="812"/>
      <c r="GT11" s="812"/>
      <c r="GU11" s="812"/>
      <c r="GV11" s="812"/>
      <c r="GW11" s="812"/>
      <c r="GX11" s="812"/>
      <c r="GY11" s="812"/>
      <c r="GZ11" s="812"/>
      <c r="HA11" s="812"/>
      <c r="HB11" s="812"/>
      <c r="HC11" s="812"/>
      <c r="HD11" s="812"/>
      <c r="HE11" s="812"/>
      <c r="HF11" s="812"/>
      <c r="HG11" s="812"/>
      <c r="HH11" s="812"/>
      <c r="HI11" s="812"/>
      <c r="HJ11" s="812"/>
      <c r="HK11" s="812"/>
      <c r="HL11" s="812"/>
      <c r="HM11" s="812"/>
      <c r="HN11" s="812"/>
      <c r="HO11" s="812"/>
      <c r="HP11" s="812"/>
      <c r="HQ11" s="812"/>
      <c r="HR11" s="812"/>
      <c r="HS11" s="812"/>
      <c r="HT11" s="812"/>
      <c r="HU11" s="812"/>
      <c r="HV11" s="812"/>
      <c r="HW11" s="812"/>
      <c r="HX11" s="812"/>
      <c r="HY11" s="812"/>
      <c r="HZ11" s="812"/>
      <c r="IA11" s="812"/>
      <c r="IB11" s="812"/>
      <c r="IC11" s="812"/>
      <c r="ID11" s="812"/>
      <c r="IE11" s="812"/>
      <c r="IF11" s="812"/>
      <c r="IG11" s="812"/>
      <c r="IH11" s="812"/>
      <c r="II11" s="812"/>
      <c r="IJ11" s="812"/>
      <c r="IK11" s="812"/>
      <c r="IL11" s="812"/>
      <c r="IM11" s="812"/>
      <c r="IN11" s="812"/>
      <c r="IO11" s="812"/>
      <c r="IP11" s="812"/>
      <c r="IQ11" s="812"/>
      <c r="IR11" s="812"/>
      <c r="IS11" s="812"/>
      <c r="IT11" s="812"/>
      <c r="IU11" s="812"/>
      <c r="IV11" s="812"/>
      <c r="IW11" s="812"/>
    </row>
    <row r="12" customFormat="false" ht="11.25" hidden="false" customHeight="true" outlineLevel="0" collapsed="false">
      <c r="A12" s="956" t="s">
        <v>698</v>
      </c>
      <c r="B12" s="378"/>
      <c r="C12" s="955"/>
      <c r="D12" s="744" t="n">
        <v>0</v>
      </c>
      <c r="E12" s="744" t="n">
        <v>0</v>
      </c>
      <c r="F12" s="744" t="n">
        <v>0</v>
      </c>
      <c r="G12" s="744" t="n">
        <f aca="false">628.7317314422*4</f>
        <v>2514.9269257688</v>
      </c>
      <c r="H12" s="744" t="n">
        <v>0</v>
      </c>
      <c r="I12" s="744" t="n">
        <v>0</v>
      </c>
      <c r="J12" s="744" t="n">
        <f aca="false">1805.57782183025*4</f>
        <v>7222.311287321</v>
      </c>
      <c r="K12" s="744" t="n">
        <v>0</v>
      </c>
      <c r="L12" s="744" t="n">
        <v>0</v>
      </c>
      <c r="M12" s="744" t="n">
        <f aca="false">750.738567829213*4</f>
        <v>3002.95427131685</v>
      </c>
      <c r="N12" s="744" t="n">
        <v>0</v>
      </c>
      <c r="O12" s="744" t="n">
        <v>0</v>
      </c>
      <c r="P12" s="744" t="n">
        <v>0</v>
      </c>
      <c r="Q12" s="744" t="n">
        <f aca="false">7582.46103172619*4</f>
        <v>30329.8441269048</v>
      </c>
      <c r="R12" s="744" t="n">
        <v>0</v>
      </c>
      <c r="S12" s="744" t="n">
        <v>0</v>
      </c>
      <c r="T12" s="744" t="n">
        <f aca="false">2013.06924524906*4</f>
        <v>8052.27698099624</v>
      </c>
      <c r="U12" s="744" t="n">
        <v>0</v>
      </c>
      <c r="V12" s="744" t="n">
        <v>0</v>
      </c>
      <c r="W12" s="744" t="n">
        <f aca="false">4499.02308556151*4</f>
        <v>17996.092342246</v>
      </c>
      <c r="X12" s="744"/>
      <c r="Y12" s="744"/>
      <c r="Z12" s="744"/>
      <c r="AA12" s="744"/>
      <c r="AB12" s="782"/>
      <c r="AC12" s="812"/>
      <c r="AD12" s="812"/>
      <c r="AE12" s="812"/>
      <c r="AF12" s="812"/>
      <c r="AG12" s="812"/>
      <c r="AH12" s="812"/>
      <c r="AI12" s="812"/>
      <c r="AJ12" s="812"/>
      <c r="AK12" s="812"/>
      <c r="AL12" s="812"/>
      <c r="AM12" s="812"/>
      <c r="AN12" s="812"/>
      <c r="AO12" s="812"/>
      <c r="AP12" s="812"/>
      <c r="AQ12" s="812"/>
      <c r="AR12" s="812"/>
      <c r="AS12" s="812"/>
      <c r="AT12" s="812"/>
      <c r="AU12" s="812"/>
      <c r="AV12" s="812"/>
      <c r="AW12" s="812"/>
      <c r="AX12" s="812"/>
      <c r="AY12" s="812"/>
      <c r="AZ12" s="812"/>
      <c r="BA12" s="812"/>
      <c r="BB12" s="812"/>
      <c r="BC12" s="812"/>
      <c r="BD12" s="812"/>
      <c r="BE12" s="812"/>
      <c r="BF12" s="812"/>
      <c r="BG12" s="812"/>
      <c r="BH12" s="812"/>
      <c r="BI12" s="812"/>
      <c r="BJ12" s="812"/>
      <c r="BK12" s="812"/>
      <c r="BL12" s="812"/>
      <c r="BM12" s="812"/>
      <c r="BN12" s="812"/>
      <c r="BO12" s="812"/>
      <c r="BP12" s="812"/>
      <c r="BQ12" s="812"/>
      <c r="BR12" s="812"/>
      <c r="BS12" s="812"/>
      <c r="BT12" s="812"/>
      <c r="BU12" s="812"/>
      <c r="BV12" s="812"/>
      <c r="BW12" s="812"/>
      <c r="BX12" s="812"/>
      <c r="BY12" s="812"/>
      <c r="BZ12" s="812"/>
      <c r="CA12" s="812"/>
      <c r="CB12" s="812"/>
      <c r="CC12" s="812"/>
      <c r="CD12" s="812"/>
      <c r="CE12" s="812"/>
      <c r="CF12" s="812"/>
      <c r="CG12" s="812"/>
      <c r="CH12" s="812"/>
      <c r="CI12" s="812"/>
      <c r="CJ12" s="812"/>
      <c r="CK12" s="812"/>
      <c r="CL12" s="812"/>
      <c r="CM12" s="812"/>
      <c r="CN12" s="812"/>
      <c r="CO12" s="812"/>
      <c r="CP12" s="812"/>
      <c r="CQ12" s="812"/>
      <c r="CR12" s="812"/>
      <c r="CS12" s="812"/>
      <c r="CT12" s="812"/>
      <c r="CU12" s="812"/>
      <c r="CV12" s="812"/>
      <c r="CW12" s="812"/>
      <c r="CX12" s="812"/>
      <c r="CY12" s="812"/>
      <c r="CZ12" s="812"/>
      <c r="DA12" s="812"/>
      <c r="DB12" s="812"/>
      <c r="DC12" s="812"/>
      <c r="DD12" s="812"/>
      <c r="DE12" s="812"/>
      <c r="DF12" s="812"/>
      <c r="DG12" s="812"/>
      <c r="DH12" s="812"/>
      <c r="DI12" s="812"/>
      <c r="DJ12" s="812"/>
      <c r="DK12" s="812"/>
      <c r="DL12" s="812"/>
      <c r="DM12" s="812"/>
      <c r="DN12" s="812"/>
      <c r="DO12" s="812"/>
      <c r="DP12" s="812"/>
      <c r="DQ12" s="812"/>
      <c r="DR12" s="812"/>
      <c r="DS12" s="812"/>
      <c r="DT12" s="812"/>
      <c r="DU12" s="812"/>
      <c r="DV12" s="812"/>
      <c r="DW12" s="812"/>
      <c r="DX12" s="812"/>
      <c r="DY12" s="812"/>
      <c r="DZ12" s="812"/>
      <c r="EA12" s="812"/>
      <c r="EB12" s="812"/>
      <c r="EC12" s="812"/>
      <c r="ED12" s="812"/>
      <c r="EE12" s="812"/>
      <c r="EF12" s="812"/>
      <c r="EG12" s="812"/>
      <c r="EH12" s="812"/>
      <c r="EI12" s="812"/>
      <c r="EJ12" s="812"/>
      <c r="EK12" s="812"/>
      <c r="EL12" s="812"/>
      <c r="EM12" s="812"/>
      <c r="EN12" s="812"/>
      <c r="EO12" s="812"/>
      <c r="EP12" s="812"/>
      <c r="EQ12" s="812"/>
      <c r="ER12" s="812"/>
      <c r="ES12" s="812"/>
      <c r="ET12" s="812"/>
      <c r="EU12" s="812"/>
      <c r="EV12" s="812"/>
      <c r="EW12" s="812"/>
      <c r="EX12" s="812"/>
      <c r="EY12" s="812"/>
      <c r="EZ12" s="812"/>
      <c r="FA12" s="812"/>
      <c r="FB12" s="812"/>
      <c r="FC12" s="812"/>
      <c r="FD12" s="812"/>
      <c r="FE12" s="812"/>
      <c r="FF12" s="812"/>
      <c r="FG12" s="812"/>
      <c r="FH12" s="812"/>
      <c r="FI12" s="812"/>
      <c r="FJ12" s="812"/>
      <c r="FK12" s="812"/>
      <c r="FL12" s="812"/>
      <c r="FM12" s="812"/>
      <c r="FN12" s="812"/>
      <c r="FO12" s="812"/>
      <c r="FP12" s="812"/>
      <c r="FQ12" s="812"/>
      <c r="FR12" s="812"/>
      <c r="FS12" s="812"/>
      <c r="FT12" s="812"/>
      <c r="FU12" s="812"/>
      <c r="FV12" s="812"/>
      <c r="FW12" s="812"/>
      <c r="FX12" s="812"/>
      <c r="FY12" s="812"/>
      <c r="FZ12" s="812"/>
      <c r="GA12" s="812"/>
      <c r="GB12" s="812"/>
      <c r="GC12" s="812"/>
      <c r="GD12" s="812"/>
      <c r="GE12" s="812"/>
      <c r="GF12" s="812"/>
      <c r="GG12" s="812"/>
      <c r="GH12" s="812"/>
      <c r="GI12" s="812"/>
      <c r="GJ12" s="812"/>
      <c r="GK12" s="812"/>
      <c r="GL12" s="812"/>
      <c r="GM12" s="812"/>
      <c r="GN12" s="812"/>
      <c r="GO12" s="812"/>
      <c r="GP12" s="812"/>
      <c r="GQ12" s="812"/>
      <c r="GR12" s="812"/>
      <c r="GS12" s="812"/>
      <c r="GT12" s="812"/>
      <c r="GU12" s="812"/>
      <c r="GV12" s="812"/>
      <c r="GW12" s="812"/>
      <c r="GX12" s="812"/>
      <c r="GY12" s="812"/>
      <c r="GZ12" s="812"/>
      <c r="HA12" s="812"/>
      <c r="HB12" s="812"/>
      <c r="HC12" s="812"/>
      <c r="HD12" s="812"/>
      <c r="HE12" s="812"/>
      <c r="HF12" s="812"/>
      <c r="HG12" s="812"/>
      <c r="HH12" s="812"/>
      <c r="HI12" s="812"/>
      <c r="HJ12" s="812"/>
      <c r="HK12" s="812"/>
      <c r="HL12" s="812"/>
      <c r="HM12" s="812"/>
      <c r="HN12" s="812"/>
      <c r="HO12" s="812"/>
      <c r="HP12" s="812"/>
      <c r="HQ12" s="812"/>
      <c r="HR12" s="812"/>
      <c r="HS12" s="812"/>
      <c r="HT12" s="812"/>
      <c r="HU12" s="812"/>
      <c r="HV12" s="812"/>
      <c r="HW12" s="812"/>
      <c r="HX12" s="812"/>
      <c r="HY12" s="812"/>
      <c r="HZ12" s="812"/>
      <c r="IA12" s="812"/>
      <c r="IB12" s="812"/>
      <c r="IC12" s="812"/>
      <c r="ID12" s="812"/>
      <c r="IE12" s="812"/>
      <c r="IF12" s="812"/>
      <c r="IG12" s="812"/>
      <c r="IH12" s="812"/>
      <c r="II12" s="812"/>
      <c r="IJ12" s="812"/>
      <c r="IK12" s="812"/>
      <c r="IL12" s="812"/>
      <c r="IM12" s="812"/>
      <c r="IN12" s="812"/>
      <c r="IO12" s="812"/>
      <c r="IP12" s="812"/>
      <c r="IQ12" s="812"/>
      <c r="IR12" s="812"/>
      <c r="IS12" s="812"/>
      <c r="IT12" s="812"/>
      <c r="IU12" s="812"/>
      <c r="IV12" s="812"/>
      <c r="IW12" s="812"/>
    </row>
    <row r="13" customFormat="false" ht="11.25" hidden="false" customHeight="true" outlineLevel="0" collapsed="false">
      <c r="A13" s="403" t="s">
        <v>699</v>
      </c>
      <c r="B13" s="378"/>
      <c r="C13" s="955"/>
      <c r="D13" s="744" t="n">
        <f aca="false">D11</f>
        <v>2140.752</v>
      </c>
      <c r="E13" s="744" t="n">
        <f aca="false">D13+E11-E12</f>
        <v>4345.72656</v>
      </c>
      <c r="F13" s="744" t="n">
        <f aca="false">E13+F11-F12</f>
        <v>6616.8503568</v>
      </c>
      <c r="G13" s="744" t="n">
        <f aca="false">F13+G11-G12</f>
        <v>6441.1809417352</v>
      </c>
      <c r="H13" s="744" t="n">
        <f aca="false">G13+H11-H12</f>
        <v>8850.61617776032</v>
      </c>
      <c r="I13" s="744" t="n">
        <f aca="false">H13+I11-I12</f>
        <v>11332.3344708662</v>
      </c>
      <c r="J13" s="744" t="n">
        <f aca="false">I13+J11-J12</f>
        <v>6666.19302544425</v>
      </c>
      <c r="K13" s="744" t="n">
        <f aca="false">J13+K11-K12</f>
        <v>9299.04796260027</v>
      </c>
      <c r="L13" s="744" t="n">
        <f aca="false">K13+L11-L12</f>
        <v>12010.888547871</v>
      </c>
      <c r="M13" s="744" t="n">
        <f aca="false">L13+M11-M12</f>
        <v>11801.1300793829</v>
      </c>
      <c r="N13" s="744" t="n">
        <f aca="false">M13+N11-N12</f>
        <v>14678.1217562966</v>
      </c>
      <c r="O13" s="744" t="n">
        <f aca="false">N13+O11-O12</f>
        <v>17641.4231835177</v>
      </c>
      <c r="P13" s="744" t="n">
        <f aca="false">O13+P11-P12</f>
        <v>20693.6236535555</v>
      </c>
      <c r="Q13" s="744" t="n">
        <f aca="false">P13+Q11-Q12</f>
        <v>-6492.45398921044</v>
      </c>
      <c r="R13" s="744" t="n">
        <f aca="false">Q13+R11-R12</f>
        <v>-3254.37451054741</v>
      </c>
      <c r="S13" s="744" t="n">
        <f aca="false">R13+S11-S12</f>
        <v>80.8473524755145</v>
      </c>
      <c r="T13" s="744" t="n">
        <f aca="false">S13+T11-T12</f>
        <v>-4536.15110960712</v>
      </c>
      <c r="U13" s="744" t="n">
        <f aca="false">T13+U11-U12</f>
        <v>-997.814235126099</v>
      </c>
      <c r="V13" s="744" t="n">
        <f aca="false">U13+V11-V12</f>
        <v>2646.67274558935</v>
      </c>
      <c r="W13" s="744" t="n">
        <f aca="false">V13+W11-W12</f>
        <v>-11595.5980065198</v>
      </c>
      <c r="X13" s="744" t="n">
        <f aca="false">W13+X11-X12</f>
        <v>-7729.16176867876</v>
      </c>
      <c r="Y13" s="744" t="n">
        <f aca="false">X13+Y11-Y12</f>
        <v>-7729.16176867876</v>
      </c>
      <c r="Z13" s="744" t="n">
        <f aca="false">Y13+Z11-Z12</f>
        <v>-7729.16176867876</v>
      </c>
      <c r="AA13" s="744" t="n">
        <f aca="false">Z13+AA11-AA12</f>
        <v>-7729.16176867876</v>
      </c>
      <c r="AB13" s="782" t="n">
        <f aca="false">AA13+AB11-AB12</f>
        <v>-7729.16176867876</v>
      </c>
      <c r="AC13" s="812"/>
      <c r="AD13" s="812"/>
      <c r="AE13" s="812"/>
      <c r="AF13" s="812"/>
      <c r="AG13" s="812"/>
      <c r="AH13" s="812"/>
      <c r="AI13" s="812"/>
      <c r="AJ13" s="812"/>
      <c r="AK13" s="812"/>
      <c r="AL13" s="812"/>
      <c r="AM13" s="812"/>
      <c r="AN13" s="812"/>
      <c r="AO13" s="812"/>
      <c r="AP13" s="812"/>
      <c r="AQ13" s="812"/>
      <c r="AR13" s="812"/>
      <c r="AS13" s="812"/>
      <c r="AT13" s="812"/>
      <c r="AU13" s="812"/>
      <c r="AV13" s="812"/>
      <c r="AW13" s="812"/>
      <c r="AX13" s="812"/>
      <c r="AY13" s="812"/>
      <c r="AZ13" s="812"/>
      <c r="BA13" s="812"/>
      <c r="BB13" s="812"/>
      <c r="BC13" s="812"/>
      <c r="BD13" s="812"/>
      <c r="BE13" s="812"/>
      <c r="BF13" s="812"/>
      <c r="BG13" s="812"/>
      <c r="BH13" s="812"/>
      <c r="BI13" s="812"/>
      <c r="BJ13" s="812"/>
      <c r="BK13" s="812"/>
      <c r="BL13" s="812"/>
      <c r="BM13" s="812"/>
      <c r="BN13" s="812"/>
      <c r="BO13" s="812"/>
      <c r="BP13" s="812"/>
      <c r="BQ13" s="812"/>
      <c r="BR13" s="812"/>
      <c r="BS13" s="812"/>
      <c r="BT13" s="812"/>
      <c r="BU13" s="812"/>
      <c r="BV13" s="812"/>
      <c r="BW13" s="812"/>
      <c r="BX13" s="812"/>
      <c r="BY13" s="812"/>
      <c r="BZ13" s="812"/>
      <c r="CA13" s="812"/>
      <c r="CB13" s="812"/>
      <c r="CC13" s="812"/>
      <c r="CD13" s="812"/>
      <c r="CE13" s="812"/>
      <c r="CF13" s="812"/>
      <c r="CG13" s="812"/>
      <c r="CH13" s="812"/>
      <c r="CI13" s="812"/>
      <c r="CJ13" s="812"/>
      <c r="CK13" s="812"/>
      <c r="CL13" s="812"/>
      <c r="CM13" s="812"/>
      <c r="CN13" s="812"/>
      <c r="CO13" s="812"/>
      <c r="CP13" s="812"/>
      <c r="CQ13" s="812"/>
      <c r="CR13" s="812"/>
      <c r="CS13" s="812"/>
      <c r="CT13" s="812"/>
      <c r="CU13" s="812"/>
      <c r="CV13" s="812"/>
      <c r="CW13" s="812"/>
      <c r="CX13" s="812"/>
      <c r="CY13" s="812"/>
      <c r="CZ13" s="812"/>
      <c r="DA13" s="812"/>
      <c r="DB13" s="812"/>
      <c r="DC13" s="812"/>
      <c r="DD13" s="812"/>
      <c r="DE13" s="812"/>
      <c r="DF13" s="812"/>
      <c r="DG13" s="812"/>
      <c r="DH13" s="812"/>
      <c r="DI13" s="812"/>
      <c r="DJ13" s="812"/>
      <c r="DK13" s="812"/>
      <c r="DL13" s="812"/>
      <c r="DM13" s="812"/>
      <c r="DN13" s="812"/>
      <c r="DO13" s="812"/>
      <c r="DP13" s="812"/>
      <c r="DQ13" s="812"/>
      <c r="DR13" s="812"/>
      <c r="DS13" s="812"/>
      <c r="DT13" s="812"/>
      <c r="DU13" s="812"/>
      <c r="DV13" s="812"/>
      <c r="DW13" s="812"/>
      <c r="DX13" s="812"/>
      <c r="DY13" s="812"/>
      <c r="DZ13" s="812"/>
      <c r="EA13" s="812"/>
      <c r="EB13" s="812"/>
      <c r="EC13" s="812"/>
      <c r="ED13" s="812"/>
      <c r="EE13" s="812"/>
      <c r="EF13" s="812"/>
      <c r="EG13" s="812"/>
      <c r="EH13" s="812"/>
      <c r="EI13" s="812"/>
      <c r="EJ13" s="812"/>
      <c r="EK13" s="812"/>
      <c r="EL13" s="812"/>
      <c r="EM13" s="812"/>
      <c r="EN13" s="812"/>
      <c r="EO13" s="812"/>
      <c r="EP13" s="812"/>
      <c r="EQ13" s="812"/>
      <c r="ER13" s="812"/>
      <c r="ES13" s="812"/>
      <c r="ET13" s="812"/>
      <c r="EU13" s="812"/>
      <c r="EV13" s="812"/>
      <c r="EW13" s="812"/>
      <c r="EX13" s="812"/>
      <c r="EY13" s="812"/>
      <c r="EZ13" s="812"/>
      <c r="FA13" s="812"/>
      <c r="FB13" s="812"/>
      <c r="FC13" s="812"/>
      <c r="FD13" s="812"/>
      <c r="FE13" s="812"/>
      <c r="FF13" s="812"/>
      <c r="FG13" s="812"/>
      <c r="FH13" s="812"/>
      <c r="FI13" s="812"/>
      <c r="FJ13" s="812"/>
      <c r="FK13" s="812"/>
      <c r="FL13" s="812"/>
      <c r="FM13" s="812"/>
      <c r="FN13" s="812"/>
      <c r="FO13" s="812"/>
      <c r="FP13" s="812"/>
      <c r="FQ13" s="812"/>
      <c r="FR13" s="812"/>
      <c r="FS13" s="812"/>
      <c r="FT13" s="812"/>
      <c r="FU13" s="812"/>
      <c r="FV13" s="812"/>
      <c r="FW13" s="812"/>
      <c r="FX13" s="812"/>
      <c r="FY13" s="812"/>
      <c r="FZ13" s="812"/>
      <c r="GA13" s="812"/>
      <c r="GB13" s="812"/>
      <c r="GC13" s="812"/>
      <c r="GD13" s="812"/>
      <c r="GE13" s="812"/>
      <c r="GF13" s="812"/>
      <c r="GG13" s="812"/>
      <c r="GH13" s="812"/>
      <c r="GI13" s="812"/>
      <c r="GJ13" s="812"/>
      <c r="GK13" s="812"/>
      <c r="GL13" s="812"/>
      <c r="GM13" s="812"/>
      <c r="GN13" s="812"/>
      <c r="GO13" s="812"/>
      <c r="GP13" s="812"/>
      <c r="GQ13" s="812"/>
      <c r="GR13" s="812"/>
      <c r="GS13" s="812"/>
      <c r="GT13" s="812"/>
      <c r="GU13" s="812"/>
      <c r="GV13" s="812"/>
      <c r="GW13" s="812"/>
      <c r="GX13" s="812"/>
      <c r="GY13" s="812"/>
      <c r="GZ13" s="812"/>
      <c r="HA13" s="812"/>
      <c r="HB13" s="812"/>
      <c r="HC13" s="812"/>
      <c r="HD13" s="812"/>
      <c r="HE13" s="812"/>
      <c r="HF13" s="812"/>
      <c r="HG13" s="812"/>
      <c r="HH13" s="812"/>
      <c r="HI13" s="812"/>
      <c r="HJ13" s="812"/>
      <c r="HK13" s="812"/>
      <c r="HL13" s="812"/>
      <c r="HM13" s="812"/>
      <c r="HN13" s="812"/>
      <c r="HO13" s="812"/>
      <c r="HP13" s="812"/>
      <c r="HQ13" s="812"/>
      <c r="HR13" s="812"/>
      <c r="HS13" s="812"/>
      <c r="HT13" s="812"/>
      <c r="HU13" s="812"/>
      <c r="HV13" s="812"/>
      <c r="HW13" s="812"/>
      <c r="HX13" s="812"/>
      <c r="HY13" s="812"/>
      <c r="HZ13" s="812"/>
      <c r="IA13" s="812"/>
      <c r="IB13" s="812"/>
      <c r="IC13" s="812"/>
      <c r="ID13" s="812"/>
      <c r="IE13" s="812"/>
      <c r="IF13" s="812"/>
      <c r="IG13" s="812"/>
      <c r="IH13" s="812"/>
      <c r="II13" s="812"/>
      <c r="IJ13" s="812"/>
      <c r="IK13" s="812"/>
      <c r="IL13" s="812"/>
      <c r="IM13" s="812"/>
      <c r="IN13" s="812"/>
      <c r="IO13" s="812"/>
      <c r="IP13" s="812"/>
      <c r="IQ13" s="812"/>
      <c r="IR13" s="812"/>
      <c r="IS13" s="812"/>
      <c r="IT13" s="812"/>
      <c r="IU13" s="812"/>
      <c r="IV13" s="812"/>
      <c r="IW13" s="812"/>
    </row>
    <row r="14" customFormat="false" ht="11.25" hidden="false" customHeight="false" outlineLevel="0" collapsed="false">
      <c r="A14" s="457" t="s">
        <v>700</v>
      </c>
      <c r="B14" s="630"/>
      <c r="C14" s="630"/>
      <c r="D14" s="748" t="n">
        <f aca="false">D13*'Project Assumtions'!$U$20</f>
        <v>28.8807866267985</v>
      </c>
      <c r="E14" s="748" t="n">
        <f aca="false">E13*'Project Assumtions'!$U$20</f>
        <v>58.627996852401</v>
      </c>
      <c r="F14" s="748" t="n">
        <f aca="false">F13*'Project Assumtions'!$U$20</f>
        <v>89.2676233847715</v>
      </c>
      <c r="G14" s="748" t="n">
        <f aca="false">G13*'Project Assumtions'!$U$20</f>
        <v>86.8976753976431</v>
      </c>
      <c r="H14" s="748" t="n">
        <f aca="false">H13*'Project Assumtions'!$U$20</f>
        <v>119.403255185835</v>
      </c>
      <c r="I14" s="748" t="n">
        <f aca="false">I13*'Project Assumtions'!$U$20</f>
        <v>152.884002367673</v>
      </c>
      <c r="J14" s="748" t="n">
        <f aca="false">J13*'Project Assumtions'!$U$20</f>
        <v>89.9333030546778</v>
      </c>
      <c r="K14" s="748" t="n">
        <f aca="false">K13*'Project Assumtions'!$U$20</f>
        <v>125.453027739889</v>
      </c>
      <c r="L14" s="748" t="n">
        <f aca="false">L13*'Project Assumtions'!$U$20</f>
        <v>162.038344165657</v>
      </c>
      <c r="M14" s="748" t="n">
        <f aca="false">M13*'Project Assumtions'!$U$20</f>
        <v>159.208502328972</v>
      </c>
      <c r="N14" s="748" t="n">
        <f aca="false">N13*'Project Assumtions'!$U$20</f>
        <v>198.02186452507</v>
      </c>
      <c r="O14" s="748" t="n">
        <f aca="false">O13*'Project Assumtions'!$U$20</f>
        <v>237.99962758705</v>
      </c>
      <c r="P14" s="748" t="n">
        <f aca="false">P13*'Project Assumtions'!$U$20</f>
        <v>279.176723540889</v>
      </c>
      <c r="Q14" s="748" t="n">
        <f aca="false">Q13*'Project Assumtions'!$U$20</f>
        <v>-87.5893977194431</v>
      </c>
      <c r="R14" s="748" t="n">
        <f aca="false">R13*'Project Assumtions'!$U$20</f>
        <v>-43.9046166220148</v>
      </c>
      <c r="S14" s="748" t="n">
        <f aca="false">S13*'Project Assumtions'!$U$20</f>
        <v>1.09070790833637</v>
      </c>
      <c r="T14" s="748" t="n">
        <f aca="false">T13*'Project Assumtions'!$U$20</f>
        <v>-61.1970056800033</v>
      </c>
      <c r="U14" s="748" t="n">
        <f aca="false">U13*'Project Assumtions'!$U$20</f>
        <v>-13.4614658857537</v>
      </c>
      <c r="V14" s="748" t="n">
        <f aca="false">V13*'Project Assumtions'!$U$20</f>
        <v>35.7061401023234</v>
      </c>
      <c r="W14" s="748" t="n">
        <f aca="false">W13*'Project Assumtions'!$U$20</f>
        <v>-156.435678600991</v>
      </c>
      <c r="X14" s="748" t="n">
        <f aca="false">X13*'Project Assumtions'!$U$20</f>
        <v>-104.27376540824</v>
      </c>
      <c r="Y14" s="748" t="n">
        <f aca="false">Y13*'Project Assumtions'!$U$20</f>
        <v>-104.27376540824</v>
      </c>
      <c r="Z14" s="748" t="n">
        <f aca="false">Z13*'Project Assumtions'!$U$20</f>
        <v>-104.27376540824</v>
      </c>
      <c r="AA14" s="748" t="n">
        <f aca="false">AA13*'Project Assumtions'!$U$20</f>
        <v>-104.27376540824</v>
      </c>
      <c r="AB14" s="749" t="n">
        <f aca="false">AB13*'Project Assumtions'!$U$20</f>
        <v>-104.27376540824</v>
      </c>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2"/>
      <c r="AY14" s="812"/>
      <c r="AZ14" s="812"/>
      <c r="BA14" s="812"/>
      <c r="BB14" s="812"/>
      <c r="BC14" s="812"/>
      <c r="BD14" s="812"/>
      <c r="BE14" s="812"/>
      <c r="BF14" s="812"/>
      <c r="BG14" s="812"/>
      <c r="BH14" s="812"/>
      <c r="BI14" s="812"/>
      <c r="BJ14" s="812"/>
      <c r="BK14" s="812"/>
      <c r="BL14" s="812"/>
      <c r="BM14" s="812"/>
      <c r="BN14" s="812"/>
      <c r="BO14" s="812"/>
      <c r="BP14" s="812"/>
      <c r="BQ14" s="812"/>
      <c r="BR14" s="812"/>
      <c r="BS14" s="812"/>
      <c r="BT14" s="812"/>
      <c r="BU14" s="812"/>
      <c r="BV14" s="812"/>
      <c r="BW14" s="812"/>
      <c r="BX14" s="812"/>
      <c r="BY14" s="812"/>
      <c r="BZ14" s="812"/>
      <c r="CA14" s="812"/>
      <c r="CB14" s="812"/>
      <c r="CC14" s="812"/>
      <c r="CD14" s="812"/>
      <c r="CE14" s="812"/>
      <c r="CF14" s="812"/>
      <c r="CG14" s="812"/>
      <c r="CH14" s="812"/>
      <c r="CI14" s="812"/>
      <c r="CJ14" s="812"/>
      <c r="CK14" s="812"/>
      <c r="CL14" s="812"/>
      <c r="CM14" s="812"/>
      <c r="CN14" s="812"/>
      <c r="CO14" s="812"/>
      <c r="CP14" s="812"/>
      <c r="CQ14" s="812"/>
      <c r="CR14" s="812"/>
      <c r="CS14" s="812"/>
      <c r="CT14" s="812"/>
      <c r="CU14" s="812"/>
      <c r="CV14" s="812"/>
      <c r="CW14" s="812"/>
      <c r="CX14" s="812"/>
      <c r="CY14" s="812"/>
      <c r="CZ14" s="812"/>
      <c r="DA14" s="812"/>
      <c r="DB14" s="812"/>
      <c r="DC14" s="812"/>
      <c r="DD14" s="812"/>
      <c r="DE14" s="812"/>
      <c r="DF14" s="812"/>
      <c r="DG14" s="812"/>
      <c r="DH14" s="812"/>
      <c r="DI14" s="812"/>
      <c r="DJ14" s="812"/>
      <c r="DK14" s="812"/>
      <c r="DL14" s="812"/>
      <c r="DM14" s="812"/>
      <c r="DN14" s="812"/>
      <c r="DO14" s="812"/>
      <c r="DP14" s="812"/>
      <c r="DQ14" s="812"/>
      <c r="DR14" s="812"/>
      <c r="DS14" s="812"/>
      <c r="DT14" s="812"/>
      <c r="DU14" s="812"/>
      <c r="DV14" s="812"/>
      <c r="DW14" s="812"/>
      <c r="DX14" s="812"/>
      <c r="DY14" s="812"/>
      <c r="DZ14" s="812"/>
      <c r="EA14" s="812"/>
      <c r="EB14" s="812"/>
      <c r="EC14" s="812"/>
      <c r="ED14" s="812"/>
      <c r="EE14" s="812"/>
      <c r="EF14" s="812"/>
      <c r="EG14" s="812"/>
      <c r="EH14" s="812"/>
      <c r="EI14" s="812"/>
      <c r="EJ14" s="812"/>
      <c r="EK14" s="812"/>
      <c r="EL14" s="812"/>
      <c r="EM14" s="812"/>
      <c r="EN14" s="812"/>
      <c r="EO14" s="812"/>
      <c r="EP14" s="812"/>
      <c r="EQ14" s="812"/>
      <c r="ER14" s="812"/>
      <c r="ES14" s="812"/>
      <c r="ET14" s="812"/>
      <c r="EU14" s="812"/>
      <c r="EV14" s="812"/>
      <c r="EW14" s="812"/>
      <c r="EX14" s="812"/>
      <c r="EY14" s="812"/>
      <c r="EZ14" s="812"/>
      <c r="FA14" s="812"/>
      <c r="FB14" s="812"/>
      <c r="FC14" s="812"/>
      <c r="FD14" s="812"/>
      <c r="FE14" s="812"/>
      <c r="FF14" s="812"/>
      <c r="FG14" s="812"/>
      <c r="FH14" s="812"/>
      <c r="FI14" s="812"/>
      <c r="FJ14" s="812"/>
      <c r="FK14" s="812"/>
      <c r="FL14" s="812"/>
      <c r="FM14" s="812"/>
      <c r="FN14" s="812"/>
      <c r="FO14" s="812"/>
      <c r="FP14" s="812"/>
      <c r="FQ14" s="812"/>
      <c r="FR14" s="812"/>
      <c r="FS14" s="812"/>
      <c r="FT14" s="812"/>
      <c r="FU14" s="812"/>
      <c r="FV14" s="812"/>
      <c r="FW14" s="812"/>
      <c r="FX14" s="812"/>
      <c r="FY14" s="812"/>
      <c r="FZ14" s="812"/>
      <c r="GA14" s="812"/>
      <c r="GB14" s="812"/>
      <c r="GC14" s="812"/>
      <c r="GD14" s="812"/>
      <c r="GE14" s="812"/>
      <c r="GF14" s="812"/>
      <c r="GG14" s="812"/>
      <c r="GH14" s="812"/>
      <c r="GI14" s="812"/>
      <c r="GJ14" s="812"/>
      <c r="GK14" s="812"/>
      <c r="GL14" s="812"/>
      <c r="GM14" s="812"/>
      <c r="GN14" s="812"/>
      <c r="GO14" s="812"/>
      <c r="GP14" s="812"/>
      <c r="GQ14" s="812"/>
      <c r="GR14" s="812"/>
      <c r="GS14" s="812"/>
      <c r="GT14" s="812"/>
      <c r="GU14" s="812"/>
      <c r="GV14" s="812"/>
      <c r="GW14" s="812"/>
      <c r="GX14" s="812"/>
      <c r="GY14" s="812"/>
      <c r="GZ14" s="812"/>
      <c r="HA14" s="812"/>
      <c r="HB14" s="812"/>
      <c r="HC14" s="812"/>
      <c r="HD14" s="812"/>
      <c r="HE14" s="812"/>
      <c r="HF14" s="812"/>
      <c r="HG14" s="812"/>
      <c r="HH14" s="812"/>
      <c r="HI14" s="812"/>
      <c r="HJ14" s="812"/>
      <c r="HK14" s="812"/>
      <c r="HL14" s="812"/>
      <c r="HM14" s="812"/>
      <c r="HN14" s="812"/>
      <c r="HO14" s="812"/>
      <c r="HP14" s="812"/>
      <c r="HQ14" s="812"/>
      <c r="HR14" s="812"/>
      <c r="HS14" s="812"/>
      <c r="HT14" s="812"/>
      <c r="HU14" s="812"/>
      <c r="HV14" s="812"/>
      <c r="HW14" s="812"/>
      <c r="HX14" s="812"/>
      <c r="HY14" s="812"/>
      <c r="HZ14" s="812"/>
      <c r="IA14" s="812"/>
      <c r="IB14" s="812"/>
      <c r="IC14" s="812"/>
      <c r="ID14" s="812"/>
      <c r="IE14" s="812"/>
      <c r="IF14" s="812"/>
      <c r="IG14" s="812"/>
      <c r="IH14" s="812"/>
      <c r="II14" s="812"/>
      <c r="IJ14" s="812"/>
      <c r="IK14" s="812"/>
      <c r="IL14" s="812"/>
      <c r="IM14" s="812"/>
      <c r="IN14" s="812"/>
      <c r="IO14" s="812"/>
      <c r="IP14" s="812"/>
      <c r="IQ14" s="812"/>
      <c r="IR14" s="812"/>
      <c r="IS14" s="812"/>
      <c r="IT14" s="812"/>
      <c r="IU14" s="812"/>
      <c r="IV14" s="812"/>
      <c r="IW14" s="812"/>
    </row>
    <row r="15" customFormat="false" ht="11.25" hidden="true" customHeight="false" outlineLevel="0" collapsed="false">
      <c r="A15" s="1" t="s">
        <v>701</v>
      </c>
      <c r="B15" s="1"/>
      <c r="C15" s="1"/>
      <c r="D15" s="957" t="n">
        <f aca="false">D14</f>
        <v>28.8807866267985</v>
      </c>
      <c r="E15" s="957" t="n">
        <f aca="false">D15+E14</f>
        <v>87.5087834791995</v>
      </c>
      <c r="F15" s="957" t="n">
        <f aca="false">E15+F14</f>
        <v>176.776406863971</v>
      </c>
      <c r="G15" s="957" t="n">
        <f aca="false">F15+G14</f>
        <v>263.674082261614</v>
      </c>
      <c r="H15" s="957" t="n">
        <f aca="false">G15+H14</f>
        <v>383.077337447449</v>
      </c>
      <c r="I15" s="957" t="n">
        <f aca="false">H15+I14</f>
        <v>535.961339815122</v>
      </c>
      <c r="J15" s="957" t="n">
        <f aca="false">I15+J14</f>
        <v>625.8946428698</v>
      </c>
      <c r="K15" s="957" t="n">
        <f aca="false">J15+K14</f>
        <v>751.347670609689</v>
      </c>
      <c r="L15" s="957" t="n">
        <f aca="false">K15+L14</f>
        <v>913.386014775346</v>
      </c>
      <c r="M15" s="957" t="n">
        <f aca="false">L15+M14</f>
        <v>1072.59451710432</v>
      </c>
      <c r="N15" s="957" t="n">
        <f aca="false">M15+N14</f>
        <v>1270.61638162939</v>
      </c>
      <c r="O15" s="957" t="n">
        <f aca="false">N15+O14</f>
        <v>1508.61600921644</v>
      </c>
      <c r="P15" s="957" t="n">
        <f aca="false">O15+P14</f>
        <v>1787.79273275733</v>
      </c>
      <c r="Q15" s="957" t="n">
        <f aca="false">P15+Q14</f>
        <v>1700.20333503788</v>
      </c>
      <c r="R15" s="957" t="n">
        <f aca="false">Q15+R14</f>
        <v>1656.29871841587</v>
      </c>
      <c r="S15" s="957" t="n">
        <f aca="false">R15+S14</f>
        <v>1657.38942632421</v>
      </c>
      <c r="T15" s="957" t="n">
        <f aca="false">S15+T14</f>
        <v>1596.1924206442</v>
      </c>
      <c r="U15" s="957" t="n">
        <f aca="false">T15+U14</f>
        <v>1582.73095475845</v>
      </c>
      <c r="V15" s="957" t="n">
        <f aca="false">U15+V14</f>
        <v>1618.43709486077</v>
      </c>
      <c r="W15" s="957" t="n">
        <f aca="false">V15+W14</f>
        <v>1462.00141625978</v>
      </c>
      <c r="X15" s="957" t="n">
        <f aca="false">W15+X14</f>
        <v>1357.72765085154</v>
      </c>
      <c r="Y15" s="957" t="n">
        <f aca="false">X15+Y14</f>
        <v>1253.4538854433</v>
      </c>
      <c r="Z15" s="957" t="n">
        <f aca="false">Y15+Z14</f>
        <v>1149.18012003506</v>
      </c>
      <c r="AA15" s="957" t="n">
        <f aca="false">Z15+AA14</f>
        <v>1044.90635462682</v>
      </c>
      <c r="AB15" s="957" t="n">
        <f aca="false">AA15+AB14</f>
        <v>940.632589218583</v>
      </c>
      <c r="AC15" s="812"/>
      <c r="AD15" s="812"/>
      <c r="AE15" s="812"/>
      <c r="AF15" s="812"/>
      <c r="AG15" s="812"/>
      <c r="AH15" s="812"/>
      <c r="AI15" s="812"/>
      <c r="AJ15" s="812"/>
      <c r="AK15" s="812"/>
      <c r="AL15" s="812"/>
      <c r="AM15" s="812"/>
      <c r="AN15" s="812"/>
      <c r="AO15" s="812"/>
      <c r="AP15" s="812"/>
      <c r="AQ15" s="812"/>
      <c r="AR15" s="812"/>
      <c r="AS15" s="812"/>
      <c r="AT15" s="812"/>
      <c r="AU15" s="812"/>
      <c r="AV15" s="812"/>
      <c r="AW15" s="812"/>
      <c r="AX15" s="812"/>
      <c r="AY15" s="812"/>
      <c r="AZ15" s="812"/>
      <c r="BA15" s="812"/>
      <c r="BB15" s="812"/>
      <c r="BC15" s="812"/>
      <c r="BD15" s="812"/>
      <c r="BE15" s="812"/>
      <c r="BF15" s="812"/>
      <c r="BG15" s="812"/>
      <c r="BH15" s="812"/>
      <c r="BI15" s="812"/>
      <c r="BJ15" s="812"/>
      <c r="BK15" s="812"/>
      <c r="BL15" s="812"/>
      <c r="BM15" s="812"/>
      <c r="BN15" s="812"/>
      <c r="BO15" s="812"/>
      <c r="BP15" s="812"/>
      <c r="BQ15" s="812"/>
      <c r="BR15" s="812"/>
      <c r="BS15" s="812"/>
      <c r="BT15" s="812"/>
      <c r="BU15" s="812"/>
      <c r="BV15" s="812"/>
      <c r="BW15" s="812"/>
      <c r="BX15" s="812"/>
      <c r="BY15" s="812"/>
      <c r="BZ15" s="812"/>
      <c r="CA15" s="812"/>
      <c r="CB15" s="812"/>
      <c r="CC15" s="812"/>
      <c r="CD15" s="812"/>
      <c r="CE15" s="812"/>
      <c r="CF15" s="812"/>
      <c r="CG15" s="812"/>
      <c r="CH15" s="812"/>
      <c r="CI15" s="812"/>
      <c r="CJ15" s="812"/>
      <c r="CK15" s="812"/>
      <c r="CL15" s="812"/>
      <c r="CM15" s="812"/>
      <c r="CN15" s="812"/>
      <c r="CO15" s="812"/>
      <c r="CP15" s="812"/>
      <c r="CQ15" s="812"/>
      <c r="CR15" s="812"/>
      <c r="CS15" s="812"/>
      <c r="CT15" s="812"/>
      <c r="CU15" s="812"/>
      <c r="CV15" s="812"/>
      <c r="CW15" s="812"/>
      <c r="CX15" s="812"/>
      <c r="CY15" s="812"/>
      <c r="CZ15" s="812"/>
      <c r="DA15" s="812"/>
      <c r="DB15" s="812"/>
      <c r="DC15" s="812"/>
      <c r="DD15" s="812"/>
      <c r="DE15" s="812"/>
      <c r="DF15" s="812"/>
      <c r="DG15" s="812"/>
      <c r="DH15" s="812"/>
      <c r="DI15" s="812"/>
      <c r="DJ15" s="812"/>
      <c r="DK15" s="812"/>
      <c r="DL15" s="812"/>
      <c r="DM15" s="812"/>
      <c r="DN15" s="812"/>
      <c r="DO15" s="812"/>
      <c r="DP15" s="812"/>
      <c r="DQ15" s="812"/>
      <c r="DR15" s="812"/>
      <c r="DS15" s="812"/>
      <c r="DT15" s="812"/>
      <c r="DU15" s="812"/>
      <c r="DV15" s="812"/>
      <c r="DW15" s="812"/>
      <c r="DX15" s="812"/>
      <c r="DY15" s="812"/>
      <c r="DZ15" s="812"/>
      <c r="EA15" s="812"/>
      <c r="EB15" s="812"/>
      <c r="EC15" s="812"/>
      <c r="ED15" s="812"/>
      <c r="EE15" s="812"/>
      <c r="EF15" s="812"/>
      <c r="EG15" s="812"/>
      <c r="EH15" s="812"/>
      <c r="EI15" s="812"/>
      <c r="EJ15" s="812"/>
      <c r="EK15" s="812"/>
      <c r="EL15" s="812"/>
      <c r="EM15" s="812"/>
      <c r="EN15" s="812"/>
      <c r="EO15" s="812"/>
      <c r="EP15" s="812"/>
      <c r="EQ15" s="812"/>
      <c r="ER15" s="812"/>
      <c r="ES15" s="812"/>
      <c r="ET15" s="812"/>
      <c r="EU15" s="812"/>
      <c r="EV15" s="812"/>
      <c r="EW15" s="812"/>
      <c r="EX15" s="812"/>
      <c r="EY15" s="812"/>
      <c r="EZ15" s="812"/>
      <c r="FA15" s="812"/>
      <c r="FB15" s="812"/>
      <c r="FC15" s="812"/>
      <c r="FD15" s="812"/>
      <c r="FE15" s="812"/>
      <c r="FF15" s="812"/>
      <c r="FG15" s="812"/>
      <c r="FH15" s="812"/>
      <c r="FI15" s="812"/>
      <c r="FJ15" s="812"/>
      <c r="FK15" s="812"/>
      <c r="FL15" s="812"/>
      <c r="FM15" s="812"/>
      <c r="FN15" s="812"/>
      <c r="FO15" s="812"/>
      <c r="FP15" s="812"/>
      <c r="FQ15" s="812"/>
      <c r="FR15" s="812"/>
      <c r="FS15" s="812"/>
      <c r="FT15" s="812"/>
      <c r="FU15" s="812"/>
      <c r="FV15" s="812"/>
      <c r="FW15" s="812"/>
      <c r="FX15" s="812"/>
      <c r="FY15" s="812"/>
      <c r="FZ15" s="812"/>
      <c r="GA15" s="812"/>
      <c r="GB15" s="812"/>
      <c r="GC15" s="812"/>
      <c r="GD15" s="812"/>
      <c r="GE15" s="812"/>
      <c r="GF15" s="812"/>
      <c r="GG15" s="812"/>
      <c r="GH15" s="812"/>
      <c r="GI15" s="812"/>
      <c r="GJ15" s="812"/>
      <c r="GK15" s="812"/>
      <c r="GL15" s="812"/>
      <c r="GM15" s="812"/>
      <c r="GN15" s="812"/>
      <c r="GO15" s="812"/>
      <c r="GP15" s="812"/>
      <c r="GQ15" s="812"/>
      <c r="GR15" s="812"/>
      <c r="GS15" s="812"/>
      <c r="GT15" s="812"/>
      <c r="GU15" s="812"/>
      <c r="GV15" s="812"/>
      <c r="GW15" s="812"/>
      <c r="GX15" s="812"/>
      <c r="GY15" s="812"/>
      <c r="GZ15" s="812"/>
      <c r="HA15" s="812"/>
      <c r="HB15" s="812"/>
      <c r="HC15" s="812"/>
      <c r="HD15" s="812"/>
      <c r="HE15" s="812"/>
      <c r="HF15" s="812"/>
      <c r="HG15" s="812"/>
      <c r="HH15" s="812"/>
      <c r="HI15" s="812"/>
      <c r="HJ15" s="812"/>
      <c r="HK15" s="812"/>
      <c r="HL15" s="812"/>
      <c r="HM15" s="812"/>
      <c r="HN15" s="812"/>
      <c r="HO15" s="812"/>
      <c r="HP15" s="812"/>
      <c r="HQ15" s="812"/>
      <c r="HR15" s="812"/>
      <c r="HS15" s="812"/>
      <c r="HT15" s="812"/>
      <c r="HU15" s="812"/>
      <c r="HV15" s="812"/>
      <c r="HW15" s="812"/>
      <c r="HX15" s="812"/>
      <c r="HY15" s="812"/>
      <c r="HZ15" s="812"/>
      <c r="IA15" s="812"/>
      <c r="IB15" s="812"/>
      <c r="IC15" s="812"/>
      <c r="ID15" s="812"/>
      <c r="IE15" s="812"/>
      <c r="IF15" s="812"/>
      <c r="IG15" s="812"/>
      <c r="IH15" s="812"/>
      <c r="II15" s="812"/>
      <c r="IJ15" s="812"/>
      <c r="IK15" s="812"/>
      <c r="IL15" s="812"/>
      <c r="IM15" s="812"/>
      <c r="IN15" s="812"/>
      <c r="IO15" s="812"/>
      <c r="IP15" s="812"/>
      <c r="IQ15" s="812"/>
      <c r="IR15" s="812"/>
      <c r="IS15" s="812"/>
      <c r="IT15" s="812"/>
      <c r="IU15" s="812"/>
      <c r="IV15" s="812"/>
      <c r="IW15" s="812"/>
    </row>
    <row r="16" customFormat="false" ht="11.25" hidden="false" customHeight="false" outlineLevel="0" collapsed="false">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812"/>
      <c r="AD16" s="812"/>
      <c r="AE16" s="812"/>
      <c r="AF16" s="812"/>
      <c r="AG16" s="812"/>
      <c r="AH16" s="812"/>
      <c r="AI16" s="812"/>
      <c r="AJ16" s="812"/>
      <c r="AK16" s="812"/>
      <c r="AL16" s="812"/>
      <c r="AM16" s="812"/>
      <c r="AN16" s="812"/>
      <c r="AO16" s="812"/>
      <c r="AP16" s="812"/>
      <c r="AQ16" s="812"/>
      <c r="AR16" s="812"/>
      <c r="AS16" s="812"/>
      <c r="AT16" s="812"/>
      <c r="AU16" s="812"/>
      <c r="AV16" s="812"/>
      <c r="AW16" s="812"/>
      <c r="AX16" s="812"/>
      <c r="AY16" s="812"/>
      <c r="AZ16" s="812"/>
      <c r="BA16" s="812"/>
      <c r="BB16" s="812"/>
      <c r="BC16" s="812"/>
      <c r="BD16" s="812"/>
      <c r="BE16" s="812"/>
      <c r="BF16" s="812"/>
      <c r="BG16" s="812"/>
      <c r="BH16" s="812"/>
      <c r="BI16" s="812"/>
      <c r="BJ16" s="812"/>
      <c r="BK16" s="812"/>
      <c r="BL16" s="812"/>
      <c r="BM16" s="812"/>
      <c r="BN16" s="812"/>
      <c r="BO16" s="812"/>
      <c r="BP16" s="812"/>
      <c r="BQ16" s="812"/>
      <c r="BR16" s="812"/>
      <c r="BS16" s="812"/>
      <c r="BT16" s="812"/>
      <c r="BU16" s="812"/>
      <c r="BV16" s="812"/>
      <c r="BW16" s="812"/>
      <c r="BX16" s="812"/>
      <c r="BY16" s="812"/>
      <c r="BZ16" s="812"/>
      <c r="CA16" s="812"/>
      <c r="CB16" s="812"/>
      <c r="CC16" s="812"/>
      <c r="CD16" s="812"/>
      <c r="CE16" s="812"/>
      <c r="CF16" s="812"/>
      <c r="CG16" s="812"/>
      <c r="CH16" s="812"/>
      <c r="CI16" s="812"/>
      <c r="CJ16" s="812"/>
      <c r="CK16" s="812"/>
      <c r="CL16" s="812"/>
      <c r="CM16" s="812"/>
      <c r="CN16" s="812"/>
      <c r="CO16" s="812"/>
      <c r="CP16" s="812"/>
      <c r="CQ16" s="812"/>
      <c r="CR16" s="812"/>
      <c r="CS16" s="812"/>
      <c r="CT16" s="812"/>
      <c r="CU16" s="812"/>
      <c r="CV16" s="812"/>
      <c r="CW16" s="812"/>
      <c r="CX16" s="812"/>
      <c r="CY16" s="812"/>
      <c r="CZ16" s="812"/>
      <c r="DA16" s="812"/>
      <c r="DB16" s="812"/>
      <c r="DC16" s="812"/>
      <c r="DD16" s="812"/>
      <c r="DE16" s="812"/>
      <c r="DF16" s="812"/>
      <c r="DG16" s="812"/>
      <c r="DH16" s="812"/>
      <c r="DI16" s="812"/>
      <c r="DJ16" s="812"/>
      <c r="DK16" s="812"/>
      <c r="DL16" s="812"/>
      <c r="DM16" s="812"/>
      <c r="DN16" s="812"/>
      <c r="DO16" s="812"/>
      <c r="DP16" s="812"/>
      <c r="DQ16" s="812"/>
      <c r="DR16" s="812"/>
      <c r="DS16" s="812"/>
      <c r="DT16" s="812"/>
      <c r="DU16" s="812"/>
      <c r="DV16" s="812"/>
      <c r="DW16" s="812"/>
      <c r="DX16" s="812"/>
      <c r="DY16" s="812"/>
      <c r="DZ16" s="812"/>
      <c r="EA16" s="812"/>
      <c r="EB16" s="812"/>
      <c r="EC16" s="812"/>
      <c r="ED16" s="812"/>
      <c r="EE16" s="812"/>
      <c r="EF16" s="812"/>
      <c r="EG16" s="812"/>
      <c r="EH16" s="812"/>
      <c r="EI16" s="812"/>
      <c r="EJ16" s="812"/>
      <c r="EK16" s="812"/>
      <c r="EL16" s="812"/>
      <c r="EM16" s="812"/>
      <c r="EN16" s="812"/>
      <c r="EO16" s="812"/>
      <c r="EP16" s="812"/>
      <c r="EQ16" s="812"/>
      <c r="ER16" s="812"/>
      <c r="ES16" s="812"/>
      <c r="ET16" s="812"/>
      <c r="EU16" s="812"/>
      <c r="EV16" s="812"/>
      <c r="EW16" s="812"/>
      <c r="EX16" s="812"/>
      <c r="EY16" s="812"/>
      <c r="EZ16" s="812"/>
      <c r="FA16" s="812"/>
      <c r="FB16" s="812"/>
      <c r="FC16" s="812"/>
      <c r="FD16" s="812"/>
      <c r="FE16" s="812"/>
      <c r="FF16" s="812"/>
      <c r="FG16" s="812"/>
      <c r="FH16" s="812"/>
      <c r="FI16" s="812"/>
      <c r="FJ16" s="812"/>
      <c r="FK16" s="812"/>
      <c r="FL16" s="812"/>
      <c r="FM16" s="812"/>
      <c r="FN16" s="812"/>
      <c r="FO16" s="812"/>
      <c r="FP16" s="812"/>
      <c r="FQ16" s="812"/>
      <c r="FR16" s="812"/>
      <c r="FS16" s="812"/>
      <c r="FT16" s="812"/>
      <c r="FU16" s="812"/>
      <c r="FV16" s="812"/>
      <c r="FW16" s="812"/>
      <c r="FX16" s="812"/>
      <c r="FY16" s="812"/>
      <c r="FZ16" s="812"/>
      <c r="GA16" s="812"/>
      <c r="GB16" s="812"/>
      <c r="GC16" s="812"/>
      <c r="GD16" s="812"/>
      <c r="GE16" s="812"/>
      <c r="GF16" s="812"/>
      <c r="GG16" s="812"/>
      <c r="GH16" s="812"/>
      <c r="GI16" s="812"/>
      <c r="GJ16" s="812"/>
      <c r="GK16" s="812"/>
      <c r="GL16" s="812"/>
      <c r="GM16" s="812"/>
      <c r="GN16" s="812"/>
      <c r="GO16" s="812"/>
      <c r="GP16" s="812"/>
      <c r="GQ16" s="812"/>
      <c r="GR16" s="812"/>
      <c r="GS16" s="812"/>
      <c r="GT16" s="812"/>
      <c r="GU16" s="812"/>
      <c r="GV16" s="812"/>
      <c r="GW16" s="812"/>
      <c r="GX16" s="812"/>
      <c r="GY16" s="812"/>
      <c r="GZ16" s="812"/>
      <c r="HA16" s="812"/>
      <c r="HB16" s="812"/>
      <c r="HC16" s="812"/>
      <c r="HD16" s="812"/>
      <c r="HE16" s="812"/>
      <c r="HF16" s="812"/>
      <c r="HG16" s="812"/>
      <c r="HH16" s="812"/>
      <c r="HI16" s="812"/>
      <c r="HJ16" s="812"/>
      <c r="HK16" s="812"/>
      <c r="HL16" s="812"/>
      <c r="HM16" s="812"/>
      <c r="HN16" s="812"/>
      <c r="HO16" s="812"/>
      <c r="HP16" s="812"/>
      <c r="HQ16" s="812"/>
      <c r="HR16" s="812"/>
      <c r="HS16" s="812"/>
      <c r="HT16" s="812"/>
      <c r="HU16" s="812"/>
      <c r="HV16" s="812"/>
      <c r="HW16" s="812"/>
      <c r="HX16" s="812"/>
      <c r="HY16" s="812"/>
      <c r="HZ16" s="812"/>
      <c r="IA16" s="812"/>
      <c r="IB16" s="812"/>
      <c r="IC16" s="812"/>
      <c r="ID16" s="812"/>
      <c r="IE16" s="812"/>
      <c r="IF16" s="812"/>
      <c r="IG16" s="812"/>
      <c r="IH16" s="812"/>
      <c r="II16" s="812"/>
      <c r="IJ16" s="812"/>
      <c r="IK16" s="812"/>
      <c r="IL16" s="812"/>
      <c r="IM16" s="812"/>
      <c r="IN16" s="812"/>
      <c r="IO16" s="812"/>
      <c r="IP16" s="812"/>
      <c r="IQ16" s="812"/>
      <c r="IR16" s="812"/>
      <c r="IS16" s="812"/>
      <c r="IT16" s="812"/>
      <c r="IU16" s="812"/>
      <c r="IV16" s="812"/>
      <c r="IW16" s="812"/>
    </row>
    <row r="17" customFormat="false" ht="11.25" hidden="false" customHeight="false" outlineLevel="0" collapsed="false">
      <c r="A17" s="1"/>
      <c r="B17" s="1"/>
      <c r="C17" s="1"/>
      <c r="D17" s="883"/>
      <c r="E17" s="958"/>
      <c r="F17" s="958"/>
      <c r="G17" s="958"/>
      <c r="H17" s="958"/>
      <c r="I17" s="958"/>
      <c r="J17" s="958"/>
      <c r="K17" s="958"/>
      <c r="L17" s="1"/>
      <c r="M17" s="1"/>
      <c r="N17" s="1"/>
      <c r="O17" s="1"/>
      <c r="P17" s="1"/>
      <c r="Q17" s="1"/>
      <c r="R17" s="1"/>
      <c r="S17" s="1"/>
      <c r="T17" s="1"/>
      <c r="U17" s="1"/>
      <c r="V17" s="1"/>
      <c r="W17" s="1"/>
      <c r="X17" s="1"/>
      <c r="Y17" s="1"/>
      <c r="Z17" s="1"/>
      <c r="AA17" s="1"/>
      <c r="AB17" s="1"/>
      <c r="AC17" s="812"/>
      <c r="AD17" s="812"/>
      <c r="AE17" s="812"/>
      <c r="AF17" s="812"/>
      <c r="AG17" s="812"/>
      <c r="AH17" s="812"/>
      <c r="AI17" s="812"/>
      <c r="AJ17" s="812"/>
      <c r="AK17" s="812"/>
      <c r="AL17" s="812"/>
      <c r="AM17" s="812"/>
      <c r="AN17" s="812"/>
      <c r="AO17" s="812"/>
      <c r="AP17" s="812"/>
      <c r="AQ17" s="812"/>
      <c r="AR17" s="812"/>
      <c r="AS17" s="812"/>
      <c r="AT17" s="812"/>
      <c r="AU17" s="812"/>
      <c r="AV17" s="812"/>
      <c r="AW17" s="812"/>
      <c r="AX17" s="812"/>
      <c r="AY17" s="812"/>
      <c r="AZ17" s="812"/>
      <c r="BA17" s="812"/>
      <c r="BB17" s="812"/>
      <c r="BC17" s="812"/>
      <c r="BD17" s="812"/>
      <c r="BE17" s="812"/>
      <c r="BF17" s="812"/>
      <c r="BG17" s="812"/>
      <c r="BH17" s="812"/>
      <c r="BI17" s="812"/>
      <c r="BJ17" s="812"/>
      <c r="BK17" s="812"/>
      <c r="BL17" s="812"/>
      <c r="BM17" s="812"/>
      <c r="BN17" s="812"/>
      <c r="BO17" s="812"/>
      <c r="BP17" s="812"/>
      <c r="BQ17" s="812"/>
      <c r="BR17" s="812"/>
      <c r="BS17" s="812"/>
      <c r="BT17" s="812"/>
      <c r="BU17" s="812"/>
      <c r="BV17" s="812"/>
      <c r="BW17" s="812"/>
      <c r="BX17" s="812"/>
      <c r="BY17" s="812"/>
      <c r="BZ17" s="812"/>
      <c r="CA17" s="812"/>
      <c r="CB17" s="812"/>
      <c r="CC17" s="812"/>
      <c r="CD17" s="812"/>
      <c r="CE17" s="812"/>
      <c r="CF17" s="812"/>
      <c r="CG17" s="812"/>
      <c r="CH17" s="812"/>
      <c r="CI17" s="812"/>
      <c r="CJ17" s="812"/>
      <c r="CK17" s="812"/>
      <c r="CL17" s="812"/>
      <c r="CM17" s="812"/>
      <c r="CN17" s="812"/>
      <c r="CO17" s="812"/>
      <c r="CP17" s="812"/>
      <c r="CQ17" s="812"/>
      <c r="CR17" s="812"/>
      <c r="CS17" s="812"/>
      <c r="CT17" s="812"/>
      <c r="CU17" s="812"/>
      <c r="CV17" s="812"/>
      <c r="CW17" s="812"/>
      <c r="CX17" s="812"/>
      <c r="CY17" s="812"/>
      <c r="CZ17" s="812"/>
      <c r="DA17" s="812"/>
      <c r="DB17" s="812"/>
      <c r="DC17" s="812"/>
      <c r="DD17" s="812"/>
      <c r="DE17" s="812"/>
      <c r="DF17" s="812"/>
      <c r="DG17" s="812"/>
      <c r="DH17" s="812"/>
      <c r="DI17" s="812"/>
      <c r="DJ17" s="812"/>
      <c r="DK17" s="812"/>
      <c r="DL17" s="812"/>
      <c r="DM17" s="812"/>
      <c r="DN17" s="812"/>
      <c r="DO17" s="812"/>
      <c r="DP17" s="812"/>
      <c r="DQ17" s="812"/>
      <c r="DR17" s="812"/>
      <c r="DS17" s="812"/>
      <c r="DT17" s="812"/>
      <c r="DU17" s="812"/>
      <c r="DV17" s="812"/>
      <c r="DW17" s="812"/>
      <c r="DX17" s="812"/>
      <c r="DY17" s="812"/>
      <c r="DZ17" s="812"/>
      <c r="EA17" s="812"/>
      <c r="EB17" s="812"/>
      <c r="EC17" s="812"/>
      <c r="ED17" s="812"/>
      <c r="EE17" s="812"/>
      <c r="EF17" s="812"/>
      <c r="EG17" s="812"/>
      <c r="EH17" s="812"/>
      <c r="EI17" s="812"/>
      <c r="EJ17" s="812"/>
      <c r="EK17" s="812"/>
      <c r="EL17" s="812"/>
      <c r="EM17" s="812"/>
      <c r="EN17" s="812"/>
      <c r="EO17" s="812"/>
      <c r="EP17" s="812"/>
      <c r="EQ17" s="812"/>
      <c r="ER17" s="812"/>
      <c r="ES17" s="812"/>
      <c r="ET17" s="812"/>
      <c r="EU17" s="812"/>
      <c r="EV17" s="812"/>
      <c r="EW17" s="812"/>
      <c r="EX17" s="812"/>
      <c r="EY17" s="812"/>
      <c r="EZ17" s="812"/>
      <c r="FA17" s="812"/>
      <c r="FB17" s="812"/>
      <c r="FC17" s="812"/>
      <c r="FD17" s="812"/>
      <c r="FE17" s="812"/>
      <c r="FF17" s="812"/>
      <c r="FG17" s="812"/>
      <c r="FH17" s="812"/>
      <c r="FI17" s="812"/>
      <c r="FJ17" s="812"/>
      <c r="FK17" s="812"/>
      <c r="FL17" s="812"/>
      <c r="FM17" s="812"/>
      <c r="FN17" s="812"/>
      <c r="FO17" s="812"/>
      <c r="FP17" s="812"/>
      <c r="FQ17" s="812"/>
      <c r="FR17" s="812"/>
      <c r="FS17" s="812"/>
      <c r="FT17" s="812"/>
      <c r="FU17" s="812"/>
      <c r="FV17" s="812"/>
      <c r="FW17" s="812"/>
      <c r="FX17" s="812"/>
      <c r="FY17" s="812"/>
      <c r="FZ17" s="812"/>
      <c r="GA17" s="812"/>
      <c r="GB17" s="812"/>
      <c r="GC17" s="812"/>
      <c r="GD17" s="812"/>
      <c r="GE17" s="812"/>
      <c r="GF17" s="812"/>
      <c r="GG17" s="812"/>
      <c r="GH17" s="812"/>
      <c r="GI17" s="812"/>
      <c r="GJ17" s="812"/>
      <c r="GK17" s="812"/>
      <c r="GL17" s="812"/>
      <c r="GM17" s="812"/>
      <c r="GN17" s="812"/>
      <c r="GO17" s="812"/>
      <c r="GP17" s="812"/>
      <c r="GQ17" s="812"/>
      <c r="GR17" s="812"/>
      <c r="GS17" s="812"/>
      <c r="GT17" s="812"/>
      <c r="GU17" s="812"/>
      <c r="GV17" s="812"/>
      <c r="GW17" s="812"/>
      <c r="GX17" s="812"/>
      <c r="GY17" s="812"/>
      <c r="GZ17" s="812"/>
      <c r="HA17" s="812"/>
      <c r="HB17" s="812"/>
      <c r="HC17" s="812"/>
      <c r="HD17" s="812"/>
      <c r="HE17" s="812"/>
      <c r="HF17" s="812"/>
      <c r="HG17" s="812"/>
      <c r="HH17" s="812"/>
      <c r="HI17" s="812"/>
      <c r="HJ17" s="812"/>
      <c r="HK17" s="812"/>
      <c r="HL17" s="812"/>
      <c r="HM17" s="812"/>
      <c r="HN17" s="812"/>
      <c r="HO17" s="812"/>
      <c r="HP17" s="812"/>
      <c r="HQ17" s="812"/>
      <c r="HR17" s="812"/>
      <c r="HS17" s="812"/>
      <c r="HT17" s="812"/>
      <c r="HU17" s="812"/>
      <c r="HV17" s="812"/>
      <c r="HW17" s="812"/>
      <c r="HX17" s="812"/>
      <c r="HY17" s="812"/>
      <c r="HZ17" s="812"/>
      <c r="IA17" s="812"/>
      <c r="IB17" s="812"/>
      <c r="IC17" s="812"/>
      <c r="ID17" s="812"/>
      <c r="IE17" s="812"/>
      <c r="IF17" s="812"/>
      <c r="IG17" s="812"/>
      <c r="IH17" s="812"/>
      <c r="II17" s="812"/>
      <c r="IJ17" s="812"/>
      <c r="IK17" s="812"/>
      <c r="IL17" s="812"/>
      <c r="IM17" s="812"/>
      <c r="IN17" s="812"/>
      <c r="IO17" s="812"/>
      <c r="IP17" s="812"/>
      <c r="IQ17" s="812"/>
      <c r="IR17" s="812"/>
      <c r="IS17" s="812"/>
      <c r="IT17" s="812"/>
      <c r="IU17" s="812"/>
      <c r="IV17" s="812"/>
      <c r="IW17" s="812"/>
    </row>
    <row r="18" customFormat="false" ht="12.75" hidden="false" customHeight="false" outlineLevel="0" collapsed="false">
      <c r="A18" s="0" t="s">
        <v>702</v>
      </c>
      <c r="B18" s="0"/>
      <c r="C18" s="959" t="n">
        <v>0.065</v>
      </c>
      <c r="D18" s="0"/>
      <c r="E18" s="0"/>
      <c r="F18" s="1"/>
      <c r="G18" s="958"/>
      <c r="H18" s="1"/>
      <c r="I18" s="1"/>
      <c r="J18" s="1"/>
      <c r="K18" s="1"/>
      <c r="L18" s="1"/>
      <c r="M18" s="1"/>
      <c r="N18" s="1"/>
      <c r="O18" s="1"/>
      <c r="P18" s="1"/>
      <c r="Q18" s="1"/>
      <c r="R18" s="1"/>
      <c r="S18" s="1"/>
      <c r="T18" s="1"/>
      <c r="U18" s="1"/>
      <c r="V18" s="1"/>
      <c r="W18" s="1"/>
      <c r="X18" s="1"/>
      <c r="Y18" s="1"/>
      <c r="Z18" s="1"/>
      <c r="AA18" s="1"/>
      <c r="AB18" s="1"/>
      <c r="AC18" s="812"/>
      <c r="AD18" s="812"/>
      <c r="AE18" s="812"/>
      <c r="AF18" s="812"/>
      <c r="AG18" s="812"/>
      <c r="AH18" s="812"/>
      <c r="AI18" s="812"/>
      <c r="AJ18" s="812"/>
      <c r="AK18" s="812"/>
      <c r="AL18" s="812"/>
      <c r="AM18" s="812"/>
      <c r="AN18" s="812"/>
      <c r="AO18" s="812"/>
      <c r="AP18" s="812"/>
      <c r="AQ18" s="812"/>
      <c r="AR18" s="812"/>
      <c r="AS18" s="812"/>
      <c r="AT18" s="812"/>
      <c r="AU18" s="812"/>
      <c r="AV18" s="812"/>
      <c r="AW18" s="812"/>
      <c r="AX18" s="812"/>
      <c r="AY18" s="812"/>
      <c r="AZ18" s="812"/>
      <c r="BA18" s="812"/>
      <c r="BB18" s="812"/>
      <c r="BC18" s="812"/>
      <c r="BD18" s="812"/>
      <c r="BE18" s="812"/>
      <c r="BF18" s="812"/>
      <c r="BG18" s="812"/>
      <c r="BH18" s="812"/>
      <c r="BI18" s="812"/>
      <c r="BJ18" s="812"/>
      <c r="BK18" s="812"/>
      <c r="BL18" s="812"/>
      <c r="BM18" s="812"/>
      <c r="BN18" s="812"/>
      <c r="BO18" s="812"/>
      <c r="BP18" s="812"/>
      <c r="BQ18" s="812"/>
      <c r="BR18" s="812"/>
      <c r="BS18" s="812"/>
      <c r="BT18" s="812"/>
      <c r="BU18" s="812"/>
      <c r="BV18" s="812"/>
      <c r="BW18" s="812"/>
      <c r="BX18" s="812"/>
      <c r="BY18" s="812"/>
      <c r="BZ18" s="812"/>
      <c r="CA18" s="812"/>
      <c r="CB18" s="812"/>
      <c r="CC18" s="812"/>
      <c r="CD18" s="812"/>
      <c r="CE18" s="812"/>
      <c r="CF18" s="812"/>
      <c r="CG18" s="812"/>
      <c r="CH18" s="812"/>
      <c r="CI18" s="812"/>
      <c r="CJ18" s="812"/>
      <c r="CK18" s="812"/>
      <c r="CL18" s="812"/>
      <c r="CM18" s="812"/>
      <c r="CN18" s="812"/>
      <c r="CO18" s="812"/>
      <c r="CP18" s="812"/>
      <c r="CQ18" s="812"/>
      <c r="CR18" s="812"/>
      <c r="CS18" s="812"/>
      <c r="CT18" s="812"/>
      <c r="CU18" s="812"/>
      <c r="CV18" s="812"/>
      <c r="CW18" s="812"/>
      <c r="CX18" s="812"/>
      <c r="CY18" s="812"/>
      <c r="CZ18" s="812"/>
      <c r="DA18" s="812"/>
      <c r="DB18" s="812"/>
      <c r="DC18" s="812"/>
      <c r="DD18" s="812"/>
      <c r="DE18" s="812"/>
      <c r="DF18" s="812"/>
      <c r="DG18" s="812"/>
      <c r="DH18" s="812"/>
      <c r="DI18" s="812"/>
      <c r="DJ18" s="812"/>
      <c r="DK18" s="812"/>
      <c r="DL18" s="812"/>
      <c r="DM18" s="812"/>
      <c r="DN18" s="812"/>
      <c r="DO18" s="812"/>
      <c r="DP18" s="812"/>
      <c r="DQ18" s="812"/>
      <c r="DR18" s="812"/>
      <c r="DS18" s="812"/>
      <c r="DT18" s="812"/>
      <c r="DU18" s="812"/>
      <c r="DV18" s="812"/>
      <c r="DW18" s="812"/>
      <c r="DX18" s="812"/>
      <c r="DY18" s="812"/>
      <c r="DZ18" s="812"/>
      <c r="EA18" s="812"/>
      <c r="EB18" s="812"/>
      <c r="EC18" s="812"/>
      <c r="ED18" s="812"/>
      <c r="EE18" s="812"/>
      <c r="EF18" s="812"/>
      <c r="EG18" s="812"/>
      <c r="EH18" s="812"/>
      <c r="EI18" s="812"/>
      <c r="EJ18" s="812"/>
      <c r="EK18" s="812"/>
      <c r="EL18" s="812"/>
      <c r="EM18" s="812"/>
      <c r="EN18" s="812"/>
      <c r="EO18" s="812"/>
      <c r="EP18" s="812"/>
      <c r="EQ18" s="812"/>
      <c r="ER18" s="812"/>
      <c r="ES18" s="812"/>
      <c r="ET18" s="812"/>
      <c r="EU18" s="812"/>
      <c r="EV18" s="812"/>
      <c r="EW18" s="812"/>
      <c r="EX18" s="812"/>
      <c r="EY18" s="812"/>
      <c r="EZ18" s="812"/>
      <c r="FA18" s="812"/>
      <c r="FB18" s="812"/>
      <c r="FC18" s="812"/>
      <c r="FD18" s="812"/>
      <c r="FE18" s="812"/>
      <c r="FF18" s="812"/>
      <c r="FG18" s="812"/>
      <c r="FH18" s="812"/>
      <c r="FI18" s="812"/>
      <c r="FJ18" s="812"/>
      <c r="FK18" s="812"/>
      <c r="FL18" s="812"/>
      <c r="FM18" s="812"/>
      <c r="FN18" s="812"/>
      <c r="FO18" s="812"/>
      <c r="FP18" s="812"/>
      <c r="FQ18" s="812"/>
      <c r="FR18" s="812"/>
      <c r="FS18" s="812"/>
      <c r="FT18" s="812"/>
      <c r="FU18" s="812"/>
      <c r="FV18" s="812"/>
      <c r="FW18" s="812"/>
      <c r="FX18" s="812"/>
      <c r="FY18" s="812"/>
      <c r="FZ18" s="812"/>
      <c r="GA18" s="812"/>
      <c r="GB18" s="812"/>
      <c r="GC18" s="812"/>
      <c r="GD18" s="812"/>
      <c r="GE18" s="812"/>
      <c r="GF18" s="812"/>
      <c r="GG18" s="812"/>
      <c r="GH18" s="812"/>
      <c r="GI18" s="812"/>
      <c r="GJ18" s="812"/>
      <c r="GK18" s="812"/>
      <c r="GL18" s="812"/>
      <c r="GM18" s="812"/>
      <c r="GN18" s="812"/>
      <c r="GO18" s="812"/>
      <c r="GP18" s="812"/>
      <c r="GQ18" s="812"/>
      <c r="GR18" s="812"/>
      <c r="GS18" s="812"/>
      <c r="GT18" s="812"/>
      <c r="GU18" s="812"/>
      <c r="GV18" s="812"/>
      <c r="GW18" s="812"/>
      <c r="GX18" s="812"/>
      <c r="GY18" s="812"/>
      <c r="GZ18" s="812"/>
      <c r="HA18" s="812"/>
      <c r="HB18" s="812"/>
      <c r="HC18" s="812"/>
      <c r="HD18" s="812"/>
      <c r="HE18" s="812"/>
      <c r="HF18" s="812"/>
      <c r="HG18" s="812"/>
      <c r="HH18" s="812"/>
      <c r="HI18" s="812"/>
      <c r="HJ18" s="812"/>
      <c r="HK18" s="812"/>
      <c r="HL18" s="812"/>
      <c r="HM18" s="812"/>
      <c r="HN18" s="812"/>
      <c r="HO18" s="812"/>
      <c r="HP18" s="812"/>
      <c r="HQ18" s="812"/>
      <c r="HR18" s="812"/>
      <c r="HS18" s="812"/>
      <c r="HT18" s="812"/>
      <c r="HU18" s="812"/>
      <c r="HV18" s="812"/>
      <c r="HW18" s="812"/>
      <c r="HX18" s="812"/>
      <c r="HY18" s="812"/>
      <c r="HZ18" s="812"/>
      <c r="IA18" s="812"/>
      <c r="IB18" s="812"/>
      <c r="IC18" s="812"/>
      <c r="ID18" s="812"/>
      <c r="IE18" s="812"/>
      <c r="IF18" s="812"/>
      <c r="IG18" s="812"/>
      <c r="IH18" s="812"/>
      <c r="II18" s="812"/>
      <c r="IJ18" s="812"/>
      <c r="IK18" s="812"/>
      <c r="IL18" s="812"/>
      <c r="IM18" s="812"/>
      <c r="IN18" s="812"/>
      <c r="IO18" s="812"/>
      <c r="IP18" s="812"/>
      <c r="IQ18" s="812"/>
      <c r="IR18" s="812"/>
      <c r="IS18" s="812"/>
      <c r="IT18" s="812"/>
      <c r="IU18" s="812"/>
      <c r="IV18" s="812"/>
      <c r="IW18" s="812"/>
    </row>
    <row r="19" customFormat="false" ht="38.25" hidden="false" customHeight="false" outlineLevel="0" collapsed="false">
      <c r="A19" s="960" t="s">
        <v>703</v>
      </c>
      <c r="B19" s="961" t="n">
        <v>0</v>
      </c>
      <c r="C19" s="0"/>
      <c r="D19" s="0"/>
      <c r="E19" s="960" t="s">
        <v>704</v>
      </c>
      <c r="F19" s="962" t="s">
        <v>705</v>
      </c>
      <c r="G19" s="963" t="s">
        <v>706</v>
      </c>
      <c r="H19" s="964" t="s">
        <v>707</v>
      </c>
      <c r="I19" s="963" t="s">
        <v>708</v>
      </c>
      <c r="J19" s="965" t="s">
        <v>709</v>
      </c>
      <c r="K19" s="1"/>
      <c r="L19" s="1"/>
      <c r="M19" s="1"/>
      <c r="N19" s="1"/>
      <c r="O19" s="1"/>
      <c r="P19" s="1"/>
      <c r="Q19" s="1"/>
      <c r="R19" s="1"/>
      <c r="S19" s="1"/>
      <c r="T19" s="1"/>
      <c r="U19" s="1"/>
      <c r="V19" s="1"/>
      <c r="W19" s="1"/>
      <c r="X19" s="1"/>
      <c r="Y19" s="1"/>
      <c r="Z19" s="1"/>
      <c r="AA19" s="1"/>
      <c r="AB19" s="1"/>
      <c r="AC19" s="812"/>
      <c r="AD19" s="812"/>
      <c r="AE19" s="812"/>
      <c r="AF19" s="812"/>
      <c r="AG19" s="812"/>
      <c r="AH19" s="812"/>
      <c r="AI19" s="812"/>
      <c r="AJ19" s="812"/>
      <c r="AK19" s="812"/>
      <c r="AL19" s="812"/>
      <c r="AM19" s="812"/>
      <c r="AN19" s="812"/>
      <c r="AO19" s="812"/>
      <c r="AP19" s="812"/>
      <c r="AQ19" s="812"/>
      <c r="AR19" s="812"/>
      <c r="AS19" s="812"/>
      <c r="AT19" s="812"/>
      <c r="AU19" s="812"/>
      <c r="AV19" s="812"/>
      <c r="AW19" s="812"/>
      <c r="AX19" s="812"/>
      <c r="AY19" s="812"/>
      <c r="AZ19" s="812"/>
      <c r="BA19" s="812"/>
      <c r="BB19" s="812"/>
      <c r="BC19" s="812"/>
      <c r="BD19" s="812"/>
      <c r="BE19" s="812"/>
      <c r="BF19" s="812"/>
      <c r="BG19" s="812"/>
      <c r="BH19" s="812"/>
      <c r="BI19" s="812"/>
      <c r="BJ19" s="812"/>
      <c r="BK19" s="812"/>
      <c r="BL19" s="812"/>
      <c r="BM19" s="812"/>
      <c r="BN19" s="812"/>
      <c r="BO19" s="812"/>
      <c r="BP19" s="812"/>
      <c r="BQ19" s="812"/>
      <c r="BR19" s="812"/>
      <c r="BS19" s="812"/>
      <c r="BT19" s="812"/>
      <c r="BU19" s="812"/>
      <c r="BV19" s="812"/>
      <c r="BW19" s="812"/>
      <c r="BX19" s="812"/>
      <c r="BY19" s="812"/>
      <c r="BZ19" s="812"/>
      <c r="CA19" s="812"/>
      <c r="CB19" s="812"/>
      <c r="CC19" s="812"/>
      <c r="CD19" s="812"/>
      <c r="CE19" s="812"/>
      <c r="CF19" s="812"/>
      <c r="CG19" s="812"/>
      <c r="CH19" s="812"/>
      <c r="CI19" s="812"/>
      <c r="CJ19" s="812"/>
      <c r="CK19" s="812"/>
      <c r="CL19" s="812"/>
      <c r="CM19" s="812"/>
      <c r="CN19" s="812"/>
      <c r="CO19" s="812"/>
      <c r="CP19" s="812"/>
      <c r="CQ19" s="812"/>
      <c r="CR19" s="812"/>
      <c r="CS19" s="812"/>
      <c r="CT19" s="812"/>
      <c r="CU19" s="812"/>
      <c r="CV19" s="812"/>
      <c r="CW19" s="812"/>
      <c r="CX19" s="812"/>
      <c r="CY19" s="812"/>
      <c r="CZ19" s="812"/>
      <c r="DA19" s="812"/>
      <c r="DB19" s="812"/>
      <c r="DC19" s="812"/>
      <c r="DD19" s="812"/>
      <c r="DE19" s="812"/>
      <c r="DF19" s="812"/>
      <c r="DG19" s="812"/>
      <c r="DH19" s="812"/>
      <c r="DI19" s="812"/>
      <c r="DJ19" s="812"/>
      <c r="DK19" s="812"/>
      <c r="DL19" s="812"/>
      <c r="DM19" s="812"/>
      <c r="DN19" s="812"/>
      <c r="DO19" s="812"/>
      <c r="DP19" s="812"/>
      <c r="DQ19" s="812"/>
      <c r="DR19" s="812"/>
      <c r="DS19" s="812"/>
      <c r="DT19" s="812"/>
      <c r="DU19" s="812"/>
      <c r="DV19" s="812"/>
      <c r="DW19" s="812"/>
      <c r="DX19" s="812"/>
      <c r="DY19" s="812"/>
      <c r="DZ19" s="812"/>
      <c r="EA19" s="812"/>
      <c r="EB19" s="812"/>
      <c r="EC19" s="812"/>
      <c r="ED19" s="812"/>
      <c r="EE19" s="812"/>
      <c r="EF19" s="812"/>
      <c r="EG19" s="812"/>
      <c r="EH19" s="812"/>
      <c r="EI19" s="812"/>
      <c r="EJ19" s="812"/>
      <c r="EK19" s="812"/>
      <c r="EL19" s="812"/>
      <c r="EM19" s="812"/>
      <c r="EN19" s="812"/>
      <c r="EO19" s="812"/>
      <c r="EP19" s="812"/>
      <c r="EQ19" s="812"/>
      <c r="ER19" s="812"/>
      <c r="ES19" s="812"/>
      <c r="ET19" s="812"/>
      <c r="EU19" s="812"/>
      <c r="EV19" s="812"/>
      <c r="EW19" s="812"/>
      <c r="EX19" s="812"/>
      <c r="EY19" s="812"/>
      <c r="EZ19" s="812"/>
      <c r="FA19" s="812"/>
      <c r="FB19" s="812"/>
      <c r="FC19" s="812"/>
      <c r="FD19" s="812"/>
      <c r="FE19" s="812"/>
      <c r="FF19" s="812"/>
      <c r="FG19" s="812"/>
      <c r="FH19" s="812"/>
      <c r="FI19" s="812"/>
      <c r="FJ19" s="812"/>
      <c r="FK19" s="812"/>
      <c r="FL19" s="812"/>
      <c r="FM19" s="812"/>
      <c r="FN19" s="812"/>
      <c r="FO19" s="812"/>
      <c r="FP19" s="812"/>
      <c r="FQ19" s="812"/>
      <c r="FR19" s="812"/>
      <c r="FS19" s="812"/>
      <c r="FT19" s="812"/>
      <c r="FU19" s="812"/>
      <c r="FV19" s="812"/>
      <c r="FW19" s="812"/>
      <c r="FX19" s="812"/>
      <c r="FY19" s="812"/>
      <c r="FZ19" s="812"/>
      <c r="GA19" s="812"/>
      <c r="GB19" s="812"/>
      <c r="GC19" s="812"/>
      <c r="GD19" s="812"/>
      <c r="GE19" s="812"/>
      <c r="GF19" s="812"/>
      <c r="GG19" s="812"/>
      <c r="GH19" s="812"/>
      <c r="GI19" s="812"/>
      <c r="GJ19" s="812"/>
      <c r="GK19" s="812"/>
      <c r="GL19" s="812"/>
      <c r="GM19" s="812"/>
      <c r="GN19" s="812"/>
      <c r="GO19" s="812"/>
      <c r="GP19" s="812"/>
      <c r="GQ19" s="812"/>
      <c r="GR19" s="812"/>
      <c r="GS19" s="812"/>
      <c r="GT19" s="812"/>
      <c r="GU19" s="812"/>
      <c r="GV19" s="812"/>
      <c r="GW19" s="812"/>
      <c r="GX19" s="812"/>
      <c r="GY19" s="812"/>
      <c r="GZ19" s="812"/>
      <c r="HA19" s="812"/>
      <c r="HB19" s="812"/>
      <c r="HC19" s="812"/>
      <c r="HD19" s="812"/>
      <c r="HE19" s="812"/>
      <c r="HF19" s="812"/>
      <c r="HG19" s="812"/>
      <c r="HH19" s="812"/>
      <c r="HI19" s="812"/>
      <c r="HJ19" s="812"/>
      <c r="HK19" s="812"/>
      <c r="HL19" s="812"/>
      <c r="HM19" s="812"/>
      <c r="HN19" s="812"/>
      <c r="HO19" s="812"/>
      <c r="HP19" s="812"/>
      <c r="HQ19" s="812"/>
      <c r="HR19" s="812"/>
      <c r="HS19" s="812"/>
      <c r="HT19" s="812"/>
      <c r="HU19" s="812"/>
      <c r="HV19" s="812"/>
      <c r="HW19" s="812"/>
      <c r="HX19" s="812"/>
      <c r="HY19" s="812"/>
      <c r="HZ19" s="812"/>
      <c r="IA19" s="812"/>
      <c r="IB19" s="812"/>
      <c r="IC19" s="812"/>
      <c r="ID19" s="812"/>
      <c r="IE19" s="812"/>
      <c r="IF19" s="812"/>
      <c r="IG19" s="812"/>
      <c r="IH19" s="812"/>
      <c r="II19" s="812"/>
      <c r="IJ19" s="812"/>
      <c r="IK19" s="812"/>
      <c r="IL19" s="812"/>
      <c r="IM19" s="812"/>
      <c r="IN19" s="812"/>
      <c r="IO19" s="812"/>
      <c r="IP19" s="812"/>
      <c r="IQ19" s="812"/>
      <c r="IR19" s="812"/>
      <c r="IS19" s="812"/>
      <c r="IT19" s="812"/>
      <c r="IU19" s="812"/>
      <c r="IV19" s="812"/>
      <c r="IW19" s="812"/>
    </row>
    <row r="20" customFormat="false" ht="12.75" hidden="false" customHeight="false" outlineLevel="0" collapsed="false">
      <c r="A20" s="966" t="s">
        <v>710</v>
      </c>
      <c r="B20" s="967" t="n">
        <v>2.5</v>
      </c>
      <c r="C20" s="0"/>
      <c r="D20" s="0"/>
      <c r="E20" s="49"/>
      <c r="F20" s="50"/>
      <c r="G20" s="50"/>
      <c r="H20" s="50"/>
      <c r="I20" s="50"/>
      <c r="J20" s="54"/>
      <c r="K20" s="1"/>
      <c r="L20" s="1"/>
      <c r="M20" s="1"/>
      <c r="N20" s="1"/>
      <c r="O20" s="1"/>
      <c r="P20" s="1"/>
      <c r="Q20" s="1"/>
      <c r="R20" s="1"/>
      <c r="S20" s="1"/>
      <c r="T20" s="1"/>
      <c r="U20" s="1"/>
      <c r="V20" s="1"/>
      <c r="W20" s="1"/>
      <c r="X20" s="1"/>
      <c r="Y20" s="1"/>
      <c r="Z20" s="1"/>
      <c r="AA20" s="1"/>
      <c r="AB20" s="1"/>
      <c r="AC20" s="812"/>
      <c r="AD20" s="812"/>
      <c r="AE20" s="812"/>
      <c r="AF20" s="812"/>
      <c r="AG20" s="812"/>
      <c r="AH20" s="812"/>
      <c r="AI20" s="812"/>
      <c r="AJ20" s="812"/>
      <c r="AK20" s="812"/>
      <c r="AL20" s="812"/>
      <c r="AM20" s="812"/>
      <c r="AN20" s="812"/>
      <c r="AO20" s="812"/>
      <c r="AP20" s="812"/>
      <c r="AQ20" s="812"/>
      <c r="AR20" s="812"/>
      <c r="AS20" s="812"/>
      <c r="AT20" s="812"/>
      <c r="AU20" s="812"/>
      <c r="AV20" s="812"/>
      <c r="AW20" s="812"/>
      <c r="AX20" s="812"/>
      <c r="AY20" s="812"/>
      <c r="AZ20" s="812"/>
      <c r="BA20" s="812"/>
      <c r="BB20" s="812"/>
      <c r="BC20" s="812"/>
      <c r="BD20" s="812"/>
      <c r="BE20" s="812"/>
      <c r="BF20" s="812"/>
      <c r="BG20" s="812"/>
      <c r="BH20" s="812"/>
      <c r="BI20" s="812"/>
      <c r="BJ20" s="812"/>
      <c r="BK20" s="812"/>
      <c r="BL20" s="812"/>
      <c r="BM20" s="812"/>
      <c r="BN20" s="812"/>
      <c r="BO20" s="812"/>
      <c r="BP20" s="812"/>
      <c r="BQ20" s="812"/>
      <c r="BR20" s="812"/>
      <c r="BS20" s="812"/>
      <c r="BT20" s="812"/>
      <c r="BU20" s="812"/>
      <c r="BV20" s="812"/>
      <c r="BW20" s="812"/>
      <c r="BX20" s="812"/>
      <c r="BY20" s="812"/>
      <c r="BZ20" s="812"/>
      <c r="CA20" s="812"/>
      <c r="CB20" s="812"/>
      <c r="CC20" s="812"/>
      <c r="CD20" s="812"/>
      <c r="CE20" s="812"/>
      <c r="CF20" s="812"/>
      <c r="CG20" s="812"/>
      <c r="CH20" s="812"/>
      <c r="CI20" s="812"/>
      <c r="CJ20" s="812"/>
      <c r="CK20" s="812"/>
      <c r="CL20" s="812"/>
      <c r="CM20" s="812"/>
      <c r="CN20" s="812"/>
      <c r="CO20" s="812"/>
      <c r="CP20" s="812"/>
      <c r="CQ20" s="812"/>
      <c r="CR20" s="812"/>
      <c r="CS20" s="812"/>
      <c r="CT20" s="812"/>
      <c r="CU20" s="812"/>
      <c r="CV20" s="812"/>
      <c r="CW20" s="812"/>
      <c r="CX20" s="812"/>
      <c r="CY20" s="812"/>
      <c r="CZ20" s="812"/>
      <c r="DA20" s="812"/>
      <c r="DB20" s="812"/>
      <c r="DC20" s="812"/>
      <c r="DD20" s="812"/>
      <c r="DE20" s="812"/>
      <c r="DF20" s="812"/>
      <c r="DG20" s="812"/>
      <c r="DH20" s="812"/>
      <c r="DI20" s="812"/>
      <c r="DJ20" s="812"/>
      <c r="DK20" s="812"/>
      <c r="DL20" s="812"/>
      <c r="DM20" s="812"/>
      <c r="DN20" s="812"/>
      <c r="DO20" s="812"/>
      <c r="DP20" s="812"/>
      <c r="DQ20" s="812"/>
      <c r="DR20" s="812"/>
      <c r="DS20" s="812"/>
      <c r="DT20" s="812"/>
      <c r="DU20" s="812"/>
      <c r="DV20" s="812"/>
      <c r="DW20" s="812"/>
      <c r="DX20" s="812"/>
      <c r="DY20" s="812"/>
      <c r="DZ20" s="812"/>
      <c r="EA20" s="812"/>
      <c r="EB20" s="812"/>
      <c r="EC20" s="812"/>
      <c r="ED20" s="812"/>
      <c r="EE20" s="812"/>
      <c r="EF20" s="812"/>
      <c r="EG20" s="812"/>
      <c r="EH20" s="812"/>
      <c r="EI20" s="812"/>
      <c r="EJ20" s="812"/>
      <c r="EK20" s="812"/>
      <c r="EL20" s="812"/>
      <c r="EM20" s="812"/>
      <c r="EN20" s="812"/>
      <c r="EO20" s="812"/>
      <c r="EP20" s="812"/>
      <c r="EQ20" s="812"/>
      <c r="ER20" s="812"/>
      <c r="ES20" s="812"/>
      <c r="ET20" s="812"/>
      <c r="EU20" s="812"/>
      <c r="EV20" s="812"/>
      <c r="EW20" s="812"/>
      <c r="EX20" s="812"/>
      <c r="EY20" s="812"/>
      <c r="EZ20" s="812"/>
      <c r="FA20" s="812"/>
      <c r="FB20" s="812"/>
      <c r="FC20" s="812"/>
      <c r="FD20" s="812"/>
      <c r="FE20" s="812"/>
      <c r="FF20" s="812"/>
      <c r="FG20" s="812"/>
      <c r="FH20" s="812"/>
      <c r="FI20" s="812"/>
      <c r="FJ20" s="812"/>
      <c r="FK20" s="812"/>
      <c r="FL20" s="812"/>
      <c r="FM20" s="812"/>
      <c r="FN20" s="812"/>
      <c r="FO20" s="812"/>
      <c r="FP20" s="812"/>
      <c r="FQ20" s="812"/>
      <c r="FR20" s="812"/>
      <c r="FS20" s="812"/>
      <c r="FT20" s="812"/>
      <c r="FU20" s="812"/>
      <c r="FV20" s="812"/>
      <c r="FW20" s="812"/>
      <c r="FX20" s="812"/>
      <c r="FY20" s="812"/>
      <c r="FZ20" s="812"/>
      <c r="GA20" s="812"/>
      <c r="GB20" s="812"/>
      <c r="GC20" s="812"/>
      <c r="GD20" s="812"/>
      <c r="GE20" s="812"/>
      <c r="GF20" s="812"/>
      <c r="GG20" s="812"/>
      <c r="GH20" s="812"/>
      <c r="GI20" s="812"/>
      <c r="GJ20" s="812"/>
      <c r="GK20" s="812"/>
      <c r="GL20" s="812"/>
      <c r="GM20" s="812"/>
      <c r="GN20" s="812"/>
      <c r="GO20" s="812"/>
      <c r="GP20" s="812"/>
      <c r="GQ20" s="812"/>
      <c r="GR20" s="812"/>
      <c r="GS20" s="812"/>
      <c r="GT20" s="812"/>
      <c r="GU20" s="812"/>
      <c r="GV20" s="812"/>
      <c r="GW20" s="812"/>
      <c r="GX20" s="812"/>
      <c r="GY20" s="812"/>
      <c r="GZ20" s="812"/>
      <c r="HA20" s="812"/>
      <c r="HB20" s="812"/>
      <c r="HC20" s="812"/>
      <c r="HD20" s="812"/>
      <c r="HE20" s="812"/>
      <c r="HF20" s="812"/>
      <c r="HG20" s="812"/>
      <c r="HH20" s="812"/>
      <c r="HI20" s="812"/>
      <c r="HJ20" s="812"/>
      <c r="HK20" s="812"/>
      <c r="HL20" s="812"/>
      <c r="HM20" s="812"/>
      <c r="HN20" s="812"/>
      <c r="HO20" s="812"/>
      <c r="HP20" s="812"/>
      <c r="HQ20" s="812"/>
      <c r="HR20" s="812"/>
      <c r="HS20" s="812"/>
      <c r="HT20" s="812"/>
      <c r="HU20" s="812"/>
      <c r="HV20" s="812"/>
      <c r="HW20" s="812"/>
      <c r="HX20" s="812"/>
      <c r="HY20" s="812"/>
      <c r="HZ20" s="812"/>
      <c r="IA20" s="812"/>
      <c r="IB20" s="812"/>
      <c r="IC20" s="812"/>
      <c r="ID20" s="812"/>
      <c r="IE20" s="812"/>
      <c r="IF20" s="812"/>
      <c r="IG20" s="812"/>
      <c r="IH20" s="812"/>
      <c r="II20" s="812"/>
      <c r="IJ20" s="812"/>
      <c r="IK20" s="812"/>
      <c r="IL20" s="812"/>
      <c r="IM20" s="812"/>
      <c r="IN20" s="812"/>
      <c r="IO20" s="812"/>
      <c r="IP20" s="812"/>
      <c r="IQ20" s="812"/>
      <c r="IR20" s="812"/>
      <c r="IS20" s="812"/>
      <c r="IT20" s="812"/>
      <c r="IU20" s="812"/>
      <c r="IV20" s="812"/>
      <c r="IW20" s="812"/>
    </row>
    <row r="21" customFormat="false" ht="12.75" hidden="false" customHeight="false" outlineLevel="0" collapsed="false">
      <c r="A21" s="966" t="s">
        <v>711</v>
      </c>
      <c r="B21" s="967" t="n">
        <f aca="false">'Project Assumtions'!N61</f>
        <v>0</v>
      </c>
      <c r="C21" s="0"/>
      <c r="D21" s="0"/>
      <c r="E21" s="49" t="n">
        <v>20</v>
      </c>
      <c r="F21" s="53" t="n">
        <f aca="false">4*1164</f>
        <v>4656</v>
      </c>
      <c r="G21" s="53" t="n">
        <f aca="false">$B$21*$B$23*($B$20*(1+$B$19))</f>
        <v>0</v>
      </c>
      <c r="H21" s="53" t="n">
        <f aca="false">G21+F21</f>
        <v>4656</v>
      </c>
      <c r="I21" s="968" t="n">
        <f aca="false">G21/H21</f>
        <v>0</v>
      </c>
      <c r="J21" s="969" t="n">
        <f aca="false">1-I21</f>
        <v>1</v>
      </c>
      <c r="K21" s="1"/>
      <c r="L21" s="1"/>
      <c r="M21" s="1"/>
      <c r="N21" s="1"/>
      <c r="O21" s="1"/>
      <c r="P21" s="1"/>
      <c r="Q21" s="1"/>
      <c r="R21" s="1"/>
      <c r="S21" s="1"/>
      <c r="T21" s="1"/>
      <c r="U21" s="1"/>
      <c r="V21" s="1"/>
      <c r="W21" s="1"/>
      <c r="X21" s="1"/>
      <c r="Y21" s="1"/>
      <c r="Z21" s="1"/>
      <c r="AA21" s="1"/>
      <c r="AB21" s="1"/>
      <c r="AC21" s="812"/>
      <c r="AD21" s="812"/>
      <c r="AE21" s="812"/>
      <c r="AF21" s="812"/>
      <c r="AG21" s="812"/>
      <c r="AH21" s="812"/>
      <c r="AI21" s="812"/>
      <c r="AJ21" s="812"/>
      <c r="AK21" s="812"/>
      <c r="AL21" s="812"/>
      <c r="AM21" s="812"/>
      <c r="AN21" s="812"/>
      <c r="AO21" s="812"/>
      <c r="AP21" s="812"/>
      <c r="AQ21" s="812"/>
      <c r="AR21" s="812"/>
      <c r="AS21" s="812"/>
      <c r="AT21" s="812"/>
      <c r="AU21" s="812"/>
      <c r="AV21" s="812"/>
      <c r="AW21" s="812"/>
      <c r="AX21" s="812"/>
      <c r="AY21" s="812"/>
      <c r="AZ21" s="812"/>
      <c r="BA21" s="812"/>
      <c r="BB21" s="812"/>
      <c r="BC21" s="812"/>
      <c r="BD21" s="812"/>
      <c r="BE21" s="812"/>
      <c r="BF21" s="812"/>
      <c r="BG21" s="812"/>
      <c r="BH21" s="812"/>
      <c r="BI21" s="812"/>
      <c r="BJ21" s="812"/>
      <c r="BK21" s="812"/>
      <c r="BL21" s="812"/>
      <c r="BM21" s="812"/>
      <c r="BN21" s="812"/>
      <c r="BO21" s="812"/>
      <c r="BP21" s="812"/>
      <c r="BQ21" s="812"/>
      <c r="BR21" s="812"/>
      <c r="BS21" s="812"/>
      <c r="BT21" s="812"/>
      <c r="BU21" s="812"/>
      <c r="BV21" s="812"/>
      <c r="BW21" s="812"/>
      <c r="BX21" s="812"/>
      <c r="BY21" s="812"/>
      <c r="BZ21" s="812"/>
      <c r="CA21" s="812"/>
      <c r="CB21" s="812"/>
      <c r="CC21" s="812"/>
      <c r="CD21" s="812"/>
      <c r="CE21" s="812"/>
      <c r="CF21" s="812"/>
      <c r="CG21" s="812"/>
      <c r="CH21" s="812"/>
      <c r="CI21" s="812"/>
      <c r="CJ21" s="812"/>
      <c r="CK21" s="812"/>
      <c r="CL21" s="812"/>
      <c r="CM21" s="812"/>
      <c r="CN21" s="812"/>
      <c r="CO21" s="812"/>
      <c r="CP21" s="812"/>
      <c r="CQ21" s="812"/>
      <c r="CR21" s="812"/>
      <c r="CS21" s="812"/>
      <c r="CT21" s="812"/>
      <c r="CU21" s="812"/>
      <c r="CV21" s="812"/>
      <c r="CW21" s="812"/>
      <c r="CX21" s="812"/>
      <c r="CY21" s="812"/>
      <c r="CZ21" s="812"/>
      <c r="DA21" s="812"/>
      <c r="DB21" s="812"/>
      <c r="DC21" s="812"/>
      <c r="DD21" s="812"/>
      <c r="DE21" s="812"/>
      <c r="DF21" s="812"/>
      <c r="DG21" s="812"/>
      <c r="DH21" s="812"/>
      <c r="DI21" s="812"/>
      <c r="DJ21" s="812"/>
      <c r="DK21" s="812"/>
      <c r="DL21" s="812"/>
      <c r="DM21" s="812"/>
      <c r="DN21" s="812"/>
      <c r="DO21" s="812"/>
      <c r="DP21" s="812"/>
      <c r="DQ21" s="812"/>
      <c r="DR21" s="812"/>
      <c r="DS21" s="812"/>
      <c r="DT21" s="812"/>
      <c r="DU21" s="812"/>
      <c r="DV21" s="812"/>
      <c r="DW21" s="812"/>
      <c r="DX21" s="812"/>
      <c r="DY21" s="812"/>
      <c r="DZ21" s="812"/>
      <c r="EA21" s="812"/>
      <c r="EB21" s="812"/>
      <c r="EC21" s="812"/>
      <c r="ED21" s="812"/>
      <c r="EE21" s="812"/>
      <c r="EF21" s="812"/>
      <c r="EG21" s="812"/>
      <c r="EH21" s="812"/>
      <c r="EI21" s="812"/>
      <c r="EJ21" s="812"/>
      <c r="EK21" s="812"/>
      <c r="EL21" s="812"/>
      <c r="EM21" s="812"/>
      <c r="EN21" s="812"/>
      <c r="EO21" s="812"/>
      <c r="EP21" s="812"/>
      <c r="EQ21" s="812"/>
      <c r="ER21" s="812"/>
      <c r="ES21" s="812"/>
      <c r="ET21" s="812"/>
      <c r="EU21" s="812"/>
      <c r="EV21" s="812"/>
      <c r="EW21" s="812"/>
      <c r="EX21" s="812"/>
      <c r="EY21" s="812"/>
      <c r="EZ21" s="812"/>
      <c r="FA21" s="812"/>
      <c r="FB21" s="812"/>
      <c r="FC21" s="812"/>
      <c r="FD21" s="812"/>
      <c r="FE21" s="812"/>
      <c r="FF21" s="812"/>
      <c r="FG21" s="812"/>
      <c r="FH21" s="812"/>
      <c r="FI21" s="812"/>
      <c r="FJ21" s="812"/>
      <c r="FK21" s="812"/>
      <c r="FL21" s="812"/>
      <c r="FM21" s="812"/>
      <c r="FN21" s="812"/>
      <c r="FO21" s="812"/>
      <c r="FP21" s="812"/>
      <c r="FQ21" s="812"/>
      <c r="FR21" s="812"/>
      <c r="FS21" s="812"/>
      <c r="FT21" s="812"/>
      <c r="FU21" s="812"/>
      <c r="FV21" s="812"/>
      <c r="FW21" s="812"/>
      <c r="FX21" s="812"/>
      <c r="FY21" s="812"/>
      <c r="FZ21" s="812"/>
      <c r="GA21" s="812"/>
      <c r="GB21" s="812"/>
      <c r="GC21" s="812"/>
      <c r="GD21" s="812"/>
      <c r="GE21" s="812"/>
      <c r="GF21" s="812"/>
      <c r="GG21" s="812"/>
      <c r="GH21" s="812"/>
      <c r="GI21" s="812"/>
      <c r="GJ21" s="812"/>
      <c r="GK21" s="812"/>
      <c r="GL21" s="812"/>
      <c r="GM21" s="812"/>
      <c r="GN21" s="812"/>
      <c r="GO21" s="812"/>
      <c r="GP21" s="812"/>
      <c r="GQ21" s="812"/>
      <c r="GR21" s="812"/>
      <c r="GS21" s="812"/>
      <c r="GT21" s="812"/>
      <c r="GU21" s="812"/>
      <c r="GV21" s="812"/>
      <c r="GW21" s="812"/>
      <c r="GX21" s="812"/>
      <c r="GY21" s="812"/>
      <c r="GZ21" s="812"/>
      <c r="HA21" s="812"/>
      <c r="HB21" s="812"/>
      <c r="HC21" s="812"/>
      <c r="HD21" s="812"/>
      <c r="HE21" s="812"/>
      <c r="HF21" s="812"/>
      <c r="HG21" s="812"/>
      <c r="HH21" s="812"/>
      <c r="HI21" s="812"/>
      <c r="HJ21" s="812"/>
      <c r="HK21" s="812"/>
      <c r="HL21" s="812"/>
      <c r="HM21" s="812"/>
      <c r="HN21" s="812"/>
      <c r="HO21" s="812"/>
      <c r="HP21" s="812"/>
      <c r="HQ21" s="812"/>
      <c r="HR21" s="812"/>
      <c r="HS21" s="812"/>
      <c r="HT21" s="812"/>
      <c r="HU21" s="812"/>
      <c r="HV21" s="812"/>
      <c r="HW21" s="812"/>
      <c r="HX21" s="812"/>
      <c r="HY21" s="812"/>
      <c r="HZ21" s="812"/>
      <c r="IA21" s="812"/>
      <c r="IB21" s="812"/>
      <c r="IC21" s="812"/>
      <c r="ID21" s="812"/>
      <c r="IE21" s="812"/>
      <c r="IF21" s="812"/>
      <c r="IG21" s="812"/>
      <c r="IH21" s="812"/>
      <c r="II21" s="812"/>
      <c r="IJ21" s="812"/>
      <c r="IK21" s="812"/>
      <c r="IL21" s="812"/>
      <c r="IM21" s="812"/>
      <c r="IN21" s="812"/>
      <c r="IO21" s="812"/>
      <c r="IP21" s="812"/>
      <c r="IQ21" s="812"/>
      <c r="IR21" s="812"/>
      <c r="IS21" s="812"/>
      <c r="IT21" s="812"/>
      <c r="IU21" s="812"/>
      <c r="IV21" s="812"/>
      <c r="IW21" s="812"/>
    </row>
    <row r="22" customFormat="false" ht="12.75" hidden="false" customHeight="false" outlineLevel="0" collapsed="false">
      <c r="A22" s="970"/>
      <c r="B22" s="54"/>
      <c r="C22" s="0"/>
      <c r="D22" s="0"/>
      <c r="E22" s="49" t="n">
        <v>30</v>
      </c>
      <c r="F22" s="53" t="n">
        <f aca="false">4*1164</f>
        <v>4656</v>
      </c>
      <c r="G22" s="53" t="n">
        <f aca="false">$B$21*$B$23*($B$20*(1+$B$19))</f>
        <v>0</v>
      </c>
      <c r="H22" s="53" t="n">
        <f aca="false">G22+F22</f>
        <v>4656</v>
      </c>
      <c r="I22" s="968" t="n">
        <f aca="false">G22/H22</f>
        <v>0</v>
      </c>
      <c r="J22" s="969" t="n">
        <f aca="false">1-I22</f>
        <v>1</v>
      </c>
      <c r="K22" s="1"/>
      <c r="L22" s="1"/>
      <c r="M22" s="1"/>
      <c r="N22" s="1"/>
      <c r="O22" s="1"/>
      <c r="P22" s="1"/>
      <c r="Q22" s="1"/>
      <c r="R22" s="1"/>
      <c r="S22" s="1"/>
      <c r="T22" s="1"/>
      <c r="U22" s="1"/>
      <c r="V22" s="1"/>
      <c r="W22" s="1"/>
      <c r="X22" s="1"/>
      <c r="Y22" s="1"/>
      <c r="Z22" s="1"/>
      <c r="AA22" s="1"/>
      <c r="AB22" s="1"/>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2"/>
      <c r="AY22" s="812"/>
      <c r="AZ22" s="812"/>
      <c r="BA22" s="812"/>
      <c r="BB22" s="812"/>
      <c r="BC22" s="812"/>
      <c r="BD22" s="812"/>
      <c r="BE22" s="812"/>
      <c r="BF22" s="812"/>
      <c r="BG22" s="812"/>
      <c r="BH22" s="812"/>
      <c r="BI22" s="812"/>
      <c r="BJ22" s="812"/>
      <c r="BK22" s="812"/>
      <c r="BL22" s="812"/>
      <c r="BM22" s="812"/>
      <c r="BN22" s="812"/>
      <c r="BO22" s="812"/>
      <c r="BP22" s="812"/>
      <c r="BQ22" s="812"/>
      <c r="BR22" s="812"/>
      <c r="BS22" s="812"/>
      <c r="BT22" s="812"/>
      <c r="BU22" s="812"/>
      <c r="BV22" s="812"/>
      <c r="BW22" s="812"/>
      <c r="BX22" s="812"/>
      <c r="BY22" s="812"/>
      <c r="BZ22" s="812"/>
      <c r="CA22" s="812"/>
      <c r="CB22" s="812"/>
      <c r="CC22" s="812"/>
      <c r="CD22" s="812"/>
      <c r="CE22" s="812"/>
      <c r="CF22" s="812"/>
      <c r="CG22" s="812"/>
      <c r="CH22" s="812"/>
      <c r="CI22" s="812"/>
      <c r="CJ22" s="812"/>
      <c r="CK22" s="812"/>
      <c r="CL22" s="812"/>
      <c r="CM22" s="812"/>
      <c r="CN22" s="812"/>
      <c r="CO22" s="812"/>
      <c r="CP22" s="812"/>
      <c r="CQ22" s="812"/>
      <c r="CR22" s="812"/>
      <c r="CS22" s="812"/>
      <c r="CT22" s="812"/>
      <c r="CU22" s="812"/>
      <c r="CV22" s="812"/>
      <c r="CW22" s="812"/>
      <c r="CX22" s="812"/>
      <c r="CY22" s="812"/>
      <c r="CZ22" s="812"/>
      <c r="DA22" s="812"/>
      <c r="DB22" s="812"/>
      <c r="DC22" s="812"/>
      <c r="DD22" s="812"/>
      <c r="DE22" s="812"/>
      <c r="DF22" s="812"/>
      <c r="DG22" s="812"/>
      <c r="DH22" s="812"/>
      <c r="DI22" s="812"/>
      <c r="DJ22" s="812"/>
      <c r="DK22" s="812"/>
      <c r="DL22" s="812"/>
      <c r="DM22" s="812"/>
      <c r="DN22" s="812"/>
      <c r="DO22" s="812"/>
      <c r="DP22" s="812"/>
      <c r="DQ22" s="812"/>
      <c r="DR22" s="812"/>
      <c r="DS22" s="812"/>
      <c r="DT22" s="812"/>
      <c r="DU22" s="812"/>
      <c r="DV22" s="812"/>
      <c r="DW22" s="812"/>
      <c r="DX22" s="812"/>
      <c r="DY22" s="812"/>
      <c r="DZ22" s="812"/>
      <c r="EA22" s="812"/>
      <c r="EB22" s="812"/>
      <c r="EC22" s="812"/>
      <c r="ED22" s="812"/>
      <c r="EE22" s="812"/>
      <c r="EF22" s="812"/>
      <c r="EG22" s="812"/>
      <c r="EH22" s="812"/>
      <c r="EI22" s="812"/>
      <c r="EJ22" s="812"/>
      <c r="EK22" s="812"/>
      <c r="EL22" s="812"/>
      <c r="EM22" s="812"/>
      <c r="EN22" s="812"/>
      <c r="EO22" s="812"/>
      <c r="EP22" s="812"/>
      <c r="EQ22" s="812"/>
      <c r="ER22" s="812"/>
      <c r="ES22" s="812"/>
      <c r="ET22" s="812"/>
      <c r="EU22" s="812"/>
      <c r="EV22" s="812"/>
      <c r="EW22" s="812"/>
      <c r="EX22" s="812"/>
      <c r="EY22" s="812"/>
      <c r="EZ22" s="812"/>
      <c r="FA22" s="812"/>
      <c r="FB22" s="812"/>
      <c r="FC22" s="812"/>
      <c r="FD22" s="812"/>
      <c r="FE22" s="812"/>
      <c r="FF22" s="812"/>
      <c r="FG22" s="812"/>
      <c r="FH22" s="812"/>
      <c r="FI22" s="812"/>
      <c r="FJ22" s="812"/>
      <c r="FK22" s="812"/>
      <c r="FL22" s="812"/>
      <c r="FM22" s="812"/>
      <c r="FN22" s="812"/>
      <c r="FO22" s="812"/>
      <c r="FP22" s="812"/>
      <c r="FQ22" s="812"/>
      <c r="FR22" s="812"/>
      <c r="FS22" s="812"/>
      <c r="FT22" s="812"/>
      <c r="FU22" s="812"/>
      <c r="FV22" s="812"/>
      <c r="FW22" s="812"/>
      <c r="FX22" s="812"/>
      <c r="FY22" s="812"/>
      <c r="FZ22" s="812"/>
      <c r="GA22" s="812"/>
      <c r="GB22" s="812"/>
      <c r="GC22" s="812"/>
      <c r="GD22" s="812"/>
      <c r="GE22" s="812"/>
      <c r="GF22" s="812"/>
      <c r="GG22" s="812"/>
      <c r="GH22" s="812"/>
      <c r="GI22" s="812"/>
      <c r="GJ22" s="812"/>
      <c r="GK22" s="812"/>
      <c r="GL22" s="812"/>
      <c r="GM22" s="812"/>
      <c r="GN22" s="812"/>
      <c r="GO22" s="812"/>
      <c r="GP22" s="812"/>
      <c r="GQ22" s="812"/>
      <c r="GR22" s="812"/>
      <c r="GS22" s="812"/>
      <c r="GT22" s="812"/>
      <c r="GU22" s="812"/>
      <c r="GV22" s="812"/>
      <c r="GW22" s="812"/>
      <c r="GX22" s="812"/>
      <c r="GY22" s="812"/>
      <c r="GZ22" s="812"/>
      <c r="HA22" s="812"/>
      <c r="HB22" s="812"/>
      <c r="HC22" s="812"/>
      <c r="HD22" s="812"/>
      <c r="HE22" s="812"/>
      <c r="HF22" s="812"/>
      <c r="HG22" s="812"/>
      <c r="HH22" s="812"/>
      <c r="HI22" s="812"/>
      <c r="HJ22" s="812"/>
      <c r="HK22" s="812"/>
      <c r="HL22" s="812"/>
      <c r="HM22" s="812"/>
      <c r="HN22" s="812"/>
      <c r="HO22" s="812"/>
      <c r="HP22" s="812"/>
      <c r="HQ22" s="812"/>
      <c r="HR22" s="812"/>
      <c r="HS22" s="812"/>
      <c r="HT22" s="812"/>
      <c r="HU22" s="812"/>
      <c r="HV22" s="812"/>
      <c r="HW22" s="812"/>
      <c r="HX22" s="812"/>
      <c r="HY22" s="812"/>
      <c r="HZ22" s="812"/>
      <c r="IA22" s="812"/>
      <c r="IB22" s="812"/>
      <c r="IC22" s="812"/>
      <c r="ID22" s="812"/>
      <c r="IE22" s="812"/>
      <c r="IF22" s="812"/>
      <c r="IG22" s="812"/>
      <c r="IH22" s="812"/>
      <c r="II22" s="812"/>
      <c r="IJ22" s="812"/>
      <c r="IK22" s="812"/>
      <c r="IL22" s="812"/>
      <c r="IM22" s="812"/>
      <c r="IN22" s="812"/>
      <c r="IO22" s="812"/>
      <c r="IP22" s="812"/>
      <c r="IQ22" s="812"/>
      <c r="IR22" s="812"/>
      <c r="IS22" s="812"/>
      <c r="IT22" s="812"/>
      <c r="IU22" s="812"/>
      <c r="IV22" s="812"/>
      <c r="IW22" s="812"/>
    </row>
    <row r="23" customFormat="false" ht="12.75" hidden="false" customHeight="false" outlineLevel="0" collapsed="false">
      <c r="A23" s="60" t="s">
        <v>712</v>
      </c>
      <c r="B23" s="971" t="n">
        <v>4</v>
      </c>
      <c r="C23" s="0"/>
      <c r="D23" s="0"/>
      <c r="E23" s="49" t="n">
        <v>40</v>
      </c>
      <c r="F23" s="53" t="n">
        <f aca="false">4*2140</f>
        <v>8560</v>
      </c>
      <c r="G23" s="53" t="n">
        <f aca="false">$B$21*$B$23*($B$20*(1+$B$19))</f>
        <v>0</v>
      </c>
      <c r="H23" s="53" t="n">
        <f aca="false">G23+F23</f>
        <v>8560</v>
      </c>
      <c r="I23" s="968" t="n">
        <f aca="false">G23/H23</f>
        <v>0</v>
      </c>
      <c r="J23" s="969" t="n">
        <f aca="false">1-I23</f>
        <v>1</v>
      </c>
      <c r="K23" s="1"/>
      <c r="L23" s="1"/>
      <c r="M23" s="1"/>
      <c r="N23" s="1"/>
      <c r="O23" s="1"/>
      <c r="P23" s="1"/>
      <c r="Q23" s="1"/>
      <c r="R23" s="1"/>
      <c r="S23" s="1"/>
      <c r="T23" s="1"/>
      <c r="U23" s="1"/>
      <c r="V23" s="1"/>
      <c r="W23" s="1"/>
      <c r="X23" s="1"/>
      <c r="Y23" s="1"/>
      <c r="Z23" s="1"/>
      <c r="AA23" s="1"/>
      <c r="AB23" s="1"/>
      <c r="AC23" s="812"/>
      <c r="AD23" s="812"/>
      <c r="AE23" s="812"/>
      <c r="AF23" s="812"/>
      <c r="AG23" s="812"/>
      <c r="AH23" s="812"/>
      <c r="AI23" s="812"/>
      <c r="AJ23" s="812"/>
      <c r="AK23" s="812"/>
      <c r="AL23" s="812"/>
      <c r="AM23" s="812"/>
      <c r="AN23" s="812"/>
      <c r="AO23" s="812"/>
      <c r="AP23" s="812"/>
      <c r="AQ23" s="812"/>
      <c r="AR23" s="812"/>
      <c r="AS23" s="812"/>
      <c r="AT23" s="812"/>
      <c r="AU23" s="812"/>
      <c r="AV23" s="812"/>
      <c r="AW23" s="812"/>
      <c r="AX23" s="812"/>
      <c r="AY23" s="812"/>
      <c r="AZ23" s="812"/>
      <c r="BA23" s="812"/>
      <c r="BB23" s="812"/>
      <c r="BC23" s="812"/>
      <c r="BD23" s="812"/>
      <c r="BE23" s="812"/>
      <c r="BF23" s="812"/>
      <c r="BG23" s="812"/>
      <c r="BH23" s="812"/>
      <c r="BI23" s="812"/>
      <c r="BJ23" s="812"/>
      <c r="BK23" s="812"/>
      <c r="BL23" s="812"/>
      <c r="BM23" s="812"/>
      <c r="BN23" s="812"/>
      <c r="BO23" s="812"/>
      <c r="BP23" s="812"/>
      <c r="BQ23" s="812"/>
      <c r="BR23" s="812"/>
      <c r="BS23" s="812"/>
      <c r="BT23" s="812"/>
      <c r="BU23" s="812"/>
      <c r="BV23" s="812"/>
      <c r="BW23" s="812"/>
      <c r="BX23" s="812"/>
      <c r="BY23" s="812"/>
      <c r="BZ23" s="812"/>
      <c r="CA23" s="812"/>
      <c r="CB23" s="812"/>
      <c r="CC23" s="812"/>
      <c r="CD23" s="812"/>
      <c r="CE23" s="812"/>
      <c r="CF23" s="812"/>
      <c r="CG23" s="812"/>
      <c r="CH23" s="812"/>
      <c r="CI23" s="812"/>
      <c r="CJ23" s="812"/>
      <c r="CK23" s="812"/>
      <c r="CL23" s="812"/>
      <c r="CM23" s="812"/>
      <c r="CN23" s="812"/>
      <c r="CO23" s="812"/>
      <c r="CP23" s="812"/>
      <c r="CQ23" s="812"/>
      <c r="CR23" s="812"/>
      <c r="CS23" s="812"/>
      <c r="CT23" s="812"/>
      <c r="CU23" s="812"/>
      <c r="CV23" s="812"/>
      <c r="CW23" s="812"/>
      <c r="CX23" s="812"/>
      <c r="CY23" s="812"/>
      <c r="CZ23" s="812"/>
      <c r="DA23" s="812"/>
      <c r="DB23" s="812"/>
      <c r="DC23" s="812"/>
      <c r="DD23" s="812"/>
      <c r="DE23" s="812"/>
      <c r="DF23" s="812"/>
      <c r="DG23" s="812"/>
      <c r="DH23" s="812"/>
      <c r="DI23" s="812"/>
      <c r="DJ23" s="812"/>
      <c r="DK23" s="812"/>
      <c r="DL23" s="812"/>
      <c r="DM23" s="812"/>
      <c r="DN23" s="812"/>
      <c r="DO23" s="812"/>
      <c r="DP23" s="812"/>
      <c r="DQ23" s="812"/>
      <c r="DR23" s="812"/>
      <c r="DS23" s="812"/>
      <c r="DT23" s="812"/>
      <c r="DU23" s="812"/>
      <c r="DV23" s="812"/>
      <c r="DW23" s="812"/>
      <c r="DX23" s="812"/>
      <c r="DY23" s="812"/>
      <c r="DZ23" s="812"/>
      <c r="EA23" s="812"/>
      <c r="EB23" s="812"/>
      <c r="EC23" s="812"/>
      <c r="ED23" s="812"/>
      <c r="EE23" s="812"/>
      <c r="EF23" s="812"/>
      <c r="EG23" s="812"/>
      <c r="EH23" s="812"/>
      <c r="EI23" s="812"/>
      <c r="EJ23" s="812"/>
      <c r="EK23" s="812"/>
      <c r="EL23" s="812"/>
      <c r="EM23" s="812"/>
      <c r="EN23" s="812"/>
      <c r="EO23" s="812"/>
      <c r="EP23" s="812"/>
      <c r="EQ23" s="812"/>
      <c r="ER23" s="812"/>
      <c r="ES23" s="812"/>
      <c r="ET23" s="812"/>
      <c r="EU23" s="812"/>
      <c r="EV23" s="812"/>
      <c r="EW23" s="812"/>
      <c r="EX23" s="812"/>
      <c r="EY23" s="812"/>
      <c r="EZ23" s="812"/>
      <c r="FA23" s="812"/>
      <c r="FB23" s="812"/>
      <c r="FC23" s="812"/>
      <c r="FD23" s="812"/>
      <c r="FE23" s="812"/>
      <c r="FF23" s="812"/>
      <c r="FG23" s="812"/>
      <c r="FH23" s="812"/>
      <c r="FI23" s="812"/>
      <c r="FJ23" s="812"/>
      <c r="FK23" s="812"/>
      <c r="FL23" s="812"/>
      <c r="FM23" s="812"/>
      <c r="FN23" s="812"/>
      <c r="FO23" s="812"/>
      <c r="FP23" s="812"/>
      <c r="FQ23" s="812"/>
      <c r="FR23" s="812"/>
      <c r="FS23" s="812"/>
      <c r="FT23" s="812"/>
      <c r="FU23" s="812"/>
      <c r="FV23" s="812"/>
      <c r="FW23" s="812"/>
      <c r="FX23" s="812"/>
      <c r="FY23" s="812"/>
      <c r="FZ23" s="812"/>
      <c r="GA23" s="812"/>
      <c r="GB23" s="812"/>
      <c r="GC23" s="812"/>
      <c r="GD23" s="812"/>
      <c r="GE23" s="812"/>
      <c r="GF23" s="812"/>
      <c r="GG23" s="812"/>
      <c r="GH23" s="812"/>
      <c r="GI23" s="812"/>
      <c r="GJ23" s="812"/>
      <c r="GK23" s="812"/>
      <c r="GL23" s="812"/>
      <c r="GM23" s="812"/>
      <c r="GN23" s="812"/>
      <c r="GO23" s="812"/>
      <c r="GP23" s="812"/>
      <c r="GQ23" s="812"/>
      <c r="GR23" s="812"/>
      <c r="GS23" s="812"/>
      <c r="GT23" s="812"/>
      <c r="GU23" s="812"/>
      <c r="GV23" s="812"/>
      <c r="GW23" s="812"/>
      <c r="GX23" s="812"/>
      <c r="GY23" s="812"/>
      <c r="GZ23" s="812"/>
      <c r="HA23" s="812"/>
      <c r="HB23" s="812"/>
      <c r="HC23" s="812"/>
      <c r="HD23" s="812"/>
      <c r="HE23" s="812"/>
      <c r="HF23" s="812"/>
      <c r="HG23" s="812"/>
      <c r="HH23" s="812"/>
      <c r="HI23" s="812"/>
      <c r="HJ23" s="812"/>
      <c r="HK23" s="812"/>
      <c r="HL23" s="812"/>
      <c r="HM23" s="812"/>
      <c r="HN23" s="812"/>
      <c r="HO23" s="812"/>
      <c r="HP23" s="812"/>
      <c r="HQ23" s="812"/>
      <c r="HR23" s="812"/>
      <c r="HS23" s="812"/>
      <c r="HT23" s="812"/>
      <c r="HU23" s="812"/>
      <c r="HV23" s="812"/>
      <c r="HW23" s="812"/>
      <c r="HX23" s="812"/>
      <c r="HY23" s="812"/>
      <c r="HZ23" s="812"/>
      <c r="IA23" s="812"/>
      <c r="IB23" s="812"/>
      <c r="IC23" s="812"/>
      <c r="ID23" s="812"/>
      <c r="IE23" s="812"/>
      <c r="IF23" s="812"/>
      <c r="IG23" s="812"/>
      <c r="IH23" s="812"/>
      <c r="II23" s="812"/>
      <c r="IJ23" s="812"/>
      <c r="IK23" s="812"/>
      <c r="IL23" s="812"/>
      <c r="IM23" s="812"/>
      <c r="IN23" s="812"/>
      <c r="IO23" s="812"/>
      <c r="IP23" s="812"/>
      <c r="IQ23" s="812"/>
      <c r="IR23" s="812"/>
      <c r="IS23" s="812"/>
      <c r="IT23" s="812"/>
      <c r="IU23" s="812"/>
      <c r="IV23" s="812"/>
      <c r="IW23" s="812"/>
    </row>
    <row r="24" customFormat="false" ht="12.75" hidden="false" customHeight="false" outlineLevel="0" collapsed="false">
      <c r="A24" s="0"/>
      <c r="B24" s="0"/>
      <c r="C24" s="0"/>
      <c r="D24" s="0"/>
      <c r="E24" s="49" t="n">
        <v>50</v>
      </c>
      <c r="F24" s="53" t="n">
        <f aca="false">4*2140</f>
        <v>8560</v>
      </c>
      <c r="G24" s="53" t="n">
        <f aca="false">$B$21*$B$23*($B$20*(1+$B$19))</f>
        <v>0</v>
      </c>
      <c r="H24" s="53" t="n">
        <f aca="false">G24+F24</f>
        <v>8560</v>
      </c>
      <c r="I24" s="968" t="n">
        <f aca="false">G24/H24</f>
        <v>0</v>
      </c>
      <c r="J24" s="969" t="n">
        <f aca="false">1-I24</f>
        <v>1</v>
      </c>
      <c r="K24" s="1"/>
      <c r="L24" s="1"/>
      <c r="M24" s="1"/>
      <c r="N24" s="1"/>
      <c r="O24" s="1"/>
      <c r="P24" s="1"/>
      <c r="Q24" s="1"/>
      <c r="R24" s="1"/>
      <c r="S24" s="1"/>
      <c r="T24" s="1"/>
      <c r="U24" s="1"/>
      <c r="V24" s="1"/>
      <c r="W24" s="1"/>
      <c r="X24" s="1"/>
      <c r="Y24" s="1"/>
      <c r="Z24" s="1"/>
      <c r="AA24" s="1"/>
      <c r="AB24" s="1"/>
      <c r="AC24" s="812"/>
      <c r="AD24" s="812"/>
      <c r="AE24" s="812"/>
      <c r="AF24" s="812"/>
      <c r="AG24" s="812"/>
      <c r="AH24" s="812"/>
      <c r="AI24" s="812"/>
      <c r="AJ24" s="812"/>
      <c r="AK24" s="812"/>
      <c r="AL24" s="812"/>
      <c r="AM24" s="812"/>
      <c r="AN24" s="812"/>
      <c r="AO24" s="812"/>
      <c r="AP24" s="812"/>
      <c r="AQ24" s="812"/>
      <c r="AR24" s="812"/>
      <c r="AS24" s="812"/>
      <c r="AT24" s="812"/>
      <c r="AU24" s="812"/>
      <c r="AV24" s="812"/>
      <c r="AW24" s="812"/>
      <c r="AX24" s="812"/>
      <c r="AY24" s="812"/>
      <c r="AZ24" s="812"/>
      <c r="BA24" s="812"/>
      <c r="BB24" s="812"/>
      <c r="BC24" s="812"/>
      <c r="BD24" s="812"/>
      <c r="BE24" s="812"/>
      <c r="BF24" s="812"/>
      <c r="BG24" s="812"/>
      <c r="BH24" s="812"/>
      <c r="BI24" s="812"/>
      <c r="BJ24" s="812"/>
      <c r="BK24" s="812"/>
      <c r="BL24" s="812"/>
      <c r="BM24" s="812"/>
      <c r="BN24" s="812"/>
      <c r="BO24" s="812"/>
      <c r="BP24" s="812"/>
      <c r="BQ24" s="812"/>
      <c r="BR24" s="812"/>
      <c r="BS24" s="812"/>
      <c r="BT24" s="812"/>
      <c r="BU24" s="812"/>
      <c r="BV24" s="812"/>
      <c r="BW24" s="812"/>
      <c r="BX24" s="812"/>
      <c r="BY24" s="812"/>
      <c r="BZ24" s="812"/>
      <c r="CA24" s="812"/>
      <c r="CB24" s="812"/>
      <c r="CC24" s="812"/>
      <c r="CD24" s="812"/>
      <c r="CE24" s="812"/>
      <c r="CF24" s="812"/>
      <c r="CG24" s="812"/>
      <c r="CH24" s="812"/>
      <c r="CI24" s="812"/>
      <c r="CJ24" s="812"/>
      <c r="CK24" s="812"/>
      <c r="CL24" s="812"/>
      <c r="CM24" s="812"/>
      <c r="CN24" s="812"/>
      <c r="CO24" s="812"/>
      <c r="CP24" s="812"/>
      <c r="CQ24" s="812"/>
      <c r="CR24" s="812"/>
      <c r="CS24" s="812"/>
      <c r="CT24" s="812"/>
      <c r="CU24" s="812"/>
      <c r="CV24" s="812"/>
      <c r="CW24" s="812"/>
      <c r="CX24" s="812"/>
      <c r="CY24" s="812"/>
      <c r="CZ24" s="812"/>
      <c r="DA24" s="812"/>
      <c r="DB24" s="812"/>
      <c r="DC24" s="812"/>
      <c r="DD24" s="812"/>
      <c r="DE24" s="812"/>
      <c r="DF24" s="812"/>
      <c r="DG24" s="812"/>
      <c r="DH24" s="812"/>
      <c r="DI24" s="812"/>
      <c r="DJ24" s="812"/>
      <c r="DK24" s="812"/>
      <c r="DL24" s="812"/>
      <c r="DM24" s="812"/>
      <c r="DN24" s="812"/>
      <c r="DO24" s="812"/>
      <c r="DP24" s="812"/>
      <c r="DQ24" s="812"/>
      <c r="DR24" s="812"/>
      <c r="DS24" s="812"/>
      <c r="DT24" s="812"/>
      <c r="DU24" s="812"/>
      <c r="DV24" s="812"/>
      <c r="DW24" s="812"/>
      <c r="DX24" s="812"/>
      <c r="DY24" s="812"/>
      <c r="DZ24" s="812"/>
      <c r="EA24" s="812"/>
      <c r="EB24" s="812"/>
      <c r="EC24" s="812"/>
      <c r="ED24" s="812"/>
      <c r="EE24" s="812"/>
      <c r="EF24" s="812"/>
      <c r="EG24" s="812"/>
      <c r="EH24" s="812"/>
      <c r="EI24" s="812"/>
      <c r="EJ24" s="812"/>
      <c r="EK24" s="812"/>
      <c r="EL24" s="812"/>
      <c r="EM24" s="812"/>
      <c r="EN24" s="812"/>
      <c r="EO24" s="812"/>
      <c r="EP24" s="812"/>
      <c r="EQ24" s="812"/>
      <c r="ER24" s="812"/>
      <c r="ES24" s="812"/>
      <c r="ET24" s="812"/>
      <c r="EU24" s="812"/>
      <c r="EV24" s="812"/>
      <c r="EW24" s="812"/>
      <c r="EX24" s="812"/>
      <c r="EY24" s="812"/>
      <c r="EZ24" s="812"/>
      <c r="FA24" s="812"/>
      <c r="FB24" s="812"/>
      <c r="FC24" s="812"/>
      <c r="FD24" s="812"/>
      <c r="FE24" s="812"/>
      <c r="FF24" s="812"/>
      <c r="FG24" s="812"/>
      <c r="FH24" s="812"/>
      <c r="FI24" s="812"/>
      <c r="FJ24" s="812"/>
      <c r="FK24" s="812"/>
      <c r="FL24" s="812"/>
      <c r="FM24" s="812"/>
      <c r="FN24" s="812"/>
      <c r="FO24" s="812"/>
      <c r="FP24" s="812"/>
      <c r="FQ24" s="812"/>
      <c r="FR24" s="812"/>
      <c r="FS24" s="812"/>
      <c r="FT24" s="812"/>
      <c r="FU24" s="812"/>
      <c r="FV24" s="812"/>
      <c r="FW24" s="812"/>
      <c r="FX24" s="812"/>
      <c r="FY24" s="812"/>
      <c r="FZ24" s="812"/>
      <c r="GA24" s="812"/>
      <c r="GB24" s="812"/>
      <c r="GC24" s="812"/>
      <c r="GD24" s="812"/>
      <c r="GE24" s="812"/>
      <c r="GF24" s="812"/>
      <c r="GG24" s="812"/>
      <c r="GH24" s="812"/>
      <c r="GI24" s="812"/>
      <c r="GJ24" s="812"/>
      <c r="GK24" s="812"/>
      <c r="GL24" s="812"/>
      <c r="GM24" s="812"/>
      <c r="GN24" s="812"/>
      <c r="GO24" s="812"/>
      <c r="GP24" s="812"/>
      <c r="GQ24" s="812"/>
      <c r="GR24" s="812"/>
      <c r="GS24" s="812"/>
      <c r="GT24" s="812"/>
      <c r="GU24" s="812"/>
      <c r="GV24" s="812"/>
      <c r="GW24" s="812"/>
      <c r="GX24" s="812"/>
      <c r="GY24" s="812"/>
      <c r="GZ24" s="812"/>
      <c r="HA24" s="812"/>
      <c r="HB24" s="812"/>
      <c r="HC24" s="812"/>
      <c r="HD24" s="812"/>
      <c r="HE24" s="812"/>
      <c r="HF24" s="812"/>
      <c r="HG24" s="812"/>
      <c r="HH24" s="812"/>
      <c r="HI24" s="812"/>
      <c r="HJ24" s="812"/>
      <c r="HK24" s="812"/>
      <c r="HL24" s="812"/>
      <c r="HM24" s="812"/>
      <c r="HN24" s="812"/>
      <c r="HO24" s="812"/>
      <c r="HP24" s="812"/>
      <c r="HQ24" s="812"/>
      <c r="HR24" s="812"/>
      <c r="HS24" s="812"/>
      <c r="HT24" s="812"/>
      <c r="HU24" s="812"/>
      <c r="HV24" s="812"/>
      <c r="HW24" s="812"/>
      <c r="HX24" s="812"/>
      <c r="HY24" s="812"/>
      <c r="HZ24" s="812"/>
      <c r="IA24" s="812"/>
      <c r="IB24" s="812"/>
      <c r="IC24" s="812"/>
      <c r="ID24" s="812"/>
      <c r="IE24" s="812"/>
      <c r="IF24" s="812"/>
      <c r="IG24" s="812"/>
      <c r="IH24" s="812"/>
      <c r="II24" s="812"/>
      <c r="IJ24" s="812"/>
      <c r="IK24" s="812"/>
      <c r="IL24" s="812"/>
      <c r="IM24" s="812"/>
      <c r="IN24" s="812"/>
      <c r="IO24" s="812"/>
      <c r="IP24" s="812"/>
      <c r="IQ24" s="812"/>
      <c r="IR24" s="812"/>
      <c r="IS24" s="812"/>
      <c r="IT24" s="812"/>
      <c r="IU24" s="812"/>
      <c r="IV24" s="812"/>
      <c r="IW24" s="812"/>
    </row>
    <row r="25" customFormat="false" ht="12.75" hidden="false" customHeight="false" outlineLevel="0" collapsed="false">
      <c r="A25" s="0"/>
      <c r="B25" s="0"/>
      <c r="C25" s="0"/>
      <c r="D25" s="0"/>
      <c r="E25" s="49" t="n">
        <v>60</v>
      </c>
      <c r="F25" s="53" t="n">
        <f aca="false">4*2140</f>
        <v>8560</v>
      </c>
      <c r="G25" s="53" t="n">
        <f aca="false">$B$21*$B$23*($B$20*(1+$B$19))</f>
        <v>0</v>
      </c>
      <c r="H25" s="53" t="n">
        <f aca="false">G25+F25</f>
        <v>8560</v>
      </c>
      <c r="I25" s="968" t="n">
        <f aca="false">G25/H25</f>
        <v>0</v>
      </c>
      <c r="J25" s="969" t="n">
        <f aca="false">1-I25</f>
        <v>1</v>
      </c>
      <c r="K25" s="1"/>
      <c r="L25" s="1"/>
      <c r="M25" s="1"/>
      <c r="N25" s="1"/>
      <c r="O25" s="1"/>
      <c r="P25" s="1"/>
      <c r="Q25" s="1"/>
      <c r="R25" s="1"/>
      <c r="S25" s="1"/>
      <c r="T25" s="1"/>
      <c r="U25" s="1"/>
      <c r="V25" s="1"/>
      <c r="W25" s="1"/>
      <c r="X25" s="1"/>
      <c r="Y25" s="1"/>
      <c r="Z25" s="1"/>
      <c r="AA25" s="1"/>
      <c r="AB25" s="1"/>
      <c r="AC25" s="812"/>
      <c r="AD25" s="812"/>
      <c r="AE25" s="812"/>
      <c r="AF25" s="812"/>
      <c r="AG25" s="812"/>
      <c r="AH25" s="812"/>
      <c r="AI25" s="812"/>
      <c r="AJ25" s="812"/>
      <c r="AK25" s="812"/>
      <c r="AL25" s="812"/>
      <c r="AM25" s="812"/>
      <c r="AN25" s="812"/>
      <c r="AO25" s="812"/>
      <c r="AP25" s="812"/>
      <c r="AQ25" s="812"/>
      <c r="AR25" s="812"/>
      <c r="AS25" s="812"/>
      <c r="AT25" s="812"/>
      <c r="AU25" s="812"/>
      <c r="AV25" s="812"/>
      <c r="AW25" s="812"/>
      <c r="AX25" s="812"/>
      <c r="AY25" s="812"/>
      <c r="AZ25" s="812"/>
      <c r="BA25" s="812"/>
      <c r="BB25" s="812"/>
      <c r="BC25" s="812"/>
      <c r="BD25" s="812"/>
      <c r="BE25" s="812"/>
      <c r="BF25" s="812"/>
      <c r="BG25" s="812"/>
      <c r="BH25" s="812"/>
      <c r="BI25" s="812"/>
      <c r="BJ25" s="812"/>
      <c r="BK25" s="812"/>
      <c r="BL25" s="812"/>
      <c r="BM25" s="812"/>
      <c r="BN25" s="812"/>
      <c r="BO25" s="812"/>
      <c r="BP25" s="812"/>
      <c r="BQ25" s="812"/>
      <c r="BR25" s="812"/>
      <c r="BS25" s="812"/>
      <c r="BT25" s="812"/>
      <c r="BU25" s="812"/>
      <c r="BV25" s="812"/>
      <c r="BW25" s="812"/>
      <c r="BX25" s="812"/>
      <c r="BY25" s="812"/>
      <c r="BZ25" s="812"/>
      <c r="CA25" s="812"/>
      <c r="CB25" s="812"/>
      <c r="CC25" s="812"/>
      <c r="CD25" s="812"/>
      <c r="CE25" s="812"/>
      <c r="CF25" s="812"/>
      <c r="CG25" s="812"/>
      <c r="CH25" s="812"/>
      <c r="CI25" s="812"/>
      <c r="CJ25" s="812"/>
      <c r="CK25" s="812"/>
      <c r="CL25" s="812"/>
      <c r="CM25" s="812"/>
      <c r="CN25" s="812"/>
      <c r="CO25" s="812"/>
      <c r="CP25" s="812"/>
      <c r="CQ25" s="812"/>
      <c r="CR25" s="812"/>
      <c r="CS25" s="812"/>
      <c r="CT25" s="812"/>
      <c r="CU25" s="812"/>
      <c r="CV25" s="812"/>
      <c r="CW25" s="812"/>
      <c r="CX25" s="812"/>
      <c r="CY25" s="812"/>
      <c r="CZ25" s="812"/>
      <c r="DA25" s="812"/>
      <c r="DB25" s="812"/>
      <c r="DC25" s="812"/>
      <c r="DD25" s="812"/>
      <c r="DE25" s="812"/>
      <c r="DF25" s="812"/>
      <c r="DG25" s="812"/>
      <c r="DH25" s="812"/>
      <c r="DI25" s="812"/>
      <c r="DJ25" s="812"/>
      <c r="DK25" s="812"/>
      <c r="DL25" s="812"/>
      <c r="DM25" s="812"/>
      <c r="DN25" s="812"/>
      <c r="DO25" s="812"/>
      <c r="DP25" s="812"/>
      <c r="DQ25" s="812"/>
      <c r="DR25" s="812"/>
      <c r="DS25" s="812"/>
      <c r="DT25" s="812"/>
      <c r="DU25" s="812"/>
      <c r="DV25" s="812"/>
      <c r="DW25" s="812"/>
      <c r="DX25" s="812"/>
      <c r="DY25" s="812"/>
      <c r="DZ25" s="812"/>
      <c r="EA25" s="812"/>
      <c r="EB25" s="812"/>
      <c r="EC25" s="812"/>
      <c r="ED25" s="812"/>
      <c r="EE25" s="812"/>
      <c r="EF25" s="812"/>
      <c r="EG25" s="812"/>
      <c r="EH25" s="812"/>
      <c r="EI25" s="812"/>
      <c r="EJ25" s="812"/>
      <c r="EK25" s="812"/>
      <c r="EL25" s="812"/>
      <c r="EM25" s="812"/>
      <c r="EN25" s="812"/>
      <c r="EO25" s="812"/>
      <c r="EP25" s="812"/>
      <c r="EQ25" s="812"/>
      <c r="ER25" s="812"/>
      <c r="ES25" s="812"/>
      <c r="ET25" s="812"/>
      <c r="EU25" s="812"/>
      <c r="EV25" s="812"/>
      <c r="EW25" s="812"/>
      <c r="EX25" s="812"/>
      <c r="EY25" s="812"/>
      <c r="EZ25" s="812"/>
      <c r="FA25" s="812"/>
      <c r="FB25" s="812"/>
      <c r="FC25" s="812"/>
      <c r="FD25" s="812"/>
      <c r="FE25" s="812"/>
      <c r="FF25" s="812"/>
      <c r="FG25" s="812"/>
      <c r="FH25" s="812"/>
      <c r="FI25" s="812"/>
      <c r="FJ25" s="812"/>
      <c r="FK25" s="812"/>
      <c r="FL25" s="812"/>
      <c r="FM25" s="812"/>
      <c r="FN25" s="812"/>
      <c r="FO25" s="812"/>
      <c r="FP25" s="812"/>
      <c r="FQ25" s="812"/>
      <c r="FR25" s="812"/>
      <c r="FS25" s="812"/>
      <c r="FT25" s="812"/>
      <c r="FU25" s="812"/>
      <c r="FV25" s="812"/>
      <c r="FW25" s="812"/>
      <c r="FX25" s="812"/>
      <c r="FY25" s="812"/>
      <c r="FZ25" s="812"/>
      <c r="GA25" s="812"/>
      <c r="GB25" s="812"/>
      <c r="GC25" s="812"/>
      <c r="GD25" s="812"/>
      <c r="GE25" s="812"/>
      <c r="GF25" s="812"/>
      <c r="GG25" s="812"/>
      <c r="GH25" s="812"/>
      <c r="GI25" s="812"/>
      <c r="GJ25" s="812"/>
      <c r="GK25" s="812"/>
      <c r="GL25" s="812"/>
      <c r="GM25" s="812"/>
      <c r="GN25" s="812"/>
      <c r="GO25" s="812"/>
      <c r="GP25" s="812"/>
      <c r="GQ25" s="812"/>
      <c r="GR25" s="812"/>
      <c r="GS25" s="812"/>
      <c r="GT25" s="812"/>
      <c r="GU25" s="812"/>
      <c r="GV25" s="812"/>
      <c r="GW25" s="812"/>
      <c r="GX25" s="812"/>
      <c r="GY25" s="812"/>
      <c r="GZ25" s="812"/>
      <c r="HA25" s="812"/>
      <c r="HB25" s="812"/>
      <c r="HC25" s="812"/>
      <c r="HD25" s="812"/>
      <c r="HE25" s="812"/>
      <c r="HF25" s="812"/>
      <c r="HG25" s="812"/>
      <c r="HH25" s="812"/>
      <c r="HI25" s="812"/>
      <c r="HJ25" s="812"/>
      <c r="HK25" s="812"/>
      <c r="HL25" s="812"/>
      <c r="HM25" s="812"/>
      <c r="HN25" s="812"/>
      <c r="HO25" s="812"/>
      <c r="HP25" s="812"/>
      <c r="HQ25" s="812"/>
      <c r="HR25" s="812"/>
      <c r="HS25" s="812"/>
      <c r="HT25" s="812"/>
      <c r="HU25" s="812"/>
      <c r="HV25" s="812"/>
      <c r="HW25" s="812"/>
      <c r="HX25" s="812"/>
      <c r="HY25" s="812"/>
      <c r="HZ25" s="812"/>
      <c r="IA25" s="812"/>
      <c r="IB25" s="812"/>
      <c r="IC25" s="812"/>
      <c r="ID25" s="812"/>
      <c r="IE25" s="812"/>
      <c r="IF25" s="812"/>
      <c r="IG25" s="812"/>
      <c r="IH25" s="812"/>
      <c r="II25" s="812"/>
      <c r="IJ25" s="812"/>
      <c r="IK25" s="812"/>
      <c r="IL25" s="812"/>
      <c r="IM25" s="812"/>
      <c r="IN25" s="812"/>
      <c r="IO25" s="812"/>
      <c r="IP25" s="812"/>
      <c r="IQ25" s="812"/>
      <c r="IR25" s="812"/>
      <c r="IS25" s="812"/>
      <c r="IT25" s="812"/>
      <c r="IU25" s="812"/>
      <c r="IV25" s="812"/>
      <c r="IW25" s="812"/>
    </row>
    <row r="26" customFormat="false" ht="12.75" hidden="false" customHeight="false" outlineLevel="0" collapsed="false">
      <c r="A26" s="812"/>
      <c r="B26" s="812"/>
      <c r="C26" s="812"/>
      <c r="D26" s="812"/>
      <c r="E26" s="49" t="n">
        <v>70</v>
      </c>
      <c r="F26" s="53" t="n">
        <f aca="false">4*2140</f>
        <v>8560</v>
      </c>
      <c r="G26" s="53" t="n">
        <f aca="false">$B$21*$B$23*($B$20*(1+$B$19))</f>
        <v>0</v>
      </c>
      <c r="H26" s="53" t="n">
        <f aca="false">G26+F26</f>
        <v>8560</v>
      </c>
      <c r="I26" s="968" t="n">
        <f aca="false">G26/H26</f>
        <v>0</v>
      </c>
      <c r="J26" s="969" t="n">
        <f aca="false">1-I26</f>
        <v>1</v>
      </c>
      <c r="K26" s="1"/>
      <c r="L26" s="1"/>
      <c r="M26" s="1"/>
      <c r="N26" s="1"/>
      <c r="O26" s="1"/>
      <c r="P26" s="1"/>
      <c r="Q26" s="1"/>
      <c r="R26" s="1"/>
      <c r="S26" s="1"/>
      <c r="T26" s="1"/>
      <c r="U26" s="1"/>
      <c r="V26" s="1"/>
      <c r="W26" s="1"/>
      <c r="X26" s="1"/>
      <c r="Y26" s="1"/>
      <c r="Z26" s="1"/>
      <c r="AA26" s="1"/>
      <c r="AB26" s="1"/>
      <c r="AC26" s="812"/>
      <c r="AD26" s="812"/>
      <c r="AE26" s="812"/>
      <c r="AF26" s="812"/>
      <c r="AG26" s="812"/>
      <c r="AH26" s="812"/>
      <c r="AI26" s="812"/>
      <c r="AJ26" s="812"/>
      <c r="AK26" s="812"/>
      <c r="AL26" s="812"/>
      <c r="AM26" s="812"/>
      <c r="AN26" s="812"/>
      <c r="AO26" s="812"/>
      <c r="AP26" s="812"/>
      <c r="AQ26" s="812"/>
      <c r="AR26" s="812"/>
      <c r="AS26" s="812"/>
      <c r="AT26" s="812"/>
      <c r="AU26" s="812"/>
      <c r="AV26" s="812"/>
      <c r="AW26" s="812"/>
      <c r="AX26" s="812"/>
      <c r="AY26" s="812"/>
      <c r="AZ26" s="812"/>
      <c r="BA26" s="812"/>
      <c r="BB26" s="812"/>
      <c r="BC26" s="812"/>
      <c r="BD26" s="812"/>
      <c r="BE26" s="812"/>
      <c r="BF26" s="812"/>
      <c r="BG26" s="812"/>
      <c r="BH26" s="812"/>
      <c r="BI26" s="812"/>
      <c r="BJ26" s="812"/>
      <c r="BK26" s="812"/>
      <c r="BL26" s="812"/>
      <c r="BM26" s="812"/>
      <c r="BN26" s="812"/>
      <c r="BO26" s="812"/>
      <c r="BP26" s="812"/>
      <c r="BQ26" s="812"/>
      <c r="BR26" s="812"/>
      <c r="BS26" s="812"/>
      <c r="BT26" s="812"/>
      <c r="BU26" s="812"/>
      <c r="BV26" s="812"/>
      <c r="BW26" s="812"/>
      <c r="BX26" s="812"/>
      <c r="BY26" s="812"/>
      <c r="BZ26" s="812"/>
      <c r="CA26" s="812"/>
      <c r="CB26" s="812"/>
      <c r="CC26" s="812"/>
      <c r="CD26" s="812"/>
      <c r="CE26" s="812"/>
      <c r="CF26" s="812"/>
      <c r="CG26" s="812"/>
      <c r="CH26" s="812"/>
      <c r="CI26" s="812"/>
      <c r="CJ26" s="812"/>
      <c r="CK26" s="812"/>
      <c r="CL26" s="812"/>
      <c r="CM26" s="812"/>
      <c r="CN26" s="812"/>
      <c r="CO26" s="812"/>
      <c r="CP26" s="812"/>
      <c r="CQ26" s="812"/>
      <c r="CR26" s="812"/>
      <c r="CS26" s="812"/>
      <c r="CT26" s="812"/>
      <c r="CU26" s="812"/>
      <c r="CV26" s="812"/>
      <c r="CW26" s="812"/>
      <c r="CX26" s="812"/>
      <c r="CY26" s="812"/>
      <c r="CZ26" s="812"/>
      <c r="DA26" s="812"/>
      <c r="DB26" s="812"/>
      <c r="DC26" s="812"/>
      <c r="DD26" s="812"/>
      <c r="DE26" s="812"/>
      <c r="DF26" s="812"/>
      <c r="DG26" s="812"/>
      <c r="DH26" s="812"/>
      <c r="DI26" s="812"/>
      <c r="DJ26" s="812"/>
      <c r="DK26" s="812"/>
      <c r="DL26" s="812"/>
      <c r="DM26" s="812"/>
      <c r="DN26" s="812"/>
      <c r="DO26" s="812"/>
      <c r="DP26" s="812"/>
      <c r="DQ26" s="812"/>
      <c r="DR26" s="812"/>
      <c r="DS26" s="812"/>
      <c r="DT26" s="812"/>
      <c r="DU26" s="812"/>
      <c r="DV26" s="812"/>
      <c r="DW26" s="812"/>
      <c r="DX26" s="812"/>
      <c r="DY26" s="812"/>
      <c r="DZ26" s="812"/>
      <c r="EA26" s="812"/>
      <c r="EB26" s="812"/>
      <c r="EC26" s="812"/>
      <c r="ED26" s="812"/>
      <c r="EE26" s="812"/>
      <c r="EF26" s="812"/>
      <c r="EG26" s="812"/>
      <c r="EH26" s="812"/>
      <c r="EI26" s="812"/>
      <c r="EJ26" s="812"/>
      <c r="EK26" s="812"/>
      <c r="EL26" s="812"/>
      <c r="EM26" s="812"/>
      <c r="EN26" s="812"/>
      <c r="EO26" s="812"/>
      <c r="EP26" s="812"/>
      <c r="EQ26" s="812"/>
      <c r="ER26" s="812"/>
      <c r="ES26" s="812"/>
      <c r="ET26" s="812"/>
      <c r="EU26" s="812"/>
      <c r="EV26" s="812"/>
      <c r="EW26" s="812"/>
      <c r="EX26" s="812"/>
      <c r="EY26" s="812"/>
      <c r="EZ26" s="812"/>
      <c r="FA26" s="812"/>
      <c r="FB26" s="812"/>
      <c r="FC26" s="812"/>
      <c r="FD26" s="812"/>
      <c r="FE26" s="812"/>
      <c r="FF26" s="812"/>
      <c r="FG26" s="812"/>
      <c r="FH26" s="812"/>
      <c r="FI26" s="812"/>
      <c r="FJ26" s="812"/>
      <c r="FK26" s="812"/>
      <c r="FL26" s="812"/>
      <c r="FM26" s="812"/>
      <c r="FN26" s="812"/>
      <c r="FO26" s="812"/>
      <c r="FP26" s="812"/>
      <c r="FQ26" s="812"/>
      <c r="FR26" s="812"/>
      <c r="FS26" s="812"/>
      <c r="FT26" s="812"/>
      <c r="FU26" s="812"/>
      <c r="FV26" s="812"/>
      <c r="FW26" s="812"/>
      <c r="FX26" s="812"/>
      <c r="FY26" s="812"/>
      <c r="FZ26" s="812"/>
      <c r="GA26" s="812"/>
      <c r="GB26" s="812"/>
      <c r="GC26" s="812"/>
      <c r="GD26" s="812"/>
      <c r="GE26" s="812"/>
      <c r="GF26" s="812"/>
      <c r="GG26" s="812"/>
      <c r="GH26" s="812"/>
      <c r="GI26" s="812"/>
      <c r="GJ26" s="812"/>
      <c r="GK26" s="812"/>
      <c r="GL26" s="812"/>
      <c r="GM26" s="812"/>
      <c r="GN26" s="812"/>
      <c r="GO26" s="812"/>
      <c r="GP26" s="812"/>
      <c r="GQ26" s="812"/>
      <c r="GR26" s="812"/>
      <c r="GS26" s="812"/>
      <c r="GT26" s="812"/>
      <c r="GU26" s="812"/>
      <c r="GV26" s="812"/>
      <c r="GW26" s="812"/>
      <c r="GX26" s="812"/>
      <c r="GY26" s="812"/>
      <c r="GZ26" s="812"/>
      <c r="HA26" s="812"/>
      <c r="HB26" s="812"/>
      <c r="HC26" s="812"/>
      <c r="HD26" s="812"/>
      <c r="HE26" s="812"/>
      <c r="HF26" s="812"/>
      <c r="HG26" s="812"/>
      <c r="HH26" s="812"/>
      <c r="HI26" s="812"/>
      <c r="HJ26" s="812"/>
      <c r="HK26" s="812"/>
      <c r="HL26" s="812"/>
      <c r="HM26" s="812"/>
      <c r="HN26" s="812"/>
      <c r="HO26" s="812"/>
      <c r="HP26" s="812"/>
      <c r="HQ26" s="812"/>
      <c r="HR26" s="812"/>
      <c r="HS26" s="812"/>
      <c r="HT26" s="812"/>
      <c r="HU26" s="812"/>
      <c r="HV26" s="812"/>
      <c r="HW26" s="812"/>
      <c r="HX26" s="812"/>
      <c r="HY26" s="812"/>
      <c r="HZ26" s="812"/>
      <c r="IA26" s="812"/>
      <c r="IB26" s="812"/>
      <c r="IC26" s="812"/>
      <c r="ID26" s="812"/>
      <c r="IE26" s="812"/>
      <c r="IF26" s="812"/>
      <c r="IG26" s="812"/>
      <c r="IH26" s="812"/>
      <c r="II26" s="812"/>
      <c r="IJ26" s="812"/>
      <c r="IK26" s="812"/>
      <c r="IL26" s="812"/>
      <c r="IM26" s="812"/>
      <c r="IN26" s="812"/>
      <c r="IO26" s="812"/>
      <c r="IP26" s="812"/>
      <c r="IQ26" s="812"/>
      <c r="IR26" s="812"/>
      <c r="IS26" s="812"/>
      <c r="IT26" s="812"/>
      <c r="IU26" s="812"/>
      <c r="IV26" s="812"/>
      <c r="IW26" s="812"/>
    </row>
    <row r="27" customFormat="false" ht="12.75" hidden="false" customHeight="false" outlineLevel="0" collapsed="false">
      <c r="A27" s="812"/>
      <c r="B27" s="812"/>
      <c r="C27" s="812"/>
      <c r="D27" s="812"/>
      <c r="E27" s="49" t="n">
        <v>80</v>
      </c>
      <c r="F27" s="53" t="n">
        <f aca="false">4*4330</f>
        <v>17320</v>
      </c>
      <c r="G27" s="53" t="n">
        <f aca="false">$B$21*$B$23*($B$20*(1+$B$19))</f>
        <v>0</v>
      </c>
      <c r="H27" s="53" t="n">
        <f aca="false">G27+F27</f>
        <v>17320</v>
      </c>
      <c r="I27" s="968" t="n">
        <f aca="false">G27/H27</f>
        <v>0</v>
      </c>
      <c r="J27" s="969" t="n">
        <f aca="false">1-I27</f>
        <v>1</v>
      </c>
      <c r="K27" s="1"/>
      <c r="L27" s="1"/>
      <c r="M27" s="1"/>
      <c r="N27" s="1"/>
      <c r="O27" s="1"/>
      <c r="P27" s="1"/>
      <c r="Q27" s="1"/>
      <c r="R27" s="1"/>
      <c r="S27" s="1"/>
      <c r="T27" s="1"/>
      <c r="U27" s="1"/>
      <c r="V27" s="1"/>
      <c r="W27" s="1"/>
      <c r="X27" s="1"/>
      <c r="Y27" s="1"/>
      <c r="Z27" s="1"/>
      <c r="AA27" s="1"/>
      <c r="AB27" s="1"/>
      <c r="AC27" s="812"/>
      <c r="AD27" s="812"/>
      <c r="AE27" s="812"/>
      <c r="AF27" s="812"/>
      <c r="AG27" s="812"/>
      <c r="AH27" s="812"/>
      <c r="AI27" s="812"/>
      <c r="AJ27" s="812"/>
      <c r="AK27" s="812"/>
      <c r="AL27" s="812"/>
      <c r="AM27" s="812"/>
      <c r="AN27" s="812"/>
      <c r="AO27" s="812"/>
      <c r="AP27" s="812"/>
      <c r="AQ27" s="812"/>
      <c r="AR27" s="812"/>
      <c r="AS27" s="812"/>
      <c r="AT27" s="812"/>
      <c r="AU27" s="812"/>
      <c r="AV27" s="812"/>
      <c r="AW27" s="812"/>
      <c r="AX27" s="812"/>
      <c r="AY27" s="812"/>
      <c r="AZ27" s="812"/>
      <c r="BA27" s="812"/>
      <c r="BB27" s="812"/>
      <c r="BC27" s="812"/>
      <c r="BD27" s="812"/>
      <c r="BE27" s="812"/>
      <c r="BF27" s="812"/>
      <c r="BG27" s="812"/>
      <c r="BH27" s="812"/>
      <c r="BI27" s="812"/>
      <c r="BJ27" s="812"/>
      <c r="BK27" s="812"/>
      <c r="BL27" s="812"/>
      <c r="BM27" s="812"/>
      <c r="BN27" s="812"/>
      <c r="BO27" s="812"/>
      <c r="BP27" s="812"/>
      <c r="BQ27" s="812"/>
      <c r="BR27" s="812"/>
      <c r="BS27" s="812"/>
      <c r="BT27" s="812"/>
      <c r="BU27" s="812"/>
      <c r="BV27" s="812"/>
      <c r="BW27" s="812"/>
      <c r="BX27" s="812"/>
      <c r="BY27" s="812"/>
      <c r="BZ27" s="812"/>
      <c r="CA27" s="812"/>
      <c r="CB27" s="812"/>
      <c r="CC27" s="812"/>
      <c r="CD27" s="812"/>
      <c r="CE27" s="812"/>
      <c r="CF27" s="812"/>
      <c r="CG27" s="812"/>
      <c r="CH27" s="812"/>
      <c r="CI27" s="812"/>
      <c r="CJ27" s="812"/>
      <c r="CK27" s="812"/>
      <c r="CL27" s="812"/>
      <c r="CM27" s="812"/>
      <c r="CN27" s="812"/>
      <c r="CO27" s="812"/>
      <c r="CP27" s="812"/>
      <c r="CQ27" s="812"/>
      <c r="CR27" s="812"/>
      <c r="CS27" s="812"/>
      <c r="CT27" s="812"/>
      <c r="CU27" s="812"/>
      <c r="CV27" s="812"/>
      <c r="CW27" s="812"/>
      <c r="CX27" s="812"/>
      <c r="CY27" s="812"/>
      <c r="CZ27" s="812"/>
      <c r="DA27" s="812"/>
      <c r="DB27" s="812"/>
      <c r="DC27" s="812"/>
      <c r="DD27" s="812"/>
      <c r="DE27" s="812"/>
      <c r="DF27" s="812"/>
      <c r="DG27" s="812"/>
      <c r="DH27" s="812"/>
      <c r="DI27" s="812"/>
      <c r="DJ27" s="812"/>
      <c r="DK27" s="812"/>
      <c r="DL27" s="812"/>
      <c r="DM27" s="812"/>
      <c r="DN27" s="812"/>
      <c r="DO27" s="812"/>
      <c r="DP27" s="812"/>
      <c r="DQ27" s="812"/>
      <c r="DR27" s="812"/>
      <c r="DS27" s="812"/>
      <c r="DT27" s="812"/>
      <c r="DU27" s="812"/>
      <c r="DV27" s="812"/>
      <c r="DW27" s="812"/>
      <c r="DX27" s="812"/>
      <c r="DY27" s="812"/>
      <c r="DZ27" s="812"/>
      <c r="EA27" s="812"/>
      <c r="EB27" s="812"/>
      <c r="EC27" s="812"/>
      <c r="ED27" s="812"/>
      <c r="EE27" s="812"/>
      <c r="EF27" s="812"/>
      <c r="EG27" s="812"/>
      <c r="EH27" s="812"/>
      <c r="EI27" s="812"/>
      <c r="EJ27" s="812"/>
      <c r="EK27" s="812"/>
      <c r="EL27" s="812"/>
      <c r="EM27" s="812"/>
      <c r="EN27" s="812"/>
      <c r="EO27" s="812"/>
      <c r="EP27" s="812"/>
      <c r="EQ27" s="812"/>
      <c r="ER27" s="812"/>
      <c r="ES27" s="812"/>
      <c r="ET27" s="812"/>
      <c r="EU27" s="812"/>
      <c r="EV27" s="812"/>
      <c r="EW27" s="812"/>
      <c r="EX27" s="812"/>
      <c r="EY27" s="812"/>
      <c r="EZ27" s="812"/>
      <c r="FA27" s="812"/>
      <c r="FB27" s="812"/>
      <c r="FC27" s="812"/>
      <c r="FD27" s="812"/>
      <c r="FE27" s="812"/>
      <c r="FF27" s="812"/>
      <c r="FG27" s="812"/>
      <c r="FH27" s="812"/>
      <c r="FI27" s="812"/>
      <c r="FJ27" s="812"/>
      <c r="FK27" s="812"/>
      <c r="FL27" s="812"/>
      <c r="FM27" s="812"/>
      <c r="FN27" s="812"/>
      <c r="FO27" s="812"/>
      <c r="FP27" s="812"/>
      <c r="FQ27" s="812"/>
      <c r="FR27" s="812"/>
      <c r="FS27" s="812"/>
      <c r="FT27" s="812"/>
      <c r="FU27" s="812"/>
      <c r="FV27" s="812"/>
      <c r="FW27" s="812"/>
      <c r="FX27" s="812"/>
      <c r="FY27" s="812"/>
      <c r="FZ27" s="812"/>
      <c r="GA27" s="812"/>
      <c r="GB27" s="812"/>
      <c r="GC27" s="812"/>
      <c r="GD27" s="812"/>
      <c r="GE27" s="812"/>
      <c r="GF27" s="812"/>
      <c r="GG27" s="812"/>
      <c r="GH27" s="812"/>
      <c r="GI27" s="812"/>
      <c r="GJ27" s="812"/>
      <c r="GK27" s="812"/>
      <c r="GL27" s="812"/>
      <c r="GM27" s="812"/>
      <c r="GN27" s="812"/>
      <c r="GO27" s="812"/>
      <c r="GP27" s="812"/>
      <c r="GQ27" s="812"/>
      <c r="GR27" s="812"/>
      <c r="GS27" s="812"/>
      <c r="GT27" s="812"/>
      <c r="GU27" s="812"/>
      <c r="GV27" s="812"/>
      <c r="GW27" s="812"/>
      <c r="GX27" s="812"/>
      <c r="GY27" s="812"/>
      <c r="GZ27" s="812"/>
      <c r="HA27" s="812"/>
      <c r="HB27" s="812"/>
      <c r="HC27" s="812"/>
      <c r="HD27" s="812"/>
      <c r="HE27" s="812"/>
      <c r="HF27" s="812"/>
      <c r="HG27" s="812"/>
      <c r="HH27" s="812"/>
      <c r="HI27" s="812"/>
      <c r="HJ27" s="812"/>
      <c r="HK27" s="812"/>
      <c r="HL27" s="812"/>
      <c r="HM27" s="812"/>
      <c r="HN27" s="812"/>
      <c r="HO27" s="812"/>
      <c r="HP27" s="812"/>
      <c r="HQ27" s="812"/>
      <c r="HR27" s="812"/>
      <c r="HS27" s="812"/>
      <c r="HT27" s="812"/>
      <c r="HU27" s="812"/>
      <c r="HV27" s="812"/>
      <c r="HW27" s="812"/>
      <c r="HX27" s="812"/>
      <c r="HY27" s="812"/>
      <c r="HZ27" s="812"/>
      <c r="IA27" s="812"/>
      <c r="IB27" s="812"/>
      <c r="IC27" s="812"/>
      <c r="ID27" s="812"/>
      <c r="IE27" s="812"/>
      <c r="IF27" s="812"/>
      <c r="IG27" s="812"/>
      <c r="IH27" s="812"/>
      <c r="II27" s="812"/>
      <c r="IJ27" s="812"/>
      <c r="IK27" s="812"/>
      <c r="IL27" s="812"/>
      <c r="IM27" s="812"/>
      <c r="IN27" s="812"/>
      <c r="IO27" s="812"/>
      <c r="IP27" s="812"/>
      <c r="IQ27" s="812"/>
      <c r="IR27" s="812"/>
      <c r="IS27" s="812"/>
      <c r="IT27" s="812"/>
      <c r="IU27" s="812"/>
      <c r="IV27" s="812"/>
      <c r="IW27" s="812"/>
    </row>
    <row r="28" customFormat="false" ht="12.75" hidden="false" customHeight="false" outlineLevel="0" collapsed="false">
      <c r="A28" s="812"/>
      <c r="B28" s="812"/>
      <c r="C28" s="812"/>
      <c r="D28" s="812"/>
      <c r="E28" s="49" t="n">
        <v>90</v>
      </c>
      <c r="F28" s="53" t="n">
        <f aca="false">4*4330</f>
        <v>17320</v>
      </c>
      <c r="G28" s="53" t="n">
        <f aca="false">$B$21*$B$23*($B$20*(1+$B$19))</f>
        <v>0</v>
      </c>
      <c r="H28" s="53" t="n">
        <f aca="false">G28+F28</f>
        <v>17320</v>
      </c>
      <c r="I28" s="968" t="n">
        <f aca="false">G28/H28</f>
        <v>0</v>
      </c>
      <c r="J28" s="969" t="n">
        <f aca="false">1-I28</f>
        <v>1</v>
      </c>
      <c r="K28" s="1"/>
      <c r="L28" s="1"/>
      <c r="M28" s="1"/>
      <c r="N28" s="1"/>
      <c r="O28" s="1"/>
      <c r="P28" s="1"/>
      <c r="Q28" s="1"/>
      <c r="R28" s="1"/>
      <c r="S28" s="1"/>
      <c r="T28" s="1"/>
      <c r="U28" s="1"/>
      <c r="V28" s="1"/>
      <c r="W28" s="1"/>
      <c r="X28" s="1"/>
      <c r="Y28" s="1"/>
      <c r="Z28" s="1"/>
      <c r="AA28" s="1"/>
      <c r="AB28" s="1"/>
      <c r="AC28" s="812"/>
      <c r="AD28" s="812"/>
      <c r="AE28" s="812"/>
      <c r="AF28" s="812"/>
      <c r="AG28" s="812"/>
      <c r="AH28" s="812"/>
      <c r="AI28" s="812"/>
      <c r="AJ28" s="812"/>
      <c r="AK28" s="812"/>
      <c r="AL28" s="812"/>
      <c r="AM28" s="812"/>
      <c r="AN28" s="812"/>
      <c r="AO28" s="812"/>
      <c r="AP28" s="812"/>
      <c r="AQ28" s="812"/>
      <c r="AR28" s="812"/>
      <c r="AS28" s="812"/>
      <c r="AT28" s="812"/>
      <c r="AU28" s="812"/>
      <c r="AV28" s="812"/>
      <c r="AW28" s="812"/>
      <c r="AX28" s="812"/>
      <c r="AY28" s="812"/>
      <c r="AZ28" s="812"/>
      <c r="BA28" s="812"/>
      <c r="BB28" s="812"/>
      <c r="BC28" s="812"/>
      <c r="BD28" s="812"/>
      <c r="BE28" s="812"/>
      <c r="BF28" s="812"/>
      <c r="BG28" s="812"/>
      <c r="BH28" s="812"/>
      <c r="BI28" s="812"/>
      <c r="BJ28" s="812"/>
      <c r="BK28" s="812"/>
      <c r="BL28" s="812"/>
      <c r="BM28" s="812"/>
      <c r="BN28" s="812"/>
      <c r="BO28" s="812"/>
      <c r="BP28" s="812"/>
      <c r="BQ28" s="812"/>
      <c r="BR28" s="812"/>
      <c r="BS28" s="812"/>
      <c r="BT28" s="812"/>
      <c r="BU28" s="812"/>
      <c r="BV28" s="812"/>
      <c r="BW28" s="812"/>
      <c r="BX28" s="812"/>
      <c r="BY28" s="812"/>
      <c r="BZ28" s="812"/>
      <c r="CA28" s="812"/>
      <c r="CB28" s="812"/>
      <c r="CC28" s="812"/>
      <c r="CD28" s="812"/>
      <c r="CE28" s="812"/>
      <c r="CF28" s="812"/>
      <c r="CG28" s="812"/>
      <c r="CH28" s="812"/>
      <c r="CI28" s="812"/>
      <c r="CJ28" s="812"/>
      <c r="CK28" s="812"/>
      <c r="CL28" s="812"/>
      <c r="CM28" s="812"/>
      <c r="CN28" s="812"/>
      <c r="CO28" s="812"/>
      <c r="CP28" s="812"/>
      <c r="CQ28" s="812"/>
      <c r="CR28" s="812"/>
      <c r="CS28" s="812"/>
      <c r="CT28" s="812"/>
      <c r="CU28" s="812"/>
      <c r="CV28" s="812"/>
      <c r="CW28" s="812"/>
      <c r="CX28" s="812"/>
      <c r="CY28" s="812"/>
      <c r="CZ28" s="812"/>
      <c r="DA28" s="812"/>
      <c r="DB28" s="812"/>
      <c r="DC28" s="812"/>
      <c r="DD28" s="812"/>
      <c r="DE28" s="812"/>
      <c r="DF28" s="812"/>
      <c r="DG28" s="812"/>
      <c r="DH28" s="812"/>
      <c r="DI28" s="812"/>
      <c r="DJ28" s="812"/>
      <c r="DK28" s="812"/>
      <c r="DL28" s="812"/>
      <c r="DM28" s="812"/>
      <c r="DN28" s="812"/>
      <c r="DO28" s="812"/>
      <c r="DP28" s="812"/>
      <c r="DQ28" s="812"/>
      <c r="DR28" s="812"/>
      <c r="DS28" s="812"/>
      <c r="DT28" s="812"/>
      <c r="DU28" s="812"/>
      <c r="DV28" s="812"/>
      <c r="DW28" s="812"/>
      <c r="DX28" s="812"/>
      <c r="DY28" s="812"/>
      <c r="DZ28" s="812"/>
      <c r="EA28" s="812"/>
      <c r="EB28" s="812"/>
      <c r="EC28" s="812"/>
      <c r="ED28" s="812"/>
      <c r="EE28" s="812"/>
      <c r="EF28" s="812"/>
      <c r="EG28" s="812"/>
      <c r="EH28" s="812"/>
      <c r="EI28" s="812"/>
      <c r="EJ28" s="812"/>
      <c r="EK28" s="812"/>
      <c r="EL28" s="812"/>
      <c r="EM28" s="812"/>
      <c r="EN28" s="812"/>
      <c r="EO28" s="812"/>
      <c r="EP28" s="812"/>
      <c r="EQ28" s="812"/>
      <c r="ER28" s="812"/>
      <c r="ES28" s="812"/>
      <c r="ET28" s="812"/>
      <c r="EU28" s="812"/>
      <c r="EV28" s="812"/>
      <c r="EW28" s="812"/>
      <c r="EX28" s="812"/>
      <c r="EY28" s="812"/>
      <c r="EZ28" s="812"/>
      <c r="FA28" s="812"/>
      <c r="FB28" s="812"/>
      <c r="FC28" s="812"/>
      <c r="FD28" s="812"/>
      <c r="FE28" s="812"/>
      <c r="FF28" s="812"/>
      <c r="FG28" s="812"/>
      <c r="FH28" s="812"/>
      <c r="FI28" s="812"/>
      <c r="FJ28" s="812"/>
      <c r="FK28" s="812"/>
      <c r="FL28" s="812"/>
      <c r="FM28" s="812"/>
      <c r="FN28" s="812"/>
      <c r="FO28" s="812"/>
      <c r="FP28" s="812"/>
      <c r="FQ28" s="812"/>
      <c r="FR28" s="812"/>
      <c r="FS28" s="812"/>
      <c r="FT28" s="812"/>
      <c r="FU28" s="812"/>
      <c r="FV28" s="812"/>
      <c r="FW28" s="812"/>
      <c r="FX28" s="812"/>
      <c r="FY28" s="812"/>
      <c r="FZ28" s="812"/>
      <c r="GA28" s="812"/>
      <c r="GB28" s="812"/>
      <c r="GC28" s="812"/>
      <c r="GD28" s="812"/>
      <c r="GE28" s="812"/>
      <c r="GF28" s="812"/>
      <c r="GG28" s="812"/>
      <c r="GH28" s="812"/>
      <c r="GI28" s="812"/>
      <c r="GJ28" s="812"/>
      <c r="GK28" s="812"/>
      <c r="GL28" s="812"/>
      <c r="GM28" s="812"/>
      <c r="GN28" s="812"/>
      <c r="GO28" s="812"/>
      <c r="GP28" s="812"/>
      <c r="GQ28" s="812"/>
      <c r="GR28" s="812"/>
      <c r="GS28" s="812"/>
      <c r="GT28" s="812"/>
      <c r="GU28" s="812"/>
      <c r="GV28" s="812"/>
      <c r="GW28" s="812"/>
      <c r="GX28" s="812"/>
      <c r="GY28" s="812"/>
      <c r="GZ28" s="812"/>
      <c r="HA28" s="812"/>
      <c r="HB28" s="812"/>
      <c r="HC28" s="812"/>
      <c r="HD28" s="812"/>
      <c r="HE28" s="812"/>
      <c r="HF28" s="812"/>
      <c r="HG28" s="812"/>
      <c r="HH28" s="812"/>
      <c r="HI28" s="812"/>
      <c r="HJ28" s="812"/>
      <c r="HK28" s="812"/>
      <c r="HL28" s="812"/>
      <c r="HM28" s="812"/>
      <c r="HN28" s="812"/>
      <c r="HO28" s="812"/>
      <c r="HP28" s="812"/>
      <c r="HQ28" s="812"/>
      <c r="HR28" s="812"/>
      <c r="HS28" s="812"/>
      <c r="HT28" s="812"/>
      <c r="HU28" s="812"/>
      <c r="HV28" s="812"/>
      <c r="HW28" s="812"/>
      <c r="HX28" s="812"/>
      <c r="HY28" s="812"/>
      <c r="HZ28" s="812"/>
      <c r="IA28" s="812"/>
      <c r="IB28" s="812"/>
      <c r="IC28" s="812"/>
      <c r="ID28" s="812"/>
      <c r="IE28" s="812"/>
      <c r="IF28" s="812"/>
      <c r="IG28" s="812"/>
      <c r="IH28" s="812"/>
      <c r="II28" s="812"/>
      <c r="IJ28" s="812"/>
      <c r="IK28" s="812"/>
      <c r="IL28" s="812"/>
      <c r="IM28" s="812"/>
      <c r="IN28" s="812"/>
      <c r="IO28" s="812"/>
      <c r="IP28" s="812"/>
      <c r="IQ28" s="812"/>
      <c r="IR28" s="812"/>
      <c r="IS28" s="812"/>
      <c r="IT28" s="812"/>
      <c r="IU28" s="812"/>
      <c r="IV28" s="812"/>
      <c r="IW28" s="812"/>
    </row>
    <row r="29" customFormat="false" ht="12.75" hidden="false" customHeight="false" outlineLevel="0" collapsed="false">
      <c r="A29" s="812"/>
      <c r="B29" s="812"/>
      <c r="C29" s="812"/>
      <c r="D29" s="812"/>
      <c r="E29" s="49" t="n">
        <v>100</v>
      </c>
      <c r="F29" s="53" t="n">
        <f aca="false">4*4330</f>
        <v>17320</v>
      </c>
      <c r="G29" s="53" t="n">
        <f aca="false">$B$21*$B$23*($B$20*(1+$B$19))</f>
        <v>0</v>
      </c>
      <c r="H29" s="53" t="n">
        <f aca="false">G29+F29</f>
        <v>17320</v>
      </c>
      <c r="I29" s="968" t="n">
        <f aca="false">G29/H29</f>
        <v>0</v>
      </c>
      <c r="J29" s="969" t="n">
        <f aca="false">1-I29</f>
        <v>1</v>
      </c>
      <c r="K29" s="1"/>
      <c r="L29" s="1"/>
      <c r="M29" s="1"/>
      <c r="N29" s="1"/>
      <c r="O29" s="1"/>
      <c r="P29" s="1"/>
      <c r="Q29" s="1"/>
      <c r="R29" s="1"/>
      <c r="S29" s="1"/>
      <c r="T29" s="1"/>
      <c r="U29" s="1"/>
      <c r="V29" s="1"/>
      <c r="W29" s="1"/>
      <c r="X29" s="1"/>
      <c r="Y29" s="1"/>
      <c r="Z29" s="1"/>
      <c r="AA29" s="1"/>
      <c r="AB29" s="1"/>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12"/>
      <c r="AY29" s="812"/>
      <c r="AZ29" s="812"/>
      <c r="BA29" s="812"/>
      <c r="BB29" s="812"/>
      <c r="BC29" s="812"/>
      <c r="BD29" s="812"/>
      <c r="BE29" s="812"/>
      <c r="BF29" s="812"/>
      <c r="BG29" s="812"/>
      <c r="BH29" s="812"/>
      <c r="BI29" s="812"/>
      <c r="BJ29" s="812"/>
      <c r="BK29" s="812"/>
      <c r="BL29" s="812"/>
      <c r="BM29" s="812"/>
      <c r="BN29" s="812"/>
      <c r="BO29" s="812"/>
      <c r="BP29" s="812"/>
      <c r="BQ29" s="812"/>
      <c r="BR29" s="812"/>
      <c r="BS29" s="812"/>
      <c r="BT29" s="812"/>
      <c r="BU29" s="812"/>
      <c r="BV29" s="812"/>
      <c r="BW29" s="812"/>
      <c r="BX29" s="812"/>
      <c r="BY29" s="812"/>
      <c r="BZ29" s="812"/>
      <c r="CA29" s="812"/>
      <c r="CB29" s="812"/>
      <c r="CC29" s="812"/>
      <c r="CD29" s="812"/>
      <c r="CE29" s="812"/>
      <c r="CF29" s="812"/>
      <c r="CG29" s="812"/>
      <c r="CH29" s="812"/>
      <c r="CI29" s="812"/>
      <c r="CJ29" s="812"/>
      <c r="CK29" s="812"/>
      <c r="CL29" s="812"/>
      <c r="CM29" s="812"/>
      <c r="CN29" s="812"/>
      <c r="CO29" s="812"/>
      <c r="CP29" s="812"/>
      <c r="CQ29" s="812"/>
      <c r="CR29" s="812"/>
      <c r="CS29" s="812"/>
      <c r="CT29" s="812"/>
      <c r="CU29" s="812"/>
      <c r="CV29" s="812"/>
      <c r="CW29" s="812"/>
      <c r="CX29" s="812"/>
      <c r="CY29" s="812"/>
      <c r="CZ29" s="812"/>
      <c r="DA29" s="812"/>
      <c r="DB29" s="812"/>
      <c r="DC29" s="812"/>
      <c r="DD29" s="812"/>
      <c r="DE29" s="812"/>
      <c r="DF29" s="812"/>
      <c r="DG29" s="812"/>
      <c r="DH29" s="812"/>
      <c r="DI29" s="812"/>
      <c r="DJ29" s="812"/>
      <c r="DK29" s="812"/>
      <c r="DL29" s="812"/>
      <c r="DM29" s="812"/>
      <c r="DN29" s="812"/>
      <c r="DO29" s="812"/>
      <c r="DP29" s="812"/>
      <c r="DQ29" s="812"/>
      <c r="DR29" s="812"/>
      <c r="DS29" s="812"/>
      <c r="DT29" s="812"/>
      <c r="DU29" s="812"/>
      <c r="DV29" s="812"/>
      <c r="DW29" s="812"/>
      <c r="DX29" s="812"/>
      <c r="DY29" s="812"/>
      <c r="DZ29" s="812"/>
      <c r="EA29" s="812"/>
      <c r="EB29" s="812"/>
      <c r="EC29" s="812"/>
      <c r="ED29" s="812"/>
      <c r="EE29" s="812"/>
      <c r="EF29" s="812"/>
      <c r="EG29" s="812"/>
      <c r="EH29" s="812"/>
      <c r="EI29" s="812"/>
      <c r="EJ29" s="812"/>
      <c r="EK29" s="812"/>
      <c r="EL29" s="812"/>
      <c r="EM29" s="812"/>
      <c r="EN29" s="812"/>
      <c r="EO29" s="812"/>
      <c r="EP29" s="812"/>
      <c r="EQ29" s="812"/>
      <c r="ER29" s="812"/>
      <c r="ES29" s="812"/>
      <c r="ET29" s="812"/>
      <c r="EU29" s="812"/>
      <c r="EV29" s="812"/>
      <c r="EW29" s="812"/>
      <c r="EX29" s="812"/>
      <c r="EY29" s="812"/>
      <c r="EZ29" s="812"/>
      <c r="FA29" s="812"/>
      <c r="FB29" s="812"/>
      <c r="FC29" s="812"/>
      <c r="FD29" s="812"/>
      <c r="FE29" s="812"/>
      <c r="FF29" s="812"/>
      <c r="FG29" s="812"/>
      <c r="FH29" s="812"/>
      <c r="FI29" s="812"/>
      <c r="FJ29" s="812"/>
      <c r="FK29" s="812"/>
      <c r="FL29" s="812"/>
      <c r="FM29" s="812"/>
      <c r="FN29" s="812"/>
      <c r="FO29" s="812"/>
      <c r="FP29" s="812"/>
      <c r="FQ29" s="812"/>
      <c r="FR29" s="812"/>
      <c r="FS29" s="812"/>
      <c r="FT29" s="812"/>
      <c r="FU29" s="812"/>
      <c r="FV29" s="812"/>
      <c r="FW29" s="812"/>
      <c r="FX29" s="812"/>
      <c r="FY29" s="812"/>
      <c r="FZ29" s="812"/>
      <c r="GA29" s="812"/>
      <c r="GB29" s="812"/>
      <c r="GC29" s="812"/>
      <c r="GD29" s="812"/>
      <c r="GE29" s="812"/>
      <c r="GF29" s="812"/>
      <c r="GG29" s="812"/>
      <c r="GH29" s="812"/>
      <c r="GI29" s="812"/>
      <c r="GJ29" s="812"/>
      <c r="GK29" s="812"/>
      <c r="GL29" s="812"/>
      <c r="GM29" s="812"/>
      <c r="GN29" s="812"/>
      <c r="GO29" s="812"/>
      <c r="GP29" s="812"/>
      <c r="GQ29" s="812"/>
      <c r="GR29" s="812"/>
      <c r="GS29" s="812"/>
      <c r="GT29" s="812"/>
      <c r="GU29" s="812"/>
      <c r="GV29" s="812"/>
      <c r="GW29" s="812"/>
      <c r="GX29" s="812"/>
      <c r="GY29" s="812"/>
      <c r="GZ29" s="812"/>
      <c r="HA29" s="812"/>
      <c r="HB29" s="812"/>
      <c r="HC29" s="812"/>
      <c r="HD29" s="812"/>
      <c r="HE29" s="812"/>
      <c r="HF29" s="812"/>
      <c r="HG29" s="812"/>
      <c r="HH29" s="812"/>
      <c r="HI29" s="812"/>
      <c r="HJ29" s="812"/>
      <c r="HK29" s="812"/>
      <c r="HL29" s="812"/>
      <c r="HM29" s="812"/>
      <c r="HN29" s="812"/>
      <c r="HO29" s="812"/>
      <c r="HP29" s="812"/>
      <c r="HQ29" s="812"/>
      <c r="HR29" s="812"/>
      <c r="HS29" s="812"/>
      <c r="HT29" s="812"/>
      <c r="HU29" s="812"/>
      <c r="HV29" s="812"/>
      <c r="HW29" s="812"/>
      <c r="HX29" s="812"/>
      <c r="HY29" s="812"/>
      <c r="HZ29" s="812"/>
      <c r="IA29" s="812"/>
      <c r="IB29" s="812"/>
      <c r="IC29" s="812"/>
      <c r="ID29" s="812"/>
      <c r="IE29" s="812"/>
      <c r="IF29" s="812"/>
      <c r="IG29" s="812"/>
      <c r="IH29" s="812"/>
      <c r="II29" s="812"/>
      <c r="IJ29" s="812"/>
      <c r="IK29" s="812"/>
      <c r="IL29" s="812"/>
      <c r="IM29" s="812"/>
      <c r="IN29" s="812"/>
      <c r="IO29" s="812"/>
      <c r="IP29" s="812"/>
      <c r="IQ29" s="812"/>
      <c r="IR29" s="812"/>
      <c r="IS29" s="812"/>
      <c r="IT29" s="812"/>
      <c r="IU29" s="812"/>
      <c r="IV29" s="812"/>
      <c r="IW29" s="812"/>
    </row>
    <row r="30" customFormat="false" ht="12.75" hidden="false" customHeight="false" outlineLevel="0" collapsed="false">
      <c r="A30" s="812"/>
      <c r="B30" s="812"/>
      <c r="C30" s="812"/>
      <c r="D30" s="812"/>
      <c r="E30" s="49" t="n">
        <v>110</v>
      </c>
      <c r="F30" s="53" t="n">
        <f aca="false">4*4330</f>
        <v>17320</v>
      </c>
      <c r="G30" s="53" t="n">
        <f aca="false">$B$21*$B$23*($B$20*(1+$B$19))</f>
        <v>0</v>
      </c>
      <c r="H30" s="53" t="n">
        <f aca="false">G30+F30</f>
        <v>17320</v>
      </c>
      <c r="I30" s="968" t="n">
        <f aca="false">G30/H30</f>
        <v>0</v>
      </c>
      <c r="J30" s="969" t="n">
        <f aca="false">1-I30</f>
        <v>1</v>
      </c>
      <c r="K30" s="1"/>
      <c r="L30" s="1"/>
      <c r="M30" s="1"/>
      <c r="N30" s="1"/>
      <c r="O30" s="1"/>
      <c r="P30" s="1"/>
      <c r="Q30" s="1"/>
      <c r="R30" s="1"/>
      <c r="S30" s="1"/>
      <c r="T30" s="1"/>
      <c r="U30" s="1"/>
      <c r="V30" s="1"/>
      <c r="W30" s="1"/>
      <c r="X30" s="1"/>
      <c r="Y30" s="1"/>
      <c r="Z30" s="1"/>
      <c r="AA30" s="1"/>
      <c r="AB30" s="1"/>
      <c r="AC30" s="812"/>
      <c r="AD30" s="812"/>
      <c r="AE30" s="812"/>
      <c r="AF30" s="812"/>
      <c r="AG30" s="812"/>
      <c r="AH30" s="812"/>
      <c r="AI30" s="812"/>
      <c r="AJ30" s="812"/>
      <c r="AK30" s="812"/>
      <c r="AL30" s="812"/>
      <c r="AM30" s="812"/>
      <c r="AN30" s="812"/>
      <c r="AO30" s="812"/>
      <c r="AP30" s="812"/>
      <c r="AQ30" s="812"/>
      <c r="AR30" s="812"/>
      <c r="AS30" s="812"/>
      <c r="AT30" s="812"/>
      <c r="AU30" s="812"/>
      <c r="AV30" s="812"/>
      <c r="AW30" s="812"/>
      <c r="AX30" s="812"/>
      <c r="AY30" s="812"/>
      <c r="AZ30" s="812"/>
      <c r="BA30" s="812"/>
      <c r="BB30" s="812"/>
      <c r="BC30" s="812"/>
      <c r="BD30" s="812"/>
      <c r="BE30" s="812"/>
      <c r="BF30" s="812"/>
      <c r="BG30" s="812"/>
      <c r="BH30" s="812"/>
      <c r="BI30" s="812"/>
      <c r="BJ30" s="812"/>
      <c r="BK30" s="812"/>
      <c r="BL30" s="812"/>
      <c r="BM30" s="812"/>
      <c r="BN30" s="812"/>
      <c r="BO30" s="812"/>
      <c r="BP30" s="812"/>
      <c r="BQ30" s="812"/>
      <c r="BR30" s="812"/>
      <c r="BS30" s="812"/>
      <c r="BT30" s="812"/>
      <c r="BU30" s="812"/>
      <c r="BV30" s="812"/>
      <c r="BW30" s="812"/>
      <c r="BX30" s="812"/>
      <c r="BY30" s="812"/>
      <c r="BZ30" s="812"/>
      <c r="CA30" s="812"/>
      <c r="CB30" s="812"/>
      <c r="CC30" s="812"/>
      <c r="CD30" s="812"/>
      <c r="CE30" s="812"/>
      <c r="CF30" s="812"/>
      <c r="CG30" s="812"/>
      <c r="CH30" s="812"/>
      <c r="CI30" s="812"/>
      <c r="CJ30" s="812"/>
      <c r="CK30" s="812"/>
      <c r="CL30" s="812"/>
      <c r="CM30" s="812"/>
      <c r="CN30" s="812"/>
      <c r="CO30" s="812"/>
      <c r="CP30" s="812"/>
      <c r="CQ30" s="812"/>
      <c r="CR30" s="812"/>
      <c r="CS30" s="812"/>
      <c r="CT30" s="812"/>
      <c r="CU30" s="812"/>
      <c r="CV30" s="812"/>
      <c r="CW30" s="812"/>
      <c r="CX30" s="812"/>
      <c r="CY30" s="812"/>
      <c r="CZ30" s="812"/>
      <c r="DA30" s="812"/>
      <c r="DB30" s="812"/>
      <c r="DC30" s="812"/>
      <c r="DD30" s="812"/>
      <c r="DE30" s="812"/>
      <c r="DF30" s="812"/>
      <c r="DG30" s="812"/>
      <c r="DH30" s="812"/>
      <c r="DI30" s="812"/>
      <c r="DJ30" s="812"/>
      <c r="DK30" s="812"/>
      <c r="DL30" s="812"/>
      <c r="DM30" s="812"/>
      <c r="DN30" s="812"/>
      <c r="DO30" s="812"/>
      <c r="DP30" s="812"/>
      <c r="DQ30" s="812"/>
      <c r="DR30" s="812"/>
      <c r="DS30" s="812"/>
      <c r="DT30" s="812"/>
      <c r="DU30" s="812"/>
      <c r="DV30" s="812"/>
      <c r="DW30" s="812"/>
      <c r="DX30" s="812"/>
      <c r="DY30" s="812"/>
      <c r="DZ30" s="812"/>
      <c r="EA30" s="812"/>
      <c r="EB30" s="812"/>
      <c r="EC30" s="812"/>
      <c r="ED30" s="812"/>
      <c r="EE30" s="812"/>
      <c r="EF30" s="812"/>
      <c r="EG30" s="812"/>
      <c r="EH30" s="812"/>
      <c r="EI30" s="812"/>
      <c r="EJ30" s="812"/>
      <c r="EK30" s="812"/>
      <c r="EL30" s="812"/>
      <c r="EM30" s="812"/>
      <c r="EN30" s="812"/>
      <c r="EO30" s="812"/>
      <c r="EP30" s="812"/>
      <c r="EQ30" s="812"/>
      <c r="ER30" s="812"/>
      <c r="ES30" s="812"/>
      <c r="ET30" s="812"/>
      <c r="EU30" s="812"/>
      <c r="EV30" s="812"/>
      <c r="EW30" s="812"/>
      <c r="EX30" s="812"/>
      <c r="EY30" s="812"/>
      <c r="EZ30" s="812"/>
      <c r="FA30" s="812"/>
      <c r="FB30" s="812"/>
      <c r="FC30" s="812"/>
      <c r="FD30" s="812"/>
      <c r="FE30" s="812"/>
      <c r="FF30" s="812"/>
      <c r="FG30" s="812"/>
      <c r="FH30" s="812"/>
      <c r="FI30" s="812"/>
      <c r="FJ30" s="812"/>
      <c r="FK30" s="812"/>
      <c r="FL30" s="812"/>
      <c r="FM30" s="812"/>
      <c r="FN30" s="812"/>
      <c r="FO30" s="812"/>
      <c r="FP30" s="812"/>
      <c r="FQ30" s="812"/>
      <c r="FR30" s="812"/>
      <c r="FS30" s="812"/>
      <c r="FT30" s="812"/>
      <c r="FU30" s="812"/>
      <c r="FV30" s="812"/>
      <c r="FW30" s="812"/>
      <c r="FX30" s="812"/>
      <c r="FY30" s="812"/>
      <c r="FZ30" s="812"/>
      <c r="GA30" s="812"/>
      <c r="GB30" s="812"/>
      <c r="GC30" s="812"/>
      <c r="GD30" s="812"/>
      <c r="GE30" s="812"/>
      <c r="GF30" s="812"/>
      <c r="GG30" s="812"/>
      <c r="GH30" s="812"/>
      <c r="GI30" s="812"/>
      <c r="GJ30" s="812"/>
      <c r="GK30" s="812"/>
      <c r="GL30" s="812"/>
      <c r="GM30" s="812"/>
      <c r="GN30" s="812"/>
      <c r="GO30" s="812"/>
      <c r="GP30" s="812"/>
      <c r="GQ30" s="812"/>
      <c r="GR30" s="812"/>
      <c r="GS30" s="812"/>
      <c r="GT30" s="812"/>
      <c r="GU30" s="812"/>
      <c r="GV30" s="812"/>
      <c r="GW30" s="812"/>
      <c r="GX30" s="812"/>
      <c r="GY30" s="812"/>
      <c r="GZ30" s="812"/>
      <c r="HA30" s="812"/>
      <c r="HB30" s="812"/>
      <c r="HC30" s="812"/>
      <c r="HD30" s="812"/>
      <c r="HE30" s="812"/>
      <c r="HF30" s="812"/>
      <c r="HG30" s="812"/>
      <c r="HH30" s="812"/>
      <c r="HI30" s="812"/>
      <c r="HJ30" s="812"/>
      <c r="HK30" s="812"/>
      <c r="HL30" s="812"/>
      <c r="HM30" s="812"/>
      <c r="HN30" s="812"/>
      <c r="HO30" s="812"/>
      <c r="HP30" s="812"/>
      <c r="HQ30" s="812"/>
      <c r="HR30" s="812"/>
      <c r="HS30" s="812"/>
      <c r="HT30" s="812"/>
      <c r="HU30" s="812"/>
      <c r="HV30" s="812"/>
      <c r="HW30" s="812"/>
      <c r="HX30" s="812"/>
      <c r="HY30" s="812"/>
      <c r="HZ30" s="812"/>
      <c r="IA30" s="812"/>
      <c r="IB30" s="812"/>
      <c r="IC30" s="812"/>
      <c r="ID30" s="812"/>
      <c r="IE30" s="812"/>
      <c r="IF30" s="812"/>
      <c r="IG30" s="812"/>
      <c r="IH30" s="812"/>
      <c r="II30" s="812"/>
      <c r="IJ30" s="812"/>
      <c r="IK30" s="812"/>
      <c r="IL30" s="812"/>
      <c r="IM30" s="812"/>
      <c r="IN30" s="812"/>
      <c r="IO30" s="812"/>
      <c r="IP30" s="812"/>
      <c r="IQ30" s="812"/>
      <c r="IR30" s="812"/>
      <c r="IS30" s="812"/>
      <c r="IT30" s="812"/>
      <c r="IU30" s="812"/>
      <c r="IV30" s="812"/>
      <c r="IW30" s="812"/>
    </row>
    <row r="31" customFormat="false" ht="12.75" hidden="false" customHeight="false" outlineLevel="0" collapsed="false">
      <c r="A31" s="812"/>
      <c r="B31" s="812"/>
      <c r="C31" s="812"/>
      <c r="D31" s="812"/>
      <c r="E31" s="49" t="n">
        <v>120</v>
      </c>
      <c r="F31" s="53" t="n">
        <f aca="false">4*4330</f>
        <v>17320</v>
      </c>
      <c r="G31" s="53" t="n">
        <f aca="false">$B$21*$B$23*($B$20*(1+$B$19))</f>
        <v>0</v>
      </c>
      <c r="H31" s="53" t="n">
        <f aca="false">G31+F31</f>
        <v>17320</v>
      </c>
      <c r="I31" s="968" t="n">
        <f aca="false">G31/H31</f>
        <v>0</v>
      </c>
      <c r="J31" s="969" t="n">
        <f aca="false">1-I31</f>
        <v>1</v>
      </c>
      <c r="K31" s="1"/>
      <c r="L31" s="1"/>
      <c r="M31" s="1"/>
      <c r="N31" s="1"/>
      <c r="O31" s="1"/>
      <c r="P31" s="1"/>
      <c r="Q31" s="1"/>
      <c r="R31" s="1"/>
      <c r="S31" s="1"/>
      <c r="T31" s="1"/>
      <c r="U31" s="1"/>
      <c r="V31" s="1"/>
      <c r="W31" s="1"/>
      <c r="X31" s="1"/>
      <c r="Y31" s="1"/>
      <c r="Z31" s="1"/>
      <c r="AA31" s="1"/>
      <c r="AB31" s="1"/>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2"/>
      <c r="AY31" s="812"/>
      <c r="AZ31" s="812"/>
      <c r="BA31" s="812"/>
      <c r="BB31" s="812"/>
      <c r="BC31" s="812"/>
      <c r="BD31" s="812"/>
      <c r="BE31" s="812"/>
      <c r="BF31" s="812"/>
      <c r="BG31" s="812"/>
      <c r="BH31" s="812"/>
      <c r="BI31" s="812"/>
      <c r="BJ31" s="812"/>
      <c r="BK31" s="812"/>
      <c r="BL31" s="812"/>
      <c r="BM31" s="812"/>
      <c r="BN31" s="812"/>
      <c r="BO31" s="812"/>
      <c r="BP31" s="812"/>
      <c r="BQ31" s="812"/>
      <c r="BR31" s="812"/>
      <c r="BS31" s="812"/>
      <c r="BT31" s="812"/>
      <c r="BU31" s="812"/>
      <c r="BV31" s="812"/>
      <c r="BW31" s="812"/>
      <c r="BX31" s="812"/>
      <c r="BY31" s="812"/>
      <c r="BZ31" s="812"/>
      <c r="CA31" s="812"/>
      <c r="CB31" s="812"/>
      <c r="CC31" s="812"/>
      <c r="CD31" s="812"/>
      <c r="CE31" s="812"/>
      <c r="CF31" s="812"/>
      <c r="CG31" s="812"/>
      <c r="CH31" s="812"/>
      <c r="CI31" s="812"/>
      <c r="CJ31" s="812"/>
      <c r="CK31" s="812"/>
      <c r="CL31" s="812"/>
      <c r="CM31" s="812"/>
      <c r="CN31" s="812"/>
      <c r="CO31" s="812"/>
      <c r="CP31" s="812"/>
      <c r="CQ31" s="812"/>
      <c r="CR31" s="812"/>
      <c r="CS31" s="812"/>
      <c r="CT31" s="812"/>
      <c r="CU31" s="812"/>
      <c r="CV31" s="812"/>
      <c r="CW31" s="812"/>
      <c r="CX31" s="812"/>
      <c r="CY31" s="812"/>
      <c r="CZ31" s="812"/>
      <c r="DA31" s="812"/>
      <c r="DB31" s="812"/>
      <c r="DC31" s="812"/>
      <c r="DD31" s="812"/>
      <c r="DE31" s="812"/>
      <c r="DF31" s="812"/>
      <c r="DG31" s="812"/>
      <c r="DH31" s="812"/>
      <c r="DI31" s="812"/>
      <c r="DJ31" s="812"/>
      <c r="DK31" s="812"/>
      <c r="DL31" s="812"/>
      <c r="DM31" s="812"/>
      <c r="DN31" s="812"/>
      <c r="DO31" s="812"/>
      <c r="DP31" s="812"/>
      <c r="DQ31" s="812"/>
      <c r="DR31" s="812"/>
      <c r="DS31" s="812"/>
      <c r="DT31" s="812"/>
      <c r="DU31" s="812"/>
      <c r="DV31" s="812"/>
      <c r="DW31" s="812"/>
      <c r="DX31" s="812"/>
      <c r="DY31" s="812"/>
      <c r="DZ31" s="812"/>
      <c r="EA31" s="812"/>
      <c r="EB31" s="812"/>
      <c r="EC31" s="812"/>
      <c r="ED31" s="812"/>
      <c r="EE31" s="812"/>
      <c r="EF31" s="812"/>
      <c r="EG31" s="812"/>
      <c r="EH31" s="812"/>
      <c r="EI31" s="812"/>
      <c r="EJ31" s="812"/>
      <c r="EK31" s="812"/>
      <c r="EL31" s="812"/>
      <c r="EM31" s="812"/>
      <c r="EN31" s="812"/>
      <c r="EO31" s="812"/>
      <c r="EP31" s="812"/>
      <c r="EQ31" s="812"/>
      <c r="ER31" s="812"/>
      <c r="ES31" s="812"/>
      <c r="ET31" s="812"/>
      <c r="EU31" s="812"/>
      <c r="EV31" s="812"/>
      <c r="EW31" s="812"/>
      <c r="EX31" s="812"/>
      <c r="EY31" s="812"/>
      <c r="EZ31" s="812"/>
      <c r="FA31" s="812"/>
      <c r="FB31" s="812"/>
      <c r="FC31" s="812"/>
      <c r="FD31" s="812"/>
      <c r="FE31" s="812"/>
      <c r="FF31" s="812"/>
      <c r="FG31" s="812"/>
      <c r="FH31" s="812"/>
      <c r="FI31" s="812"/>
      <c r="FJ31" s="812"/>
      <c r="FK31" s="812"/>
      <c r="FL31" s="812"/>
      <c r="FM31" s="812"/>
      <c r="FN31" s="812"/>
      <c r="FO31" s="812"/>
      <c r="FP31" s="812"/>
      <c r="FQ31" s="812"/>
      <c r="FR31" s="812"/>
      <c r="FS31" s="812"/>
      <c r="FT31" s="812"/>
      <c r="FU31" s="812"/>
      <c r="FV31" s="812"/>
      <c r="FW31" s="812"/>
      <c r="FX31" s="812"/>
      <c r="FY31" s="812"/>
      <c r="FZ31" s="812"/>
      <c r="GA31" s="812"/>
      <c r="GB31" s="812"/>
      <c r="GC31" s="812"/>
      <c r="GD31" s="812"/>
      <c r="GE31" s="812"/>
      <c r="GF31" s="812"/>
      <c r="GG31" s="812"/>
      <c r="GH31" s="812"/>
      <c r="GI31" s="812"/>
      <c r="GJ31" s="812"/>
      <c r="GK31" s="812"/>
      <c r="GL31" s="812"/>
      <c r="GM31" s="812"/>
      <c r="GN31" s="812"/>
      <c r="GO31" s="812"/>
      <c r="GP31" s="812"/>
      <c r="GQ31" s="812"/>
      <c r="GR31" s="812"/>
      <c r="GS31" s="812"/>
      <c r="GT31" s="812"/>
      <c r="GU31" s="812"/>
      <c r="GV31" s="812"/>
      <c r="GW31" s="812"/>
      <c r="GX31" s="812"/>
      <c r="GY31" s="812"/>
      <c r="GZ31" s="812"/>
      <c r="HA31" s="812"/>
      <c r="HB31" s="812"/>
      <c r="HC31" s="812"/>
      <c r="HD31" s="812"/>
      <c r="HE31" s="812"/>
      <c r="HF31" s="812"/>
      <c r="HG31" s="812"/>
      <c r="HH31" s="812"/>
      <c r="HI31" s="812"/>
      <c r="HJ31" s="812"/>
      <c r="HK31" s="812"/>
      <c r="HL31" s="812"/>
      <c r="HM31" s="812"/>
      <c r="HN31" s="812"/>
      <c r="HO31" s="812"/>
      <c r="HP31" s="812"/>
      <c r="HQ31" s="812"/>
      <c r="HR31" s="812"/>
      <c r="HS31" s="812"/>
      <c r="HT31" s="812"/>
      <c r="HU31" s="812"/>
      <c r="HV31" s="812"/>
      <c r="HW31" s="812"/>
      <c r="HX31" s="812"/>
      <c r="HY31" s="812"/>
      <c r="HZ31" s="812"/>
      <c r="IA31" s="812"/>
      <c r="IB31" s="812"/>
      <c r="IC31" s="812"/>
      <c r="ID31" s="812"/>
      <c r="IE31" s="812"/>
      <c r="IF31" s="812"/>
      <c r="IG31" s="812"/>
      <c r="IH31" s="812"/>
      <c r="II31" s="812"/>
      <c r="IJ31" s="812"/>
      <c r="IK31" s="812"/>
      <c r="IL31" s="812"/>
      <c r="IM31" s="812"/>
      <c r="IN31" s="812"/>
      <c r="IO31" s="812"/>
      <c r="IP31" s="812"/>
      <c r="IQ31" s="812"/>
      <c r="IR31" s="812"/>
      <c r="IS31" s="812"/>
      <c r="IT31" s="812"/>
      <c r="IU31" s="812"/>
      <c r="IV31" s="812"/>
      <c r="IW31" s="812"/>
    </row>
    <row r="32" customFormat="false" ht="12.75" hidden="false" customHeight="false" outlineLevel="0" collapsed="false">
      <c r="A32" s="812"/>
      <c r="B32" s="812"/>
      <c r="C32" s="812"/>
      <c r="D32" s="812"/>
      <c r="E32" s="49" t="n">
        <v>130</v>
      </c>
      <c r="F32" s="53" t="n">
        <f aca="false">4*4330</f>
        <v>17320</v>
      </c>
      <c r="G32" s="53" t="n">
        <f aca="false">$B$21*$B$23*($B$20*(1+$B$19))</f>
        <v>0</v>
      </c>
      <c r="H32" s="53" t="n">
        <f aca="false">G32+F32</f>
        <v>17320</v>
      </c>
      <c r="I32" s="968" t="n">
        <f aca="false">G32/H32</f>
        <v>0</v>
      </c>
      <c r="J32" s="969" t="n">
        <f aca="false">1-I32</f>
        <v>1</v>
      </c>
      <c r="K32" s="1"/>
      <c r="L32" s="1"/>
      <c r="M32" s="1"/>
      <c r="N32" s="1"/>
      <c r="O32" s="1"/>
      <c r="P32" s="1"/>
      <c r="Q32" s="1"/>
      <c r="R32" s="1"/>
      <c r="S32" s="1"/>
      <c r="T32" s="1"/>
      <c r="U32" s="1"/>
      <c r="V32" s="1"/>
      <c r="W32" s="1"/>
      <c r="X32" s="1"/>
      <c r="Y32" s="1"/>
      <c r="Z32" s="1"/>
      <c r="AA32" s="1"/>
      <c r="AB32" s="1"/>
      <c r="AC32" s="812"/>
      <c r="AD32" s="812"/>
      <c r="AE32" s="812"/>
      <c r="AF32" s="812"/>
      <c r="AG32" s="812"/>
      <c r="AH32" s="812"/>
      <c r="AI32" s="812"/>
      <c r="AJ32" s="812"/>
      <c r="AK32" s="812"/>
      <c r="AL32" s="812"/>
      <c r="AM32" s="812"/>
      <c r="AN32" s="812"/>
      <c r="AO32" s="812"/>
      <c r="AP32" s="812"/>
      <c r="AQ32" s="812"/>
      <c r="AR32" s="812"/>
      <c r="AS32" s="812"/>
      <c r="AT32" s="812"/>
      <c r="AU32" s="812"/>
      <c r="AV32" s="812"/>
      <c r="AW32" s="812"/>
      <c r="AX32" s="812"/>
      <c r="AY32" s="812"/>
      <c r="AZ32" s="812"/>
      <c r="BA32" s="812"/>
      <c r="BB32" s="812"/>
      <c r="BC32" s="812"/>
      <c r="BD32" s="812"/>
      <c r="BE32" s="812"/>
      <c r="BF32" s="812"/>
      <c r="BG32" s="812"/>
      <c r="BH32" s="812"/>
      <c r="BI32" s="812"/>
      <c r="BJ32" s="812"/>
      <c r="BK32" s="812"/>
      <c r="BL32" s="812"/>
      <c r="BM32" s="812"/>
      <c r="BN32" s="812"/>
      <c r="BO32" s="812"/>
      <c r="BP32" s="812"/>
      <c r="BQ32" s="812"/>
      <c r="BR32" s="812"/>
      <c r="BS32" s="812"/>
      <c r="BT32" s="812"/>
      <c r="BU32" s="812"/>
      <c r="BV32" s="812"/>
      <c r="BW32" s="812"/>
      <c r="BX32" s="812"/>
      <c r="BY32" s="812"/>
      <c r="BZ32" s="812"/>
      <c r="CA32" s="812"/>
      <c r="CB32" s="812"/>
      <c r="CC32" s="812"/>
      <c r="CD32" s="812"/>
      <c r="CE32" s="812"/>
      <c r="CF32" s="812"/>
      <c r="CG32" s="812"/>
      <c r="CH32" s="812"/>
      <c r="CI32" s="812"/>
      <c r="CJ32" s="812"/>
      <c r="CK32" s="812"/>
      <c r="CL32" s="812"/>
      <c r="CM32" s="812"/>
      <c r="CN32" s="812"/>
      <c r="CO32" s="812"/>
      <c r="CP32" s="812"/>
      <c r="CQ32" s="812"/>
      <c r="CR32" s="812"/>
      <c r="CS32" s="812"/>
      <c r="CT32" s="812"/>
      <c r="CU32" s="812"/>
      <c r="CV32" s="812"/>
      <c r="CW32" s="812"/>
      <c r="CX32" s="812"/>
      <c r="CY32" s="812"/>
      <c r="CZ32" s="812"/>
      <c r="DA32" s="812"/>
      <c r="DB32" s="812"/>
      <c r="DC32" s="812"/>
      <c r="DD32" s="812"/>
      <c r="DE32" s="812"/>
      <c r="DF32" s="812"/>
      <c r="DG32" s="812"/>
      <c r="DH32" s="812"/>
      <c r="DI32" s="812"/>
      <c r="DJ32" s="812"/>
      <c r="DK32" s="812"/>
      <c r="DL32" s="812"/>
      <c r="DM32" s="812"/>
      <c r="DN32" s="812"/>
      <c r="DO32" s="812"/>
      <c r="DP32" s="812"/>
      <c r="DQ32" s="812"/>
      <c r="DR32" s="812"/>
      <c r="DS32" s="812"/>
      <c r="DT32" s="812"/>
      <c r="DU32" s="812"/>
      <c r="DV32" s="812"/>
      <c r="DW32" s="812"/>
      <c r="DX32" s="812"/>
      <c r="DY32" s="812"/>
      <c r="DZ32" s="812"/>
      <c r="EA32" s="812"/>
      <c r="EB32" s="812"/>
      <c r="EC32" s="812"/>
      <c r="ED32" s="812"/>
      <c r="EE32" s="812"/>
      <c r="EF32" s="812"/>
      <c r="EG32" s="812"/>
      <c r="EH32" s="812"/>
      <c r="EI32" s="812"/>
      <c r="EJ32" s="812"/>
      <c r="EK32" s="812"/>
      <c r="EL32" s="812"/>
      <c r="EM32" s="812"/>
      <c r="EN32" s="812"/>
      <c r="EO32" s="812"/>
      <c r="EP32" s="812"/>
      <c r="EQ32" s="812"/>
      <c r="ER32" s="812"/>
      <c r="ES32" s="812"/>
      <c r="ET32" s="812"/>
      <c r="EU32" s="812"/>
      <c r="EV32" s="812"/>
      <c r="EW32" s="812"/>
      <c r="EX32" s="812"/>
      <c r="EY32" s="812"/>
      <c r="EZ32" s="812"/>
      <c r="FA32" s="812"/>
      <c r="FB32" s="812"/>
      <c r="FC32" s="812"/>
      <c r="FD32" s="812"/>
      <c r="FE32" s="812"/>
      <c r="FF32" s="812"/>
      <c r="FG32" s="812"/>
      <c r="FH32" s="812"/>
      <c r="FI32" s="812"/>
      <c r="FJ32" s="812"/>
      <c r="FK32" s="812"/>
      <c r="FL32" s="812"/>
      <c r="FM32" s="812"/>
      <c r="FN32" s="812"/>
      <c r="FO32" s="812"/>
      <c r="FP32" s="812"/>
      <c r="FQ32" s="812"/>
      <c r="FR32" s="812"/>
      <c r="FS32" s="812"/>
      <c r="FT32" s="812"/>
      <c r="FU32" s="812"/>
      <c r="FV32" s="812"/>
      <c r="FW32" s="812"/>
      <c r="FX32" s="812"/>
      <c r="FY32" s="812"/>
      <c r="FZ32" s="812"/>
      <c r="GA32" s="812"/>
      <c r="GB32" s="812"/>
      <c r="GC32" s="812"/>
      <c r="GD32" s="812"/>
      <c r="GE32" s="812"/>
      <c r="GF32" s="812"/>
      <c r="GG32" s="812"/>
      <c r="GH32" s="812"/>
      <c r="GI32" s="812"/>
      <c r="GJ32" s="812"/>
      <c r="GK32" s="812"/>
      <c r="GL32" s="812"/>
      <c r="GM32" s="812"/>
      <c r="GN32" s="812"/>
      <c r="GO32" s="812"/>
      <c r="GP32" s="812"/>
      <c r="GQ32" s="812"/>
      <c r="GR32" s="812"/>
      <c r="GS32" s="812"/>
      <c r="GT32" s="812"/>
      <c r="GU32" s="812"/>
      <c r="GV32" s="812"/>
      <c r="GW32" s="812"/>
      <c r="GX32" s="812"/>
      <c r="GY32" s="812"/>
      <c r="GZ32" s="812"/>
      <c r="HA32" s="812"/>
      <c r="HB32" s="812"/>
      <c r="HC32" s="812"/>
      <c r="HD32" s="812"/>
      <c r="HE32" s="812"/>
      <c r="HF32" s="812"/>
      <c r="HG32" s="812"/>
      <c r="HH32" s="812"/>
      <c r="HI32" s="812"/>
      <c r="HJ32" s="812"/>
      <c r="HK32" s="812"/>
      <c r="HL32" s="812"/>
      <c r="HM32" s="812"/>
      <c r="HN32" s="812"/>
      <c r="HO32" s="812"/>
      <c r="HP32" s="812"/>
      <c r="HQ32" s="812"/>
      <c r="HR32" s="812"/>
      <c r="HS32" s="812"/>
      <c r="HT32" s="812"/>
      <c r="HU32" s="812"/>
      <c r="HV32" s="812"/>
      <c r="HW32" s="812"/>
      <c r="HX32" s="812"/>
      <c r="HY32" s="812"/>
      <c r="HZ32" s="812"/>
      <c r="IA32" s="812"/>
      <c r="IB32" s="812"/>
      <c r="IC32" s="812"/>
      <c r="ID32" s="812"/>
      <c r="IE32" s="812"/>
      <c r="IF32" s="812"/>
      <c r="IG32" s="812"/>
      <c r="IH32" s="812"/>
      <c r="II32" s="812"/>
      <c r="IJ32" s="812"/>
      <c r="IK32" s="812"/>
      <c r="IL32" s="812"/>
      <c r="IM32" s="812"/>
      <c r="IN32" s="812"/>
      <c r="IO32" s="812"/>
      <c r="IP32" s="812"/>
      <c r="IQ32" s="812"/>
      <c r="IR32" s="812"/>
      <c r="IS32" s="812"/>
      <c r="IT32" s="812"/>
      <c r="IU32" s="812"/>
      <c r="IV32" s="812"/>
      <c r="IW32" s="812"/>
    </row>
    <row r="33" customFormat="false" ht="12.75" hidden="false" customHeight="false" outlineLevel="0" collapsed="false">
      <c r="A33" s="812"/>
      <c r="B33" s="812"/>
      <c r="C33" s="812"/>
      <c r="D33" s="812"/>
      <c r="E33" s="49" t="n">
        <v>140</v>
      </c>
      <c r="F33" s="53" t="n">
        <f aca="false">4*4330</f>
        <v>17320</v>
      </c>
      <c r="G33" s="53" t="n">
        <f aca="false">$B$21*$B$23*($B$20*(1+$B$19))</f>
        <v>0</v>
      </c>
      <c r="H33" s="53" t="n">
        <f aca="false">G33+F33</f>
        <v>17320</v>
      </c>
      <c r="I33" s="968" t="n">
        <f aca="false">G33/H33</f>
        <v>0</v>
      </c>
      <c r="J33" s="969" t="n">
        <f aca="false">1-I33</f>
        <v>1</v>
      </c>
      <c r="K33" s="1"/>
      <c r="L33" s="1"/>
      <c r="M33" s="1"/>
      <c r="N33" s="1"/>
      <c r="O33" s="1"/>
      <c r="P33" s="1"/>
      <c r="Q33" s="1"/>
      <c r="R33" s="1"/>
      <c r="S33" s="1"/>
      <c r="T33" s="1"/>
      <c r="U33" s="1"/>
      <c r="V33" s="1"/>
      <c r="W33" s="1"/>
      <c r="X33" s="1"/>
      <c r="Y33" s="1"/>
      <c r="Z33" s="1"/>
      <c r="AA33" s="1"/>
      <c r="AB33" s="1"/>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2"/>
      <c r="AY33" s="812"/>
      <c r="AZ33" s="812"/>
      <c r="BA33" s="812"/>
      <c r="BB33" s="812"/>
      <c r="BC33" s="812"/>
      <c r="BD33" s="812"/>
      <c r="BE33" s="812"/>
      <c r="BF33" s="812"/>
      <c r="BG33" s="812"/>
      <c r="BH33" s="812"/>
      <c r="BI33" s="812"/>
      <c r="BJ33" s="812"/>
      <c r="BK33" s="812"/>
      <c r="BL33" s="812"/>
      <c r="BM33" s="812"/>
      <c r="BN33" s="812"/>
      <c r="BO33" s="812"/>
      <c r="BP33" s="812"/>
      <c r="BQ33" s="812"/>
      <c r="BR33" s="812"/>
      <c r="BS33" s="812"/>
      <c r="BT33" s="812"/>
      <c r="BU33" s="812"/>
      <c r="BV33" s="812"/>
      <c r="BW33" s="812"/>
      <c r="BX33" s="812"/>
      <c r="BY33" s="812"/>
      <c r="BZ33" s="812"/>
      <c r="CA33" s="812"/>
      <c r="CB33" s="812"/>
      <c r="CC33" s="812"/>
      <c r="CD33" s="812"/>
      <c r="CE33" s="812"/>
      <c r="CF33" s="812"/>
      <c r="CG33" s="812"/>
      <c r="CH33" s="812"/>
      <c r="CI33" s="812"/>
      <c r="CJ33" s="812"/>
      <c r="CK33" s="812"/>
      <c r="CL33" s="812"/>
      <c r="CM33" s="812"/>
      <c r="CN33" s="812"/>
      <c r="CO33" s="812"/>
      <c r="CP33" s="812"/>
      <c r="CQ33" s="812"/>
      <c r="CR33" s="812"/>
      <c r="CS33" s="812"/>
      <c r="CT33" s="812"/>
      <c r="CU33" s="812"/>
      <c r="CV33" s="812"/>
      <c r="CW33" s="812"/>
      <c r="CX33" s="812"/>
      <c r="CY33" s="812"/>
      <c r="CZ33" s="812"/>
      <c r="DA33" s="812"/>
      <c r="DB33" s="812"/>
      <c r="DC33" s="812"/>
      <c r="DD33" s="812"/>
      <c r="DE33" s="812"/>
      <c r="DF33" s="812"/>
      <c r="DG33" s="812"/>
      <c r="DH33" s="812"/>
      <c r="DI33" s="812"/>
      <c r="DJ33" s="812"/>
      <c r="DK33" s="812"/>
      <c r="DL33" s="812"/>
      <c r="DM33" s="812"/>
      <c r="DN33" s="812"/>
      <c r="DO33" s="812"/>
      <c r="DP33" s="812"/>
      <c r="DQ33" s="812"/>
      <c r="DR33" s="812"/>
      <c r="DS33" s="812"/>
      <c r="DT33" s="812"/>
      <c r="DU33" s="812"/>
      <c r="DV33" s="812"/>
      <c r="DW33" s="812"/>
      <c r="DX33" s="812"/>
      <c r="DY33" s="812"/>
      <c r="DZ33" s="812"/>
      <c r="EA33" s="812"/>
      <c r="EB33" s="812"/>
      <c r="EC33" s="812"/>
      <c r="ED33" s="812"/>
      <c r="EE33" s="812"/>
      <c r="EF33" s="812"/>
      <c r="EG33" s="812"/>
      <c r="EH33" s="812"/>
      <c r="EI33" s="812"/>
      <c r="EJ33" s="812"/>
      <c r="EK33" s="812"/>
      <c r="EL33" s="812"/>
      <c r="EM33" s="812"/>
      <c r="EN33" s="812"/>
      <c r="EO33" s="812"/>
      <c r="EP33" s="812"/>
      <c r="EQ33" s="812"/>
      <c r="ER33" s="812"/>
      <c r="ES33" s="812"/>
      <c r="ET33" s="812"/>
      <c r="EU33" s="812"/>
      <c r="EV33" s="812"/>
      <c r="EW33" s="812"/>
      <c r="EX33" s="812"/>
      <c r="EY33" s="812"/>
      <c r="EZ33" s="812"/>
      <c r="FA33" s="812"/>
      <c r="FB33" s="812"/>
      <c r="FC33" s="812"/>
      <c r="FD33" s="812"/>
      <c r="FE33" s="812"/>
      <c r="FF33" s="812"/>
      <c r="FG33" s="812"/>
      <c r="FH33" s="812"/>
      <c r="FI33" s="812"/>
      <c r="FJ33" s="812"/>
      <c r="FK33" s="812"/>
      <c r="FL33" s="812"/>
      <c r="FM33" s="812"/>
      <c r="FN33" s="812"/>
      <c r="FO33" s="812"/>
      <c r="FP33" s="812"/>
      <c r="FQ33" s="812"/>
      <c r="FR33" s="812"/>
      <c r="FS33" s="812"/>
      <c r="FT33" s="812"/>
      <c r="FU33" s="812"/>
      <c r="FV33" s="812"/>
      <c r="FW33" s="812"/>
      <c r="FX33" s="812"/>
      <c r="FY33" s="812"/>
      <c r="FZ33" s="812"/>
      <c r="GA33" s="812"/>
      <c r="GB33" s="812"/>
      <c r="GC33" s="812"/>
      <c r="GD33" s="812"/>
      <c r="GE33" s="812"/>
      <c r="GF33" s="812"/>
      <c r="GG33" s="812"/>
      <c r="GH33" s="812"/>
      <c r="GI33" s="812"/>
      <c r="GJ33" s="812"/>
      <c r="GK33" s="812"/>
      <c r="GL33" s="812"/>
      <c r="GM33" s="812"/>
      <c r="GN33" s="812"/>
      <c r="GO33" s="812"/>
      <c r="GP33" s="812"/>
      <c r="GQ33" s="812"/>
      <c r="GR33" s="812"/>
      <c r="GS33" s="812"/>
      <c r="GT33" s="812"/>
      <c r="GU33" s="812"/>
      <c r="GV33" s="812"/>
      <c r="GW33" s="812"/>
      <c r="GX33" s="812"/>
      <c r="GY33" s="812"/>
      <c r="GZ33" s="812"/>
      <c r="HA33" s="812"/>
      <c r="HB33" s="812"/>
      <c r="HC33" s="812"/>
      <c r="HD33" s="812"/>
      <c r="HE33" s="812"/>
      <c r="HF33" s="812"/>
      <c r="HG33" s="812"/>
      <c r="HH33" s="812"/>
      <c r="HI33" s="812"/>
      <c r="HJ33" s="812"/>
      <c r="HK33" s="812"/>
      <c r="HL33" s="812"/>
      <c r="HM33" s="812"/>
      <c r="HN33" s="812"/>
      <c r="HO33" s="812"/>
      <c r="HP33" s="812"/>
      <c r="HQ33" s="812"/>
      <c r="HR33" s="812"/>
      <c r="HS33" s="812"/>
      <c r="HT33" s="812"/>
      <c r="HU33" s="812"/>
      <c r="HV33" s="812"/>
      <c r="HW33" s="812"/>
      <c r="HX33" s="812"/>
      <c r="HY33" s="812"/>
      <c r="HZ33" s="812"/>
      <c r="IA33" s="812"/>
      <c r="IB33" s="812"/>
      <c r="IC33" s="812"/>
      <c r="ID33" s="812"/>
      <c r="IE33" s="812"/>
      <c r="IF33" s="812"/>
      <c r="IG33" s="812"/>
      <c r="IH33" s="812"/>
      <c r="II33" s="812"/>
      <c r="IJ33" s="812"/>
      <c r="IK33" s="812"/>
      <c r="IL33" s="812"/>
      <c r="IM33" s="812"/>
      <c r="IN33" s="812"/>
      <c r="IO33" s="812"/>
      <c r="IP33" s="812"/>
      <c r="IQ33" s="812"/>
      <c r="IR33" s="812"/>
      <c r="IS33" s="812"/>
      <c r="IT33" s="812"/>
      <c r="IU33" s="812"/>
      <c r="IV33" s="812"/>
      <c r="IW33" s="812"/>
    </row>
    <row r="34" customFormat="false" ht="12.75" hidden="false" customHeight="false" outlineLevel="0" collapsed="false">
      <c r="A34" s="812"/>
      <c r="B34" s="812"/>
      <c r="C34" s="812"/>
      <c r="D34" s="812"/>
      <c r="E34" s="49" t="n">
        <v>150</v>
      </c>
      <c r="F34" s="53" t="n">
        <f aca="false">4*4330</f>
        <v>17320</v>
      </c>
      <c r="G34" s="53" t="n">
        <f aca="false">$B$21*$B$23*($B$20*(1+$B$19))</f>
        <v>0</v>
      </c>
      <c r="H34" s="53" t="n">
        <f aca="false">G34+F34</f>
        <v>17320</v>
      </c>
      <c r="I34" s="968" t="n">
        <f aca="false">G34/H34</f>
        <v>0</v>
      </c>
      <c r="J34" s="969" t="n">
        <f aca="false">1-I34</f>
        <v>1</v>
      </c>
      <c r="K34" s="1"/>
      <c r="L34" s="1"/>
      <c r="M34" s="1"/>
      <c r="N34" s="1"/>
      <c r="O34" s="1"/>
      <c r="P34" s="1"/>
      <c r="Q34" s="1"/>
      <c r="R34" s="1"/>
      <c r="S34" s="1"/>
      <c r="T34" s="1"/>
      <c r="U34" s="1"/>
      <c r="V34" s="1"/>
      <c r="W34" s="1"/>
      <c r="X34" s="1"/>
      <c r="Y34" s="1"/>
      <c r="Z34" s="1"/>
      <c r="AA34" s="1"/>
      <c r="AB34" s="1"/>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2"/>
      <c r="AY34" s="812"/>
      <c r="AZ34" s="812"/>
      <c r="BA34" s="812"/>
      <c r="BB34" s="812"/>
      <c r="BC34" s="812"/>
      <c r="BD34" s="812"/>
      <c r="BE34" s="812"/>
      <c r="BF34" s="812"/>
      <c r="BG34" s="812"/>
      <c r="BH34" s="812"/>
      <c r="BI34" s="812"/>
      <c r="BJ34" s="812"/>
      <c r="BK34" s="812"/>
      <c r="BL34" s="812"/>
      <c r="BM34" s="812"/>
      <c r="BN34" s="812"/>
      <c r="BO34" s="812"/>
      <c r="BP34" s="812"/>
      <c r="BQ34" s="812"/>
      <c r="BR34" s="812"/>
      <c r="BS34" s="812"/>
      <c r="BT34" s="812"/>
      <c r="BU34" s="812"/>
      <c r="BV34" s="812"/>
      <c r="BW34" s="812"/>
      <c r="BX34" s="812"/>
      <c r="BY34" s="812"/>
      <c r="BZ34" s="812"/>
      <c r="CA34" s="812"/>
      <c r="CB34" s="812"/>
      <c r="CC34" s="812"/>
      <c r="CD34" s="812"/>
      <c r="CE34" s="812"/>
      <c r="CF34" s="812"/>
      <c r="CG34" s="812"/>
      <c r="CH34" s="812"/>
      <c r="CI34" s="812"/>
      <c r="CJ34" s="812"/>
      <c r="CK34" s="812"/>
      <c r="CL34" s="812"/>
      <c r="CM34" s="812"/>
      <c r="CN34" s="812"/>
      <c r="CO34" s="812"/>
      <c r="CP34" s="812"/>
      <c r="CQ34" s="812"/>
      <c r="CR34" s="812"/>
      <c r="CS34" s="812"/>
      <c r="CT34" s="812"/>
      <c r="CU34" s="812"/>
      <c r="CV34" s="812"/>
      <c r="CW34" s="812"/>
      <c r="CX34" s="812"/>
      <c r="CY34" s="812"/>
      <c r="CZ34" s="812"/>
      <c r="DA34" s="812"/>
      <c r="DB34" s="812"/>
      <c r="DC34" s="812"/>
      <c r="DD34" s="812"/>
      <c r="DE34" s="812"/>
      <c r="DF34" s="812"/>
      <c r="DG34" s="812"/>
      <c r="DH34" s="812"/>
      <c r="DI34" s="812"/>
      <c r="DJ34" s="812"/>
      <c r="DK34" s="812"/>
      <c r="DL34" s="812"/>
      <c r="DM34" s="812"/>
      <c r="DN34" s="812"/>
      <c r="DO34" s="812"/>
      <c r="DP34" s="812"/>
      <c r="DQ34" s="812"/>
      <c r="DR34" s="812"/>
      <c r="DS34" s="812"/>
      <c r="DT34" s="812"/>
      <c r="DU34" s="812"/>
      <c r="DV34" s="812"/>
      <c r="DW34" s="812"/>
      <c r="DX34" s="812"/>
      <c r="DY34" s="812"/>
      <c r="DZ34" s="812"/>
      <c r="EA34" s="812"/>
      <c r="EB34" s="812"/>
      <c r="EC34" s="812"/>
      <c r="ED34" s="812"/>
      <c r="EE34" s="812"/>
      <c r="EF34" s="812"/>
      <c r="EG34" s="812"/>
      <c r="EH34" s="812"/>
      <c r="EI34" s="812"/>
      <c r="EJ34" s="812"/>
      <c r="EK34" s="812"/>
      <c r="EL34" s="812"/>
      <c r="EM34" s="812"/>
      <c r="EN34" s="812"/>
      <c r="EO34" s="812"/>
      <c r="EP34" s="812"/>
      <c r="EQ34" s="812"/>
      <c r="ER34" s="812"/>
      <c r="ES34" s="812"/>
      <c r="ET34" s="812"/>
      <c r="EU34" s="812"/>
      <c r="EV34" s="812"/>
      <c r="EW34" s="812"/>
      <c r="EX34" s="812"/>
      <c r="EY34" s="812"/>
      <c r="EZ34" s="812"/>
      <c r="FA34" s="812"/>
      <c r="FB34" s="812"/>
      <c r="FC34" s="812"/>
      <c r="FD34" s="812"/>
      <c r="FE34" s="812"/>
      <c r="FF34" s="812"/>
      <c r="FG34" s="812"/>
      <c r="FH34" s="812"/>
      <c r="FI34" s="812"/>
      <c r="FJ34" s="812"/>
      <c r="FK34" s="812"/>
      <c r="FL34" s="812"/>
      <c r="FM34" s="812"/>
      <c r="FN34" s="812"/>
      <c r="FO34" s="812"/>
      <c r="FP34" s="812"/>
      <c r="FQ34" s="812"/>
      <c r="FR34" s="812"/>
      <c r="FS34" s="812"/>
      <c r="FT34" s="812"/>
      <c r="FU34" s="812"/>
      <c r="FV34" s="812"/>
      <c r="FW34" s="812"/>
      <c r="FX34" s="812"/>
      <c r="FY34" s="812"/>
      <c r="FZ34" s="812"/>
      <c r="GA34" s="812"/>
      <c r="GB34" s="812"/>
      <c r="GC34" s="812"/>
      <c r="GD34" s="812"/>
      <c r="GE34" s="812"/>
      <c r="GF34" s="812"/>
      <c r="GG34" s="812"/>
      <c r="GH34" s="812"/>
      <c r="GI34" s="812"/>
      <c r="GJ34" s="812"/>
      <c r="GK34" s="812"/>
      <c r="GL34" s="812"/>
      <c r="GM34" s="812"/>
      <c r="GN34" s="812"/>
      <c r="GO34" s="812"/>
      <c r="GP34" s="812"/>
      <c r="GQ34" s="812"/>
      <c r="GR34" s="812"/>
      <c r="GS34" s="812"/>
      <c r="GT34" s="812"/>
      <c r="GU34" s="812"/>
      <c r="GV34" s="812"/>
      <c r="GW34" s="812"/>
      <c r="GX34" s="812"/>
      <c r="GY34" s="812"/>
      <c r="GZ34" s="812"/>
      <c r="HA34" s="812"/>
      <c r="HB34" s="812"/>
      <c r="HC34" s="812"/>
      <c r="HD34" s="812"/>
      <c r="HE34" s="812"/>
      <c r="HF34" s="812"/>
      <c r="HG34" s="812"/>
      <c r="HH34" s="812"/>
      <c r="HI34" s="812"/>
      <c r="HJ34" s="812"/>
      <c r="HK34" s="812"/>
      <c r="HL34" s="812"/>
      <c r="HM34" s="812"/>
      <c r="HN34" s="812"/>
      <c r="HO34" s="812"/>
      <c r="HP34" s="812"/>
      <c r="HQ34" s="812"/>
      <c r="HR34" s="812"/>
      <c r="HS34" s="812"/>
      <c r="HT34" s="812"/>
      <c r="HU34" s="812"/>
      <c r="HV34" s="812"/>
      <c r="HW34" s="812"/>
      <c r="HX34" s="812"/>
      <c r="HY34" s="812"/>
      <c r="HZ34" s="812"/>
      <c r="IA34" s="812"/>
      <c r="IB34" s="812"/>
      <c r="IC34" s="812"/>
      <c r="ID34" s="812"/>
      <c r="IE34" s="812"/>
      <c r="IF34" s="812"/>
      <c r="IG34" s="812"/>
      <c r="IH34" s="812"/>
      <c r="II34" s="812"/>
      <c r="IJ34" s="812"/>
      <c r="IK34" s="812"/>
      <c r="IL34" s="812"/>
      <c r="IM34" s="812"/>
      <c r="IN34" s="812"/>
      <c r="IO34" s="812"/>
      <c r="IP34" s="812"/>
      <c r="IQ34" s="812"/>
      <c r="IR34" s="812"/>
      <c r="IS34" s="812"/>
      <c r="IT34" s="812"/>
      <c r="IU34" s="812"/>
      <c r="IV34" s="812"/>
      <c r="IW34" s="812"/>
    </row>
    <row r="35" customFormat="false" ht="12.75" hidden="false" customHeight="false" outlineLevel="0" collapsed="false">
      <c r="E35" s="49" t="n">
        <v>160</v>
      </c>
      <c r="F35" s="53" t="n">
        <f aca="false">4*6112</f>
        <v>24448</v>
      </c>
      <c r="G35" s="53" t="n">
        <f aca="false">$B$21*$B$23*($B$20*(1+$B$19))</f>
        <v>0</v>
      </c>
      <c r="H35" s="53" t="n">
        <f aca="false">G35+F35</f>
        <v>24448</v>
      </c>
      <c r="I35" s="968" t="n">
        <f aca="false">G35/H35</f>
        <v>0</v>
      </c>
      <c r="J35" s="969" t="n">
        <f aca="false">1-I35</f>
        <v>1</v>
      </c>
    </row>
    <row r="36" customFormat="false" ht="12.75" hidden="false" customHeight="false" outlineLevel="0" collapsed="false">
      <c r="E36" s="49" t="n">
        <v>170</v>
      </c>
      <c r="F36" s="53" t="n">
        <f aca="false">4*6112</f>
        <v>24448</v>
      </c>
      <c r="G36" s="53" t="n">
        <f aca="false">$B$21*$B$23*($B$20*(1+$B$19))</f>
        <v>0</v>
      </c>
      <c r="H36" s="53" t="n">
        <f aca="false">G36+F36</f>
        <v>24448</v>
      </c>
      <c r="I36" s="968" t="n">
        <f aca="false">G36/H36</f>
        <v>0</v>
      </c>
      <c r="J36" s="969" t="n">
        <f aca="false">1-I36</f>
        <v>1</v>
      </c>
    </row>
    <row r="37" customFormat="false" ht="12.75" hidden="false" customHeight="false" outlineLevel="0" collapsed="false">
      <c r="E37" s="49" t="n">
        <v>180</v>
      </c>
      <c r="F37" s="53" t="n">
        <f aca="false">4*6112</f>
        <v>24448</v>
      </c>
      <c r="G37" s="53" t="n">
        <f aca="false">$B$21*$B$23*($B$20*(1+$B$19))</f>
        <v>0</v>
      </c>
      <c r="H37" s="53" t="n">
        <f aca="false">G37+F37</f>
        <v>24448</v>
      </c>
      <c r="I37" s="968" t="n">
        <f aca="false">G37/H37</f>
        <v>0</v>
      </c>
      <c r="J37" s="969" t="n">
        <f aca="false">1-I37</f>
        <v>1</v>
      </c>
    </row>
    <row r="38" customFormat="false" ht="12.75" hidden="false" customHeight="false" outlineLevel="0" collapsed="false">
      <c r="E38" s="49" t="n">
        <v>190</v>
      </c>
      <c r="F38" s="53" t="n">
        <f aca="false">4*6112</f>
        <v>24448</v>
      </c>
      <c r="G38" s="53" t="n">
        <f aca="false">$B$21*$B$23*($B$20*(1+$B$19))</f>
        <v>0</v>
      </c>
      <c r="H38" s="53" t="n">
        <f aca="false">G38+F38</f>
        <v>24448</v>
      </c>
      <c r="I38" s="968" t="n">
        <f aca="false">G38/H38</f>
        <v>0</v>
      </c>
      <c r="J38" s="969" t="n">
        <f aca="false">1-I38</f>
        <v>1</v>
      </c>
    </row>
    <row r="39" customFormat="false" ht="12.75" hidden="false" customHeight="false" outlineLevel="0" collapsed="false">
      <c r="E39" s="49" t="n">
        <v>200</v>
      </c>
      <c r="F39" s="53" t="n">
        <f aca="false">4*6112</f>
        <v>24448</v>
      </c>
      <c r="G39" s="53" t="n">
        <f aca="false">$B$21*$B$23*($B$20*(1+$B$19))</f>
        <v>0</v>
      </c>
      <c r="H39" s="53" t="n">
        <f aca="false">G39+F39</f>
        <v>24448</v>
      </c>
      <c r="I39" s="968" t="n">
        <f aca="false">G39/H39</f>
        <v>0</v>
      </c>
      <c r="J39" s="969" t="n">
        <f aca="false">1-I39</f>
        <v>1</v>
      </c>
    </row>
    <row r="40" customFormat="false" ht="12.75" hidden="false" customHeight="false" outlineLevel="0" collapsed="false">
      <c r="E40" s="49" t="n">
        <v>210</v>
      </c>
      <c r="F40" s="53" t="n">
        <f aca="false">4*6112</f>
        <v>24448</v>
      </c>
      <c r="G40" s="53" t="n">
        <f aca="false">$B$21*$B$23*($B$20*(1+$B$19))</f>
        <v>0</v>
      </c>
      <c r="H40" s="53" t="n">
        <f aca="false">G40+F40</f>
        <v>24448</v>
      </c>
      <c r="I40" s="968" t="n">
        <f aca="false">G40/H40</f>
        <v>0</v>
      </c>
      <c r="J40" s="969" t="n">
        <f aca="false">1-I40</f>
        <v>1</v>
      </c>
    </row>
    <row r="41" customFormat="false" ht="12.75" hidden="false" customHeight="false" outlineLevel="0" collapsed="false">
      <c r="E41" s="49" t="n">
        <v>220</v>
      </c>
      <c r="F41" s="53" t="n">
        <f aca="false">4*6112</f>
        <v>24448</v>
      </c>
      <c r="G41" s="53" t="n">
        <f aca="false">$B$21*$B$23*($B$20*(1+$B$19))</f>
        <v>0</v>
      </c>
      <c r="H41" s="53" t="n">
        <f aca="false">G41+F41</f>
        <v>24448</v>
      </c>
      <c r="I41" s="968" t="n">
        <f aca="false">G41/H41</f>
        <v>0</v>
      </c>
      <c r="J41" s="969" t="n">
        <f aca="false">1-I41</f>
        <v>1</v>
      </c>
    </row>
    <row r="42" customFormat="false" ht="12.75" hidden="false" customHeight="false" outlineLevel="0" collapsed="false">
      <c r="E42" s="49" t="n">
        <v>230</v>
      </c>
      <c r="F42" s="53" t="n">
        <f aca="false">4*6112</f>
        <v>24448</v>
      </c>
      <c r="G42" s="53" t="n">
        <f aca="false">$B$21*$B$23*($B$20*(1+$B$19))</f>
        <v>0</v>
      </c>
      <c r="H42" s="53" t="n">
        <f aca="false">G42+F42</f>
        <v>24448</v>
      </c>
      <c r="I42" s="968" t="n">
        <f aca="false">G42/H42</f>
        <v>0</v>
      </c>
      <c r="J42" s="969" t="n">
        <f aca="false">1-I42</f>
        <v>1</v>
      </c>
    </row>
    <row r="43" customFormat="false" ht="12.75" hidden="false" customHeight="false" outlineLevel="0" collapsed="false">
      <c r="E43" s="49" t="n">
        <v>240</v>
      </c>
      <c r="F43" s="53" t="n">
        <f aca="false">4*6393</f>
        <v>25572</v>
      </c>
      <c r="G43" s="53" t="n">
        <f aca="false">$B$21*$B$23*($B$20*(1+$B$19))</f>
        <v>0</v>
      </c>
      <c r="H43" s="53" t="n">
        <f aca="false">G43+F43</f>
        <v>25572</v>
      </c>
      <c r="I43" s="968" t="n">
        <f aca="false">G43/H43</f>
        <v>0</v>
      </c>
      <c r="J43" s="969" t="n">
        <f aca="false">1-I43</f>
        <v>1</v>
      </c>
    </row>
    <row r="44" customFormat="false" ht="12.75" hidden="false" customHeight="false" outlineLevel="0" collapsed="false">
      <c r="E44" s="972" t="n">
        <v>250</v>
      </c>
      <c r="F44" s="973" t="n">
        <f aca="false">4*6393</f>
        <v>25572</v>
      </c>
      <c r="G44" s="973" t="n">
        <f aca="false">$B$21*$B$23*($B$20*(1+$B$19))</f>
        <v>0</v>
      </c>
      <c r="H44" s="973" t="n">
        <f aca="false">G44+F44</f>
        <v>25572</v>
      </c>
      <c r="I44" s="974" t="n">
        <f aca="false">G44/H44</f>
        <v>0</v>
      </c>
      <c r="J44" s="975" t="n">
        <f aca="false">1-I44</f>
        <v>1</v>
      </c>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7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28125" defaultRowHeight="11.25" customHeight="true" zeroHeight="false" outlineLevelRow="1" outlineLevelCol="0"/>
  <cols>
    <col collapsed="false" customWidth="true" hidden="false" outlineLevel="0" max="1" min="1" style="1" width="42.99"/>
    <col collapsed="false" customWidth="true" hidden="false" outlineLevel="0" max="2" min="2" style="2" width="10.13"/>
    <col collapsed="false" customWidth="true" hidden="false" outlineLevel="0" max="3" min="3" style="1" width="10.13"/>
    <col collapsed="false" customWidth="true" hidden="false" outlineLevel="0" max="4" min="4" style="3" width="11.56"/>
    <col collapsed="false" customWidth="true" hidden="false" outlineLevel="0" max="5" min="5" style="1" width="12.85"/>
    <col collapsed="false" customWidth="true" hidden="false" outlineLevel="0" max="6" min="6" style="1" width="10.28"/>
    <col collapsed="false" customWidth="true" hidden="false" outlineLevel="0" max="7" min="7" style="1" width="13.85"/>
    <col collapsed="false" customWidth="true" hidden="false" outlineLevel="0" max="19" min="8" style="1" width="10.28"/>
    <col collapsed="false" customWidth="false" hidden="false" outlineLevel="0" max="30" min="20" style="1" width="9.28"/>
    <col collapsed="false" customWidth="false" hidden="false" outlineLevel="0" max="257" min="31" style="4" width="9.28"/>
  </cols>
  <sheetData>
    <row r="1" customFormat="false" ht="20.25" hidden="false" customHeight="false" outlineLevel="0" collapsed="false">
      <c r="A1" s="5" t="str">
        <f aca="false">'Project Assumtions'!$A$2</f>
        <v>WHEATLAND POWER IN, L.L.C.</v>
      </c>
      <c r="B1" s="6"/>
      <c r="C1" s="6"/>
      <c r="D1" s="6"/>
      <c r="E1" s="6"/>
      <c r="F1" s="6"/>
      <c r="G1" s="6"/>
      <c r="H1" s="6"/>
      <c r="I1" s="6"/>
      <c r="J1" s="6"/>
      <c r="K1" s="6"/>
      <c r="L1" s="6"/>
      <c r="M1" s="6"/>
      <c r="N1" s="6"/>
      <c r="O1" s="6"/>
      <c r="P1" s="6"/>
      <c r="Q1" s="6"/>
      <c r="R1" s="6"/>
      <c r="S1" s="6"/>
      <c r="T1" s="6"/>
      <c r="U1" s="6"/>
      <c r="V1" s="6"/>
      <c r="W1" s="6"/>
      <c r="X1" s="6"/>
      <c r="Y1" s="6"/>
      <c r="Z1" s="6"/>
      <c r="AA1" s="6"/>
      <c r="AB1" s="6"/>
      <c r="AC1" s="6"/>
      <c r="AD1" s="6"/>
      <c r="AE1" s="0"/>
    </row>
    <row r="2" customFormat="false" ht="22.5" hidden="false" customHeight="true" outlineLevel="0" collapsed="false">
      <c r="A2" s="7" t="s">
        <v>0</v>
      </c>
      <c r="B2" s="8"/>
      <c r="C2" s="6"/>
      <c r="D2" s="6"/>
      <c r="E2" s="6"/>
      <c r="F2" s="6"/>
      <c r="G2" s="6"/>
      <c r="H2" s="6"/>
      <c r="I2" s="6"/>
      <c r="J2" s="6"/>
      <c r="K2" s="6"/>
      <c r="L2" s="6"/>
      <c r="M2" s="6"/>
      <c r="N2" s="6"/>
      <c r="O2" s="6"/>
      <c r="P2" s="6"/>
      <c r="Q2" s="6"/>
      <c r="R2" s="6"/>
      <c r="S2" s="6"/>
      <c r="T2" s="6"/>
      <c r="U2" s="6"/>
      <c r="V2" s="6"/>
      <c r="W2" s="6"/>
      <c r="X2" s="6"/>
      <c r="Y2" s="6"/>
      <c r="Z2" s="6"/>
      <c r="AA2" s="6"/>
      <c r="AB2" s="6"/>
      <c r="AC2" s="6"/>
      <c r="AD2" s="6"/>
      <c r="AE2" s="0"/>
    </row>
    <row r="3" customFormat="false" ht="35.25" hidden="false" customHeight="true" outlineLevel="0" collapsed="false">
      <c r="A3" s="9" t="s">
        <v>1</v>
      </c>
      <c r="B3" s="8"/>
      <c r="C3" s="6"/>
      <c r="D3" s="6"/>
      <c r="E3" s="6"/>
      <c r="F3" s="6"/>
      <c r="G3" s="6"/>
      <c r="H3" s="6"/>
      <c r="I3" s="6"/>
      <c r="J3" s="6"/>
      <c r="K3" s="6"/>
      <c r="L3" s="6"/>
      <c r="M3" s="6"/>
      <c r="N3" s="6"/>
      <c r="O3" s="6"/>
      <c r="P3" s="6"/>
      <c r="Q3" s="6"/>
      <c r="R3" s="6"/>
      <c r="S3" s="6"/>
      <c r="T3" s="6"/>
      <c r="U3" s="6"/>
      <c r="V3" s="6"/>
      <c r="W3" s="6"/>
      <c r="X3" s="6"/>
      <c r="Y3" s="6"/>
      <c r="Z3" s="6"/>
      <c r="AA3" s="6"/>
      <c r="AB3" s="6"/>
      <c r="AC3" s="6"/>
      <c r="AD3" s="6"/>
      <c r="AE3" s="0"/>
    </row>
    <row r="4" customFormat="false" ht="12.75" hidden="false" customHeight="false" outlineLevel="0" collapsed="false">
      <c r="A4" s="9"/>
      <c r="B4" s="8"/>
      <c r="C4" s="6"/>
      <c r="D4" s="6"/>
      <c r="E4" s="6"/>
      <c r="F4" s="6"/>
      <c r="G4" s="6"/>
      <c r="H4" s="6"/>
      <c r="I4" s="6"/>
      <c r="J4" s="6"/>
      <c r="K4" s="6"/>
      <c r="L4" s="6"/>
      <c r="M4" s="6"/>
      <c r="N4" s="6"/>
      <c r="O4" s="6"/>
      <c r="P4" s="6"/>
      <c r="Q4" s="6"/>
      <c r="R4" s="6"/>
      <c r="S4" s="6"/>
      <c r="T4" s="6"/>
      <c r="U4" s="6"/>
      <c r="V4" s="6"/>
      <c r="W4" s="6"/>
      <c r="X4" s="6"/>
      <c r="Y4" s="6"/>
      <c r="Z4" s="6"/>
      <c r="AA4" s="6"/>
      <c r="AB4" s="6"/>
      <c r="AC4" s="6"/>
      <c r="AD4" s="6"/>
      <c r="AE4" s="0"/>
    </row>
    <row r="5" customFormat="false" ht="12.75" hidden="false" customHeight="false" outlineLevel="0" collapsed="false">
      <c r="A5" s="10" t="s">
        <v>2</v>
      </c>
      <c r="B5" s="8"/>
      <c r="C5" s="6"/>
      <c r="D5" s="6"/>
      <c r="E5" s="6"/>
      <c r="F5" s="6"/>
      <c r="G5" s="6"/>
      <c r="H5" s="6"/>
      <c r="I5" s="6"/>
      <c r="J5" s="6"/>
      <c r="K5" s="6"/>
      <c r="L5" s="6"/>
      <c r="M5" s="6"/>
      <c r="N5" s="6"/>
      <c r="O5" s="6"/>
      <c r="P5" s="6"/>
      <c r="Q5" s="6"/>
      <c r="R5" s="6"/>
      <c r="S5" s="6"/>
      <c r="T5" s="6"/>
      <c r="U5" s="6"/>
      <c r="V5" s="6"/>
      <c r="W5" s="6"/>
      <c r="X5" s="6"/>
      <c r="Y5" s="6"/>
      <c r="Z5" s="6"/>
      <c r="AA5" s="6"/>
      <c r="AB5" s="6"/>
      <c r="AC5" s="6"/>
      <c r="AD5" s="6"/>
      <c r="AE5" s="0"/>
    </row>
    <row r="6" customFormat="false" ht="12.75" hidden="false" customHeight="false" outlineLevel="0" collapsed="false">
      <c r="A6" s="11" t="s">
        <v>3</v>
      </c>
      <c r="B6" s="12" t="n">
        <f aca="false">'Project Assumtions'!I67</f>
        <v>49424.3939341443</v>
      </c>
      <c r="C6" s="6"/>
      <c r="D6" s="6"/>
      <c r="E6" s="6"/>
      <c r="F6" s="6"/>
      <c r="G6" s="6"/>
      <c r="H6" s="6"/>
      <c r="I6" s="6"/>
      <c r="J6" s="6"/>
      <c r="K6" s="6"/>
      <c r="L6" s="6"/>
      <c r="M6" s="6"/>
      <c r="N6" s="6"/>
      <c r="O6" s="6"/>
      <c r="P6" s="6"/>
      <c r="Q6" s="6"/>
      <c r="R6" s="6"/>
      <c r="S6" s="6"/>
      <c r="T6" s="6"/>
      <c r="U6" s="6"/>
      <c r="V6" s="6"/>
      <c r="W6" s="6"/>
      <c r="X6" s="6"/>
      <c r="Y6" s="6"/>
      <c r="Z6" s="6"/>
      <c r="AA6" s="6"/>
      <c r="AB6" s="6"/>
      <c r="AC6" s="6"/>
      <c r="AD6" s="6"/>
      <c r="AE6" s="0"/>
    </row>
    <row r="7" customFormat="false" ht="12.75" hidden="false" customHeight="false" outlineLevel="0" collapsed="false">
      <c r="A7" s="13" t="s">
        <v>4</v>
      </c>
      <c r="B7" s="14" t="n">
        <f aca="false">'Project Assumtions'!G67</f>
        <v>91246.3945767406</v>
      </c>
      <c r="C7" s="6"/>
      <c r="D7" s="6"/>
      <c r="E7" s="6"/>
      <c r="F7" s="6"/>
      <c r="G7" s="6"/>
      <c r="H7" s="6"/>
      <c r="I7" s="6"/>
      <c r="J7" s="6"/>
      <c r="K7" s="6"/>
      <c r="L7" s="6"/>
      <c r="M7" s="6"/>
      <c r="N7" s="6"/>
      <c r="O7" s="6"/>
      <c r="P7" s="6"/>
      <c r="Q7" s="6"/>
      <c r="R7" s="6"/>
      <c r="S7" s="6"/>
      <c r="T7" s="6"/>
      <c r="U7" s="6"/>
      <c r="V7" s="6"/>
      <c r="W7" s="6"/>
      <c r="X7" s="6"/>
      <c r="Y7" s="6"/>
      <c r="Z7" s="6"/>
      <c r="AA7" s="6"/>
      <c r="AB7" s="6"/>
      <c r="AC7" s="6"/>
      <c r="AD7" s="6"/>
      <c r="AE7" s="0"/>
    </row>
    <row r="8" customFormat="false" ht="12.75" hidden="false" customHeight="false" outlineLevel="0" collapsed="false">
      <c r="A8" s="15" t="s">
        <v>5</v>
      </c>
      <c r="B8" s="16" t="s">
        <v>6</v>
      </c>
      <c r="C8" s="16" t="s">
        <v>7</v>
      </c>
      <c r="D8" s="17" t="n">
        <f aca="false">'PPA Assumptions &amp;Summary'!C4</f>
        <v>2000</v>
      </c>
      <c r="E8" s="18" t="n">
        <f aca="false">'PPA Assumptions &amp;Summary'!D4</f>
        <v>2001</v>
      </c>
      <c r="F8" s="18" t="n">
        <f aca="false">'PPA Assumptions &amp;Summary'!E4</f>
        <v>2002</v>
      </c>
      <c r="G8" s="18" t="n">
        <f aca="false">'PPA Assumptions &amp;Summary'!F4</f>
        <v>2003</v>
      </c>
      <c r="H8" s="18" t="n">
        <f aca="false">'PPA Assumptions &amp;Summary'!G4</f>
        <v>2004</v>
      </c>
      <c r="I8" s="18" t="n">
        <f aca="false">'PPA Assumptions &amp;Summary'!H4</f>
        <v>2005</v>
      </c>
      <c r="J8" s="18" t="n">
        <f aca="false">'PPA Assumptions &amp;Summary'!I4</f>
        <v>2006</v>
      </c>
      <c r="K8" s="18" t="n">
        <f aca="false">'PPA Assumptions &amp;Summary'!J4</f>
        <v>2007</v>
      </c>
      <c r="L8" s="18" t="n">
        <f aca="false">'PPA Assumptions &amp;Summary'!K4</f>
        <v>2008</v>
      </c>
      <c r="M8" s="18" t="n">
        <f aca="false">'PPA Assumptions &amp;Summary'!L4</f>
        <v>2009</v>
      </c>
      <c r="N8" s="19" t="n">
        <f aca="false">'PPA Assumptions &amp;Summary'!M4</f>
        <v>2010</v>
      </c>
      <c r="O8" s="20" t="n">
        <f aca="false">'PPA Assumptions &amp;Summary'!N4</f>
        <v>2011</v>
      </c>
      <c r="P8" s="20" t="n">
        <f aca="false">'PPA Assumptions &amp;Summary'!O4</f>
        <v>2012</v>
      </c>
      <c r="Q8" s="20" t="n">
        <f aca="false">'PPA Assumptions &amp;Summary'!P4</f>
        <v>2013</v>
      </c>
      <c r="R8" s="20" t="n">
        <f aca="false">'PPA Assumptions &amp;Summary'!Q4</f>
        <v>2014</v>
      </c>
      <c r="S8" s="20" t="n">
        <f aca="false">'PPA Assumptions &amp;Summary'!R4</f>
        <v>2015</v>
      </c>
      <c r="T8" s="20" t="n">
        <f aca="false">'PPA Assumptions &amp;Summary'!S4</f>
        <v>2016</v>
      </c>
      <c r="U8" s="20" t="n">
        <f aca="false">'PPA Assumptions &amp;Summary'!T4</f>
        <v>2017</v>
      </c>
      <c r="V8" s="20" t="n">
        <f aca="false">'PPA Assumptions &amp;Summary'!U4</f>
        <v>2018</v>
      </c>
      <c r="W8" s="20" t="n">
        <f aca="false">'PPA Assumptions &amp;Summary'!V4</f>
        <v>2019</v>
      </c>
      <c r="X8" s="20" t="n">
        <f aca="false">'PPA Assumptions &amp;Summary'!W4</f>
        <v>2020</v>
      </c>
      <c r="Y8" s="0"/>
      <c r="Z8" s="0"/>
      <c r="AA8" s="0"/>
      <c r="AB8" s="6"/>
      <c r="AC8" s="6"/>
      <c r="AD8" s="6"/>
      <c r="AE8" s="0"/>
    </row>
    <row r="9" customFormat="false" ht="12.75" hidden="false" customHeight="false" outlineLevel="1" collapsed="false">
      <c r="A9" s="15" t="s">
        <v>8</v>
      </c>
      <c r="B9" s="21" t="n">
        <f aca="false">NPV(0.1,D9:Y9)</f>
        <v>457195.723123956</v>
      </c>
      <c r="C9" s="21" t="n">
        <v>0</v>
      </c>
      <c r="D9" s="22" t="n">
        <f aca="false">'Book Income Statement'!D17</f>
        <v>25347.0563333333</v>
      </c>
      <c r="E9" s="23" t="n">
        <f aca="false">'Book Income Statement'!E17</f>
        <v>42007.48714</v>
      </c>
      <c r="F9" s="23" t="n">
        <f aca="false">'Book Income Statement'!F17</f>
        <v>42094.5212542</v>
      </c>
      <c r="G9" s="23" t="n">
        <f aca="false">'Book Income Statement'!G17</f>
        <v>50668.6576607134</v>
      </c>
      <c r="H9" s="23" t="n">
        <f aca="false">'Book Income Statement'!H17</f>
        <v>57743.8932614556</v>
      </c>
      <c r="I9" s="23" t="n">
        <f aca="false">'Book Income Statement'!I17</f>
        <v>58943.2220633393</v>
      </c>
      <c r="J9" s="23" t="n">
        <f aca="false">'Book Income Statement'!J17</f>
        <v>59552.4652887991</v>
      </c>
      <c r="K9" s="23" t="n">
        <f aca="false">'Book Income Statement'!K17</f>
        <v>60161.2038478084</v>
      </c>
      <c r="L9" s="23" t="n">
        <f aca="false">'Book Income Statement'!L17</f>
        <v>60768.859141477</v>
      </c>
      <c r="M9" s="23" t="n">
        <f aca="false">'Book Income Statement'!M17</f>
        <v>61374.8183091816</v>
      </c>
      <c r="N9" s="24" t="n">
        <f aca="false">'Book Income Statement'!N17</f>
        <v>61978.4326935999</v>
      </c>
      <c r="O9" s="25" t="n">
        <f aca="false">'Book Income Statement'!O17</f>
        <v>62579.0162444838</v>
      </c>
      <c r="P9" s="25" t="n">
        <f aca="false">'Book Income Statement'!P17</f>
        <v>63175.8438588753</v>
      </c>
      <c r="Q9" s="25" t="n">
        <f aca="false">'Book Income Statement'!Q17</f>
        <v>62998.1681320966</v>
      </c>
      <c r="R9" s="25" t="n">
        <f aca="false">'Book Income Statement'!R17</f>
        <v>63562.0442111083</v>
      </c>
      <c r="S9" s="25" t="n">
        <f aca="false">'Book Income Statement'!S17</f>
        <v>64119.0441434206</v>
      </c>
      <c r="T9" s="25" t="n">
        <f aca="false">'Book Income Statement'!T17</f>
        <v>64668.2478717604</v>
      </c>
      <c r="U9" s="25" t="n">
        <f aca="false">'Book Income Statement'!U17</f>
        <v>65208.6863239503</v>
      </c>
      <c r="V9" s="25" t="n">
        <f aca="false">'Book Income Statement'!V17</f>
        <v>65739.3393000658</v>
      </c>
      <c r="W9" s="25" t="n">
        <f aca="false">'Book Income Statement'!W17</f>
        <v>65339.7350707632</v>
      </c>
      <c r="X9" s="25" t="n">
        <f aca="false">'Book Income Statement'!X17</f>
        <v>39294.5125998934</v>
      </c>
      <c r="Y9" s="0"/>
      <c r="Z9" s="0"/>
      <c r="AA9" s="0"/>
      <c r="AB9" s="6"/>
      <c r="AC9" s="6"/>
      <c r="AD9" s="6"/>
      <c r="AE9" s="0"/>
    </row>
    <row r="10" customFormat="false" ht="12.75" hidden="false" customHeight="false" outlineLevel="1" collapsed="false">
      <c r="A10" s="26" t="s">
        <v>9</v>
      </c>
      <c r="B10" s="21" t="n">
        <f aca="false">NPV(0.1,D10:Y10)</f>
        <v>204145.883321195</v>
      </c>
      <c r="C10" s="21" t="n">
        <v>0</v>
      </c>
      <c r="D10" s="22" t="n">
        <f aca="false">'Book Income Statement'!D60</f>
        <v>13735.2718741324</v>
      </c>
      <c r="E10" s="23" t="n">
        <f aca="false">'Book Income Statement'!E60</f>
        <v>21850.0328500346</v>
      </c>
      <c r="F10" s="23" t="n">
        <f aca="false">'Book Income Statement'!F60</f>
        <v>22096.5325215937</v>
      </c>
      <c r="G10" s="23" t="n">
        <f aca="false">'Book Income Statement'!G60</f>
        <v>23413.6017414817</v>
      </c>
      <c r="H10" s="23" t="n">
        <f aca="false">'Book Income Statement'!H60</f>
        <v>24271.7891906064</v>
      </c>
      <c r="I10" s="23" t="n">
        <f aca="false">'Book Income Statement'!I60</f>
        <v>24506.5065548677</v>
      </c>
      <c r="J10" s="23" t="n">
        <f aca="false">'Book Income Statement'!J60</f>
        <v>24787.3007136647</v>
      </c>
      <c r="K10" s="23" t="n">
        <f aca="false">'Book Income Statement'!K60</f>
        <v>25095.8232853748</v>
      </c>
      <c r="L10" s="23" t="n">
        <f aca="false">'Book Income Statement'!L60</f>
        <v>25370.7030728464</v>
      </c>
      <c r="M10" s="23" t="n">
        <f aca="false">'Book Income Statement'!M60</f>
        <v>25576.1504759466</v>
      </c>
      <c r="N10" s="24" t="n">
        <f aca="false">'Book Income Statement'!N60</f>
        <v>25789.8109259936</v>
      </c>
      <c r="O10" s="25" t="n">
        <f aca="false">'Book Income Statement'!O60</f>
        <v>26181.5890083536</v>
      </c>
      <c r="P10" s="25" t="n">
        <f aca="false">'Book Income Statement'!P60</f>
        <v>26413.8963791851</v>
      </c>
      <c r="Q10" s="25" t="n">
        <f aca="false">'Book Income Statement'!Q60</f>
        <v>26653.1729711416</v>
      </c>
      <c r="R10" s="25" t="n">
        <f aca="false">'Book Income Statement'!R60</f>
        <v>26899.6278608567</v>
      </c>
      <c r="S10" s="25" t="n">
        <f aca="false">'Book Income Statement'!S60</f>
        <v>27153.4763972634</v>
      </c>
      <c r="T10" s="25" t="n">
        <f aca="false">'Book Income Statement'!T60</f>
        <v>27414.9403897622</v>
      </c>
      <c r="U10" s="25" t="n">
        <f aca="false">'Book Income Statement'!U60</f>
        <v>27684.248302036</v>
      </c>
      <c r="V10" s="25" t="n">
        <f aca="false">'Book Income Statement'!V60</f>
        <v>27961.635451678</v>
      </c>
      <c r="W10" s="25" t="n">
        <f aca="false">'Book Income Statement'!W60</f>
        <v>28247.3442158092</v>
      </c>
      <c r="X10" s="25" t="n">
        <f aca="false">'Book Income Statement'!X60</f>
        <v>25770.4309987304</v>
      </c>
      <c r="Y10" s="0"/>
      <c r="Z10" s="0"/>
      <c r="AA10" s="0"/>
      <c r="AB10" s="6"/>
      <c r="AC10" s="6"/>
      <c r="AD10" s="6"/>
      <c r="AE10" s="0"/>
    </row>
    <row r="11" customFormat="false" ht="12.75" hidden="false" customHeight="false" outlineLevel="1" collapsed="false">
      <c r="A11" s="26" t="s">
        <v>10</v>
      </c>
      <c r="B11" s="21" t="n">
        <f aca="false">NPV(0.1,D11:Y11)</f>
        <v>95563.5564791998</v>
      </c>
      <c r="C11" s="21" t="n">
        <v>0</v>
      </c>
      <c r="D11" s="22" t="n">
        <f aca="false">'Book Income Statement'!D81</f>
        <v>-319.618876269215</v>
      </c>
      <c r="E11" s="23" t="n">
        <f aca="false">'Book Income Statement'!E81</f>
        <v>3711.43557778241</v>
      </c>
      <c r="F11" s="23" t="n">
        <f aca="false">'Book Income Statement'!F81</f>
        <v>3812.03887910637</v>
      </c>
      <c r="G11" s="23" t="n">
        <f aca="false">'Book Income Statement'!G81</f>
        <v>8543.55687302645</v>
      </c>
      <c r="H11" s="23" t="n">
        <f aca="false">'Book Income Statement'!H81</f>
        <v>12670.1913245284</v>
      </c>
      <c r="I11" s="23" t="n">
        <f aca="false">'Book Income Statement'!I81</f>
        <v>13601.2919195308</v>
      </c>
      <c r="J11" s="23" t="n">
        <f aca="false">'Book Income Statement'!J81</f>
        <v>14112.878928321</v>
      </c>
      <c r="K11" s="23" t="n">
        <f aca="false">'Book Income Statement'!K81</f>
        <v>14554.4541510227</v>
      </c>
      <c r="L11" s="23" t="n">
        <f aca="false">'Book Income Statement'!L81</f>
        <v>15015.7647766624</v>
      </c>
      <c r="M11" s="23" t="n">
        <f aca="false">'Book Income Statement'!M81</f>
        <v>15682.0745526155</v>
      </c>
      <c r="N11" s="24" t="n">
        <f aca="false">'Book Income Statement'!N81</f>
        <v>16455.8433273727</v>
      </c>
      <c r="O11" s="25" t="n">
        <f aca="false">'Book Income Statement'!O81</f>
        <v>16709.957115614</v>
      </c>
      <c r="P11" s="25" t="n">
        <f aca="false">'Book Income Statement'!P81</f>
        <v>17090.3422563286</v>
      </c>
      <c r="Q11" s="25" t="n">
        <f aca="false">'Book Income Statement'!Q81</f>
        <v>16997.0509907574</v>
      </c>
      <c r="R11" s="25" t="n">
        <f aca="false">'Book Income Statement'!R81</f>
        <v>17348.8878345267</v>
      </c>
      <c r="S11" s="25" t="n">
        <f aca="false">'Book Income Statement'!S81</f>
        <v>17692.0752838348</v>
      </c>
      <c r="T11" s="25" t="n">
        <f aca="false">'Book Income Statement'!T81</f>
        <v>18025.9212154665</v>
      </c>
      <c r="U11" s="25" t="n">
        <f aca="false">'Book Income Statement'!U81</f>
        <v>18509.1371096284</v>
      </c>
      <c r="V11" s="25" t="n">
        <f aca="false">'Book Income Statement'!V81</f>
        <v>19045.2995477479</v>
      </c>
      <c r="W11" s="25" t="n">
        <f aca="false">'Book Income Statement'!W81</f>
        <v>19108.220680514</v>
      </c>
      <c r="X11" s="25" t="n">
        <f aca="false">'Book Income Statement'!X81</f>
        <v>5364.77471917046</v>
      </c>
      <c r="Y11" s="0"/>
      <c r="Z11" s="0"/>
      <c r="AA11" s="0"/>
      <c r="AB11" s="6"/>
      <c r="AC11" s="6"/>
      <c r="AD11" s="6"/>
      <c r="AE11" s="0"/>
    </row>
    <row r="12" customFormat="false" ht="12.75" hidden="false" customHeight="false" outlineLevel="1" collapsed="false">
      <c r="A12" s="26" t="s">
        <v>11</v>
      </c>
      <c r="B12" s="21" t="n">
        <f aca="false">NPV(0.1,D12:Y12)</f>
        <v>101564.572755001</v>
      </c>
      <c r="C12" s="21" t="n">
        <v>0</v>
      </c>
      <c r="D12" s="27" t="n">
        <f aca="false">'Cash Flow Statement'!D22</f>
        <v>-2224.28540815442</v>
      </c>
      <c r="E12" s="28" t="n">
        <f aca="false">'Cash Flow Statement'!E22</f>
        <v>6094.68439238929</v>
      </c>
      <c r="F12" s="28" t="n">
        <f aca="false">'Cash Flow Statement'!F22</f>
        <v>4682.16682531454</v>
      </c>
      <c r="G12" s="28" t="n">
        <f aca="false">'Cash Flow Statement'!G22</f>
        <v>10491.52086977</v>
      </c>
      <c r="H12" s="28" t="n">
        <f aca="false">'Cash Flow Statement'!H22</f>
        <v>17513.4716832123</v>
      </c>
      <c r="I12" s="28" t="n">
        <f aca="false">'Cash Flow Statement'!I22</f>
        <v>15532.5517179437</v>
      </c>
      <c r="J12" s="28" t="n">
        <f aca="false">'Cash Flow Statement'!J22</f>
        <v>15094.3569718763</v>
      </c>
      <c r="K12" s="28" t="n">
        <f aca="false">'Cash Flow Statement'!K22</f>
        <v>15563.8056243121</v>
      </c>
      <c r="L12" s="28" t="n">
        <f aca="false">'Cash Flow Statement'!L22</f>
        <v>12361.8741895561</v>
      </c>
      <c r="M12" s="28" t="n">
        <f aca="false">'Cash Flow Statement'!M22</f>
        <v>10498.5691124288</v>
      </c>
      <c r="N12" s="29" t="n">
        <f aca="false">'Cash Flow Statement'!N22</f>
        <v>20312.2063172535</v>
      </c>
      <c r="O12" s="25" t="n">
        <f aca="false">'Cash Flow Statement'!O22</f>
        <v>20092.6811399803</v>
      </c>
      <c r="P12" s="25" t="n">
        <f aca="false">'Cash Flow Statement'!P22</f>
        <v>20300.8477052698</v>
      </c>
      <c r="Q12" s="25" t="n">
        <f aca="false">'Cash Flow Statement'!Q22</f>
        <v>20213.5380694933</v>
      </c>
      <c r="R12" s="25" t="n">
        <f aca="false">'Cash Flow Statement'!R22</f>
        <v>20559.3932834679</v>
      </c>
      <c r="S12" s="25" t="n">
        <f aca="false">'Cash Flow Statement'!S22</f>
        <v>19137.9999433617</v>
      </c>
      <c r="T12" s="25" t="n">
        <f aca="false">'Cash Flow Statement'!T22</f>
        <v>14451.419744079</v>
      </c>
      <c r="U12" s="25" t="n">
        <f aca="false">'Cash Flow Statement'!U22</f>
        <v>13632.2975016409</v>
      </c>
      <c r="V12" s="25" t="n">
        <f aca="false">'Cash Flow Statement'!V22</f>
        <v>12214.9527348604</v>
      </c>
      <c r="W12" s="25" t="n">
        <f aca="false">'Cash Flow Statement'!W22</f>
        <v>10975.5357310265</v>
      </c>
      <c r="X12" s="25" t="n">
        <f aca="false">'Cash Flow Statement'!X22</f>
        <v>8702.4880599524</v>
      </c>
      <c r="Y12" s="0"/>
      <c r="Z12" s="0"/>
      <c r="AA12" s="0"/>
      <c r="AB12" s="6"/>
      <c r="AC12" s="6"/>
      <c r="AD12" s="6"/>
      <c r="AE12" s="0"/>
    </row>
    <row r="13" customFormat="false" ht="12.75" hidden="false" customHeight="false" outlineLevel="1" collapsed="false">
      <c r="A13" s="30"/>
      <c r="B13" s="8"/>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0"/>
    </row>
    <row r="14" customFormat="false" ht="12.75" hidden="false" customHeight="false" outlineLevel="1" collapsed="false">
      <c r="A14" s="30" t="s">
        <v>12</v>
      </c>
      <c r="B14" s="8"/>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0"/>
    </row>
    <row r="15" customFormat="false" ht="12.75" hidden="false" customHeight="false" outlineLevel="1" collapsed="false">
      <c r="A15" s="6"/>
      <c r="B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0"/>
    </row>
    <row r="16" customFormat="false" ht="12.75" hidden="false" customHeight="false" outlineLevel="1" collapsed="false">
      <c r="A16" s="11" t="s">
        <v>3</v>
      </c>
      <c r="B16" s="12" t="n">
        <v>58097.5936673801</v>
      </c>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0"/>
    </row>
    <row r="17" customFormat="false" ht="12.75" hidden="false" customHeight="false" outlineLevel="1" collapsed="false">
      <c r="A17" s="13" t="s">
        <v>4</v>
      </c>
      <c r="B17" s="14" t="n">
        <v>89310.3206113805</v>
      </c>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0"/>
    </row>
    <row r="18" customFormat="false" ht="12.75" hidden="false" customHeight="false" outlineLevel="1" collapsed="false">
      <c r="A18" s="15" t="s">
        <v>5</v>
      </c>
      <c r="B18" s="16" t="s">
        <v>6</v>
      </c>
      <c r="C18" s="16" t="s">
        <v>7</v>
      </c>
      <c r="D18" s="17" t="n">
        <v>2000</v>
      </c>
      <c r="E18" s="18" t="n">
        <v>2001</v>
      </c>
      <c r="F18" s="18" t="n">
        <v>2002</v>
      </c>
      <c r="G18" s="18" t="n">
        <v>2003</v>
      </c>
      <c r="H18" s="18" t="n">
        <v>2004</v>
      </c>
      <c r="I18" s="18" t="n">
        <v>2005</v>
      </c>
      <c r="J18" s="18" t="n">
        <v>2006</v>
      </c>
      <c r="K18" s="18" t="n">
        <v>2007</v>
      </c>
      <c r="L18" s="18" t="n">
        <v>2008</v>
      </c>
      <c r="M18" s="18" t="n">
        <v>2009</v>
      </c>
      <c r="N18" s="19" t="n">
        <v>2010</v>
      </c>
      <c r="O18" s="20" t="n">
        <v>2011</v>
      </c>
      <c r="P18" s="20" t="n">
        <v>2012</v>
      </c>
      <c r="Q18" s="20" t="n">
        <v>2013</v>
      </c>
      <c r="R18" s="20" t="n">
        <v>2014</v>
      </c>
      <c r="S18" s="20" t="n">
        <v>2015</v>
      </c>
      <c r="T18" s="20" t="n">
        <v>2016</v>
      </c>
      <c r="U18" s="20" t="n">
        <v>2017</v>
      </c>
      <c r="V18" s="20" t="n">
        <v>2018</v>
      </c>
      <c r="W18" s="20" t="n">
        <v>2019</v>
      </c>
      <c r="X18" s="20" t="n">
        <v>2020</v>
      </c>
      <c r="Y18" s="6"/>
      <c r="Z18" s="6"/>
      <c r="AA18" s="6"/>
      <c r="AB18" s="6"/>
      <c r="AC18" s="6"/>
      <c r="AD18" s="6"/>
      <c r="AE18" s="0"/>
    </row>
    <row r="19" customFormat="false" ht="12.75" hidden="false" customHeight="false" outlineLevel="1" collapsed="false">
      <c r="A19" s="15" t="s">
        <v>8</v>
      </c>
      <c r="B19" s="21" t="n">
        <f aca="false">NPV(0.1,D19:Y19)</f>
        <v>428097.645664291</v>
      </c>
      <c r="C19" s="21" t="n">
        <f aca="false">B19-B9</f>
        <v>-29098.0774596648</v>
      </c>
      <c r="D19" s="22" t="n">
        <v>24591.6382504</v>
      </c>
      <c r="E19" s="23" t="n">
        <v>34540.5227664</v>
      </c>
      <c r="F19" s="23" t="n">
        <v>34802.7962808</v>
      </c>
      <c r="G19" s="23" t="n">
        <v>44456.1826433096</v>
      </c>
      <c r="H19" s="23" t="n">
        <v>52301.1490948105</v>
      </c>
      <c r="I19" s="23" t="n">
        <v>53478.3718914303</v>
      </c>
      <c r="J19" s="23" t="n">
        <v>54490.1649867825</v>
      </c>
      <c r="K19" s="23" t="n">
        <v>55603.4730737194</v>
      </c>
      <c r="L19" s="23" t="n">
        <v>56816.3597292196</v>
      </c>
      <c r="M19" s="23" t="n">
        <v>58132.828166066</v>
      </c>
      <c r="N19" s="24" t="n">
        <v>59578.5389411493</v>
      </c>
      <c r="O19" s="25" t="n">
        <v>61017.9078426115</v>
      </c>
      <c r="P19" s="25" t="n">
        <v>62581.4660448324</v>
      </c>
      <c r="Q19" s="25" t="n">
        <v>64208.7686404843</v>
      </c>
      <c r="R19" s="25" t="n">
        <v>65893.5294348245</v>
      </c>
      <c r="S19" s="25" t="n">
        <v>67605.0251009737</v>
      </c>
      <c r="T19" s="25" t="n">
        <v>69188.6003167694</v>
      </c>
      <c r="U19" s="25" t="n">
        <v>70936.0287863689</v>
      </c>
      <c r="V19" s="25" t="n">
        <v>72457.1666514848</v>
      </c>
      <c r="W19" s="25" t="n">
        <v>73973.7465336714</v>
      </c>
      <c r="X19" s="25" t="n">
        <v>18312.0869090308</v>
      </c>
      <c r="Y19" s="6"/>
      <c r="Z19" s="6"/>
      <c r="AA19" s="6"/>
      <c r="AB19" s="6"/>
      <c r="AC19" s="6"/>
      <c r="AD19" s="6"/>
      <c r="AE19" s="0"/>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c r="IN19" s="31"/>
      <c r="IO19" s="31"/>
      <c r="IP19" s="31"/>
      <c r="IQ19" s="31"/>
      <c r="IR19" s="31"/>
      <c r="IS19" s="31"/>
      <c r="IT19" s="31"/>
      <c r="IU19" s="31"/>
    </row>
    <row r="20" customFormat="false" ht="12.75" hidden="false" customHeight="false" outlineLevel="1" collapsed="false">
      <c r="A20" s="26" t="s">
        <v>9</v>
      </c>
      <c r="B20" s="21" t="n">
        <f aca="false">NPV(0.1,D20:Y20)</f>
        <v>191902.031522311</v>
      </c>
      <c r="C20" s="21" t="n">
        <f aca="false">B20-B10</f>
        <v>-12243.8517988845</v>
      </c>
      <c r="D20" s="22" t="n">
        <v>15341.6399170667</v>
      </c>
      <c r="E20" s="23" t="n">
        <v>19350.2685664</v>
      </c>
      <c r="F20" s="23" t="n">
        <v>19696.5444548</v>
      </c>
      <c r="G20" s="23" t="n">
        <v>19981.1287983</v>
      </c>
      <c r="H20" s="23" t="n">
        <v>20330.260116457</v>
      </c>
      <c r="I20" s="23" t="n">
        <v>20749.6445095507</v>
      </c>
      <c r="J20" s="23" t="n">
        <v>21237.0670110452</v>
      </c>
      <c r="K20" s="23" t="n">
        <v>21824.8002231366</v>
      </c>
      <c r="L20" s="23" t="n">
        <v>22513.3466994787</v>
      </c>
      <c r="M20" s="23" t="n">
        <v>23305.175151983</v>
      </c>
      <c r="N20" s="24" t="n">
        <v>24763.4393553905</v>
      </c>
      <c r="O20" s="25" t="n">
        <v>25790.4102809163</v>
      </c>
      <c r="P20" s="25" t="n">
        <v>26950.4385182717</v>
      </c>
      <c r="Q20" s="25" t="n">
        <v>28187.0501989719</v>
      </c>
      <c r="R20" s="25" t="n">
        <v>29493.9786482371</v>
      </c>
      <c r="S20" s="25" t="n">
        <v>30841.5705752042</v>
      </c>
      <c r="T20" s="25" t="n">
        <v>32241.4555567643</v>
      </c>
      <c r="U20" s="25" t="n">
        <v>33832.3922871472</v>
      </c>
      <c r="V20" s="25" t="n">
        <v>35224.9201389776</v>
      </c>
      <c r="W20" s="25" t="n">
        <v>36642.532379931</v>
      </c>
      <c r="X20" s="25" t="n">
        <v>0</v>
      </c>
      <c r="Y20" s="6"/>
      <c r="Z20" s="6"/>
      <c r="AA20" s="6"/>
      <c r="AB20" s="6"/>
      <c r="AC20" s="6"/>
      <c r="AD20" s="6"/>
      <c r="AE20" s="0"/>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row>
    <row r="21" customFormat="false" ht="12.75" hidden="false" customHeight="false" outlineLevel="1" collapsed="false">
      <c r="A21" s="26" t="s">
        <v>10</v>
      </c>
      <c r="B21" s="21" t="n">
        <f aca="false">NPV(0.1,D21:Y21)</f>
        <v>76332.118144908</v>
      </c>
      <c r="C21" s="21" t="n">
        <f aca="false">B21-B11</f>
        <v>-19231.4383342918</v>
      </c>
      <c r="D21" s="22" t="n">
        <v>68.4709912077381</v>
      </c>
      <c r="E21" s="23" t="n">
        <v>-229.809531979586</v>
      </c>
      <c r="F21" s="23" t="n">
        <v>-190.953414582435</v>
      </c>
      <c r="G21" s="23" t="n">
        <v>5653.41256377661</v>
      </c>
      <c r="H21" s="23" t="n">
        <v>10295.0706199247</v>
      </c>
      <c r="I21" s="23" t="n">
        <v>11114.3396481455</v>
      </c>
      <c r="J21" s="23" t="n">
        <v>11762.3156916502</v>
      </c>
      <c r="K21" s="23" t="n">
        <v>12240.4322038506</v>
      </c>
      <c r="L21" s="23" t="n">
        <v>12804.050049153</v>
      </c>
      <c r="M21" s="23" t="n">
        <v>13396.5749172135</v>
      </c>
      <c r="N21" s="24" t="n">
        <v>13688.3836388549</v>
      </c>
      <c r="O21" s="25" t="n">
        <v>14198.3322845855</v>
      </c>
      <c r="P21" s="25" t="n">
        <v>14802.951241123</v>
      </c>
      <c r="Q21" s="25" t="n">
        <v>15435.1211992654</v>
      </c>
      <c r="R21" s="25" t="n">
        <v>16097.3868418002</v>
      </c>
      <c r="S21" s="25" t="n">
        <v>16716.3168867121</v>
      </c>
      <c r="T21" s="25" t="n">
        <v>17343.2504350854</v>
      </c>
      <c r="U21" s="25" t="n">
        <v>17997.0525499161</v>
      </c>
      <c r="V21" s="25" t="n">
        <v>18680.2255907791</v>
      </c>
      <c r="W21" s="25" t="n">
        <v>19147.4699278046</v>
      </c>
      <c r="X21" s="25" t="n">
        <v>0</v>
      </c>
      <c r="Y21" s="6"/>
      <c r="Z21" s="6"/>
      <c r="AA21" s="6"/>
      <c r="AB21" s="6"/>
      <c r="AC21" s="6"/>
      <c r="AD21" s="6"/>
      <c r="AE21" s="0"/>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row>
    <row r="22" customFormat="false" ht="12.75" hidden="false" customHeight="false" outlineLevel="1" collapsed="false">
      <c r="A22" s="26" t="s">
        <v>11</v>
      </c>
      <c r="B22" s="21" t="n">
        <f aca="false">NPV(0.1,D22:Y22)</f>
        <v>94813.3734786743</v>
      </c>
      <c r="C22" s="21" t="n">
        <f aca="false">B22-B12</f>
        <v>-6751.19927632707</v>
      </c>
      <c r="D22" s="27" t="n">
        <v>2300.2989818994</v>
      </c>
      <c r="E22" s="28" t="n">
        <v>4365.42744183781</v>
      </c>
      <c r="F22" s="28" t="n">
        <v>3782.45001163687</v>
      </c>
      <c r="G22" s="28" t="n">
        <v>14947.0205177957</v>
      </c>
      <c r="H22" s="28" t="n">
        <v>19469.2939617734</v>
      </c>
      <c r="I22" s="28" t="n">
        <v>16450.6443098938</v>
      </c>
      <c r="J22" s="28" t="n">
        <v>14087.9886978187</v>
      </c>
      <c r="K22" s="28" t="n">
        <v>14049.6318068274</v>
      </c>
      <c r="L22" s="28" t="n">
        <v>14045.903429193</v>
      </c>
      <c r="M22" s="28" t="n">
        <v>14034.257216199</v>
      </c>
      <c r="N22" s="29" t="n">
        <v>14413.3897096033</v>
      </c>
      <c r="O22" s="25" t="n">
        <v>13709.5502289245</v>
      </c>
      <c r="P22" s="25" t="n">
        <v>13608.2963876035</v>
      </c>
      <c r="Q22" s="25" t="n">
        <v>13497.182105815</v>
      </c>
      <c r="R22" s="25" t="n">
        <v>13348.6353714105</v>
      </c>
      <c r="S22" s="25" t="n">
        <v>10263.2821653394</v>
      </c>
      <c r="T22" s="25" t="n">
        <v>9619.37833462795</v>
      </c>
      <c r="U22" s="25" t="n">
        <v>9352.73506083727</v>
      </c>
      <c r="V22" s="25" t="n">
        <v>9051.21674037464</v>
      </c>
      <c r="W22" s="25" t="n">
        <v>14308.573785541</v>
      </c>
      <c r="X22" s="25" t="n">
        <v>0</v>
      </c>
      <c r="Y22" s="6"/>
      <c r="Z22" s="6"/>
      <c r="AA22" s="6"/>
      <c r="AB22" s="6"/>
      <c r="AC22" s="6"/>
      <c r="AD22" s="6"/>
      <c r="AE22" s="0"/>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c r="IO22" s="32"/>
      <c r="IP22" s="32"/>
      <c r="IQ22" s="32"/>
      <c r="IR22" s="32"/>
      <c r="IS22" s="32"/>
      <c r="IT22" s="32"/>
      <c r="IU22" s="32"/>
      <c r="IV22" s="32"/>
      <c r="IW22" s="32"/>
    </row>
    <row r="23" customFormat="false" ht="12.75" hidden="false" customHeight="false" outlineLevel="1" collapsed="false">
      <c r="A23" s="6"/>
      <c r="B23" s="6"/>
      <c r="C23" s="32"/>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0"/>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c r="IW23" s="32"/>
    </row>
    <row r="24" customFormat="false" ht="12.75" hidden="false" customHeight="false" outlineLevel="1" collapsed="false">
      <c r="A24" s="30" t="s">
        <v>13</v>
      </c>
      <c r="B24" s="6"/>
      <c r="C24" s="32"/>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0"/>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c r="IW24" s="32"/>
    </row>
    <row r="25" customFormat="false" ht="12.75" hidden="false" customHeight="false" outlineLevel="1" collapsed="false">
      <c r="A25" s="6"/>
      <c r="B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0"/>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row>
    <row r="26" customFormat="false" ht="12.75" hidden="false" customHeight="false" outlineLevel="1" collapsed="false">
      <c r="A26" s="11" t="s">
        <v>3</v>
      </c>
      <c r="B26" s="12" t="n">
        <v>59447.7566050632</v>
      </c>
      <c r="C26" s="32"/>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0"/>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c r="IO26" s="32"/>
      <c r="IP26" s="32"/>
      <c r="IQ26" s="32"/>
      <c r="IR26" s="32"/>
      <c r="IS26" s="32"/>
      <c r="IT26" s="32"/>
      <c r="IU26" s="32"/>
      <c r="IV26" s="32"/>
      <c r="IW26" s="32"/>
    </row>
    <row r="27" customFormat="false" ht="12.75" hidden="false" customHeight="false" outlineLevel="1" collapsed="false">
      <c r="A27" s="13" t="s">
        <v>4</v>
      </c>
      <c r="B27" s="14" t="n">
        <v>90898.8060298148</v>
      </c>
      <c r="C27" s="32"/>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0"/>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row>
    <row r="28" customFormat="false" ht="12.75" hidden="false" customHeight="false" outlineLevel="1" collapsed="false">
      <c r="A28" s="15" t="s">
        <v>5</v>
      </c>
      <c r="B28" s="16" t="s">
        <v>6</v>
      </c>
      <c r="C28" s="16" t="s">
        <v>7</v>
      </c>
      <c r="D28" s="17" t="n">
        <v>2000</v>
      </c>
      <c r="E28" s="18" t="n">
        <v>2001</v>
      </c>
      <c r="F28" s="18" t="n">
        <v>2002</v>
      </c>
      <c r="G28" s="18" t="n">
        <v>2003</v>
      </c>
      <c r="H28" s="18" t="n">
        <v>2004</v>
      </c>
      <c r="I28" s="18" t="n">
        <v>2005</v>
      </c>
      <c r="J28" s="18" t="n">
        <v>2006</v>
      </c>
      <c r="K28" s="18" t="n">
        <v>2007</v>
      </c>
      <c r="L28" s="18" t="n">
        <v>2008</v>
      </c>
      <c r="M28" s="18" t="n">
        <v>2009</v>
      </c>
      <c r="N28" s="19" t="n">
        <v>2010</v>
      </c>
      <c r="O28" s="20" t="n">
        <v>2011</v>
      </c>
      <c r="P28" s="20" t="n">
        <v>2012</v>
      </c>
      <c r="Q28" s="20" t="n">
        <v>2013</v>
      </c>
      <c r="R28" s="20" t="n">
        <v>2014</v>
      </c>
      <c r="S28" s="20" t="n">
        <v>2015</v>
      </c>
      <c r="T28" s="20" t="n">
        <v>2016</v>
      </c>
      <c r="U28" s="20" t="n">
        <v>2017</v>
      </c>
      <c r="V28" s="20" t="n">
        <v>2018</v>
      </c>
      <c r="W28" s="20" t="n">
        <v>2019</v>
      </c>
      <c r="X28" s="20" t="n">
        <v>2020</v>
      </c>
      <c r="Y28" s="6"/>
      <c r="Z28" s="6"/>
      <c r="AA28" s="6"/>
      <c r="AB28" s="6"/>
      <c r="AC28" s="6"/>
      <c r="AD28" s="6"/>
      <c r="AE28" s="0"/>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c r="HZ28" s="33"/>
      <c r="IA28" s="33"/>
      <c r="IB28" s="33"/>
      <c r="IC28" s="33"/>
      <c r="ID28" s="33"/>
      <c r="IE28" s="33"/>
      <c r="IF28" s="33"/>
      <c r="IG28" s="33"/>
      <c r="IH28" s="33"/>
      <c r="II28" s="33"/>
      <c r="IJ28" s="33"/>
      <c r="IK28" s="33"/>
      <c r="IL28" s="33"/>
      <c r="IM28" s="33"/>
      <c r="IN28" s="33"/>
      <c r="IO28" s="33"/>
      <c r="IP28" s="33"/>
      <c r="IQ28" s="33"/>
      <c r="IR28" s="33"/>
      <c r="IS28" s="33"/>
      <c r="IT28" s="33"/>
      <c r="IU28" s="33"/>
      <c r="IV28" s="33"/>
      <c r="IW28" s="33"/>
    </row>
    <row r="29" customFormat="false" ht="12.75" hidden="false" customHeight="false" outlineLevel="1" collapsed="false">
      <c r="A29" s="15" t="s">
        <v>8</v>
      </c>
      <c r="B29" s="21" t="n">
        <f aca="false">NPV(0.1,D29:Y29)</f>
        <v>428097.645664291</v>
      </c>
      <c r="C29" s="21" t="n">
        <f aca="false">B29-B19</f>
        <v>0</v>
      </c>
      <c r="D29" s="22" t="n">
        <v>24591.6382504</v>
      </c>
      <c r="E29" s="23" t="n">
        <v>34540.5227664</v>
      </c>
      <c r="F29" s="23" t="n">
        <v>34802.7962808</v>
      </c>
      <c r="G29" s="23" t="n">
        <v>44456.1826433096</v>
      </c>
      <c r="H29" s="23" t="n">
        <v>52301.1490948105</v>
      </c>
      <c r="I29" s="23" t="n">
        <v>53478.3718914303</v>
      </c>
      <c r="J29" s="23" t="n">
        <v>54490.1649867825</v>
      </c>
      <c r="K29" s="23" t="n">
        <v>55603.4730737194</v>
      </c>
      <c r="L29" s="23" t="n">
        <v>56816.3597292196</v>
      </c>
      <c r="M29" s="23" t="n">
        <v>58132.828166066</v>
      </c>
      <c r="N29" s="24" t="n">
        <v>59578.5389411493</v>
      </c>
      <c r="O29" s="25" t="n">
        <v>61017.9078426115</v>
      </c>
      <c r="P29" s="25" t="n">
        <v>62581.4660448324</v>
      </c>
      <c r="Q29" s="25" t="n">
        <v>64208.7686404843</v>
      </c>
      <c r="R29" s="25" t="n">
        <v>65893.5294348245</v>
      </c>
      <c r="S29" s="25" t="n">
        <v>67605.0251009737</v>
      </c>
      <c r="T29" s="25" t="n">
        <v>69188.6003167694</v>
      </c>
      <c r="U29" s="25" t="n">
        <v>70936.0287863689</v>
      </c>
      <c r="V29" s="25" t="n">
        <v>72457.1666514848</v>
      </c>
      <c r="W29" s="25" t="n">
        <v>73973.7465336714</v>
      </c>
      <c r="X29" s="25" t="n">
        <v>18312.0869090308</v>
      </c>
      <c r="Y29" s="6"/>
      <c r="Z29" s="6"/>
      <c r="AA29" s="6"/>
      <c r="AB29" s="6"/>
      <c r="AC29" s="6"/>
      <c r="AD29" s="6"/>
      <c r="AE29" s="0"/>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c r="IR29" s="33"/>
      <c r="IS29" s="33"/>
      <c r="IT29" s="33"/>
      <c r="IU29" s="33"/>
      <c r="IV29" s="33"/>
      <c r="IW29" s="33"/>
    </row>
    <row r="30" customFormat="false" ht="12.75" hidden="false" customHeight="false" outlineLevel="1" collapsed="false">
      <c r="A30" s="26" t="s">
        <v>9</v>
      </c>
      <c r="B30" s="21" t="n">
        <f aca="false">NPV(0.1,D30:Y30)</f>
        <v>191902.031522311</v>
      </c>
      <c r="C30" s="21" t="n">
        <f aca="false">B30-B20</f>
        <v>0</v>
      </c>
      <c r="D30" s="22" t="n">
        <v>15341.6399170667</v>
      </c>
      <c r="E30" s="23" t="n">
        <v>19350.2685664</v>
      </c>
      <c r="F30" s="23" t="n">
        <v>19696.5444548</v>
      </c>
      <c r="G30" s="23" t="n">
        <v>19981.1287983</v>
      </c>
      <c r="H30" s="23" t="n">
        <v>20330.260116457</v>
      </c>
      <c r="I30" s="23" t="n">
        <v>20749.6445095507</v>
      </c>
      <c r="J30" s="23" t="n">
        <v>21237.0670110452</v>
      </c>
      <c r="K30" s="23" t="n">
        <v>21824.8002231366</v>
      </c>
      <c r="L30" s="23" t="n">
        <v>22513.3466994787</v>
      </c>
      <c r="M30" s="23" t="n">
        <v>23305.175151983</v>
      </c>
      <c r="N30" s="24" t="n">
        <v>24763.4393553905</v>
      </c>
      <c r="O30" s="25" t="n">
        <v>25790.4102809163</v>
      </c>
      <c r="P30" s="25" t="n">
        <v>26950.4385182717</v>
      </c>
      <c r="Q30" s="25" t="n">
        <v>28187.0501989719</v>
      </c>
      <c r="R30" s="25" t="n">
        <v>29493.9786482371</v>
      </c>
      <c r="S30" s="25" t="n">
        <v>30841.5705752042</v>
      </c>
      <c r="T30" s="25" t="n">
        <v>32241.4555567643</v>
      </c>
      <c r="U30" s="25" t="n">
        <v>33832.3922871472</v>
      </c>
      <c r="V30" s="25" t="n">
        <v>35224.9201389776</v>
      </c>
      <c r="W30" s="25" t="n">
        <v>36642.532379931</v>
      </c>
      <c r="X30" s="25" t="n">
        <v>0</v>
      </c>
      <c r="Y30" s="6"/>
      <c r="Z30" s="6"/>
      <c r="AA30" s="6"/>
      <c r="AB30" s="6"/>
      <c r="AC30" s="6"/>
      <c r="AD30" s="6"/>
      <c r="AE30" s="0"/>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c r="IO30" s="33"/>
      <c r="IP30" s="33"/>
      <c r="IQ30" s="33"/>
      <c r="IR30" s="33"/>
      <c r="IS30" s="33"/>
      <c r="IT30" s="33"/>
      <c r="IU30" s="33"/>
      <c r="IV30" s="33"/>
      <c r="IW30" s="33"/>
    </row>
    <row r="31" customFormat="false" ht="12.75" hidden="false" customHeight="false" outlineLevel="1" collapsed="false">
      <c r="A31" s="26" t="s">
        <v>10</v>
      </c>
      <c r="B31" s="21" t="n">
        <f aca="false">NPV(0.1,D31:Y31)</f>
        <v>76619.3736003768</v>
      </c>
      <c r="C31" s="21" t="n">
        <f aca="false">B31-B21</f>
        <v>287.255455468781</v>
      </c>
      <c r="D31" s="22" t="n">
        <v>89.069675871285</v>
      </c>
      <c r="E31" s="23" t="n">
        <v>-194.497501127792</v>
      </c>
      <c r="F31" s="23" t="n">
        <v>-155.641383730641</v>
      </c>
      <c r="G31" s="23" t="n">
        <v>5688.72459462841</v>
      </c>
      <c r="H31" s="23" t="n">
        <v>10330.3826507765</v>
      </c>
      <c r="I31" s="23" t="n">
        <v>11149.6516789973</v>
      </c>
      <c r="J31" s="23" t="n">
        <v>11797.6277225019</v>
      </c>
      <c r="K31" s="23" t="n">
        <v>12275.7442347024</v>
      </c>
      <c r="L31" s="23" t="n">
        <v>12839.3620800048</v>
      </c>
      <c r="M31" s="23" t="n">
        <v>13431.8869480653</v>
      </c>
      <c r="N31" s="24" t="n">
        <v>13723.6956697066</v>
      </c>
      <c r="O31" s="25" t="n">
        <v>14233.6443154373</v>
      </c>
      <c r="P31" s="25" t="n">
        <v>14838.2632719748</v>
      </c>
      <c r="Q31" s="25" t="n">
        <v>15470.4332301172</v>
      </c>
      <c r="R31" s="25" t="n">
        <v>16132.698872652</v>
      </c>
      <c r="S31" s="25" t="n">
        <v>16751.6289175639</v>
      </c>
      <c r="T31" s="25" t="n">
        <v>17378.5624659372</v>
      </c>
      <c r="U31" s="25" t="n">
        <v>18032.3645807679</v>
      </c>
      <c r="V31" s="25" t="n">
        <v>18715.5376216309</v>
      </c>
      <c r="W31" s="25" t="n">
        <v>19182.7819586564</v>
      </c>
      <c r="X31" s="25" t="n">
        <v>0</v>
      </c>
      <c r="Y31" s="6"/>
      <c r="Z31" s="6"/>
      <c r="AA31" s="6"/>
      <c r="AB31" s="6"/>
      <c r="AC31" s="6"/>
      <c r="AD31" s="6"/>
      <c r="AE31" s="0"/>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c r="IO31" s="33"/>
      <c r="IP31" s="33"/>
      <c r="IQ31" s="33"/>
      <c r="IR31" s="33"/>
      <c r="IS31" s="33"/>
      <c r="IT31" s="33"/>
      <c r="IU31" s="33"/>
      <c r="IV31" s="33"/>
      <c r="IW31" s="33"/>
    </row>
    <row r="32" customFormat="false" ht="12.75" hidden="false" customHeight="false" outlineLevel="1" collapsed="false">
      <c r="A32" s="26" t="s">
        <v>11</v>
      </c>
      <c r="B32" s="21" t="n">
        <f aca="false">NPV(0.1,D32:Y32)</f>
        <v>94551.6249064556</v>
      </c>
      <c r="C32" s="21" t="n">
        <f aca="false">B32-B22</f>
        <v>-261.748572218741</v>
      </c>
      <c r="D32" s="27" t="n">
        <v>2300.2989818994</v>
      </c>
      <c r="E32" s="28" t="n">
        <v>4365.42744183781</v>
      </c>
      <c r="F32" s="28" t="n">
        <v>3782.45001163687</v>
      </c>
      <c r="G32" s="28" t="n">
        <v>14947.0205177957</v>
      </c>
      <c r="H32" s="28" t="n">
        <v>19469.2939617734</v>
      </c>
      <c r="I32" s="28" t="n">
        <v>16184.1897801989</v>
      </c>
      <c r="J32" s="28" t="n">
        <v>14054.1100764964</v>
      </c>
      <c r="K32" s="28" t="n">
        <v>14015.5994995408</v>
      </c>
      <c r="L32" s="28" t="n">
        <v>14011.8389550767</v>
      </c>
      <c r="M32" s="28" t="n">
        <v>14000.0390561185</v>
      </c>
      <c r="N32" s="29" t="n">
        <v>14379.139382693</v>
      </c>
      <c r="O32" s="25" t="n">
        <v>13675.14621605</v>
      </c>
      <c r="P32" s="25" t="n">
        <v>13573.8602078993</v>
      </c>
      <c r="Q32" s="25" t="n">
        <v>13462.5922401466</v>
      </c>
      <c r="R32" s="25" t="n">
        <v>13314.0133389123</v>
      </c>
      <c r="S32" s="25" t="n">
        <v>10259.9191431479</v>
      </c>
      <c r="T32" s="25" t="n">
        <v>9620.41859401635</v>
      </c>
      <c r="U32" s="25" t="n">
        <v>9353.68239382869</v>
      </c>
      <c r="V32" s="25" t="n">
        <v>9052.07114696908</v>
      </c>
      <c r="W32" s="25" t="n">
        <v>14309.3352657384</v>
      </c>
      <c r="X32" s="25" t="n">
        <v>0</v>
      </c>
      <c r="Y32" s="6"/>
      <c r="Z32" s="6"/>
      <c r="AA32" s="6"/>
      <c r="AB32" s="6"/>
      <c r="AC32" s="6"/>
      <c r="AD32" s="6"/>
      <c r="AE32" s="0"/>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c r="IO32" s="33"/>
      <c r="IP32" s="33"/>
      <c r="IQ32" s="33"/>
      <c r="IR32" s="33"/>
      <c r="IS32" s="33"/>
      <c r="IT32" s="33"/>
      <c r="IU32" s="33"/>
      <c r="IV32" s="33"/>
      <c r="IW32" s="33"/>
    </row>
    <row r="33" customFormat="false" ht="12.75" hidden="false" customHeight="false" outlineLevel="1" collapsed="false">
      <c r="A33" s="6"/>
      <c r="B33" s="6"/>
      <c r="C33" s="33"/>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0"/>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c r="IO33" s="33"/>
      <c r="IP33" s="33"/>
      <c r="IQ33" s="33"/>
      <c r="IR33" s="33"/>
      <c r="IS33" s="33"/>
      <c r="IT33" s="33"/>
      <c r="IU33" s="33"/>
      <c r="IV33" s="33"/>
      <c r="IW33" s="33"/>
    </row>
    <row r="34" customFormat="false" ht="12.75" hidden="false" customHeight="false" outlineLevel="1" collapsed="false">
      <c r="A34" s="30" t="s">
        <v>14</v>
      </c>
      <c r="B34" s="6"/>
      <c r="C34" s="33"/>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0"/>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c r="IO34" s="33"/>
      <c r="IP34" s="33"/>
      <c r="IQ34" s="33"/>
      <c r="IR34" s="33"/>
      <c r="IS34" s="33"/>
      <c r="IT34" s="33"/>
      <c r="IU34" s="33"/>
      <c r="IV34" s="33"/>
      <c r="IW34" s="33"/>
    </row>
    <row r="35" customFormat="false" ht="12.75" hidden="false" customHeight="false" outlineLevel="1" collapsed="false">
      <c r="A35" s="34" t="n">
        <v>36221</v>
      </c>
      <c r="B35" s="6"/>
      <c r="C35" s="33"/>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0"/>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c r="IO35" s="33"/>
      <c r="IP35" s="33"/>
      <c r="IQ35" s="33"/>
      <c r="IR35" s="33"/>
      <c r="IS35" s="33"/>
      <c r="IT35" s="33"/>
      <c r="IU35" s="33"/>
      <c r="IV35" s="33"/>
      <c r="IW35" s="33"/>
    </row>
    <row r="36" customFormat="false" ht="12.75" hidden="false" customHeight="false" outlineLevel="1" collapsed="false">
      <c r="A36" s="11" t="s">
        <v>3</v>
      </c>
      <c r="B36" s="12" t="n">
        <v>59449.3204175374</v>
      </c>
      <c r="C36" s="33"/>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0"/>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c r="IO36" s="33"/>
      <c r="IP36" s="33"/>
      <c r="IQ36" s="33"/>
      <c r="IR36" s="33"/>
      <c r="IS36" s="33"/>
      <c r="IT36" s="33"/>
      <c r="IU36" s="33"/>
      <c r="IV36" s="33"/>
      <c r="IW36" s="33"/>
    </row>
    <row r="37" customFormat="false" ht="12.75" hidden="false" customHeight="false" outlineLevel="1" collapsed="false">
      <c r="A37" s="13" t="s">
        <v>4</v>
      </c>
      <c r="B37" s="14" t="n">
        <v>90898.8060298148</v>
      </c>
      <c r="C37" s="33"/>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0"/>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c r="IO37" s="33"/>
      <c r="IP37" s="33"/>
      <c r="IQ37" s="33"/>
      <c r="IR37" s="33"/>
      <c r="IS37" s="33"/>
      <c r="IT37" s="33"/>
      <c r="IU37" s="33"/>
      <c r="IV37" s="33"/>
      <c r="IW37" s="33"/>
    </row>
    <row r="38" customFormat="false" ht="12.75" hidden="false" customHeight="false" outlineLevel="1" collapsed="false">
      <c r="A38" s="15" t="s">
        <v>5</v>
      </c>
      <c r="B38" s="16" t="s">
        <v>6</v>
      </c>
      <c r="C38" s="16" t="s">
        <v>7</v>
      </c>
      <c r="D38" s="17" t="n">
        <v>2000</v>
      </c>
      <c r="E38" s="18" t="n">
        <v>2001</v>
      </c>
      <c r="F38" s="18" t="n">
        <v>2002</v>
      </c>
      <c r="G38" s="18" t="n">
        <v>2003</v>
      </c>
      <c r="H38" s="18" t="n">
        <v>2004</v>
      </c>
      <c r="I38" s="18" t="n">
        <v>2005</v>
      </c>
      <c r="J38" s="18" t="n">
        <v>2006</v>
      </c>
      <c r="K38" s="18" t="n">
        <v>2007</v>
      </c>
      <c r="L38" s="18" t="n">
        <v>2008</v>
      </c>
      <c r="M38" s="18" t="n">
        <v>2009</v>
      </c>
      <c r="N38" s="19" t="n">
        <v>2010</v>
      </c>
      <c r="O38" s="20" t="n">
        <v>2011</v>
      </c>
      <c r="P38" s="20" t="n">
        <v>2012</v>
      </c>
      <c r="Q38" s="20" t="n">
        <v>2013</v>
      </c>
      <c r="R38" s="20" t="n">
        <v>2014</v>
      </c>
      <c r="S38" s="20" t="n">
        <v>2015</v>
      </c>
      <c r="T38" s="20" t="n">
        <v>2016</v>
      </c>
      <c r="U38" s="20" t="n">
        <v>2017</v>
      </c>
      <c r="V38" s="20" t="n">
        <v>2018</v>
      </c>
      <c r="W38" s="20" t="n">
        <v>2019</v>
      </c>
      <c r="X38" s="20" t="n">
        <v>2020</v>
      </c>
      <c r="Y38" s="6"/>
      <c r="Z38" s="6"/>
      <c r="AA38" s="6"/>
      <c r="AB38" s="6"/>
      <c r="AC38" s="6"/>
      <c r="AD38" s="6"/>
      <c r="AE38" s="0"/>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c r="IO38" s="33"/>
      <c r="IP38" s="33"/>
      <c r="IQ38" s="33"/>
      <c r="IR38" s="33"/>
      <c r="IS38" s="33"/>
      <c r="IT38" s="33"/>
      <c r="IU38" s="33"/>
      <c r="IV38" s="33"/>
      <c r="IW38" s="33"/>
    </row>
    <row r="39" customFormat="false" ht="12.75" hidden="false" customHeight="false" outlineLevel="1" collapsed="false">
      <c r="A39" s="15" t="s">
        <v>8</v>
      </c>
      <c r="B39" s="21" t="n">
        <f aca="false">NPV(0.1,D39:Y39)</f>
        <v>430119.420195486</v>
      </c>
      <c r="C39" s="21" t="n">
        <f aca="false">B39-B29</f>
        <v>2021.77453119477</v>
      </c>
      <c r="D39" s="22" t="n">
        <v>24769.63773325</v>
      </c>
      <c r="E39" s="23" t="n">
        <v>34741.5542595</v>
      </c>
      <c r="F39" s="23" t="n">
        <v>35007.5653452</v>
      </c>
      <c r="G39" s="23" t="n">
        <v>44663.9544720656</v>
      </c>
      <c r="H39" s="23" t="n">
        <v>52512.6544242612</v>
      </c>
      <c r="I39" s="23" t="n">
        <v>53694.4318204145</v>
      </c>
      <c r="J39" s="23" t="n">
        <v>54711.5502824683</v>
      </c>
      <c r="K39" s="23" t="n">
        <v>55831.3583340657</v>
      </c>
      <c r="L39" s="23" t="n">
        <v>57051.9012530933</v>
      </c>
      <c r="M39" s="23" t="n">
        <v>58377.2343392359</v>
      </c>
      <c r="N39" s="24" t="n">
        <v>59833.3261157813</v>
      </c>
      <c r="O39" s="25" t="n">
        <v>61284.6892876884</v>
      </c>
      <c r="P39" s="25" t="n">
        <v>62861.8112567236</v>
      </c>
      <c r="Q39" s="25" t="n">
        <v>64503.5445540903</v>
      </c>
      <c r="R39" s="25" t="n">
        <v>66203.5400845227</v>
      </c>
      <c r="S39" s="25" t="n">
        <v>67930.7238189929</v>
      </c>
      <c r="T39" s="25" t="n">
        <v>69530.5886774202</v>
      </c>
      <c r="U39" s="25" t="n">
        <v>71296.5213925591</v>
      </c>
      <c r="V39" s="25" t="n">
        <v>72833.7931548497</v>
      </c>
      <c r="W39" s="25" t="n">
        <v>74366.7730931483</v>
      </c>
      <c r="X39" s="25" t="n">
        <v>18312.0869090308</v>
      </c>
      <c r="Y39" s="6"/>
      <c r="Z39" s="6"/>
      <c r="AA39" s="6"/>
      <c r="AB39" s="6"/>
      <c r="AC39" s="6"/>
      <c r="AD39" s="6"/>
      <c r="AE39" s="0"/>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c r="IO39" s="33"/>
      <c r="IP39" s="33"/>
      <c r="IQ39" s="33"/>
      <c r="IR39" s="33"/>
      <c r="IS39" s="33"/>
      <c r="IT39" s="33"/>
      <c r="IU39" s="33"/>
      <c r="IV39" s="33"/>
      <c r="IW39" s="33"/>
    </row>
    <row r="40" customFormat="false" ht="12.75" hidden="false" customHeight="false" outlineLevel="1" collapsed="false">
      <c r="A40" s="26" t="s">
        <v>9</v>
      </c>
      <c r="B40" s="21" t="n">
        <f aca="false">NPV(0.1,D40:Y40)</f>
        <v>194275.951273667</v>
      </c>
      <c r="C40" s="21" t="n">
        <f aca="false">B40-B30</f>
        <v>2373.91975135609</v>
      </c>
      <c r="D40" s="22" t="n">
        <v>15519.6393999167</v>
      </c>
      <c r="E40" s="23" t="n">
        <v>19551.3000595</v>
      </c>
      <c r="F40" s="23" t="n">
        <v>19901.3135192</v>
      </c>
      <c r="G40" s="23" t="n">
        <v>20188.900627056</v>
      </c>
      <c r="H40" s="23" t="n">
        <v>20541.7654459077</v>
      </c>
      <c r="I40" s="23" t="n">
        <v>20965.7044385349</v>
      </c>
      <c r="J40" s="23" t="n">
        <v>21458.452306731</v>
      </c>
      <c r="K40" s="23" t="n">
        <v>22052.6854834829</v>
      </c>
      <c r="L40" s="23" t="n">
        <v>22748.8882233524</v>
      </c>
      <c r="M40" s="23" t="n">
        <v>23549.5813251529</v>
      </c>
      <c r="N40" s="24" t="n">
        <v>25018.2265300225</v>
      </c>
      <c r="O40" s="25" t="n">
        <v>26057.1917259932</v>
      </c>
      <c r="P40" s="25" t="n">
        <v>27230.783730163</v>
      </c>
      <c r="Q40" s="25" t="n">
        <v>28481.8261125779</v>
      </c>
      <c r="R40" s="25" t="n">
        <v>29803.9892979352</v>
      </c>
      <c r="S40" s="25" t="n">
        <v>31167.2692932233</v>
      </c>
      <c r="T40" s="25" t="n">
        <v>32583.443917415</v>
      </c>
      <c r="U40" s="25" t="n">
        <v>34192.8848933374</v>
      </c>
      <c r="V40" s="25" t="n">
        <v>35601.5466423426</v>
      </c>
      <c r="W40" s="25" t="n">
        <v>37035.5589394078</v>
      </c>
      <c r="X40" s="25" t="n">
        <v>2605.96264586972</v>
      </c>
      <c r="Y40" s="6"/>
      <c r="Z40" s="6"/>
      <c r="AA40" s="6"/>
      <c r="AB40" s="6"/>
      <c r="AC40" s="6"/>
      <c r="AD40" s="6"/>
      <c r="AE40" s="0"/>
    </row>
    <row r="41" customFormat="false" ht="12.75" hidden="false" customHeight="false" outlineLevel="1" collapsed="false">
      <c r="A41" s="26" t="s">
        <v>10</v>
      </c>
      <c r="B41" s="21" t="n">
        <f aca="false">NPV(0.1,D41:Y41)</f>
        <v>76536.1724360858</v>
      </c>
      <c r="C41" s="21" t="n">
        <f aca="false">B41-B31</f>
        <v>-83.2011642909929</v>
      </c>
      <c r="D41" s="22" t="n">
        <v>-320.024074128718</v>
      </c>
      <c r="E41" s="23" t="n">
        <v>-101.872501127795</v>
      </c>
      <c r="F41" s="23" t="n">
        <v>-63.016383730644</v>
      </c>
      <c r="G41" s="23" t="n">
        <v>5781.34959462841</v>
      </c>
      <c r="H41" s="23" t="n">
        <v>10423.0076507765</v>
      </c>
      <c r="I41" s="23" t="n">
        <v>11188.2454289972</v>
      </c>
      <c r="J41" s="23" t="n">
        <v>11797.627722502</v>
      </c>
      <c r="K41" s="23" t="n">
        <v>12275.7442347024</v>
      </c>
      <c r="L41" s="23" t="n">
        <v>12839.3620800048</v>
      </c>
      <c r="M41" s="23" t="n">
        <v>13431.8869480653</v>
      </c>
      <c r="N41" s="24" t="n">
        <v>13723.6956697066</v>
      </c>
      <c r="O41" s="25" t="n">
        <v>14233.6443154373</v>
      </c>
      <c r="P41" s="25" t="n">
        <v>14838.2632719748</v>
      </c>
      <c r="Q41" s="25" t="n">
        <v>15470.4332301172</v>
      </c>
      <c r="R41" s="25" t="n">
        <v>16132.698872652</v>
      </c>
      <c r="S41" s="25" t="n">
        <v>16751.6289175638</v>
      </c>
      <c r="T41" s="25" t="n">
        <v>17378.5624659372</v>
      </c>
      <c r="U41" s="25" t="n">
        <v>18032.3645807679</v>
      </c>
      <c r="V41" s="25" t="n">
        <v>18715.5376216309</v>
      </c>
      <c r="W41" s="25" t="n">
        <v>19182.7819586564</v>
      </c>
      <c r="X41" s="25" t="n">
        <v>0</v>
      </c>
      <c r="Y41" s="6"/>
      <c r="Z41" s="6"/>
      <c r="AA41" s="6"/>
      <c r="AB41" s="6"/>
      <c r="AC41" s="6"/>
      <c r="AD41" s="6"/>
      <c r="AE41" s="0"/>
    </row>
    <row r="42" customFormat="false" ht="12.75" hidden="false" customHeight="false" outlineLevel="0" collapsed="false">
      <c r="A42" s="26" t="s">
        <v>11</v>
      </c>
      <c r="B42" s="21" t="n">
        <f aca="false">NPV(0.1,D42:Y42)</f>
        <v>94553.2874585777</v>
      </c>
      <c r="C42" s="21" t="n">
        <f aca="false">B42-B32</f>
        <v>1.66255212211399</v>
      </c>
      <c r="D42" s="27" t="n">
        <v>2300.2989818994</v>
      </c>
      <c r="E42" s="28" t="n">
        <v>4365.42744183781</v>
      </c>
      <c r="F42" s="28" t="n">
        <v>3782.45001163687</v>
      </c>
      <c r="G42" s="28" t="n">
        <v>14947.0205177957</v>
      </c>
      <c r="H42" s="28" t="n">
        <v>19469.2939617734</v>
      </c>
      <c r="I42" s="28" t="n">
        <v>16187.1350926989</v>
      </c>
      <c r="J42" s="28" t="n">
        <v>14054.1100764964</v>
      </c>
      <c r="K42" s="28" t="n">
        <v>14015.5994995408</v>
      </c>
      <c r="L42" s="28" t="n">
        <v>14011.8389550767</v>
      </c>
      <c r="M42" s="28" t="n">
        <v>14000.0390561185</v>
      </c>
      <c r="N42" s="29" t="n">
        <v>14379.139382693</v>
      </c>
      <c r="O42" s="25" t="n">
        <v>13675.14621605</v>
      </c>
      <c r="P42" s="25" t="n">
        <v>13573.8602078993</v>
      </c>
      <c r="Q42" s="25" t="n">
        <v>13462.5922401466</v>
      </c>
      <c r="R42" s="25" t="n">
        <v>13314.0133389123</v>
      </c>
      <c r="S42" s="25" t="n">
        <v>10259.9191431479</v>
      </c>
      <c r="T42" s="25" t="n">
        <v>9620.41859401635</v>
      </c>
      <c r="U42" s="25" t="n">
        <v>9353.6823938287</v>
      </c>
      <c r="V42" s="25" t="n">
        <v>9052.07114696909</v>
      </c>
      <c r="W42" s="25" t="n">
        <v>14309.3352657384</v>
      </c>
      <c r="X42" s="25" t="n">
        <v>0</v>
      </c>
      <c r="Y42" s="6"/>
      <c r="Z42" s="6"/>
      <c r="AA42" s="6"/>
      <c r="AB42" s="6"/>
      <c r="AC42" s="6"/>
      <c r="AD42" s="6"/>
      <c r="AE42" s="0"/>
    </row>
    <row r="43" customFormat="false" ht="12.75" hidden="false" customHeight="false" outlineLevel="0" collapsed="false">
      <c r="A43" s="6"/>
      <c r="B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0"/>
    </row>
    <row r="44" customFormat="false" ht="12.75" hidden="false" customHeight="false" outlineLevel="0" collapsed="false">
      <c r="A44" s="30" t="s">
        <v>15</v>
      </c>
      <c r="B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0"/>
    </row>
    <row r="45" customFormat="false" ht="12.75" hidden="false" customHeight="false" outlineLevel="1" collapsed="false">
      <c r="A45" s="34" t="n">
        <v>36221</v>
      </c>
      <c r="B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0"/>
    </row>
    <row r="46" customFormat="false" ht="12.75" hidden="false" customHeight="false" outlineLevel="1" collapsed="false">
      <c r="A46" s="11" t="s">
        <v>3</v>
      </c>
      <c r="B46" s="12" t="n">
        <v>57009.1275594126</v>
      </c>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0"/>
    </row>
    <row r="47" customFormat="false" ht="12.75" hidden="false" customHeight="false" outlineLevel="1" collapsed="false">
      <c r="A47" s="13" t="s">
        <v>4</v>
      </c>
      <c r="B47" s="14" t="n">
        <v>87755.2445991998</v>
      </c>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0"/>
    </row>
    <row r="48" customFormat="false" ht="12.75" hidden="false" customHeight="false" outlineLevel="1" collapsed="false">
      <c r="A48" s="15" t="s">
        <v>5</v>
      </c>
      <c r="B48" s="16" t="s">
        <v>6</v>
      </c>
      <c r="C48" s="16" t="s">
        <v>7</v>
      </c>
      <c r="D48" s="17" t="n">
        <v>2000</v>
      </c>
      <c r="E48" s="18" t="n">
        <v>2001</v>
      </c>
      <c r="F48" s="18" t="n">
        <v>2002</v>
      </c>
      <c r="G48" s="18" t="n">
        <v>2003</v>
      </c>
      <c r="H48" s="18" t="n">
        <v>2004</v>
      </c>
      <c r="I48" s="18" t="n">
        <v>2005</v>
      </c>
      <c r="J48" s="18" t="n">
        <v>2006</v>
      </c>
      <c r="K48" s="18" t="n">
        <v>2007</v>
      </c>
      <c r="L48" s="18" t="n">
        <v>2008</v>
      </c>
      <c r="M48" s="18" t="n">
        <v>2009</v>
      </c>
      <c r="N48" s="19" t="n">
        <v>2010</v>
      </c>
      <c r="O48" s="20" t="n">
        <v>2011</v>
      </c>
      <c r="P48" s="20" t="n">
        <v>2012</v>
      </c>
      <c r="Q48" s="20" t="n">
        <v>2013</v>
      </c>
      <c r="R48" s="20" t="n">
        <v>2014</v>
      </c>
      <c r="S48" s="20" t="n">
        <v>2015</v>
      </c>
      <c r="T48" s="20" t="n">
        <v>2016</v>
      </c>
      <c r="U48" s="20" t="n">
        <v>2017</v>
      </c>
      <c r="V48" s="20" t="n">
        <v>2018</v>
      </c>
      <c r="W48" s="20" t="n">
        <v>2019</v>
      </c>
      <c r="X48" s="20" t="n">
        <v>2020</v>
      </c>
      <c r="Y48" s="6"/>
      <c r="Z48" s="6"/>
      <c r="AA48" s="6"/>
      <c r="AB48" s="6"/>
      <c r="AC48" s="6"/>
      <c r="AD48" s="6"/>
      <c r="AE48" s="0"/>
    </row>
    <row r="49" customFormat="false" ht="12.75" hidden="false" customHeight="false" outlineLevel="1" collapsed="false">
      <c r="A49" s="15" t="s">
        <v>8</v>
      </c>
      <c r="B49" s="21" t="n">
        <f aca="false">NPV(0.1,D49:Y49)</f>
        <v>430119.420195486</v>
      </c>
      <c r="C49" s="21" t="n">
        <f aca="false">B49-B39</f>
        <v>0</v>
      </c>
      <c r="D49" s="22" t="n">
        <v>24769.63773325</v>
      </c>
      <c r="E49" s="23" t="n">
        <v>34741.5542595</v>
      </c>
      <c r="F49" s="23" t="n">
        <v>35007.5653452</v>
      </c>
      <c r="G49" s="23" t="n">
        <v>44663.9544720656</v>
      </c>
      <c r="H49" s="23" t="n">
        <v>52512.6544242612</v>
      </c>
      <c r="I49" s="23" t="n">
        <v>53694.4318204145</v>
      </c>
      <c r="J49" s="23" t="n">
        <v>54711.5502824683</v>
      </c>
      <c r="K49" s="23" t="n">
        <v>55831.3583340657</v>
      </c>
      <c r="L49" s="23" t="n">
        <v>57051.9012530933</v>
      </c>
      <c r="M49" s="23" t="n">
        <v>58377.2343392359</v>
      </c>
      <c r="N49" s="24" t="n">
        <v>59833.3261157813</v>
      </c>
      <c r="O49" s="25" t="n">
        <v>61284.6892876884</v>
      </c>
      <c r="P49" s="25" t="n">
        <v>62861.8112567236</v>
      </c>
      <c r="Q49" s="25" t="n">
        <v>64503.5445540903</v>
      </c>
      <c r="R49" s="25" t="n">
        <v>66203.5400845227</v>
      </c>
      <c r="S49" s="25" t="n">
        <v>67930.7238189929</v>
      </c>
      <c r="T49" s="25" t="n">
        <v>69530.5886774202</v>
      </c>
      <c r="U49" s="25" t="n">
        <v>71296.5213925591</v>
      </c>
      <c r="V49" s="25" t="n">
        <v>72833.7931548497</v>
      </c>
      <c r="W49" s="25" t="n">
        <v>74366.7730931483</v>
      </c>
      <c r="X49" s="25" t="n">
        <v>18312.0869090308</v>
      </c>
      <c r="Y49" s="6"/>
      <c r="Z49" s="6"/>
      <c r="AA49" s="6"/>
      <c r="AB49" s="6"/>
      <c r="AC49" s="6"/>
      <c r="AD49" s="6"/>
      <c r="AE49" s="0"/>
    </row>
    <row r="50" customFormat="false" ht="12.75" hidden="false" customHeight="false" outlineLevel="1" collapsed="false">
      <c r="A50" s="26" t="s">
        <v>9</v>
      </c>
      <c r="B50" s="21" t="n">
        <f aca="false">NPV(0.1,D50:Y50)</f>
        <v>197419.524648286</v>
      </c>
      <c r="C50" s="21" t="n">
        <f aca="false">B50-B40</f>
        <v>3143.57337461918</v>
      </c>
      <c r="D50" s="22" t="n">
        <v>15699.8893999167</v>
      </c>
      <c r="E50" s="23" t="n">
        <v>19869.5700595</v>
      </c>
      <c r="F50" s="23" t="n">
        <v>20229.1316192</v>
      </c>
      <c r="G50" s="23" t="n">
        <v>20526.553270056</v>
      </c>
      <c r="H50" s="23" t="n">
        <v>20889.5476681977</v>
      </c>
      <c r="I50" s="23" t="n">
        <v>21323.9201274936</v>
      </c>
      <c r="J50" s="23" t="n">
        <v>21827.4144663584</v>
      </c>
      <c r="K50" s="23" t="n">
        <v>22432.7165078992</v>
      </c>
      <c r="L50" s="23" t="n">
        <v>23140.3201785011</v>
      </c>
      <c r="M50" s="23" t="n">
        <v>23952.7562389562</v>
      </c>
      <c r="N50" s="24" t="n">
        <v>25433.4966912399</v>
      </c>
      <c r="O50" s="25" t="n">
        <v>26484.9199920471</v>
      </c>
      <c r="P50" s="25" t="n">
        <v>27671.3438441985</v>
      </c>
      <c r="Q50" s="25" t="n">
        <v>28935.6030300344</v>
      </c>
      <c r="R50" s="25" t="n">
        <v>30271.3795229155</v>
      </c>
      <c r="S50" s="25" t="n">
        <v>31648.6812249529</v>
      </c>
      <c r="T50" s="25" t="n">
        <v>33079.2982070965</v>
      </c>
      <c r="U50" s="25" t="n">
        <v>34703.6148117094</v>
      </c>
      <c r="V50" s="25" t="n">
        <v>36127.5984582657</v>
      </c>
      <c r="W50" s="25" t="n">
        <v>37577.3923098087</v>
      </c>
      <c r="X50" s="25" t="n">
        <v>2838.49946733341</v>
      </c>
      <c r="Y50" s="6"/>
      <c r="Z50" s="6"/>
      <c r="AA50" s="6"/>
      <c r="AB50" s="6"/>
      <c r="AC50" s="6"/>
      <c r="AD50" s="6"/>
      <c r="AE50" s="0"/>
    </row>
    <row r="51" customFormat="false" ht="12.75" hidden="false" customHeight="false" outlineLevel="1" collapsed="false">
      <c r="A51" s="26" t="s">
        <v>10</v>
      </c>
      <c r="B51" s="21" t="n">
        <f aca="false">NPV(0.1,D51:Y51)</f>
        <v>75127.518110502</v>
      </c>
      <c r="C51" s="21" t="n">
        <f aca="false">B51-B41</f>
        <v>-1408.65432558378</v>
      </c>
      <c r="D51" s="22" t="n">
        <v>-382.248881710053</v>
      </c>
      <c r="E51" s="23" t="n">
        <v>-216.94583486254</v>
      </c>
      <c r="F51" s="23" t="n">
        <v>-189.125341193892</v>
      </c>
      <c r="G51" s="23" t="n">
        <v>5643.27832087457</v>
      </c>
      <c r="H51" s="23" t="n">
        <v>10277.9158050993</v>
      </c>
      <c r="I51" s="23" t="n">
        <v>11035.6839559166</v>
      </c>
      <c r="J51" s="23" t="n">
        <v>11637.1150198077</v>
      </c>
      <c r="K51" s="23" t="n">
        <v>12106.7636510468</v>
      </c>
      <c r="L51" s="23" t="n">
        <v>12661.3592153432</v>
      </c>
      <c r="M51" s="23" t="n">
        <v>13244.2667412622</v>
      </c>
      <c r="N51" s="24" t="n">
        <v>13525.8192563762</v>
      </c>
      <c r="O51" s="25" t="n">
        <v>14024.8256377324</v>
      </c>
      <c r="P51" s="25" t="n">
        <v>14617.7654205806</v>
      </c>
      <c r="Q51" s="25" t="n">
        <v>15237.464497129</v>
      </c>
      <c r="R51" s="25" t="n">
        <v>15886.4084923123</v>
      </c>
      <c r="S51" s="25" t="n">
        <v>16491.1024699977</v>
      </c>
      <c r="T51" s="25" t="n">
        <v>17102.8169170369</v>
      </c>
      <c r="U51" s="25" t="n">
        <v>17740.3429292354</v>
      </c>
      <c r="V51" s="25" t="n">
        <v>18406.1031218684</v>
      </c>
      <c r="W51" s="25" t="n">
        <v>18858.113396322</v>
      </c>
      <c r="X51" s="25" t="n">
        <v>0</v>
      </c>
      <c r="Y51" s="6"/>
      <c r="Z51" s="6"/>
      <c r="AA51" s="6"/>
      <c r="AB51" s="6"/>
      <c r="AC51" s="6"/>
      <c r="AD51" s="6"/>
      <c r="AE51" s="0"/>
    </row>
    <row r="52" customFormat="false" ht="12.75" hidden="false" customHeight="false" outlineLevel="1" collapsed="false">
      <c r="A52" s="26" t="s">
        <v>11</v>
      </c>
      <c r="B52" s="21" t="n">
        <f aca="false">NPV(0.1,D52:Y52)</f>
        <v>93683.1767863228</v>
      </c>
      <c r="C52" s="21" t="n">
        <f aca="false">B52-B42</f>
        <v>-870.110672254872</v>
      </c>
      <c r="D52" s="27" t="n">
        <v>2255.48952516863</v>
      </c>
      <c r="E52" s="28" t="n">
        <v>4286.47199953011</v>
      </c>
      <c r="F52" s="28" t="n">
        <v>3701.29116163687</v>
      </c>
      <c r="G52" s="28" t="n">
        <v>14738.920412765</v>
      </c>
      <c r="H52" s="28" t="n">
        <v>19255.1161091687</v>
      </c>
      <c r="I52" s="28" t="n">
        <v>16424.5398676537</v>
      </c>
      <c r="J52" s="28" t="n">
        <v>13926.6511582998</v>
      </c>
      <c r="K52" s="28" t="n">
        <v>13886.7445490583</v>
      </c>
      <c r="L52" s="28" t="n">
        <v>13881.7321465349</v>
      </c>
      <c r="M52" s="28" t="n">
        <v>13868.8437733866</v>
      </c>
      <c r="N52" s="29" t="n">
        <v>14247.0399863252</v>
      </c>
      <c r="O52" s="25" t="n">
        <v>13542.3499585993</v>
      </c>
      <c r="P52" s="25" t="n">
        <v>13440.5993095723</v>
      </c>
      <c r="Q52" s="25" t="n">
        <v>13329.1261378394</v>
      </c>
      <c r="R52" s="25" t="n">
        <v>13180.6311227176</v>
      </c>
      <c r="S52" s="25" t="n">
        <v>10126.942195558</v>
      </c>
      <c r="T52" s="25" t="n">
        <v>9488.20344827119</v>
      </c>
      <c r="U52" s="25" t="n">
        <v>9222.62382917992</v>
      </c>
      <c r="V52" s="25" t="n">
        <v>8922.60554006157</v>
      </c>
      <c r="W52" s="25" t="n">
        <v>14062.9341910168</v>
      </c>
      <c r="X52" s="25" t="n">
        <v>0</v>
      </c>
      <c r="Y52" s="6"/>
      <c r="Z52" s="6"/>
      <c r="AA52" s="6"/>
      <c r="AB52" s="6"/>
      <c r="AC52" s="6"/>
      <c r="AD52" s="6"/>
      <c r="AE52" s="0"/>
    </row>
    <row r="53" customFormat="false" ht="12.75" hidden="false" customHeight="false" outlineLevel="1" collapsed="false">
      <c r="A53" s="6"/>
      <c r="B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0"/>
    </row>
    <row r="54" customFormat="false" ht="12.75" hidden="false" customHeight="false" outlineLevel="1" collapsed="false">
      <c r="A54" s="30" t="s">
        <v>16</v>
      </c>
      <c r="B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0"/>
    </row>
    <row r="55" customFormat="false" ht="12.75" hidden="false" customHeight="false" outlineLevel="1" collapsed="false">
      <c r="A55" s="34" t="n">
        <v>36234</v>
      </c>
      <c r="B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0"/>
    </row>
    <row r="56" customFormat="false" ht="12.75" hidden="false" customHeight="false" outlineLevel="1" collapsed="false">
      <c r="A56" s="11" t="s">
        <v>3</v>
      </c>
      <c r="B56" s="12" t="n">
        <v>56066.1508448762</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0"/>
    </row>
    <row r="57" customFormat="false" ht="12.75" hidden="false" customHeight="false" outlineLevel="1" collapsed="false">
      <c r="A57" s="13" t="s">
        <v>4</v>
      </c>
      <c r="B57" s="14" t="n">
        <v>87755.2445991998</v>
      </c>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0"/>
    </row>
    <row r="58" customFormat="false" ht="12.75" hidden="false" customHeight="false" outlineLevel="1" collapsed="false">
      <c r="A58" s="15" t="s">
        <v>5</v>
      </c>
      <c r="B58" s="16" t="s">
        <v>6</v>
      </c>
      <c r="C58" s="16" t="s">
        <v>7</v>
      </c>
      <c r="D58" s="17" t="n">
        <v>2000</v>
      </c>
      <c r="E58" s="18" t="n">
        <v>2001</v>
      </c>
      <c r="F58" s="18" t="n">
        <v>2002</v>
      </c>
      <c r="G58" s="18" t="n">
        <v>2003</v>
      </c>
      <c r="H58" s="18" t="n">
        <v>2004</v>
      </c>
      <c r="I58" s="18" t="n">
        <v>2005</v>
      </c>
      <c r="J58" s="18" t="n">
        <v>2006</v>
      </c>
      <c r="K58" s="18" t="n">
        <v>2007</v>
      </c>
      <c r="L58" s="18" t="n">
        <v>2008</v>
      </c>
      <c r="M58" s="18" t="n">
        <v>2009</v>
      </c>
      <c r="N58" s="19" t="n">
        <v>2010</v>
      </c>
      <c r="O58" s="20" t="n">
        <v>2011</v>
      </c>
      <c r="P58" s="20" t="n">
        <v>2012</v>
      </c>
      <c r="Q58" s="20" t="n">
        <v>2013</v>
      </c>
      <c r="R58" s="20" t="n">
        <v>2014</v>
      </c>
      <c r="S58" s="20" t="n">
        <v>2015</v>
      </c>
      <c r="T58" s="20" t="n">
        <v>2016</v>
      </c>
      <c r="U58" s="20" t="n">
        <v>2017</v>
      </c>
      <c r="V58" s="20" t="n">
        <v>2018</v>
      </c>
      <c r="W58" s="20" t="n">
        <v>2019</v>
      </c>
      <c r="X58" s="20" t="n">
        <v>2020</v>
      </c>
      <c r="Y58" s="6"/>
      <c r="Z58" s="6"/>
      <c r="AA58" s="6"/>
      <c r="AB58" s="6"/>
      <c r="AC58" s="6"/>
      <c r="AD58" s="6"/>
      <c r="AE58" s="0"/>
    </row>
    <row r="59" customFormat="false" ht="12.75" hidden="false" customHeight="false" outlineLevel="1" collapsed="false">
      <c r="A59" s="15" t="s">
        <v>8</v>
      </c>
      <c r="B59" s="21" t="n">
        <f aca="false">NPV(0.1,D59:Y59)</f>
        <v>430119.420195486</v>
      </c>
      <c r="C59" s="21" t="n">
        <f aca="false">B59-B49</f>
        <v>0</v>
      </c>
      <c r="D59" s="22" t="n">
        <v>24769.63773325</v>
      </c>
      <c r="E59" s="23" t="n">
        <v>34741.5542595</v>
      </c>
      <c r="F59" s="23" t="n">
        <v>35007.5653452</v>
      </c>
      <c r="G59" s="23" t="n">
        <v>44663.9544720656</v>
      </c>
      <c r="H59" s="23" t="n">
        <v>52512.6544242612</v>
      </c>
      <c r="I59" s="23" t="n">
        <v>53694.4318204145</v>
      </c>
      <c r="J59" s="23" t="n">
        <v>54711.5502824683</v>
      </c>
      <c r="K59" s="23" t="n">
        <v>55831.3583340657</v>
      </c>
      <c r="L59" s="23" t="n">
        <v>57051.9012530933</v>
      </c>
      <c r="M59" s="23" t="n">
        <v>58377.2343392359</v>
      </c>
      <c r="N59" s="24" t="n">
        <v>59833.3261157813</v>
      </c>
      <c r="O59" s="25" t="n">
        <v>61284.6892876884</v>
      </c>
      <c r="P59" s="25" t="n">
        <v>62861.8112567236</v>
      </c>
      <c r="Q59" s="25" t="n">
        <v>64503.5445540903</v>
      </c>
      <c r="R59" s="25" t="n">
        <v>66203.5400845227</v>
      </c>
      <c r="S59" s="25" t="n">
        <v>67930.7238189929</v>
      </c>
      <c r="T59" s="25" t="n">
        <v>69530.5886774202</v>
      </c>
      <c r="U59" s="25" t="n">
        <v>71296.5213925591</v>
      </c>
      <c r="V59" s="25" t="n">
        <v>72833.7931548497</v>
      </c>
      <c r="W59" s="25" t="n">
        <v>74366.7730931483</v>
      </c>
      <c r="X59" s="25" t="n">
        <v>18312.0869090308</v>
      </c>
      <c r="Y59" s="6"/>
      <c r="Z59" s="6"/>
      <c r="AA59" s="6"/>
      <c r="AB59" s="6"/>
      <c r="AC59" s="6"/>
      <c r="AD59" s="6"/>
      <c r="AE59" s="0"/>
    </row>
    <row r="60" customFormat="false" ht="12.75" hidden="false" customHeight="false" outlineLevel="1" collapsed="false">
      <c r="A60" s="26" t="s">
        <v>9</v>
      </c>
      <c r="B60" s="21" t="n">
        <f aca="false">NPV(0.1,D60:Y60)</f>
        <v>197419.524648286</v>
      </c>
      <c r="C60" s="21" t="n">
        <f aca="false">B60-B50</f>
        <v>0</v>
      </c>
      <c r="D60" s="22" t="n">
        <v>15699.8893999167</v>
      </c>
      <c r="E60" s="23" t="n">
        <v>19869.5700595</v>
      </c>
      <c r="F60" s="23" t="n">
        <v>20229.1316192</v>
      </c>
      <c r="G60" s="23" t="n">
        <v>20526.553270056</v>
      </c>
      <c r="H60" s="23" t="n">
        <v>20889.5476681977</v>
      </c>
      <c r="I60" s="23" t="n">
        <v>21323.9201274936</v>
      </c>
      <c r="J60" s="23" t="n">
        <v>21827.4144663584</v>
      </c>
      <c r="K60" s="23" t="n">
        <v>22432.7165078992</v>
      </c>
      <c r="L60" s="23" t="n">
        <v>23140.3201785011</v>
      </c>
      <c r="M60" s="23" t="n">
        <v>23952.7562389562</v>
      </c>
      <c r="N60" s="24" t="n">
        <v>25433.4966912399</v>
      </c>
      <c r="O60" s="25" t="n">
        <v>26484.9199920471</v>
      </c>
      <c r="P60" s="25" t="n">
        <v>27671.3438441985</v>
      </c>
      <c r="Q60" s="25" t="n">
        <v>28935.6030300344</v>
      </c>
      <c r="R60" s="25" t="n">
        <v>30271.3795229155</v>
      </c>
      <c r="S60" s="25" t="n">
        <v>31648.6812249529</v>
      </c>
      <c r="T60" s="25" t="n">
        <v>33079.2982070965</v>
      </c>
      <c r="U60" s="25" t="n">
        <v>34703.6148117094</v>
      </c>
      <c r="V60" s="25" t="n">
        <v>36127.5984582657</v>
      </c>
      <c r="W60" s="25" t="n">
        <v>37577.3923098087</v>
      </c>
      <c r="X60" s="25" t="n">
        <v>2838.49946733341</v>
      </c>
      <c r="Y60" s="6"/>
      <c r="Z60" s="6"/>
      <c r="AA60" s="6"/>
      <c r="AB60" s="6"/>
      <c r="AC60" s="6"/>
      <c r="AD60" s="6"/>
      <c r="AE60" s="0"/>
    </row>
    <row r="61" customFormat="false" ht="12.75" hidden="false" customHeight="false" outlineLevel="1" collapsed="false">
      <c r="A61" s="26" t="s">
        <v>10</v>
      </c>
      <c r="B61" s="21" t="n">
        <f aca="false">NPV(0.1,D61:Y61)</f>
        <v>75127.518110502</v>
      </c>
      <c r="C61" s="21" t="n">
        <f aca="false">B61-B51</f>
        <v>0</v>
      </c>
      <c r="D61" s="22" t="n">
        <v>-382.248881710053</v>
      </c>
      <c r="E61" s="23" t="n">
        <v>-216.94583486254</v>
      </c>
      <c r="F61" s="23" t="n">
        <v>-189.125341193892</v>
      </c>
      <c r="G61" s="23" t="n">
        <v>5643.27832087457</v>
      </c>
      <c r="H61" s="23" t="n">
        <v>10277.9158050993</v>
      </c>
      <c r="I61" s="23" t="n">
        <v>11035.6839559166</v>
      </c>
      <c r="J61" s="23" t="n">
        <v>11637.1150198077</v>
      </c>
      <c r="K61" s="23" t="n">
        <v>12106.7636510468</v>
      </c>
      <c r="L61" s="23" t="n">
        <v>12661.3592153432</v>
      </c>
      <c r="M61" s="23" t="n">
        <v>13244.2667412622</v>
      </c>
      <c r="N61" s="24" t="n">
        <v>13525.8192563762</v>
      </c>
      <c r="O61" s="25" t="n">
        <v>14024.8256377324</v>
      </c>
      <c r="P61" s="25" t="n">
        <v>14617.7654205806</v>
      </c>
      <c r="Q61" s="25" t="n">
        <v>15237.464497129</v>
      </c>
      <c r="R61" s="25" t="n">
        <v>15886.4084923123</v>
      </c>
      <c r="S61" s="25" t="n">
        <v>16491.1024699977</v>
      </c>
      <c r="T61" s="25" t="n">
        <v>17102.8169170369</v>
      </c>
      <c r="U61" s="25" t="n">
        <v>17740.3429292354</v>
      </c>
      <c r="V61" s="25" t="n">
        <v>18406.1031218684</v>
      </c>
      <c r="W61" s="25" t="n">
        <v>18858.113396322</v>
      </c>
      <c r="X61" s="25" t="n">
        <v>0</v>
      </c>
      <c r="Y61" s="6"/>
      <c r="Z61" s="6"/>
      <c r="AA61" s="6"/>
      <c r="AB61" s="6"/>
      <c r="AC61" s="6"/>
      <c r="AD61" s="6"/>
      <c r="AE61" s="0"/>
    </row>
    <row r="62" customFormat="false" ht="12.75" hidden="false" customHeight="false" outlineLevel="1" collapsed="false">
      <c r="A62" s="26" t="s">
        <v>11</v>
      </c>
      <c r="B62" s="21" t="n">
        <f aca="false">NPV(0.1,D62:Y62)</f>
        <v>92733.9423317832</v>
      </c>
      <c r="C62" s="21" t="n">
        <f aca="false">B62-B52</f>
        <v>-949.234454539634</v>
      </c>
      <c r="D62" s="27" t="n">
        <v>1899.46546331404</v>
      </c>
      <c r="E62" s="28" t="n">
        <v>3944.38320450573</v>
      </c>
      <c r="F62" s="28" t="n">
        <v>3373.13763344268</v>
      </c>
      <c r="G62" s="28" t="n">
        <v>14424.702151401</v>
      </c>
      <c r="H62" s="28" t="n">
        <v>18954.8331146349</v>
      </c>
      <c r="I62" s="28" t="n">
        <v>17453.2737276122</v>
      </c>
      <c r="J62" s="28" t="n">
        <v>13839.6861480141</v>
      </c>
      <c r="K62" s="28" t="n">
        <v>13803.9045834912</v>
      </c>
      <c r="L62" s="28" t="n">
        <v>13803.0172256865</v>
      </c>
      <c r="M62" s="28" t="n">
        <v>13794.2538972568</v>
      </c>
      <c r="N62" s="29" t="n">
        <v>14176.5751549139</v>
      </c>
      <c r="O62" s="25" t="n">
        <v>13476.0101719066</v>
      </c>
      <c r="P62" s="25" t="n">
        <v>13378.3845675982</v>
      </c>
      <c r="Q62" s="25" t="n">
        <v>13271.0364405839</v>
      </c>
      <c r="R62" s="25" t="n">
        <v>13126.6664701806</v>
      </c>
      <c r="S62" s="25" t="n">
        <v>10077.1025877397</v>
      </c>
      <c r="T62" s="25" t="n">
        <v>9442.48888517144</v>
      </c>
      <c r="U62" s="25" t="n">
        <v>9181.03431079875</v>
      </c>
      <c r="V62" s="25" t="n">
        <v>8885.14106639899</v>
      </c>
      <c r="W62" s="25" t="n">
        <v>14029.5947620729</v>
      </c>
      <c r="X62" s="25" t="n">
        <v>0</v>
      </c>
      <c r="Y62" s="6"/>
      <c r="Z62" s="6"/>
      <c r="AA62" s="6"/>
      <c r="AB62" s="6"/>
      <c r="AC62" s="6"/>
      <c r="AD62" s="6"/>
      <c r="AE62" s="0"/>
    </row>
    <row r="63" customFormat="false" ht="12.75" hidden="false" customHeight="false" outlineLevel="1" collapsed="false">
      <c r="A63" s="6"/>
      <c r="B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0"/>
    </row>
    <row r="64" customFormat="false" ht="12.75" hidden="false" customHeight="false" outlineLevel="1" collapsed="false">
      <c r="A64" s="30" t="s">
        <v>17</v>
      </c>
      <c r="B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0"/>
    </row>
    <row r="65" customFormat="false" ht="12.75" hidden="false" customHeight="false" outlineLevel="1" collapsed="false">
      <c r="A65" s="34" t="n">
        <v>36234</v>
      </c>
      <c r="B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0"/>
    </row>
    <row r="66" customFormat="false" ht="12.75" hidden="false" customHeight="false" outlineLevel="1" collapsed="false">
      <c r="A66" s="11" t="s">
        <v>3</v>
      </c>
      <c r="B66" s="12" t="n">
        <v>55633.0579936315</v>
      </c>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0"/>
    </row>
    <row r="67" customFormat="false" ht="12.75" hidden="false" customHeight="false" outlineLevel="1" collapsed="false">
      <c r="A67" s="13" t="s">
        <v>4</v>
      </c>
      <c r="B67" s="14" t="n">
        <v>87755.2445991998</v>
      </c>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0"/>
    </row>
    <row r="68" customFormat="false" ht="12.75" hidden="false" customHeight="false" outlineLevel="1" collapsed="false">
      <c r="A68" s="15" t="s">
        <v>5</v>
      </c>
      <c r="B68" s="16" t="s">
        <v>6</v>
      </c>
      <c r="C68" s="16" t="s">
        <v>7</v>
      </c>
      <c r="D68" s="17" t="n">
        <v>2000</v>
      </c>
      <c r="E68" s="18" t="n">
        <v>2001</v>
      </c>
      <c r="F68" s="18" t="n">
        <v>2002</v>
      </c>
      <c r="G68" s="18" t="n">
        <v>2003</v>
      </c>
      <c r="H68" s="18" t="n">
        <v>2004</v>
      </c>
      <c r="I68" s="18" t="n">
        <v>2005</v>
      </c>
      <c r="J68" s="18" t="n">
        <v>2006</v>
      </c>
      <c r="K68" s="18" t="n">
        <v>2007</v>
      </c>
      <c r="L68" s="18" t="n">
        <v>2008</v>
      </c>
      <c r="M68" s="18" t="n">
        <v>2009</v>
      </c>
      <c r="N68" s="19" t="n">
        <v>2010</v>
      </c>
      <c r="O68" s="20" t="n">
        <v>2011</v>
      </c>
      <c r="P68" s="20" t="n">
        <v>2012</v>
      </c>
      <c r="Q68" s="20" t="n">
        <v>2013</v>
      </c>
      <c r="R68" s="20" t="n">
        <v>2014</v>
      </c>
      <c r="S68" s="20" t="n">
        <v>2015</v>
      </c>
      <c r="T68" s="20" t="n">
        <v>2016</v>
      </c>
      <c r="U68" s="20" t="n">
        <v>2017</v>
      </c>
      <c r="V68" s="20" t="n">
        <v>2018</v>
      </c>
      <c r="W68" s="20" t="n">
        <v>2019</v>
      </c>
      <c r="X68" s="20" t="n">
        <v>2020</v>
      </c>
      <c r="Y68" s="6"/>
      <c r="Z68" s="6"/>
      <c r="AA68" s="6"/>
      <c r="AB68" s="6"/>
      <c r="AC68" s="6"/>
      <c r="AD68" s="6"/>
      <c r="AE68" s="0"/>
    </row>
    <row r="69" customFormat="false" ht="12.75" hidden="false" customHeight="false" outlineLevel="1" collapsed="false">
      <c r="A69" s="15" t="s">
        <v>8</v>
      </c>
      <c r="B69" s="21" t="n">
        <f aca="false">NPV(0.1,D69:Y69)</f>
        <v>430119.420195486</v>
      </c>
      <c r="C69" s="21" t="n">
        <f aca="false">B69-B59</f>
        <v>0</v>
      </c>
      <c r="D69" s="22" t="n">
        <v>24769.63773325</v>
      </c>
      <c r="E69" s="23" t="n">
        <v>34741.5542595</v>
      </c>
      <c r="F69" s="23" t="n">
        <v>35007.5653452</v>
      </c>
      <c r="G69" s="23" t="n">
        <v>44663.9544720656</v>
      </c>
      <c r="H69" s="23" t="n">
        <v>52512.6544242612</v>
      </c>
      <c r="I69" s="23" t="n">
        <v>53694.4318204145</v>
      </c>
      <c r="J69" s="23" t="n">
        <v>54711.5502824683</v>
      </c>
      <c r="K69" s="23" t="n">
        <v>55831.3583340657</v>
      </c>
      <c r="L69" s="23" t="n">
        <v>57051.9012530933</v>
      </c>
      <c r="M69" s="23" t="n">
        <v>58377.2343392359</v>
      </c>
      <c r="N69" s="24" t="n">
        <v>59833.3261157813</v>
      </c>
      <c r="O69" s="25" t="n">
        <v>61284.6892876884</v>
      </c>
      <c r="P69" s="25" t="n">
        <v>62861.8112567236</v>
      </c>
      <c r="Q69" s="25" t="n">
        <v>64503.5445540903</v>
      </c>
      <c r="R69" s="25" t="n">
        <v>66203.5400845227</v>
      </c>
      <c r="S69" s="25" t="n">
        <v>67930.7238189929</v>
      </c>
      <c r="T69" s="25" t="n">
        <v>69530.5886774202</v>
      </c>
      <c r="U69" s="25" t="n">
        <v>71296.5213925591</v>
      </c>
      <c r="V69" s="25" t="n">
        <v>72833.7931548497</v>
      </c>
      <c r="W69" s="25" t="n">
        <v>74366.7730931483</v>
      </c>
      <c r="X69" s="25" t="n">
        <v>18312.0869090308</v>
      </c>
      <c r="Y69" s="6"/>
      <c r="Z69" s="6"/>
      <c r="AA69" s="6"/>
      <c r="AB69" s="6"/>
      <c r="AC69" s="6"/>
      <c r="AD69" s="6"/>
      <c r="AE69" s="0"/>
    </row>
    <row r="70" customFormat="false" ht="12.75" hidden="false" customHeight="false" outlineLevel="1" collapsed="false">
      <c r="A70" s="26" t="s">
        <v>9</v>
      </c>
      <c r="B70" s="21" t="n">
        <f aca="false">NPV(0.1,D70:Y70)</f>
        <v>197419.524648286</v>
      </c>
      <c r="C70" s="21" t="n">
        <f aca="false">B70-B60</f>
        <v>0</v>
      </c>
      <c r="D70" s="22" t="n">
        <v>15699.8893999167</v>
      </c>
      <c r="E70" s="23" t="n">
        <v>19869.5700595</v>
      </c>
      <c r="F70" s="23" t="n">
        <v>20229.1316192</v>
      </c>
      <c r="G70" s="23" t="n">
        <v>20526.553270056</v>
      </c>
      <c r="H70" s="23" t="n">
        <v>20889.5476681977</v>
      </c>
      <c r="I70" s="23" t="n">
        <v>21323.9201274936</v>
      </c>
      <c r="J70" s="23" t="n">
        <v>21827.4144663584</v>
      </c>
      <c r="K70" s="23" t="n">
        <v>22432.7165078992</v>
      </c>
      <c r="L70" s="23" t="n">
        <v>23140.3201785011</v>
      </c>
      <c r="M70" s="23" t="n">
        <v>23952.7562389562</v>
      </c>
      <c r="N70" s="24" t="n">
        <v>25433.4966912399</v>
      </c>
      <c r="O70" s="25" t="n">
        <v>26484.9199920471</v>
      </c>
      <c r="P70" s="25" t="n">
        <v>27671.3438441985</v>
      </c>
      <c r="Q70" s="25" t="n">
        <v>28935.6030300344</v>
      </c>
      <c r="R70" s="25" t="n">
        <v>30271.3795229155</v>
      </c>
      <c r="S70" s="25" t="n">
        <v>31648.6812249529</v>
      </c>
      <c r="T70" s="25" t="n">
        <v>33079.2982070965</v>
      </c>
      <c r="U70" s="25" t="n">
        <v>34703.6148117094</v>
      </c>
      <c r="V70" s="25" t="n">
        <v>36127.5984582657</v>
      </c>
      <c r="W70" s="25" t="n">
        <v>37577.3923098087</v>
      </c>
      <c r="X70" s="25" t="n">
        <v>2838.49946733341</v>
      </c>
      <c r="Y70" s="6"/>
      <c r="Z70" s="6"/>
      <c r="AA70" s="6"/>
      <c r="AB70" s="6"/>
      <c r="AC70" s="6"/>
      <c r="AD70" s="6"/>
      <c r="AE70" s="0"/>
    </row>
    <row r="71" customFormat="false" ht="12.75" hidden="false" customHeight="false" outlineLevel="1" collapsed="false">
      <c r="A71" s="26" t="s">
        <v>10</v>
      </c>
      <c r="B71" s="21" t="n">
        <f aca="false">NPV(0.1,D71:Y71)</f>
        <v>75127.518110502</v>
      </c>
      <c r="C71" s="21" t="n">
        <f aca="false">B71-B61</f>
        <v>0</v>
      </c>
      <c r="D71" s="22" t="n">
        <v>-382.248881710053</v>
      </c>
      <c r="E71" s="23" t="n">
        <v>-216.94583486254</v>
      </c>
      <c r="F71" s="23" t="n">
        <v>-189.125341193892</v>
      </c>
      <c r="G71" s="23" t="n">
        <v>5643.27832087457</v>
      </c>
      <c r="H71" s="23" t="n">
        <v>10277.9158050993</v>
      </c>
      <c r="I71" s="23" t="n">
        <v>11035.6839559166</v>
      </c>
      <c r="J71" s="23" t="n">
        <v>11637.1150198077</v>
      </c>
      <c r="K71" s="23" t="n">
        <v>12106.7636510468</v>
      </c>
      <c r="L71" s="23" t="n">
        <v>12661.3592153432</v>
      </c>
      <c r="M71" s="23" t="n">
        <v>13244.2667412622</v>
      </c>
      <c r="N71" s="24" t="n">
        <v>13525.8192563762</v>
      </c>
      <c r="O71" s="25" t="n">
        <v>14024.8256377324</v>
      </c>
      <c r="P71" s="25" t="n">
        <v>14617.7654205806</v>
      </c>
      <c r="Q71" s="25" t="n">
        <v>15237.464497129</v>
      </c>
      <c r="R71" s="25" t="n">
        <v>15886.4084923123</v>
      </c>
      <c r="S71" s="25" t="n">
        <v>16491.1024699977</v>
      </c>
      <c r="T71" s="25" t="n">
        <v>17102.8169170369</v>
      </c>
      <c r="U71" s="25" t="n">
        <v>17740.3429292354</v>
      </c>
      <c r="V71" s="25" t="n">
        <v>18406.1031218684</v>
      </c>
      <c r="W71" s="25" t="n">
        <v>18858.113396322</v>
      </c>
      <c r="X71" s="25" t="n">
        <v>0</v>
      </c>
      <c r="Y71" s="6"/>
      <c r="Z71" s="6"/>
      <c r="AA71" s="6"/>
      <c r="AB71" s="6"/>
      <c r="AC71" s="6"/>
      <c r="AD71" s="6"/>
      <c r="AE71" s="0"/>
    </row>
    <row r="72" customFormat="false" ht="12.75" hidden="false" customHeight="false" outlineLevel="1" collapsed="false">
      <c r="A72" s="26" t="s">
        <v>11</v>
      </c>
      <c r="B72" s="21" t="n">
        <f aca="false">NPV(0.1,D72:Y72)</f>
        <v>92316.7963554064</v>
      </c>
      <c r="C72" s="21" t="n">
        <f aca="false">B72-B62</f>
        <v>-417.145976376763</v>
      </c>
      <c r="D72" s="27" t="n">
        <v>1899.46546331404</v>
      </c>
      <c r="E72" s="28" t="n">
        <v>3944.38320450573</v>
      </c>
      <c r="F72" s="28" t="n">
        <v>3373.13763344268</v>
      </c>
      <c r="G72" s="28" t="n">
        <v>14424.702151401</v>
      </c>
      <c r="H72" s="28" t="n">
        <v>18954.8331146349</v>
      </c>
      <c r="I72" s="28" t="n">
        <v>16250.5860030857</v>
      </c>
      <c r="J72" s="28" t="n">
        <v>13839.6861480141</v>
      </c>
      <c r="K72" s="28" t="n">
        <v>13803.9045834912</v>
      </c>
      <c r="L72" s="28" t="n">
        <v>13803.0172256865</v>
      </c>
      <c r="M72" s="28" t="n">
        <v>13794.2538972568</v>
      </c>
      <c r="N72" s="29" t="n">
        <v>14176.5751549139</v>
      </c>
      <c r="O72" s="25" t="n">
        <v>13476.0101719066</v>
      </c>
      <c r="P72" s="25" t="n">
        <v>13378.3845675982</v>
      </c>
      <c r="Q72" s="25" t="n">
        <v>13271.0364405839</v>
      </c>
      <c r="R72" s="25" t="n">
        <v>13126.6664701806</v>
      </c>
      <c r="S72" s="25" t="n">
        <v>11279.7903122661</v>
      </c>
      <c r="T72" s="25" t="n">
        <v>9442.48888517144</v>
      </c>
      <c r="U72" s="25" t="n">
        <v>9181.03431079875</v>
      </c>
      <c r="V72" s="25" t="n">
        <v>8885.14106639899</v>
      </c>
      <c r="W72" s="25" t="n">
        <v>14029.5947620729</v>
      </c>
      <c r="X72" s="25" t="n">
        <v>0</v>
      </c>
      <c r="Y72" s="6"/>
      <c r="Z72" s="6"/>
      <c r="AA72" s="6"/>
      <c r="AB72" s="6"/>
      <c r="AC72" s="6"/>
      <c r="AD72" s="6"/>
      <c r="AE72" s="0"/>
    </row>
    <row r="73" customFormat="false" ht="12.75" hidden="false" customHeight="false" outlineLevel="1" collapsed="false">
      <c r="A73" s="6"/>
      <c r="B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0"/>
    </row>
    <row r="74" customFormat="false" ht="12.75" hidden="false" customHeight="false" outlineLevel="1" collapsed="false">
      <c r="A74" s="30" t="s">
        <v>18</v>
      </c>
      <c r="B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0"/>
    </row>
    <row r="75" customFormat="false" ht="12.75" hidden="false" customHeight="false" outlineLevel="1" collapsed="false">
      <c r="A75" s="34" t="n">
        <v>36234</v>
      </c>
      <c r="B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0"/>
    </row>
    <row r="76" customFormat="false" ht="12.75" hidden="false" customHeight="false" outlineLevel="0" collapsed="false">
      <c r="A76" s="11" t="s">
        <v>3</v>
      </c>
      <c r="B76" s="12" t="n">
        <v>55389.038707819</v>
      </c>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0"/>
    </row>
    <row r="77" customFormat="false" ht="12.75" hidden="false" customHeight="false" outlineLevel="0" collapsed="false">
      <c r="A77" s="13" t="s">
        <v>4</v>
      </c>
      <c r="B77" s="14" t="n">
        <v>87440.8884561383</v>
      </c>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0"/>
    </row>
    <row r="78" customFormat="false" ht="12.75" hidden="false" customHeight="false" outlineLevel="0" collapsed="false">
      <c r="A78" s="15" t="s">
        <v>5</v>
      </c>
      <c r="B78" s="16" t="s">
        <v>6</v>
      </c>
      <c r="C78" s="16" t="s">
        <v>7</v>
      </c>
      <c r="D78" s="17" t="n">
        <v>2000</v>
      </c>
      <c r="E78" s="18" t="n">
        <v>2001</v>
      </c>
      <c r="F78" s="18" t="n">
        <v>2002</v>
      </c>
      <c r="G78" s="18" t="n">
        <v>2003</v>
      </c>
      <c r="H78" s="18" t="n">
        <v>2004</v>
      </c>
      <c r="I78" s="18" t="n">
        <v>2005</v>
      </c>
      <c r="J78" s="18" t="n">
        <v>2006</v>
      </c>
      <c r="K78" s="18" t="n">
        <v>2007</v>
      </c>
      <c r="L78" s="18" t="n">
        <v>2008</v>
      </c>
      <c r="M78" s="18" t="n">
        <v>2009</v>
      </c>
      <c r="N78" s="19" t="n">
        <v>2010</v>
      </c>
      <c r="O78" s="20" t="n">
        <v>2011</v>
      </c>
      <c r="P78" s="20" t="n">
        <v>2012</v>
      </c>
      <c r="Q78" s="20" t="n">
        <v>2013</v>
      </c>
      <c r="R78" s="20" t="n">
        <v>2014</v>
      </c>
      <c r="S78" s="20" t="n">
        <v>2015</v>
      </c>
      <c r="T78" s="20" t="n">
        <v>2016</v>
      </c>
      <c r="U78" s="20" t="n">
        <v>2017</v>
      </c>
      <c r="V78" s="20" t="n">
        <v>2018</v>
      </c>
      <c r="W78" s="20" t="n">
        <v>2019</v>
      </c>
      <c r="X78" s="20" t="n">
        <v>2020</v>
      </c>
      <c r="Y78" s="6"/>
      <c r="Z78" s="6"/>
      <c r="AA78" s="6"/>
      <c r="AB78" s="6"/>
      <c r="AC78" s="6"/>
      <c r="AD78" s="6"/>
      <c r="AE78" s="0"/>
    </row>
    <row r="79" customFormat="false" ht="12.75" hidden="false" customHeight="false" outlineLevel="0" collapsed="false">
      <c r="A79" s="15" t="s">
        <v>8</v>
      </c>
      <c r="B79" s="21" t="n">
        <f aca="false">NPV(0.1,D79:Y79)</f>
        <v>430119.420195486</v>
      </c>
      <c r="C79" s="21" t="n">
        <f aca="false">B79-B69</f>
        <v>0</v>
      </c>
      <c r="D79" s="22" t="n">
        <v>24769.63773325</v>
      </c>
      <c r="E79" s="23" t="n">
        <v>34741.5542595</v>
      </c>
      <c r="F79" s="23" t="n">
        <v>35007.5653452</v>
      </c>
      <c r="G79" s="23" t="n">
        <v>44663.9544720656</v>
      </c>
      <c r="H79" s="23" t="n">
        <v>52512.6544242612</v>
      </c>
      <c r="I79" s="23" t="n">
        <v>53694.4318204145</v>
      </c>
      <c r="J79" s="23" t="n">
        <v>54711.5502824683</v>
      </c>
      <c r="K79" s="23" t="n">
        <v>55831.3583340657</v>
      </c>
      <c r="L79" s="23" t="n">
        <v>57051.9012530933</v>
      </c>
      <c r="M79" s="23" t="n">
        <v>58377.2343392359</v>
      </c>
      <c r="N79" s="24" t="n">
        <v>59833.3261157813</v>
      </c>
      <c r="O79" s="25" t="n">
        <v>61284.6892876884</v>
      </c>
      <c r="P79" s="25" t="n">
        <v>62861.8112567236</v>
      </c>
      <c r="Q79" s="25" t="n">
        <v>64503.5445540903</v>
      </c>
      <c r="R79" s="25" t="n">
        <v>66203.5400845227</v>
      </c>
      <c r="S79" s="25" t="n">
        <v>67930.7238189929</v>
      </c>
      <c r="T79" s="25" t="n">
        <v>69530.5886774202</v>
      </c>
      <c r="U79" s="25" t="n">
        <v>71296.5213925591</v>
      </c>
      <c r="V79" s="25" t="n">
        <v>72833.7931548497</v>
      </c>
      <c r="W79" s="25" t="n">
        <v>74366.7730931483</v>
      </c>
      <c r="X79" s="25" t="n">
        <v>18312.0869090308</v>
      </c>
      <c r="Y79" s="6"/>
      <c r="Z79" s="6"/>
      <c r="AA79" s="6"/>
      <c r="AB79" s="6"/>
      <c r="AC79" s="6"/>
      <c r="AD79" s="6"/>
      <c r="AE79" s="0"/>
    </row>
    <row r="80" customFormat="false" ht="12.75" hidden="false" customHeight="false" outlineLevel="0" collapsed="false">
      <c r="A80" s="26" t="s">
        <v>9</v>
      </c>
      <c r="B80" s="21" t="n">
        <f aca="false">NPV(0.1,D80:Y80)</f>
        <v>197733.881985748</v>
      </c>
      <c r="C80" s="21" t="n">
        <f aca="false">B80-B70</f>
        <v>314.35733746193</v>
      </c>
      <c r="D80" s="22" t="n">
        <v>15717.9143999167</v>
      </c>
      <c r="E80" s="23" t="n">
        <v>19901.3970595</v>
      </c>
      <c r="F80" s="23" t="n">
        <v>20261.9134292</v>
      </c>
      <c r="G80" s="23" t="n">
        <v>20560.318534356</v>
      </c>
      <c r="H80" s="23" t="n">
        <v>20924.3258904267</v>
      </c>
      <c r="I80" s="23" t="n">
        <v>21359.7416963895</v>
      </c>
      <c r="J80" s="23" t="n">
        <v>21864.3106823212</v>
      </c>
      <c r="K80" s="23" t="n">
        <v>22470.7196103408</v>
      </c>
      <c r="L80" s="23" t="n">
        <v>23179.463374016</v>
      </c>
      <c r="M80" s="23" t="n">
        <v>23993.0737303365</v>
      </c>
      <c r="N80" s="24" t="n">
        <v>25475.0237073616</v>
      </c>
      <c r="O80" s="25" t="n">
        <v>26527.6928186524</v>
      </c>
      <c r="P80" s="25" t="n">
        <v>27715.399855602</v>
      </c>
      <c r="Q80" s="25" t="n">
        <v>28980.9807217801</v>
      </c>
      <c r="R80" s="25" t="n">
        <v>30318.1185454135</v>
      </c>
      <c r="S80" s="25" t="n">
        <v>31696.8224181259</v>
      </c>
      <c r="T80" s="25" t="n">
        <v>33128.8836360647</v>
      </c>
      <c r="U80" s="25" t="n">
        <v>34754.6878035466</v>
      </c>
      <c r="V80" s="25" t="n">
        <v>36180.203639858</v>
      </c>
      <c r="W80" s="25" t="n">
        <v>37631.5756468487</v>
      </c>
      <c r="X80" s="25" t="n">
        <v>2861.75314947977</v>
      </c>
      <c r="Y80" s="6"/>
      <c r="Z80" s="6"/>
      <c r="AA80" s="6"/>
      <c r="AB80" s="6"/>
      <c r="AC80" s="6"/>
      <c r="AD80" s="6"/>
      <c r="AE80" s="0"/>
    </row>
    <row r="81" customFormat="false" ht="12.75" hidden="false" customHeight="false" outlineLevel="0" collapsed="false">
      <c r="A81" s="26" t="s">
        <v>10</v>
      </c>
      <c r="B81" s="21" t="n">
        <f aca="false">NPV(0.1,D81:Y81)</f>
        <v>74986.6526779436</v>
      </c>
      <c r="C81" s="21" t="n">
        <f aca="false">B81-B71</f>
        <v>-140.865432558392</v>
      </c>
      <c r="D81" s="22" t="n">
        <v>-388.471362468187</v>
      </c>
      <c r="E81" s="23" t="n">
        <v>-228.453168236014</v>
      </c>
      <c r="F81" s="23" t="n">
        <v>-201.736236940216</v>
      </c>
      <c r="G81" s="23" t="n">
        <v>5629.47119349919</v>
      </c>
      <c r="H81" s="23" t="n">
        <v>10263.4066205316</v>
      </c>
      <c r="I81" s="23" t="n">
        <v>11020.4278086086</v>
      </c>
      <c r="J81" s="23" t="n">
        <v>11621.0637495382</v>
      </c>
      <c r="K81" s="23" t="n">
        <v>12089.8655926812</v>
      </c>
      <c r="L81" s="23" t="n">
        <v>12643.558928877</v>
      </c>
      <c r="M81" s="23" t="n">
        <v>13225.5047205819</v>
      </c>
      <c r="N81" s="24" t="n">
        <v>13506.0316150432</v>
      </c>
      <c r="O81" s="25" t="n">
        <v>14003.9437699619</v>
      </c>
      <c r="P81" s="25" t="n">
        <v>14595.7156354412</v>
      </c>
      <c r="Q81" s="25" t="n">
        <v>15214.1676238302</v>
      </c>
      <c r="R81" s="25" t="n">
        <v>15861.7794542783</v>
      </c>
      <c r="S81" s="25" t="n">
        <v>16465.049825241</v>
      </c>
      <c r="T81" s="25" t="n">
        <v>17075.2423621469</v>
      </c>
      <c r="U81" s="25" t="n">
        <v>17711.1407640821</v>
      </c>
      <c r="V81" s="25" t="n">
        <v>18375.1596718922</v>
      </c>
      <c r="W81" s="25" t="n">
        <v>18825.6465400885</v>
      </c>
      <c r="X81" s="25" t="n">
        <v>0</v>
      </c>
      <c r="Y81" s="6"/>
      <c r="Z81" s="6"/>
      <c r="AA81" s="6"/>
      <c r="AB81" s="6"/>
      <c r="AC81" s="6"/>
      <c r="AD81" s="6"/>
      <c r="AE81" s="0"/>
    </row>
    <row r="82" customFormat="false" ht="12.75" hidden="false" customHeight="false" outlineLevel="0" collapsed="false">
      <c r="A82" s="26" t="s">
        <v>11</v>
      </c>
      <c r="B82" s="21" t="n">
        <f aca="false">NPV(0.1,D82:Y82)</f>
        <v>92229.7852881809</v>
      </c>
      <c r="C82" s="21" t="n">
        <f aca="false">B82-B72</f>
        <v>-87.0110672254814</v>
      </c>
      <c r="D82" s="27" t="n">
        <v>1894.98451764097</v>
      </c>
      <c r="E82" s="28" t="n">
        <v>3936.48766027496</v>
      </c>
      <c r="F82" s="28" t="n">
        <v>3365.02174844268</v>
      </c>
      <c r="G82" s="28" t="n">
        <v>14403.8921408979</v>
      </c>
      <c r="H82" s="28" t="n">
        <v>18933.4153293744</v>
      </c>
      <c r="I82" s="28" t="n">
        <v>16274.3264805812</v>
      </c>
      <c r="J82" s="28" t="n">
        <v>13826.9402561945</v>
      </c>
      <c r="K82" s="28" t="n">
        <v>13791.019088443</v>
      </c>
      <c r="L82" s="28" t="n">
        <v>13790.0065448323</v>
      </c>
      <c r="M82" s="28" t="n">
        <v>13781.1343689836</v>
      </c>
      <c r="N82" s="29" t="n">
        <v>14163.3652152771</v>
      </c>
      <c r="O82" s="25" t="n">
        <v>13462.7305461615</v>
      </c>
      <c r="P82" s="25" t="n">
        <v>13365.0584777655</v>
      </c>
      <c r="Q82" s="25" t="n">
        <v>13257.6898303532</v>
      </c>
      <c r="R82" s="25" t="n">
        <v>13113.3282485612</v>
      </c>
      <c r="S82" s="25" t="n">
        <v>11266.4926175072</v>
      </c>
      <c r="T82" s="25" t="n">
        <v>9429.26737059693</v>
      </c>
      <c r="U82" s="25" t="n">
        <v>9167.92845433388</v>
      </c>
      <c r="V82" s="25" t="n">
        <v>8872.19450570825</v>
      </c>
      <c r="W82" s="25" t="n">
        <v>14004.9546546007</v>
      </c>
      <c r="X82" s="25" t="n">
        <v>0</v>
      </c>
      <c r="Y82" s="6"/>
      <c r="Z82" s="6"/>
      <c r="AA82" s="6"/>
      <c r="AB82" s="6"/>
      <c r="AC82" s="6"/>
      <c r="AD82" s="6"/>
      <c r="AE82" s="0"/>
    </row>
    <row r="83" customFormat="false" ht="12.75" hidden="false" customHeight="false" outlineLevel="0" collapsed="false">
      <c r="A83" s="26"/>
      <c r="B83" s="8"/>
      <c r="D83" s="25"/>
      <c r="E83" s="25"/>
      <c r="F83" s="25"/>
      <c r="G83" s="25"/>
      <c r="H83" s="25"/>
      <c r="I83" s="25"/>
      <c r="J83" s="25"/>
      <c r="K83" s="25"/>
      <c r="L83" s="25"/>
      <c r="M83" s="25"/>
      <c r="N83" s="25"/>
      <c r="O83" s="25"/>
      <c r="P83" s="25"/>
      <c r="Q83" s="25"/>
      <c r="R83" s="25"/>
      <c r="S83" s="25"/>
      <c r="T83" s="25"/>
      <c r="U83" s="25"/>
      <c r="V83" s="25"/>
      <c r="W83" s="25"/>
      <c r="X83" s="25"/>
      <c r="Y83" s="6"/>
      <c r="Z83" s="6"/>
      <c r="AA83" s="6"/>
      <c r="AB83" s="6"/>
      <c r="AC83" s="6"/>
      <c r="AD83" s="6"/>
      <c r="AE83" s="0"/>
    </row>
    <row r="84" customFormat="false" ht="12.75" hidden="false" customHeight="false" outlineLevel="0" collapsed="false">
      <c r="A84" s="30" t="s">
        <v>19</v>
      </c>
      <c r="B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0"/>
    </row>
    <row r="85" customFormat="false" ht="12.75" hidden="false" customHeight="false" outlineLevel="0" collapsed="false">
      <c r="A85" s="34" t="n">
        <v>36236</v>
      </c>
      <c r="B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0"/>
    </row>
    <row r="86" customFormat="false" ht="12.75" hidden="false" customHeight="false" outlineLevel="0" collapsed="false">
      <c r="A86" s="11" t="s">
        <v>3</v>
      </c>
      <c r="B86" s="12" t="n">
        <v>60077.8835089165</v>
      </c>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0"/>
    </row>
    <row r="87" customFormat="false" ht="12.75" hidden="false" customHeight="false" outlineLevel="0" collapsed="false">
      <c r="A87" s="13" t="s">
        <v>4</v>
      </c>
      <c r="B87" s="14" t="n">
        <v>94054.9474914159</v>
      </c>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0"/>
    </row>
    <row r="88" customFormat="false" ht="12.75" hidden="false" customHeight="false" outlineLevel="0" collapsed="false">
      <c r="A88" s="15" t="s">
        <v>5</v>
      </c>
      <c r="B88" s="16" t="s">
        <v>6</v>
      </c>
      <c r="C88" s="16" t="s">
        <v>7</v>
      </c>
      <c r="D88" s="17" t="n">
        <v>2000</v>
      </c>
      <c r="E88" s="18" t="n">
        <v>2001</v>
      </c>
      <c r="F88" s="18" t="n">
        <v>2002</v>
      </c>
      <c r="G88" s="18" t="n">
        <v>2003</v>
      </c>
      <c r="H88" s="18" t="n">
        <v>2004</v>
      </c>
      <c r="I88" s="18" t="n">
        <v>2005</v>
      </c>
      <c r="J88" s="18" t="n">
        <v>2006</v>
      </c>
      <c r="K88" s="18" t="n">
        <v>2007</v>
      </c>
      <c r="L88" s="18" t="n">
        <v>2008</v>
      </c>
      <c r="M88" s="18" t="n">
        <v>2009</v>
      </c>
      <c r="N88" s="19" t="n">
        <v>2010</v>
      </c>
      <c r="O88" s="20" t="n">
        <v>2011</v>
      </c>
      <c r="P88" s="20" t="n">
        <v>2012</v>
      </c>
      <c r="Q88" s="20" t="n">
        <v>2013</v>
      </c>
      <c r="R88" s="20" t="n">
        <v>2014</v>
      </c>
      <c r="S88" s="20" t="n">
        <v>2015</v>
      </c>
      <c r="T88" s="20" t="n">
        <v>2016</v>
      </c>
      <c r="U88" s="20" t="n">
        <v>2017</v>
      </c>
      <c r="V88" s="20" t="n">
        <v>2018</v>
      </c>
      <c r="W88" s="20" t="n">
        <v>2019</v>
      </c>
      <c r="X88" s="20" t="n">
        <v>2020</v>
      </c>
      <c r="Y88" s="6"/>
      <c r="Z88" s="6"/>
      <c r="AA88" s="6"/>
      <c r="AB88" s="6"/>
      <c r="AC88" s="6"/>
      <c r="AD88" s="6"/>
      <c r="AE88" s="0"/>
    </row>
    <row r="89" customFormat="false" ht="12.75" hidden="false" customHeight="false" outlineLevel="0" collapsed="false">
      <c r="A89" s="15" t="s">
        <v>8</v>
      </c>
      <c r="B89" s="21" t="n">
        <f aca="false">NPV(0.1,D89:Y89)</f>
        <v>440160.752489757</v>
      </c>
      <c r="C89" s="21" t="n">
        <f aca="false">B89-B79</f>
        <v>10041.332294271</v>
      </c>
      <c r="D89" s="22" t="n">
        <v>25339.3338255175</v>
      </c>
      <c r="E89" s="23" t="n">
        <v>35548.184444905</v>
      </c>
      <c r="F89" s="23" t="n">
        <v>35819.94196498</v>
      </c>
      <c r="G89" s="23" t="n">
        <v>45706.6521091309</v>
      </c>
      <c r="H89" s="23" t="n">
        <v>53742.3973097647</v>
      </c>
      <c r="I89" s="23" t="n">
        <v>54951.7404005817</v>
      </c>
      <c r="J89" s="23" t="n">
        <v>55992.4359071439</v>
      </c>
      <c r="K89" s="23" t="n">
        <v>57138.2057275838</v>
      </c>
      <c r="L89" s="23" t="n">
        <v>58387.048830011</v>
      </c>
      <c r="M89" s="23" t="n">
        <v>59743.1145427118</v>
      </c>
      <c r="N89" s="24" t="n">
        <v>61232.9771780836</v>
      </c>
      <c r="O89" s="25" t="n">
        <v>62717.9044098124</v>
      </c>
      <c r="P89" s="25" t="n">
        <v>64331.5055870293</v>
      </c>
      <c r="Q89" s="25" t="n">
        <v>66011.2041076931</v>
      </c>
      <c r="R89" s="25" t="n">
        <v>67750.5015313441</v>
      </c>
      <c r="S89" s="25" t="n">
        <v>69517.5969839516</v>
      </c>
      <c r="T89" s="25" t="n">
        <v>71154.2810016721</v>
      </c>
      <c r="U89" s="25" t="n">
        <v>72960.878365928</v>
      </c>
      <c r="V89" s="25" t="n">
        <v>74533.4397867847</v>
      </c>
      <c r="W89" s="25" t="n">
        <v>76101.5730367325</v>
      </c>
      <c r="X89" s="25" t="n">
        <v>18749.9846394641</v>
      </c>
      <c r="Y89" s="6"/>
      <c r="Z89" s="6"/>
      <c r="AA89" s="6"/>
      <c r="AB89" s="6"/>
      <c r="AC89" s="6"/>
      <c r="AD89" s="6"/>
      <c r="AE89" s="0"/>
    </row>
    <row r="90" customFormat="false" ht="12.75" hidden="false" customHeight="false" outlineLevel="0" collapsed="false">
      <c r="A90" s="26" t="s">
        <v>9</v>
      </c>
      <c r="B90" s="21" t="n">
        <f aca="false">NPV(0.1,D90:Y90)</f>
        <v>201194.667994175</v>
      </c>
      <c r="C90" s="21" t="n">
        <f aca="false">B90-B80</f>
        <v>3460.78600842657</v>
      </c>
      <c r="D90" s="22" t="n">
        <v>16018.1104921842</v>
      </c>
      <c r="E90" s="23" t="n">
        <v>20246.027244905</v>
      </c>
      <c r="F90" s="23" t="n">
        <v>20612.29004898</v>
      </c>
      <c r="G90" s="23" t="n">
        <v>20914.9179994506</v>
      </c>
      <c r="H90" s="23" t="n">
        <v>21284.5577920657</v>
      </c>
      <c r="I90" s="23" t="n">
        <v>21727.1949651852</v>
      </c>
      <c r="J90" s="23" t="n">
        <v>22240.4718004223</v>
      </c>
      <c r="K90" s="23" t="n">
        <v>22857.8820201495</v>
      </c>
      <c r="L90" s="23" t="n">
        <v>23579.8821135173</v>
      </c>
      <c r="M90" s="23" t="n">
        <v>24409.1063279519</v>
      </c>
      <c r="N90" s="24" t="n">
        <v>25909.6425252063</v>
      </c>
      <c r="O90" s="25" t="n">
        <v>26984.0623705678</v>
      </c>
      <c r="P90" s="25" t="n">
        <v>28196.5950194229</v>
      </c>
      <c r="Q90" s="25" t="n">
        <v>29488.6674578585</v>
      </c>
      <c r="R90" s="25" t="n">
        <v>30853.8347538584</v>
      </c>
      <c r="S90" s="25" t="n">
        <v>32261.4015541407</v>
      </c>
      <c r="T90" s="25" t="n">
        <v>33723.453778802</v>
      </c>
      <c r="U90" s="25" t="n">
        <v>35383.604818302</v>
      </c>
      <c r="V90" s="25" t="n">
        <v>36838.639679418</v>
      </c>
      <c r="W90" s="25" t="n">
        <v>38319.9800222336</v>
      </c>
      <c r="X90" s="25" t="n">
        <v>2861.75314947977</v>
      </c>
      <c r="Y90" s="6"/>
      <c r="Z90" s="6"/>
      <c r="AA90" s="6"/>
      <c r="AB90" s="6"/>
      <c r="AC90" s="6"/>
      <c r="AD90" s="6"/>
      <c r="AE90" s="0"/>
    </row>
    <row r="91" customFormat="false" ht="12.75" hidden="false" customHeight="false" outlineLevel="0" collapsed="false">
      <c r="A91" s="26" t="s">
        <v>10</v>
      </c>
      <c r="B91" s="21" t="n">
        <f aca="false">NPV(0.1,D91:Y91)</f>
        <v>78297.1563913971</v>
      </c>
      <c r="C91" s="21" t="n">
        <f aca="false">B91-B81</f>
        <v>3310.50371345347</v>
      </c>
      <c r="D91" s="22" t="n">
        <v>-323.759926213877</v>
      </c>
      <c r="E91" s="23" t="n">
        <v>-113.259418063236</v>
      </c>
      <c r="F91" s="23" t="n">
        <v>-82.8949170749874</v>
      </c>
      <c r="G91" s="23" t="n">
        <v>5923.13226225868</v>
      </c>
      <c r="H91" s="23" t="n">
        <v>10694.2917458089</v>
      </c>
      <c r="I91" s="23" t="n">
        <v>11471.7703346088</v>
      </c>
      <c r="J91" s="23" t="n">
        <v>12089.3535743475</v>
      </c>
      <c r="K91" s="23" t="n">
        <v>12575.1253579072</v>
      </c>
      <c r="L91" s="23" t="n">
        <v>13147.0016304655</v>
      </c>
      <c r="M91" s="23" t="n">
        <v>13748.0988131979</v>
      </c>
      <c r="N91" s="24" t="n">
        <v>14047.0681749861</v>
      </c>
      <c r="O91" s="25" t="n">
        <v>14563.3790270397</v>
      </c>
      <c r="P91" s="25" t="n">
        <v>15174.8546947526</v>
      </c>
      <c r="Q91" s="25" t="n">
        <v>15814.0191125919</v>
      </c>
      <c r="R91" s="25" t="n">
        <v>16483.4266563168</v>
      </c>
      <c r="S91" s="25" t="n">
        <v>17109.2556512994</v>
      </c>
      <c r="T91" s="25" t="n">
        <v>17740.6447552217</v>
      </c>
      <c r="U91" s="25" t="n">
        <v>18398.7935531797</v>
      </c>
      <c r="V91" s="25" t="n">
        <v>19086.195260948</v>
      </c>
      <c r="W91" s="25" t="n">
        <v>19555.0330118827</v>
      </c>
      <c r="X91" s="25" t="n">
        <v>0</v>
      </c>
      <c r="Y91" s="6"/>
      <c r="Z91" s="6"/>
      <c r="AA91" s="6"/>
      <c r="AB91" s="6"/>
      <c r="AC91" s="6"/>
      <c r="AD91" s="6"/>
      <c r="AE91" s="0"/>
    </row>
    <row r="92" customFormat="false" ht="12.75" hidden="false" customHeight="false" outlineLevel="0" collapsed="false">
      <c r="A92" s="26" t="s">
        <v>11</v>
      </c>
      <c r="B92" s="21" t="n">
        <f aca="false">NPV(0.1,D92:Y92)</f>
        <v>93528.1715075566</v>
      </c>
      <c r="C92" s="21" t="n">
        <f aca="false">B92-B82</f>
        <v>1298.38621937565</v>
      </c>
      <c r="D92" s="27" t="n">
        <v>2154.06216215277</v>
      </c>
      <c r="E92" s="28" t="n">
        <v>4206.05478825923</v>
      </c>
      <c r="F92" s="28" t="n">
        <v>3617.42682910905</v>
      </c>
      <c r="G92" s="28" t="n">
        <v>14814.5409777491</v>
      </c>
      <c r="H92" s="28" t="n">
        <v>19177.6484794987</v>
      </c>
      <c r="I92" s="28" t="n">
        <v>16350.2989099691</v>
      </c>
      <c r="J92" s="28" t="n">
        <v>14014.1611855523</v>
      </c>
      <c r="K92" s="28" t="n">
        <v>13950.9125262335</v>
      </c>
      <c r="L92" s="28" t="n">
        <v>13919.6281805863</v>
      </c>
      <c r="M92" s="28" t="n">
        <v>13879.0442096637</v>
      </c>
      <c r="N92" s="29" t="n">
        <v>14238.3291223504</v>
      </c>
      <c r="O92" s="25" t="n">
        <v>13506.7653285385</v>
      </c>
      <c r="P92" s="25" t="n">
        <v>13374.7711591409</v>
      </c>
      <c r="Q92" s="25" t="n">
        <v>13231.5041748621</v>
      </c>
      <c r="R92" s="25" t="n">
        <v>13049.7246790081</v>
      </c>
      <c r="S92" s="25" t="n">
        <v>11179.6407754137</v>
      </c>
      <c r="T92" s="25" t="n">
        <v>9317.32776750799</v>
      </c>
      <c r="U92" s="25" t="n">
        <v>9015.57564121947</v>
      </c>
      <c r="V92" s="25" t="n">
        <v>8677.60530999822</v>
      </c>
      <c r="W92" s="25" t="n">
        <v>13946.5189666099</v>
      </c>
      <c r="X92" s="25" t="n">
        <v>0</v>
      </c>
      <c r="Y92" s="6"/>
      <c r="Z92" s="6"/>
      <c r="AA92" s="6"/>
      <c r="AB92" s="6"/>
      <c r="AC92" s="6"/>
      <c r="AD92" s="6"/>
      <c r="AE92" s="0"/>
    </row>
    <row r="93" customFormat="false" ht="12.75" hidden="false" customHeight="false" outlineLevel="0" collapsed="false">
      <c r="A93" s="6"/>
      <c r="B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0"/>
    </row>
    <row r="94" customFormat="false" ht="12.75" hidden="false" customHeight="false" outlineLevel="0" collapsed="false">
      <c r="A94" s="30" t="s">
        <v>20</v>
      </c>
      <c r="B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0"/>
    </row>
    <row r="95" customFormat="false" ht="12.75" hidden="false" customHeight="false" outlineLevel="0" collapsed="false">
      <c r="A95" s="34" t="n">
        <v>36240</v>
      </c>
      <c r="B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0"/>
    </row>
    <row r="96" customFormat="false" ht="12.75" hidden="false" customHeight="false" outlineLevel="0" collapsed="false">
      <c r="A96" s="11" t="s">
        <v>3</v>
      </c>
      <c r="B96" s="12" t="n">
        <v>54523.8223475438</v>
      </c>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0"/>
    </row>
    <row r="97" customFormat="false" ht="12.75" hidden="false" customHeight="false" outlineLevel="0" collapsed="false">
      <c r="A97" s="13" t="s">
        <v>4</v>
      </c>
      <c r="B97" s="14" t="n">
        <v>87467.5751157023</v>
      </c>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0"/>
    </row>
    <row r="98" customFormat="false" ht="12.75" hidden="false" customHeight="false" outlineLevel="0" collapsed="false">
      <c r="A98" s="15" t="s">
        <v>5</v>
      </c>
      <c r="B98" s="16" t="s">
        <v>6</v>
      </c>
      <c r="C98" s="16" t="s">
        <v>7</v>
      </c>
      <c r="D98" s="17" t="n">
        <v>2000</v>
      </c>
      <c r="E98" s="18" t="n">
        <v>2001</v>
      </c>
      <c r="F98" s="18" t="n">
        <v>2002</v>
      </c>
      <c r="G98" s="18" t="n">
        <v>2003</v>
      </c>
      <c r="H98" s="18" t="n">
        <v>2004</v>
      </c>
      <c r="I98" s="18" t="n">
        <v>2005</v>
      </c>
      <c r="J98" s="18" t="n">
        <v>2006</v>
      </c>
      <c r="K98" s="18" t="n">
        <v>2007</v>
      </c>
      <c r="L98" s="18" t="n">
        <v>2008</v>
      </c>
      <c r="M98" s="18" t="n">
        <v>2009</v>
      </c>
      <c r="N98" s="19" t="n">
        <v>2010</v>
      </c>
      <c r="O98" s="20" t="n">
        <v>2011</v>
      </c>
      <c r="P98" s="20" t="n">
        <v>2012</v>
      </c>
      <c r="Q98" s="20" t="n">
        <v>2013</v>
      </c>
      <c r="R98" s="20" t="n">
        <v>2014</v>
      </c>
      <c r="S98" s="20" t="n">
        <v>2015</v>
      </c>
      <c r="T98" s="20" t="n">
        <v>2016</v>
      </c>
      <c r="U98" s="20" t="n">
        <v>2017</v>
      </c>
      <c r="V98" s="20" t="n">
        <v>2018</v>
      </c>
      <c r="W98" s="20" t="n">
        <v>2019</v>
      </c>
      <c r="X98" s="20" t="n">
        <v>2020</v>
      </c>
      <c r="Y98" s="6"/>
      <c r="Z98" s="6"/>
      <c r="AA98" s="6"/>
      <c r="AB98" s="6"/>
      <c r="AC98" s="6"/>
      <c r="AD98" s="6"/>
      <c r="AE98" s="0"/>
    </row>
    <row r="99" customFormat="false" ht="12.75" hidden="false" customHeight="false" outlineLevel="0" collapsed="false">
      <c r="A99" s="15" t="s">
        <v>8</v>
      </c>
      <c r="B99" s="21" t="n">
        <f aca="false">NPV(0.1,D99:Y99)</f>
        <v>440160.752489757</v>
      </c>
      <c r="C99" s="21" t="n">
        <f aca="false">B99-B89</f>
        <v>0</v>
      </c>
      <c r="D99" s="22" t="n">
        <v>25339.3338255175</v>
      </c>
      <c r="E99" s="23" t="n">
        <v>35548.184444905</v>
      </c>
      <c r="F99" s="23" t="n">
        <v>35819.94196498</v>
      </c>
      <c r="G99" s="23" t="n">
        <v>45706.6521091309</v>
      </c>
      <c r="H99" s="23" t="n">
        <v>53742.3973097647</v>
      </c>
      <c r="I99" s="23" t="n">
        <v>54951.7404005817</v>
      </c>
      <c r="J99" s="23" t="n">
        <v>55992.4359071439</v>
      </c>
      <c r="K99" s="23" t="n">
        <v>57138.2057275838</v>
      </c>
      <c r="L99" s="23" t="n">
        <v>58387.048830011</v>
      </c>
      <c r="M99" s="23" t="n">
        <v>59743.1145427118</v>
      </c>
      <c r="N99" s="24" t="n">
        <v>61232.9771780836</v>
      </c>
      <c r="O99" s="25" t="n">
        <v>62717.9044098124</v>
      </c>
      <c r="P99" s="25" t="n">
        <v>64331.5055870293</v>
      </c>
      <c r="Q99" s="25" t="n">
        <v>66011.2041076931</v>
      </c>
      <c r="R99" s="25" t="n">
        <v>67750.5015313441</v>
      </c>
      <c r="S99" s="25" t="n">
        <v>69517.5969839516</v>
      </c>
      <c r="T99" s="25" t="n">
        <v>71154.2810016721</v>
      </c>
      <c r="U99" s="25" t="n">
        <v>72960.878365928</v>
      </c>
      <c r="V99" s="25" t="n">
        <v>74533.4397867847</v>
      </c>
      <c r="W99" s="25" t="n">
        <v>76101.5730367325</v>
      </c>
      <c r="X99" s="25" t="n">
        <v>18749.9846394641</v>
      </c>
      <c r="Y99" s="6"/>
      <c r="Z99" s="6"/>
      <c r="AA99" s="6"/>
      <c r="AB99" s="6"/>
      <c r="AC99" s="6"/>
      <c r="AD99" s="6"/>
      <c r="AE99" s="0"/>
    </row>
    <row r="100" customFormat="false" ht="12.75" hidden="false" customHeight="false" outlineLevel="0" collapsed="false">
      <c r="A100" s="26" t="s">
        <v>9</v>
      </c>
      <c r="B100" s="21" t="n">
        <f aca="false">NPV(0.1,D100:Y100)</f>
        <v>201194.667994175</v>
      </c>
      <c r="C100" s="21" t="n">
        <f aca="false">B100-B90</f>
        <v>0</v>
      </c>
      <c r="D100" s="22" t="n">
        <v>16018.1104921842</v>
      </c>
      <c r="E100" s="23" t="n">
        <v>20246.027244905</v>
      </c>
      <c r="F100" s="23" t="n">
        <v>20612.29004898</v>
      </c>
      <c r="G100" s="23" t="n">
        <v>20914.9179994506</v>
      </c>
      <c r="H100" s="23" t="n">
        <v>21284.5577920657</v>
      </c>
      <c r="I100" s="23" t="n">
        <v>21727.1949651852</v>
      </c>
      <c r="J100" s="23" t="n">
        <v>22240.4718004223</v>
      </c>
      <c r="K100" s="23" t="n">
        <v>22857.8820201495</v>
      </c>
      <c r="L100" s="23" t="n">
        <v>23579.8821135173</v>
      </c>
      <c r="M100" s="23" t="n">
        <v>24409.1063279519</v>
      </c>
      <c r="N100" s="24" t="n">
        <v>25909.6425252063</v>
      </c>
      <c r="O100" s="25" t="n">
        <v>26984.0623705678</v>
      </c>
      <c r="P100" s="25" t="n">
        <v>28196.5950194229</v>
      </c>
      <c r="Q100" s="25" t="n">
        <v>29488.6674578585</v>
      </c>
      <c r="R100" s="25" t="n">
        <v>30853.8347538584</v>
      </c>
      <c r="S100" s="25" t="n">
        <v>32261.4015541407</v>
      </c>
      <c r="T100" s="25" t="n">
        <v>33723.453778802</v>
      </c>
      <c r="U100" s="25" t="n">
        <v>35383.604818302</v>
      </c>
      <c r="V100" s="25" t="n">
        <v>36838.639679418</v>
      </c>
      <c r="W100" s="25" t="n">
        <v>38319.9800222336</v>
      </c>
      <c r="X100" s="25" t="n">
        <v>2861.75314947977</v>
      </c>
      <c r="Y100" s="6"/>
      <c r="Z100" s="6"/>
      <c r="AA100" s="6"/>
      <c r="AB100" s="6"/>
      <c r="AC100" s="6"/>
      <c r="AD100" s="6"/>
      <c r="AE100" s="0"/>
    </row>
    <row r="101" customFormat="false" ht="12.75" hidden="false" customHeight="false" outlineLevel="0" collapsed="false">
      <c r="A101" s="26" t="s">
        <v>10</v>
      </c>
      <c r="B101" s="21" t="n">
        <f aca="false">NPV(0.1,D101:Y101)</f>
        <v>77108.0508221566</v>
      </c>
      <c r="C101" s="21" t="n">
        <f aca="false">B101-B91</f>
        <v>-1189.10556924048</v>
      </c>
      <c r="D101" s="22" t="n">
        <v>-409.029014010586</v>
      </c>
      <c r="E101" s="23" t="n">
        <v>-259.434997143308</v>
      </c>
      <c r="F101" s="23" t="n">
        <v>-229.070496155059</v>
      </c>
      <c r="G101" s="23" t="n">
        <v>5776.9566831786</v>
      </c>
      <c r="H101" s="23" t="n">
        <v>10548.1161667288</v>
      </c>
      <c r="I101" s="23" t="n">
        <v>11325.5947555288</v>
      </c>
      <c r="J101" s="23" t="n">
        <v>11943.1779952675</v>
      </c>
      <c r="K101" s="23" t="n">
        <v>12428.9497788271</v>
      </c>
      <c r="L101" s="23" t="n">
        <v>13000.8260513854</v>
      </c>
      <c r="M101" s="23" t="n">
        <v>13601.9232341178</v>
      </c>
      <c r="N101" s="24" t="n">
        <v>13900.892595906</v>
      </c>
      <c r="O101" s="25" t="n">
        <v>14417.2034479596</v>
      </c>
      <c r="P101" s="25" t="n">
        <v>15028.6791156725</v>
      </c>
      <c r="Q101" s="25" t="n">
        <v>15667.8435335118</v>
      </c>
      <c r="R101" s="25" t="n">
        <v>16337.2510772367</v>
      </c>
      <c r="S101" s="25" t="n">
        <v>16963.0800722194</v>
      </c>
      <c r="T101" s="25" t="n">
        <v>17594.4691761417</v>
      </c>
      <c r="U101" s="25" t="n">
        <v>18252.6179740996</v>
      </c>
      <c r="V101" s="25" t="n">
        <v>18940.0196818679</v>
      </c>
      <c r="W101" s="25" t="n">
        <v>19408.8574328026</v>
      </c>
      <c r="X101" s="25" t="n">
        <v>0</v>
      </c>
      <c r="Y101" s="6"/>
      <c r="Z101" s="6"/>
      <c r="AA101" s="6"/>
      <c r="AB101" s="6"/>
      <c r="AC101" s="6"/>
      <c r="AD101" s="6"/>
      <c r="AE101" s="0"/>
    </row>
    <row r="102" customFormat="false" ht="12.75" hidden="false" customHeight="false" outlineLevel="0" collapsed="false">
      <c r="A102" s="26" t="s">
        <v>11</v>
      </c>
      <c r="B102" s="21" t="n">
        <f aca="false">NPV(0.1,D102:Y102)</f>
        <v>94666.9870887572</v>
      </c>
      <c r="C102" s="21" t="n">
        <f aca="false">B102-B92</f>
        <v>1138.81558120063</v>
      </c>
      <c r="D102" s="27" t="n">
        <v>2154.06216215277</v>
      </c>
      <c r="E102" s="28" t="n">
        <v>4206.05478825923</v>
      </c>
      <c r="F102" s="28" t="n">
        <v>3617.42682910905</v>
      </c>
      <c r="G102" s="28" t="n">
        <v>14822.547372737</v>
      </c>
      <c r="H102" s="28" t="n">
        <v>19185.6548744866</v>
      </c>
      <c r="I102" s="28" t="n">
        <v>17439.1913588939</v>
      </c>
      <c r="J102" s="28" t="n">
        <v>14165.7289800803</v>
      </c>
      <c r="K102" s="28" t="n">
        <v>14102.7283947238</v>
      </c>
      <c r="L102" s="28" t="n">
        <v>14071.1959751143</v>
      </c>
      <c r="M102" s="28" t="n">
        <v>14030.860078154</v>
      </c>
      <c r="N102" s="29" t="n">
        <v>14389.8969168784</v>
      </c>
      <c r="O102" s="25" t="n">
        <v>13658.5811970288</v>
      </c>
      <c r="P102" s="25" t="n">
        <v>13526.3389536689</v>
      </c>
      <c r="Q102" s="25" t="n">
        <v>13383.3200433524</v>
      </c>
      <c r="R102" s="25" t="n">
        <v>13201.2924735361</v>
      </c>
      <c r="S102" s="25" t="n">
        <v>11258.0267510488</v>
      </c>
      <c r="T102" s="25" t="n">
        <v>9322.53192425011</v>
      </c>
      <c r="U102" s="25" t="n">
        <v>9020.77979796159</v>
      </c>
      <c r="V102" s="25" t="n">
        <v>8682.80946674034</v>
      </c>
      <c r="W102" s="25" t="n">
        <v>13951.7231233521</v>
      </c>
      <c r="X102" s="25" t="n">
        <v>0</v>
      </c>
      <c r="Y102" s="6"/>
      <c r="Z102" s="6"/>
      <c r="AA102" s="6"/>
      <c r="AB102" s="6"/>
      <c r="AC102" s="6"/>
      <c r="AD102" s="6"/>
      <c r="AE102" s="0"/>
    </row>
    <row r="103" customFormat="false" ht="12.75" hidden="false" customHeight="false" outlineLevel="0" collapsed="false">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0"/>
    </row>
    <row r="104" customFormat="false" ht="12.75" hidden="false" customHeight="false" outlineLevel="1" collapsed="false">
      <c r="A104" s="30" t="s">
        <v>21</v>
      </c>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0"/>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c r="IE104" s="35"/>
      <c r="IF104" s="35"/>
      <c r="IG104" s="35"/>
      <c r="IH104" s="35"/>
      <c r="II104" s="35"/>
      <c r="IJ104" s="35"/>
      <c r="IK104" s="35"/>
      <c r="IL104" s="35"/>
      <c r="IM104" s="35"/>
      <c r="IN104" s="35"/>
      <c r="IO104" s="35"/>
      <c r="IP104" s="35"/>
      <c r="IQ104" s="35"/>
      <c r="IR104" s="35"/>
      <c r="IS104" s="35"/>
      <c r="IT104" s="35"/>
      <c r="IU104" s="35"/>
      <c r="IV104" s="35"/>
      <c r="IW104" s="35"/>
    </row>
    <row r="105" customFormat="false" ht="12.75" hidden="false" customHeight="false" outlineLevel="1" collapsed="false">
      <c r="A105" s="34" t="n">
        <v>36249</v>
      </c>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0"/>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c r="EB105" s="35"/>
      <c r="EC105" s="35"/>
      <c r="ED105" s="35"/>
      <c r="EE105" s="35"/>
      <c r="EF105" s="35"/>
      <c r="EG105" s="35"/>
      <c r="EH105" s="35"/>
      <c r="EI105" s="35"/>
      <c r="EJ105" s="35"/>
      <c r="EK105" s="35"/>
      <c r="EL105" s="35"/>
      <c r="EM105" s="35"/>
      <c r="EN105" s="35"/>
      <c r="EO105" s="35"/>
      <c r="EP105" s="35"/>
      <c r="EQ105" s="35"/>
      <c r="ER105" s="35"/>
      <c r="ES105" s="35"/>
      <c r="ET105" s="35"/>
      <c r="EU105" s="35"/>
      <c r="EV105" s="35"/>
      <c r="EW105" s="35"/>
      <c r="EX105" s="35"/>
      <c r="EY105" s="35"/>
      <c r="EZ105" s="35"/>
      <c r="FA105" s="35"/>
      <c r="FB105" s="35"/>
      <c r="FC105" s="35"/>
      <c r="FD105" s="35"/>
      <c r="FE105" s="35"/>
      <c r="FF105" s="35"/>
      <c r="FG105" s="35"/>
      <c r="FH105" s="35"/>
      <c r="FI105" s="35"/>
      <c r="FJ105" s="35"/>
      <c r="FK105" s="35"/>
      <c r="FL105" s="35"/>
      <c r="FM105" s="35"/>
      <c r="FN105" s="35"/>
      <c r="FO105" s="35"/>
      <c r="FP105" s="35"/>
      <c r="FQ105" s="35"/>
      <c r="FR105" s="35"/>
      <c r="FS105" s="35"/>
      <c r="FT105" s="35"/>
      <c r="FU105" s="35"/>
      <c r="FV105" s="35"/>
      <c r="FW105" s="35"/>
      <c r="FX105" s="35"/>
      <c r="FY105" s="35"/>
      <c r="FZ105" s="35"/>
      <c r="GA105" s="35"/>
      <c r="GB105" s="35"/>
      <c r="GC105" s="35"/>
      <c r="GD105" s="35"/>
      <c r="GE105" s="35"/>
      <c r="GF105" s="35"/>
      <c r="GG105" s="35"/>
      <c r="GH105" s="35"/>
      <c r="GI105" s="35"/>
      <c r="GJ105" s="35"/>
      <c r="GK105" s="35"/>
      <c r="GL105" s="35"/>
      <c r="GM105" s="35"/>
      <c r="GN105" s="35"/>
      <c r="GO105" s="35"/>
      <c r="GP105" s="35"/>
      <c r="GQ105" s="35"/>
      <c r="GR105" s="35"/>
      <c r="GS105" s="35"/>
      <c r="GT105" s="35"/>
      <c r="GU105" s="35"/>
      <c r="GV105" s="35"/>
      <c r="GW105" s="35"/>
      <c r="GX105" s="35"/>
      <c r="GY105" s="35"/>
      <c r="GZ105" s="35"/>
      <c r="HA105" s="35"/>
      <c r="HB105" s="35"/>
      <c r="HC105" s="35"/>
      <c r="HD105" s="35"/>
      <c r="HE105" s="35"/>
      <c r="HF105" s="35"/>
      <c r="HG105" s="35"/>
      <c r="HH105" s="35"/>
      <c r="HI105" s="35"/>
      <c r="HJ105" s="35"/>
      <c r="HK105" s="35"/>
      <c r="HL105" s="35"/>
      <c r="HM105" s="35"/>
      <c r="HN105" s="35"/>
      <c r="HO105" s="35"/>
      <c r="HP105" s="35"/>
      <c r="HQ105" s="35"/>
      <c r="HR105" s="35"/>
      <c r="HS105" s="35"/>
      <c r="HT105" s="35"/>
      <c r="HU105" s="35"/>
      <c r="HV105" s="35"/>
      <c r="HW105" s="35"/>
      <c r="HX105" s="35"/>
      <c r="HY105" s="35"/>
      <c r="HZ105" s="35"/>
      <c r="IA105" s="35"/>
      <c r="IB105" s="35"/>
      <c r="IC105" s="35"/>
      <c r="ID105" s="35"/>
      <c r="IE105" s="35"/>
      <c r="IF105" s="35"/>
      <c r="IG105" s="35"/>
      <c r="IH105" s="35"/>
      <c r="II105" s="35"/>
      <c r="IJ105" s="35"/>
      <c r="IK105" s="35"/>
      <c r="IL105" s="35"/>
      <c r="IM105" s="35"/>
      <c r="IN105" s="35"/>
      <c r="IO105" s="35"/>
      <c r="IP105" s="35"/>
      <c r="IQ105" s="35"/>
      <c r="IR105" s="35"/>
      <c r="IS105" s="35"/>
      <c r="IT105" s="35"/>
      <c r="IU105" s="35"/>
      <c r="IV105" s="35"/>
      <c r="IW105" s="35"/>
    </row>
    <row r="106" customFormat="false" ht="12.75" hidden="false" customHeight="false" outlineLevel="1" collapsed="false">
      <c r="A106" s="11" t="s">
        <v>3</v>
      </c>
      <c r="B106" s="12" t="n">
        <v>54154.4229595335</v>
      </c>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0"/>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c r="HM106" s="35"/>
      <c r="HN106" s="35"/>
      <c r="HO106" s="35"/>
      <c r="HP106" s="35"/>
      <c r="HQ106" s="35"/>
      <c r="HR106" s="35"/>
      <c r="HS106" s="35"/>
      <c r="HT106" s="35"/>
      <c r="HU106" s="35"/>
      <c r="HV106" s="35"/>
      <c r="HW106" s="35"/>
      <c r="HX106" s="35"/>
      <c r="HY106" s="35"/>
      <c r="HZ106" s="35"/>
      <c r="IA106" s="35"/>
      <c r="IB106" s="35"/>
      <c r="IC106" s="35"/>
      <c r="ID106" s="35"/>
      <c r="IE106" s="35"/>
      <c r="IF106" s="35"/>
      <c r="IG106" s="35"/>
      <c r="IH106" s="35"/>
      <c r="II106" s="35"/>
      <c r="IJ106" s="35"/>
      <c r="IK106" s="35"/>
      <c r="IL106" s="35"/>
      <c r="IM106" s="35"/>
      <c r="IN106" s="35"/>
      <c r="IO106" s="35"/>
      <c r="IP106" s="35"/>
      <c r="IQ106" s="35"/>
      <c r="IR106" s="35"/>
      <c r="IS106" s="35"/>
      <c r="IT106" s="35"/>
      <c r="IU106" s="35"/>
      <c r="IV106" s="35"/>
      <c r="IW106" s="35"/>
    </row>
    <row r="107" customFormat="false" ht="12.75" hidden="false" customHeight="false" outlineLevel="1" collapsed="false">
      <c r="A107" s="13" t="s">
        <v>4</v>
      </c>
      <c r="B107" s="14" t="n">
        <v>86986.6164503421</v>
      </c>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0"/>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c r="HM107" s="35"/>
      <c r="HN107" s="35"/>
      <c r="HO107" s="35"/>
      <c r="HP107" s="35"/>
      <c r="HQ107" s="35"/>
      <c r="HR107" s="35"/>
      <c r="HS107" s="35"/>
      <c r="HT107" s="35"/>
      <c r="HU107" s="35"/>
      <c r="HV107" s="35"/>
      <c r="HW107" s="35"/>
      <c r="HX107" s="35"/>
      <c r="HY107" s="35"/>
      <c r="HZ107" s="35"/>
      <c r="IA107" s="35"/>
      <c r="IB107" s="35"/>
      <c r="IC107" s="35"/>
      <c r="ID107" s="35"/>
      <c r="IE107" s="35"/>
      <c r="IF107" s="35"/>
      <c r="IG107" s="35"/>
      <c r="IH107" s="35"/>
      <c r="II107" s="35"/>
      <c r="IJ107" s="35"/>
      <c r="IK107" s="35"/>
      <c r="IL107" s="35"/>
      <c r="IM107" s="35"/>
      <c r="IN107" s="35"/>
      <c r="IO107" s="35"/>
      <c r="IP107" s="35"/>
      <c r="IQ107" s="35"/>
      <c r="IR107" s="35"/>
      <c r="IS107" s="35"/>
      <c r="IT107" s="35"/>
      <c r="IU107" s="35"/>
      <c r="IV107" s="35"/>
      <c r="IW107" s="35"/>
    </row>
    <row r="108" customFormat="false" ht="12.75" hidden="false" customHeight="false" outlineLevel="1" collapsed="false">
      <c r="A108" s="15" t="s">
        <v>5</v>
      </c>
      <c r="B108" s="16" t="s">
        <v>6</v>
      </c>
      <c r="C108" s="16" t="s">
        <v>7</v>
      </c>
      <c r="D108" s="17" t="n">
        <v>2000</v>
      </c>
      <c r="E108" s="18" t="n">
        <v>2001</v>
      </c>
      <c r="F108" s="18" t="n">
        <v>2002</v>
      </c>
      <c r="G108" s="18" t="n">
        <v>2003</v>
      </c>
      <c r="H108" s="18" t="n">
        <v>2004</v>
      </c>
      <c r="I108" s="18" t="n">
        <v>2005</v>
      </c>
      <c r="J108" s="18" t="n">
        <v>2006</v>
      </c>
      <c r="K108" s="18" t="n">
        <v>2007</v>
      </c>
      <c r="L108" s="18" t="n">
        <v>2008</v>
      </c>
      <c r="M108" s="18" t="n">
        <v>2009</v>
      </c>
      <c r="N108" s="19" t="n">
        <v>2010</v>
      </c>
      <c r="O108" s="20" t="n">
        <v>2011</v>
      </c>
      <c r="P108" s="20" t="n">
        <v>2012</v>
      </c>
      <c r="Q108" s="20" t="n">
        <v>2013</v>
      </c>
      <c r="R108" s="20" t="n">
        <v>2014</v>
      </c>
      <c r="S108" s="20" t="n">
        <v>2015</v>
      </c>
      <c r="T108" s="20" t="n">
        <v>2016</v>
      </c>
      <c r="U108" s="20" t="n">
        <v>2017</v>
      </c>
      <c r="V108" s="20" t="n">
        <v>2018</v>
      </c>
      <c r="W108" s="20" t="n">
        <v>2019</v>
      </c>
      <c r="X108" s="20" t="n">
        <v>2020</v>
      </c>
      <c r="Y108" s="6"/>
      <c r="Z108" s="6"/>
      <c r="AA108" s="6"/>
      <c r="AB108" s="6"/>
      <c r="AC108" s="6"/>
      <c r="AD108" s="6"/>
      <c r="AE108" s="0"/>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c r="HM108" s="35"/>
      <c r="HN108" s="35"/>
      <c r="HO108" s="35"/>
      <c r="HP108" s="35"/>
      <c r="HQ108" s="35"/>
      <c r="HR108" s="35"/>
      <c r="HS108" s="35"/>
      <c r="HT108" s="35"/>
      <c r="HU108" s="35"/>
      <c r="HV108" s="35"/>
      <c r="HW108" s="35"/>
      <c r="HX108" s="35"/>
      <c r="HY108" s="35"/>
      <c r="HZ108" s="35"/>
      <c r="IA108" s="35"/>
      <c r="IB108" s="35"/>
      <c r="IC108" s="35"/>
      <c r="ID108" s="35"/>
      <c r="IE108" s="35"/>
      <c r="IF108" s="35"/>
      <c r="IG108" s="35"/>
      <c r="IH108" s="35"/>
      <c r="II108" s="35"/>
      <c r="IJ108" s="35"/>
      <c r="IK108" s="35"/>
      <c r="IL108" s="35"/>
      <c r="IM108" s="35"/>
      <c r="IN108" s="35"/>
      <c r="IO108" s="35"/>
      <c r="IP108" s="35"/>
      <c r="IQ108" s="35"/>
      <c r="IR108" s="35"/>
      <c r="IS108" s="35"/>
      <c r="IT108" s="35"/>
      <c r="IU108" s="35"/>
      <c r="IV108" s="35"/>
      <c r="IW108" s="35"/>
    </row>
    <row r="109" customFormat="false" ht="12.75" hidden="false" customHeight="false" outlineLevel="1" collapsed="false">
      <c r="A109" s="15" t="s">
        <v>8</v>
      </c>
      <c r="B109" s="21" t="n">
        <f aca="false">NPV(0.1,D109:Y109)</f>
        <v>440160.752489757</v>
      </c>
      <c r="C109" s="21" t="n">
        <f aca="false">B109-B99</f>
        <v>0</v>
      </c>
      <c r="D109" s="22" t="n">
        <v>25339.3338255175</v>
      </c>
      <c r="E109" s="23" t="n">
        <v>35548.184444905</v>
      </c>
      <c r="F109" s="23" t="n">
        <v>35819.94196498</v>
      </c>
      <c r="G109" s="23" t="n">
        <v>45706.6521091309</v>
      </c>
      <c r="H109" s="23" t="n">
        <v>53742.3973097647</v>
      </c>
      <c r="I109" s="23" t="n">
        <v>54951.7404005817</v>
      </c>
      <c r="J109" s="23" t="n">
        <v>55992.4359071439</v>
      </c>
      <c r="K109" s="23" t="n">
        <v>57138.2057275838</v>
      </c>
      <c r="L109" s="23" t="n">
        <v>58387.048830011</v>
      </c>
      <c r="M109" s="23" t="n">
        <v>59743.1145427118</v>
      </c>
      <c r="N109" s="24" t="n">
        <v>61232.9771780836</v>
      </c>
      <c r="O109" s="25" t="n">
        <v>62717.9044098124</v>
      </c>
      <c r="P109" s="25" t="n">
        <v>64331.5055870293</v>
      </c>
      <c r="Q109" s="25" t="n">
        <v>66011.2041076931</v>
      </c>
      <c r="R109" s="25" t="n">
        <v>67750.5015313441</v>
      </c>
      <c r="S109" s="25" t="n">
        <v>69517.5969839516</v>
      </c>
      <c r="T109" s="25" t="n">
        <v>71154.2810016721</v>
      </c>
      <c r="U109" s="25" t="n">
        <v>72960.878365928</v>
      </c>
      <c r="V109" s="25" t="n">
        <v>74533.4397867847</v>
      </c>
      <c r="W109" s="25" t="n">
        <v>76101.5730367325</v>
      </c>
      <c r="X109" s="25" t="n">
        <v>18749.9846394641</v>
      </c>
      <c r="Y109" s="6"/>
      <c r="Z109" s="6"/>
      <c r="AA109" s="6"/>
      <c r="AB109" s="6"/>
      <c r="AC109" s="6"/>
      <c r="AD109" s="6"/>
      <c r="AE109" s="0"/>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c r="IE109" s="35"/>
      <c r="IF109" s="35"/>
      <c r="IG109" s="35"/>
      <c r="IH109" s="35"/>
      <c r="II109" s="35"/>
      <c r="IJ109" s="35"/>
      <c r="IK109" s="35"/>
      <c r="IL109" s="35"/>
      <c r="IM109" s="35"/>
      <c r="IN109" s="35"/>
      <c r="IO109" s="35"/>
      <c r="IP109" s="35"/>
      <c r="IQ109" s="35"/>
      <c r="IR109" s="35"/>
      <c r="IS109" s="35"/>
      <c r="IT109" s="35"/>
      <c r="IU109" s="35"/>
      <c r="IV109" s="35"/>
      <c r="IW109" s="35"/>
    </row>
    <row r="110" customFormat="false" ht="12.75" hidden="false" customHeight="false" outlineLevel="1" collapsed="false">
      <c r="A110" s="26" t="s">
        <v>9</v>
      </c>
      <c r="B110" s="21" t="n">
        <f aca="false">NPV(0.1,D110:Y110)</f>
        <v>201666.204000367</v>
      </c>
      <c r="C110" s="21" t="n">
        <f aca="false">B110-B100</f>
        <v>471.53600619288</v>
      </c>
      <c r="D110" s="22" t="n">
        <v>16045.1479921842</v>
      </c>
      <c r="E110" s="23" t="n">
        <v>20293.767744905</v>
      </c>
      <c r="F110" s="23" t="n">
        <v>20661.46276398</v>
      </c>
      <c r="G110" s="23" t="n">
        <v>20965.5658959006</v>
      </c>
      <c r="H110" s="23" t="n">
        <v>21336.7251254092</v>
      </c>
      <c r="I110" s="23" t="n">
        <v>21780.927318529</v>
      </c>
      <c r="J110" s="23" t="n">
        <v>22295.8161243665</v>
      </c>
      <c r="K110" s="23" t="n">
        <v>22914.886673812</v>
      </c>
      <c r="L110" s="23" t="n">
        <v>23638.5969067897</v>
      </c>
      <c r="M110" s="23" t="n">
        <v>24469.5825650224</v>
      </c>
      <c r="N110" s="24" t="n">
        <v>25971.9330493889</v>
      </c>
      <c r="O110" s="25" t="n">
        <v>27048.2216104758</v>
      </c>
      <c r="P110" s="25" t="n">
        <v>28262.6790365282</v>
      </c>
      <c r="Q110" s="25" t="n">
        <v>29556.733995477</v>
      </c>
      <c r="R110" s="25" t="n">
        <v>30923.9432876055</v>
      </c>
      <c r="S110" s="25" t="n">
        <v>32333.6133439001</v>
      </c>
      <c r="T110" s="25" t="n">
        <v>33797.8319222542</v>
      </c>
      <c r="U110" s="25" t="n">
        <v>35460.2143060578</v>
      </c>
      <c r="V110" s="25" t="n">
        <v>36917.5474518065</v>
      </c>
      <c r="W110" s="25" t="n">
        <v>38401.2550277938</v>
      </c>
      <c r="X110" s="25" t="n">
        <v>2896.63367269933</v>
      </c>
      <c r="Y110" s="6"/>
      <c r="Z110" s="6"/>
      <c r="AA110" s="6"/>
      <c r="AB110" s="6"/>
      <c r="AC110" s="6"/>
      <c r="AD110" s="6"/>
      <c r="AE110" s="0"/>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c r="HP110" s="35"/>
      <c r="HQ110" s="35"/>
      <c r="HR110" s="35"/>
      <c r="HS110" s="35"/>
      <c r="HT110" s="35"/>
      <c r="HU110" s="35"/>
      <c r="HV110" s="35"/>
      <c r="HW110" s="35"/>
      <c r="HX110" s="35"/>
      <c r="HY110" s="35"/>
      <c r="HZ110" s="35"/>
      <c r="IA110" s="35"/>
      <c r="IB110" s="35"/>
      <c r="IC110" s="35"/>
      <c r="ID110" s="35"/>
      <c r="IE110" s="35"/>
      <c r="IF110" s="35"/>
      <c r="IG110" s="35"/>
      <c r="IH110" s="35"/>
      <c r="II110" s="35"/>
      <c r="IJ110" s="35"/>
      <c r="IK110" s="35"/>
      <c r="IL110" s="35"/>
      <c r="IM110" s="35"/>
      <c r="IN110" s="35"/>
      <c r="IO110" s="35"/>
      <c r="IP110" s="35"/>
      <c r="IQ110" s="35"/>
      <c r="IR110" s="35"/>
      <c r="IS110" s="35"/>
      <c r="IT110" s="35"/>
      <c r="IU110" s="35"/>
      <c r="IV110" s="35"/>
      <c r="IW110" s="35"/>
    </row>
    <row r="111" customFormat="false" ht="12.75" hidden="false" customHeight="false" outlineLevel="1" collapsed="false">
      <c r="A111" s="26" t="s">
        <v>10</v>
      </c>
      <c r="B111" s="21" t="n">
        <f aca="false">NPV(0.1,D111:Y111)</f>
        <v>76893.9273272909</v>
      </c>
      <c r="C111" s="21" t="n">
        <f aca="false">B111-B101</f>
        <v>-214.123494865693</v>
      </c>
      <c r="D111" s="22" t="n">
        <v>-418.534714779976</v>
      </c>
      <c r="E111" s="23" t="n">
        <v>-276.99745277357</v>
      </c>
      <c r="F111" s="23" t="n">
        <v>-248.297007679118</v>
      </c>
      <c r="G111" s="23" t="n">
        <v>5755.92638027705</v>
      </c>
      <c r="H111" s="23" t="n">
        <v>10526.027235482</v>
      </c>
      <c r="I111" s="23" t="n">
        <v>11302.3794830971</v>
      </c>
      <c r="J111" s="23" t="n">
        <v>11918.7637611072</v>
      </c>
      <c r="K111" s="23" t="n">
        <v>12403.2586773535</v>
      </c>
      <c r="L111" s="23" t="n">
        <v>12973.7744849075</v>
      </c>
      <c r="M111" s="23" t="n">
        <v>13573.4214736801</v>
      </c>
      <c r="N111" s="24" t="n">
        <v>13870.8443074841</v>
      </c>
      <c r="O111" s="25" t="n">
        <v>14385.5051812517</v>
      </c>
      <c r="P111" s="25" t="n">
        <v>14995.219752511</v>
      </c>
      <c r="Q111" s="25" t="n">
        <v>15632.5036926783</v>
      </c>
      <c r="R111" s="25" t="n">
        <v>16299.9024722105</v>
      </c>
      <c r="S111" s="25" t="n">
        <v>16923.5848181087</v>
      </c>
      <c r="T111" s="25" t="n">
        <v>17552.6790417509</v>
      </c>
      <c r="U111" s="25" t="n">
        <v>18208.3735747593</v>
      </c>
      <c r="V111" s="25" t="n">
        <v>18893.1496083077</v>
      </c>
      <c r="W111" s="25" t="n">
        <v>19359.6902229651</v>
      </c>
      <c r="X111" s="25" t="n">
        <v>0</v>
      </c>
      <c r="Y111" s="6"/>
      <c r="Z111" s="6"/>
      <c r="AA111" s="6"/>
      <c r="AB111" s="6"/>
      <c r="AC111" s="6"/>
      <c r="AD111" s="6"/>
      <c r="AE111" s="0"/>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36"/>
      <c r="BF111" s="36"/>
      <c r="BG111" s="36"/>
      <c r="BH111" s="36"/>
      <c r="BI111" s="36"/>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c r="EH111" s="36"/>
      <c r="EI111" s="36"/>
      <c r="EJ111" s="36"/>
      <c r="EK111" s="36"/>
      <c r="EL111" s="36"/>
      <c r="EM111" s="36"/>
      <c r="EN111" s="36"/>
      <c r="EO111" s="36"/>
      <c r="EP111" s="36"/>
      <c r="EQ111" s="36"/>
      <c r="ER111" s="36"/>
      <c r="ES111" s="36"/>
      <c r="ET111" s="36"/>
      <c r="EU111" s="36"/>
      <c r="EV111" s="36"/>
      <c r="EW111" s="36"/>
      <c r="EX111" s="36"/>
      <c r="EY111" s="36"/>
      <c r="EZ111" s="36"/>
      <c r="FA111" s="36"/>
      <c r="FB111" s="36"/>
      <c r="FC111" s="36"/>
      <c r="FD111" s="36"/>
      <c r="FE111" s="36"/>
      <c r="FF111" s="36"/>
      <c r="FG111" s="36"/>
      <c r="FH111" s="36"/>
      <c r="FI111" s="36"/>
      <c r="FJ111" s="36"/>
      <c r="FK111" s="36"/>
      <c r="FL111" s="36"/>
      <c r="FM111" s="36"/>
      <c r="FN111" s="36"/>
      <c r="FO111" s="36"/>
      <c r="FP111" s="36"/>
      <c r="FQ111" s="36"/>
      <c r="FR111" s="36"/>
      <c r="FS111" s="36"/>
      <c r="FT111" s="36"/>
      <c r="FU111" s="36"/>
      <c r="FV111" s="36"/>
      <c r="FW111" s="36"/>
      <c r="FX111" s="36"/>
      <c r="FY111" s="36"/>
      <c r="FZ111" s="36"/>
      <c r="GA111" s="36"/>
      <c r="GB111" s="36"/>
      <c r="GC111" s="36"/>
      <c r="GD111" s="36"/>
      <c r="GE111" s="36"/>
      <c r="GF111" s="36"/>
      <c r="GG111" s="36"/>
      <c r="GH111" s="36"/>
      <c r="GI111" s="36"/>
      <c r="GJ111" s="36"/>
      <c r="GK111" s="36"/>
      <c r="GL111" s="36"/>
      <c r="GM111" s="36"/>
      <c r="GN111" s="36"/>
      <c r="GO111" s="36"/>
      <c r="GP111" s="36"/>
      <c r="GQ111" s="36"/>
      <c r="GR111" s="36"/>
      <c r="GS111" s="36"/>
      <c r="GT111" s="36"/>
      <c r="GU111" s="36"/>
      <c r="GV111" s="36"/>
      <c r="GW111" s="36"/>
      <c r="GX111" s="36"/>
      <c r="GY111" s="36"/>
      <c r="GZ111" s="36"/>
      <c r="HA111" s="36"/>
      <c r="HB111" s="36"/>
      <c r="HC111" s="36"/>
      <c r="HD111" s="36"/>
      <c r="HE111" s="36"/>
      <c r="HF111" s="36"/>
      <c r="HG111" s="36"/>
      <c r="HH111" s="36"/>
      <c r="HI111" s="36"/>
      <c r="HJ111" s="36"/>
      <c r="HK111" s="36"/>
      <c r="HL111" s="36"/>
      <c r="HM111" s="36"/>
      <c r="HN111" s="36"/>
      <c r="HO111" s="36"/>
      <c r="HP111" s="36"/>
      <c r="HQ111" s="36"/>
      <c r="HR111" s="36"/>
      <c r="HS111" s="36"/>
      <c r="HT111" s="36"/>
      <c r="HU111" s="36"/>
      <c r="HV111" s="36"/>
      <c r="HW111" s="36"/>
      <c r="HX111" s="36"/>
      <c r="HY111" s="36"/>
      <c r="HZ111" s="36"/>
      <c r="IA111" s="36"/>
      <c r="IB111" s="36"/>
      <c r="IC111" s="36"/>
      <c r="ID111" s="36"/>
      <c r="IE111" s="36"/>
      <c r="IF111" s="36"/>
      <c r="IG111" s="36"/>
      <c r="IH111" s="36"/>
      <c r="II111" s="36"/>
      <c r="IJ111" s="36"/>
      <c r="IK111" s="36"/>
      <c r="IL111" s="36"/>
      <c r="IM111" s="36"/>
      <c r="IN111" s="36"/>
      <c r="IO111" s="36"/>
      <c r="IP111" s="36"/>
      <c r="IQ111" s="36"/>
      <c r="IR111" s="36"/>
      <c r="IS111" s="36"/>
      <c r="IT111" s="36"/>
      <c r="IU111" s="36"/>
      <c r="IV111" s="35"/>
      <c r="IW111" s="35"/>
    </row>
    <row r="112" customFormat="false" ht="12.75" hidden="false" customHeight="false" outlineLevel="1" collapsed="false">
      <c r="A112" s="26" t="s">
        <v>11</v>
      </c>
      <c r="B112" s="21" t="n">
        <f aca="false">NPV(0.1,D112:Y112)</f>
        <v>94543.3882666461</v>
      </c>
      <c r="C112" s="21" t="n">
        <f aca="false">B112-B102</f>
        <v>-123.598822111133</v>
      </c>
      <c r="D112" s="27" t="n">
        <v>2147.34074364316</v>
      </c>
      <c r="E112" s="28" t="n">
        <v>4194.21147191307</v>
      </c>
      <c r="F112" s="28" t="n">
        <v>3605.25300160905</v>
      </c>
      <c r="G112" s="28" t="n">
        <v>14792.4842382529</v>
      </c>
      <c r="H112" s="28" t="n">
        <v>19154.7380615373</v>
      </c>
      <c r="I112" s="28" t="n">
        <v>17475.7878925594</v>
      </c>
      <c r="J112" s="28" t="n">
        <v>14147.5634988157</v>
      </c>
      <c r="K112" s="28" t="n">
        <v>14084.3926400198</v>
      </c>
      <c r="L112" s="28" t="n">
        <v>14052.713396829</v>
      </c>
      <c r="M112" s="28" t="n">
        <v>14012.2586234661</v>
      </c>
      <c r="N112" s="29" t="n">
        <v>14371.2064503526</v>
      </c>
      <c r="O112" s="25" t="n">
        <v>13639.8366628156</v>
      </c>
      <c r="P112" s="25" t="n">
        <v>13507.5778442235</v>
      </c>
      <c r="Q112" s="25" t="n">
        <v>13364.5856142428</v>
      </c>
      <c r="R112" s="25" t="n">
        <v>13182.6312690431</v>
      </c>
      <c r="S112" s="25" t="n">
        <v>11239.386083472</v>
      </c>
      <c r="T112" s="25" t="n">
        <v>9303.96977483686</v>
      </c>
      <c r="U112" s="25" t="n">
        <v>9002.46566313011</v>
      </c>
      <c r="V112" s="25" t="n">
        <v>8664.81400808563</v>
      </c>
      <c r="W112" s="25" t="n">
        <v>13916.257100496</v>
      </c>
      <c r="X112" s="25" t="n">
        <v>0</v>
      </c>
      <c r="Y112" s="6"/>
      <c r="Z112" s="6"/>
      <c r="AA112" s="6"/>
      <c r="AB112" s="6"/>
      <c r="AC112" s="6"/>
      <c r="AD112" s="6"/>
      <c r="AE112" s="0"/>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36"/>
      <c r="BF112" s="36"/>
      <c r="BG112" s="36"/>
      <c r="BH112" s="36"/>
      <c r="BI112" s="36"/>
      <c r="BJ112" s="36"/>
      <c r="BK112" s="36"/>
      <c r="BL112" s="36"/>
      <c r="BM112" s="36"/>
      <c r="BN112" s="36"/>
      <c r="BO112" s="36"/>
      <c r="BP112" s="36"/>
      <c r="BQ112" s="36"/>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36"/>
      <c r="CY112" s="36"/>
      <c r="CZ112" s="36"/>
      <c r="DA112" s="36"/>
      <c r="DB112" s="36"/>
      <c r="DC112" s="36"/>
      <c r="DD112" s="36"/>
      <c r="DE112" s="36"/>
      <c r="DF112" s="36"/>
      <c r="DG112" s="36"/>
      <c r="DH112" s="36"/>
      <c r="DI112" s="36"/>
      <c r="DJ112" s="36"/>
      <c r="DK112" s="36"/>
      <c r="DL112" s="36"/>
      <c r="DM112" s="36"/>
      <c r="DN112" s="36"/>
      <c r="DO112" s="36"/>
      <c r="DP112" s="36"/>
      <c r="DQ112" s="36"/>
      <c r="DR112" s="36"/>
      <c r="DS112" s="36"/>
      <c r="DT112" s="36"/>
      <c r="DU112" s="36"/>
      <c r="DV112" s="36"/>
      <c r="DW112" s="36"/>
      <c r="DX112" s="36"/>
      <c r="DY112" s="36"/>
      <c r="DZ112" s="36"/>
      <c r="EA112" s="36"/>
      <c r="EB112" s="36"/>
      <c r="EC112" s="36"/>
      <c r="ED112" s="36"/>
      <c r="EE112" s="36"/>
      <c r="EF112" s="36"/>
      <c r="EG112" s="36"/>
      <c r="EH112" s="36"/>
      <c r="EI112" s="36"/>
      <c r="EJ112" s="36"/>
      <c r="EK112" s="36"/>
      <c r="EL112" s="36"/>
      <c r="EM112" s="36"/>
      <c r="EN112" s="36"/>
      <c r="EO112" s="36"/>
      <c r="EP112" s="36"/>
      <c r="EQ112" s="36"/>
      <c r="ER112" s="36"/>
      <c r="ES112" s="36"/>
      <c r="ET112" s="36"/>
      <c r="EU112" s="36"/>
      <c r="EV112" s="36"/>
      <c r="EW112" s="36"/>
      <c r="EX112" s="36"/>
      <c r="EY112" s="36"/>
      <c r="EZ112" s="36"/>
      <c r="FA112" s="36"/>
      <c r="FB112" s="36"/>
      <c r="FC112" s="36"/>
      <c r="FD112" s="36"/>
      <c r="FE112" s="36"/>
      <c r="FF112" s="36"/>
      <c r="FG112" s="36"/>
      <c r="FH112" s="36"/>
      <c r="FI112" s="36"/>
      <c r="FJ112" s="36"/>
      <c r="FK112" s="36"/>
      <c r="FL112" s="36"/>
      <c r="FM112" s="36"/>
      <c r="FN112" s="36"/>
      <c r="FO112" s="36"/>
      <c r="FP112" s="36"/>
      <c r="FQ112" s="36"/>
      <c r="FR112" s="36"/>
      <c r="FS112" s="36"/>
      <c r="FT112" s="36"/>
      <c r="FU112" s="36"/>
      <c r="FV112" s="36"/>
      <c r="FW112" s="36"/>
      <c r="FX112" s="36"/>
      <c r="FY112" s="36"/>
      <c r="FZ112" s="36"/>
      <c r="GA112" s="36"/>
      <c r="GB112" s="36"/>
      <c r="GC112" s="36"/>
      <c r="GD112" s="36"/>
      <c r="GE112" s="36"/>
      <c r="GF112" s="36"/>
      <c r="GG112" s="36"/>
      <c r="GH112" s="36"/>
      <c r="GI112" s="36"/>
      <c r="GJ112" s="36"/>
      <c r="GK112" s="36"/>
      <c r="GL112" s="36"/>
      <c r="GM112" s="36"/>
      <c r="GN112" s="36"/>
      <c r="GO112" s="36"/>
      <c r="GP112" s="36"/>
      <c r="GQ112" s="36"/>
      <c r="GR112" s="36"/>
      <c r="GS112" s="36"/>
      <c r="GT112" s="36"/>
      <c r="GU112" s="36"/>
      <c r="GV112" s="36"/>
      <c r="GW112" s="36"/>
      <c r="GX112" s="36"/>
      <c r="GY112" s="36"/>
      <c r="GZ112" s="36"/>
      <c r="HA112" s="36"/>
      <c r="HB112" s="36"/>
      <c r="HC112" s="36"/>
      <c r="HD112" s="36"/>
      <c r="HE112" s="36"/>
      <c r="HF112" s="36"/>
      <c r="HG112" s="36"/>
      <c r="HH112" s="36"/>
      <c r="HI112" s="36"/>
      <c r="HJ112" s="36"/>
      <c r="HK112" s="36"/>
      <c r="HL112" s="36"/>
      <c r="HM112" s="36"/>
      <c r="HN112" s="36"/>
      <c r="HO112" s="36"/>
      <c r="HP112" s="36"/>
      <c r="HQ112" s="36"/>
      <c r="HR112" s="36"/>
      <c r="HS112" s="36"/>
      <c r="HT112" s="36"/>
      <c r="HU112" s="36"/>
      <c r="HV112" s="36"/>
      <c r="HW112" s="36"/>
      <c r="HX112" s="36"/>
      <c r="HY112" s="36"/>
      <c r="HZ112" s="36"/>
      <c r="IA112" s="36"/>
      <c r="IB112" s="36"/>
      <c r="IC112" s="36"/>
      <c r="ID112" s="36"/>
      <c r="IE112" s="36"/>
      <c r="IF112" s="36"/>
      <c r="IG112" s="36"/>
      <c r="IH112" s="36"/>
      <c r="II112" s="36"/>
      <c r="IJ112" s="36"/>
      <c r="IK112" s="36"/>
      <c r="IL112" s="36"/>
      <c r="IM112" s="36"/>
      <c r="IN112" s="36"/>
      <c r="IO112" s="36"/>
      <c r="IP112" s="36"/>
      <c r="IQ112" s="36"/>
      <c r="IR112" s="36"/>
      <c r="IS112" s="36"/>
      <c r="IT112" s="36"/>
      <c r="IU112" s="36"/>
      <c r="IV112" s="35"/>
      <c r="IW112" s="35"/>
    </row>
    <row r="113" customFormat="false" ht="12.75" hidden="false" customHeight="false" outlineLevel="1" collapsed="false">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0"/>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36"/>
      <c r="BF113" s="36"/>
      <c r="BG113" s="36"/>
      <c r="BH113" s="36"/>
      <c r="BI113" s="36"/>
      <c r="BJ113" s="36"/>
      <c r="BK113" s="36"/>
      <c r="BL113" s="36"/>
      <c r="BM113" s="36"/>
      <c r="BN113" s="36"/>
      <c r="BO113" s="36"/>
      <c r="BP113" s="36"/>
      <c r="BQ113" s="36"/>
      <c r="BR113" s="36"/>
      <c r="BS113" s="36"/>
      <c r="BT113" s="36"/>
      <c r="BU113" s="36"/>
      <c r="BV113" s="36"/>
      <c r="BW113" s="36"/>
      <c r="BX113" s="36"/>
      <c r="BY113" s="36"/>
      <c r="BZ113" s="36"/>
      <c r="CA113" s="36"/>
      <c r="CB113" s="36"/>
      <c r="CC113" s="36"/>
      <c r="CD113" s="36"/>
      <c r="CE113" s="36"/>
      <c r="CF113" s="36"/>
      <c r="CG113" s="36"/>
      <c r="CH113" s="36"/>
      <c r="CI113" s="36"/>
      <c r="CJ113" s="36"/>
      <c r="CK113" s="36"/>
      <c r="CL113" s="36"/>
      <c r="CM113" s="36"/>
      <c r="CN113" s="36"/>
      <c r="CO113" s="36"/>
      <c r="CP113" s="36"/>
      <c r="CQ113" s="36"/>
      <c r="CR113" s="36"/>
      <c r="CS113" s="36"/>
      <c r="CT113" s="36"/>
      <c r="CU113" s="36"/>
      <c r="CV113" s="36"/>
      <c r="CW113" s="36"/>
      <c r="CX113" s="36"/>
      <c r="CY113" s="36"/>
      <c r="CZ113" s="36"/>
      <c r="DA113" s="36"/>
      <c r="DB113" s="36"/>
      <c r="DC113" s="36"/>
      <c r="DD113" s="36"/>
      <c r="DE113" s="36"/>
      <c r="DF113" s="36"/>
      <c r="DG113" s="36"/>
      <c r="DH113" s="36"/>
      <c r="DI113" s="36"/>
      <c r="DJ113" s="36"/>
      <c r="DK113" s="36"/>
      <c r="DL113" s="36"/>
      <c r="DM113" s="36"/>
      <c r="DN113" s="36"/>
      <c r="DO113" s="36"/>
      <c r="DP113" s="36"/>
      <c r="DQ113" s="36"/>
      <c r="DR113" s="36"/>
      <c r="DS113" s="36"/>
      <c r="DT113" s="36"/>
      <c r="DU113" s="36"/>
      <c r="DV113" s="36"/>
      <c r="DW113" s="36"/>
      <c r="DX113" s="36"/>
      <c r="DY113" s="36"/>
      <c r="DZ113" s="36"/>
      <c r="EA113" s="36"/>
      <c r="EB113" s="36"/>
      <c r="EC113" s="36"/>
      <c r="ED113" s="36"/>
      <c r="EE113" s="36"/>
      <c r="EF113" s="36"/>
      <c r="EG113" s="36"/>
      <c r="EH113" s="36"/>
      <c r="EI113" s="36"/>
      <c r="EJ113" s="36"/>
      <c r="EK113" s="36"/>
      <c r="EL113" s="36"/>
      <c r="EM113" s="36"/>
      <c r="EN113" s="36"/>
      <c r="EO113" s="36"/>
      <c r="EP113" s="36"/>
      <c r="EQ113" s="36"/>
      <c r="ER113" s="36"/>
      <c r="ES113" s="36"/>
      <c r="ET113" s="36"/>
      <c r="EU113" s="36"/>
      <c r="EV113" s="36"/>
      <c r="EW113" s="36"/>
      <c r="EX113" s="36"/>
      <c r="EY113" s="36"/>
      <c r="EZ113" s="36"/>
      <c r="FA113" s="36"/>
      <c r="FB113" s="36"/>
      <c r="FC113" s="36"/>
      <c r="FD113" s="36"/>
      <c r="FE113" s="36"/>
      <c r="FF113" s="36"/>
      <c r="FG113" s="36"/>
      <c r="FH113" s="36"/>
      <c r="FI113" s="36"/>
      <c r="FJ113" s="36"/>
      <c r="FK113" s="36"/>
      <c r="FL113" s="36"/>
      <c r="FM113" s="36"/>
      <c r="FN113" s="36"/>
      <c r="FO113" s="36"/>
      <c r="FP113" s="36"/>
      <c r="FQ113" s="36"/>
      <c r="FR113" s="36"/>
      <c r="FS113" s="36"/>
      <c r="FT113" s="36"/>
      <c r="FU113" s="36"/>
      <c r="FV113" s="36"/>
      <c r="FW113" s="36"/>
      <c r="FX113" s="36"/>
      <c r="FY113" s="36"/>
      <c r="FZ113" s="36"/>
      <c r="GA113" s="36"/>
      <c r="GB113" s="36"/>
      <c r="GC113" s="36"/>
      <c r="GD113" s="36"/>
      <c r="GE113" s="36"/>
      <c r="GF113" s="36"/>
      <c r="GG113" s="36"/>
      <c r="GH113" s="36"/>
      <c r="GI113" s="36"/>
      <c r="GJ113" s="36"/>
      <c r="GK113" s="36"/>
      <c r="GL113" s="36"/>
      <c r="GM113" s="36"/>
      <c r="GN113" s="36"/>
      <c r="GO113" s="36"/>
      <c r="GP113" s="36"/>
      <c r="GQ113" s="36"/>
      <c r="GR113" s="36"/>
      <c r="GS113" s="36"/>
      <c r="GT113" s="36"/>
      <c r="GU113" s="36"/>
      <c r="GV113" s="36"/>
      <c r="GW113" s="36"/>
      <c r="GX113" s="36"/>
      <c r="GY113" s="36"/>
      <c r="GZ113" s="36"/>
      <c r="HA113" s="36"/>
      <c r="HB113" s="36"/>
      <c r="HC113" s="36"/>
      <c r="HD113" s="36"/>
      <c r="HE113" s="36"/>
      <c r="HF113" s="36"/>
      <c r="HG113" s="36"/>
      <c r="HH113" s="36"/>
      <c r="HI113" s="36"/>
      <c r="HJ113" s="36"/>
      <c r="HK113" s="36"/>
      <c r="HL113" s="36"/>
      <c r="HM113" s="36"/>
      <c r="HN113" s="36"/>
      <c r="HO113" s="36"/>
      <c r="HP113" s="36"/>
      <c r="HQ113" s="36"/>
      <c r="HR113" s="36"/>
      <c r="HS113" s="36"/>
      <c r="HT113" s="36"/>
      <c r="HU113" s="36"/>
      <c r="HV113" s="36"/>
      <c r="HW113" s="36"/>
      <c r="HX113" s="36"/>
      <c r="HY113" s="36"/>
      <c r="HZ113" s="36"/>
      <c r="IA113" s="36"/>
      <c r="IB113" s="36"/>
      <c r="IC113" s="36"/>
      <c r="ID113" s="36"/>
      <c r="IE113" s="36"/>
      <c r="IF113" s="36"/>
      <c r="IG113" s="36"/>
      <c r="IH113" s="36"/>
      <c r="II113" s="36"/>
      <c r="IJ113" s="36"/>
      <c r="IK113" s="36"/>
      <c r="IL113" s="36"/>
      <c r="IM113" s="36"/>
      <c r="IN113" s="36"/>
      <c r="IO113" s="36"/>
      <c r="IP113" s="36"/>
      <c r="IQ113" s="36"/>
      <c r="IR113" s="36"/>
      <c r="IS113" s="36"/>
      <c r="IT113" s="36"/>
      <c r="IU113" s="36"/>
      <c r="IV113" s="35"/>
      <c r="IW113" s="35"/>
    </row>
    <row r="114" customFormat="false" ht="12.75" hidden="false" customHeight="false" outlineLevel="1" collapsed="false">
      <c r="A114" s="30" t="s">
        <v>22</v>
      </c>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0"/>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c r="IO114" s="37"/>
      <c r="IP114" s="37"/>
      <c r="IQ114" s="37"/>
      <c r="IR114" s="37"/>
      <c r="IS114" s="37"/>
      <c r="IT114" s="37"/>
      <c r="IU114" s="37"/>
      <c r="IV114" s="37"/>
      <c r="IW114" s="35"/>
    </row>
    <row r="115" customFormat="false" ht="12.75" hidden="false" customHeight="false" outlineLevel="1" collapsed="false">
      <c r="A115" s="34" t="n">
        <v>36249</v>
      </c>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0"/>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c r="IO115" s="37"/>
      <c r="IP115" s="37"/>
      <c r="IQ115" s="37"/>
      <c r="IR115" s="37"/>
      <c r="IS115" s="37"/>
      <c r="IT115" s="37"/>
      <c r="IU115" s="37"/>
      <c r="IV115" s="37"/>
      <c r="IW115" s="35"/>
    </row>
    <row r="116" customFormat="false" ht="12.75" hidden="false" customHeight="false" outlineLevel="1" collapsed="false">
      <c r="A116" s="11" t="s">
        <v>3</v>
      </c>
      <c r="B116" s="12" t="n">
        <v>54004.9200902082</v>
      </c>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0"/>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c r="IO116" s="37"/>
      <c r="IP116" s="37"/>
      <c r="IQ116" s="37"/>
      <c r="IR116" s="37"/>
      <c r="IS116" s="37"/>
      <c r="IT116" s="37"/>
      <c r="IU116" s="37"/>
      <c r="IV116" s="37"/>
      <c r="IW116" s="35"/>
    </row>
    <row r="117" customFormat="false" ht="12.75" hidden="false" customHeight="false" outlineLevel="1" collapsed="false">
      <c r="A117" s="13" t="s">
        <v>4</v>
      </c>
      <c r="B117" s="14" t="n">
        <v>86809.0658530651</v>
      </c>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0"/>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36"/>
      <c r="BB117" s="36"/>
      <c r="BC117" s="36"/>
      <c r="BD117" s="36"/>
      <c r="BE117" s="36"/>
      <c r="BF117" s="36"/>
      <c r="BG117" s="36"/>
      <c r="BH117" s="36"/>
      <c r="BI117" s="36"/>
      <c r="BJ117" s="36"/>
      <c r="BK117" s="36"/>
      <c r="BL117" s="36"/>
      <c r="BM117" s="36"/>
      <c r="BN117" s="36"/>
      <c r="BO117" s="36"/>
      <c r="BP117" s="36"/>
      <c r="BQ117" s="36"/>
      <c r="BR117" s="36"/>
      <c r="BS117" s="36"/>
      <c r="BT117" s="36"/>
      <c r="BU117" s="36"/>
      <c r="BV117" s="36"/>
      <c r="BW117" s="36"/>
      <c r="BX117" s="36"/>
      <c r="BY117" s="36"/>
      <c r="BZ117" s="36"/>
      <c r="CA117" s="36"/>
      <c r="CB117" s="36"/>
      <c r="CC117" s="36"/>
      <c r="CD117" s="36"/>
      <c r="CE117" s="36"/>
      <c r="CF117" s="36"/>
      <c r="CG117" s="36"/>
      <c r="CH117" s="36"/>
      <c r="CI117" s="36"/>
      <c r="CJ117" s="36"/>
      <c r="CK117" s="36"/>
      <c r="CL117" s="36"/>
      <c r="CM117" s="36"/>
      <c r="CN117" s="36"/>
      <c r="CO117" s="36"/>
      <c r="CP117" s="36"/>
      <c r="CQ117" s="36"/>
      <c r="CR117" s="36"/>
      <c r="CS117" s="36"/>
      <c r="CT117" s="36"/>
      <c r="CU117" s="36"/>
      <c r="CV117" s="36"/>
      <c r="CW117" s="36"/>
      <c r="CX117" s="36"/>
      <c r="CY117" s="36"/>
      <c r="CZ117" s="36"/>
      <c r="DA117" s="36"/>
      <c r="DB117" s="36"/>
      <c r="DC117" s="36"/>
      <c r="DD117" s="36"/>
      <c r="DE117" s="36"/>
      <c r="DF117" s="36"/>
      <c r="DG117" s="36"/>
      <c r="DH117" s="36"/>
      <c r="DI117" s="36"/>
      <c r="DJ117" s="36"/>
      <c r="DK117" s="36"/>
      <c r="DL117" s="36"/>
      <c r="DM117" s="36"/>
      <c r="DN117" s="36"/>
      <c r="DO117" s="36"/>
      <c r="DP117" s="36"/>
      <c r="DQ117" s="36"/>
      <c r="DR117" s="36"/>
      <c r="DS117" s="36"/>
      <c r="DT117" s="36"/>
      <c r="DU117" s="36"/>
      <c r="DV117" s="36"/>
      <c r="DW117" s="36"/>
      <c r="DX117" s="36"/>
      <c r="DY117" s="36"/>
      <c r="DZ117" s="36"/>
      <c r="EA117" s="36"/>
      <c r="EB117" s="36"/>
      <c r="EC117" s="36"/>
      <c r="ED117" s="36"/>
      <c r="EE117" s="36"/>
      <c r="EF117" s="36"/>
      <c r="EG117" s="36"/>
      <c r="EH117" s="36"/>
      <c r="EI117" s="36"/>
      <c r="EJ117" s="36"/>
      <c r="EK117" s="36"/>
      <c r="EL117" s="36"/>
      <c r="EM117" s="36"/>
      <c r="EN117" s="36"/>
      <c r="EO117" s="36"/>
      <c r="EP117" s="36"/>
      <c r="EQ117" s="36"/>
      <c r="ER117" s="36"/>
      <c r="ES117" s="36"/>
      <c r="ET117" s="36"/>
      <c r="EU117" s="36"/>
      <c r="EV117" s="36"/>
      <c r="EW117" s="36"/>
      <c r="EX117" s="36"/>
      <c r="EY117" s="36"/>
      <c r="EZ117" s="36"/>
      <c r="FA117" s="36"/>
      <c r="FB117" s="36"/>
      <c r="FC117" s="36"/>
      <c r="FD117" s="36"/>
      <c r="FE117" s="36"/>
      <c r="FF117" s="36"/>
      <c r="FG117" s="36"/>
      <c r="FH117" s="36"/>
      <c r="FI117" s="36"/>
      <c r="FJ117" s="36"/>
      <c r="FK117" s="36"/>
      <c r="FL117" s="36"/>
      <c r="FM117" s="36"/>
      <c r="FN117" s="36"/>
      <c r="FO117" s="36"/>
      <c r="FP117" s="36"/>
      <c r="FQ117" s="36"/>
      <c r="FR117" s="36"/>
      <c r="FS117" s="36"/>
      <c r="FT117" s="36"/>
      <c r="FU117" s="36"/>
      <c r="FV117" s="36"/>
      <c r="FW117" s="36"/>
      <c r="FX117" s="36"/>
      <c r="FY117" s="36"/>
      <c r="FZ117" s="36"/>
      <c r="GA117" s="36"/>
      <c r="GB117" s="36"/>
      <c r="GC117" s="36"/>
      <c r="GD117" s="36"/>
      <c r="GE117" s="36"/>
      <c r="GF117" s="36"/>
      <c r="GG117" s="36"/>
      <c r="GH117" s="36"/>
      <c r="GI117" s="36"/>
      <c r="GJ117" s="36"/>
      <c r="GK117" s="36"/>
      <c r="GL117" s="36"/>
      <c r="GM117" s="36"/>
      <c r="GN117" s="36"/>
      <c r="GO117" s="36"/>
      <c r="GP117" s="36"/>
      <c r="GQ117" s="36"/>
      <c r="GR117" s="36"/>
      <c r="GS117" s="36"/>
      <c r="GT117" s="36"/>
      <c r="GU117" s="36"/>
      <c r="GV117" s="36"/>
      <c r="GW117" s="36"/>
      <c r="GX117" s="36"/>
      <c r="GY117" s="36"/>
      <c r="GZ117" s="36"/>
      <c r="HA117" s="36"/>
      <c r="HB117" s="36"/>
      <c r="HC117" s="36"/>
      <c r="HD117" s="36"/>
      <c r="HE117" s="36"/>
      <c r="HF117" s="36"/>
      <c r="HG117" s="36"/>
      <c r="HH117" s="36"/>
      <c r="HI117" s="36"/>
      <c r="HJ117" s="36"/>
      <c r="HK117" s="36"/>
      <c r="HL117" s="36"/>
      <c r="HM117" s="36"/>
      <c r="HN117" s="36"/>
      <c r="HO117" s="36"/>
      <c r="HP117" s="36"/>
      <c r="HQ117" s="36"/>
      <c r="HR117" s="36"/>
      <c r="HS117" s="36"/>
      <c r="HT117" s="36"/>
      <c r="HU117" s="36"/>
      <c r="HV117" s="36"/>
      <c r="HW117" s="36"/>
      <c r="HX117" s="36"/>
      <c r="HY117" s="36"/>
      <c r="HZ117" s="36"/>
      <c r="IA117" s="36"/>
      <c r="IB117" s="36"/>
      <c r="IC117" s="36"/>
      <c r="ID117" s="36"/>
      <c r="IE117" s="36"/>
      <c r="IF117" s="36"/>
      <c r="IG117" s="36"/>
      <c r="IH117" s="36"/>
      <c r="II117" s="36"/>
      <c r="IJ117" s="36"/>
      <c r="IK117" s="36"/>
      <c r="IL117" s="36"/>
      <c r="IM117" s="36"/>
      <c r="IN117" s="36"/>
      <c r="IO117" s="36"/>
      <c r="IP117" s="36"/>
      <c r="IQ117" s="36"/>
      <c r="IR117" s="36"/>
      <c r="IS117" s="36"/>
      <c r="IT117" s="36"/>
      <c r="IU117" s="36"/>
      <c r="IV117" s="35"/>
      <c r="IW117" s="35"/>
    </row>
    <row r="118" customFormat="false" ht="12.75" hidden="false" customHeight="false" outlineLevel="1" collapsed="false">
      <c r="A118" s="15" t="s">
        <v>5</v>
      </c>
      <c r="B118" s="16" t="s">
        <v>6</v>
      </c>
      <c r="C118" s="16" t="s">
        <v>7</v>
      </c>
      <c r="D118" s="17" t="n">
        <v>2000</v>
      </c>
      <c r="E118" s="18" t="n">
        <v>2001</v>
      </c>
      <c r="F118" s="18" t="n">
        <v>2002</v>
      </c>
      <c r="G118" s="18" t="n">
        <v>2003</v>
      </c>
      <c r="H118" s="18" t="n">
        <v>2004</v>
      </c>
      <c r="I118" s="18" t="n">
        <v>2005</v>
      </c>
      <c r="J118" s="18" t="n">
        <v>2006</v>
      </c>
      <c r="K118" s="18" t="n">
        <v>2007</v>
      </c>
      <c r="L118" s="18" t="n">
        <v>2008</v>
      </c>
      <c r="M118" s="18" t="n">
        <v>2009</v>
      </c>
      <c r="N118" s="19" t="n">
        <v>2010</v>
      </c>
      <c r="O118" s="20" t="n">
        <v>2011</v>
      </c>
      <c r="P118" s="20" t="n">
        <v>2012</v>
      </c>
      <c r="Q118" s="20" t="n">
        <v>2013</v>
      </c>
      <c r="R118" s="20" t="n">
        <v>2014</v>
      </c>
      <c r="S118" s="20" t="n">
        <v>2015</v>
      </c>
      <c r="T118" s="20" t="n">
        <v>2016</v>
      </c>
      <c r="U118" s="20" t="n">
        <v>2017</v>
      </c>
      <c r="V118" s="20" t="n">
        <v>2018</v>
      </c>
      <c r="W118" s="20" t="n">
        <v>2019</v>
      </c>
      <c r="X118" s="20" t="n">
        <v>2020</v>
      </c>
      <c r="Y118" s="6"/>
      <c r="Z118" s="6"/>
      <c r="AA118" s="6"/>
      <c r="AB118" s="6"/>
      <c r="AC118" s="6"/>
      <c r="AD118" s="6"/>
      <c r="AE118" s="0"/>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c r="IO118" s="37"/>
      <c r="IP118" s="37"/>
      <c r="IQ118" s="37"/>
      <c r="IR118" s="37"/>
      <c r="IS118" s="37"/>
      <c r="IT118" s="37"/>
      <c r="IU118" s="37"/>
      <c r="IV118" s="37"/>
      <c r="IW118" s="35"/>
    </row>
    <row r="119" customFormat="false" ht="12.75" hidden="false" customHeight="false" outlineLevel="1" collapsed="false">
      <c r="A119" s="15" t="s">
        <v>8</v>
      </c>
      <c r="B119" s="21" t="n">
        <f aca="false">NPV(0.1,D119:Y119)</f>
        <v>440160.752489757</v>
      </c>
      <c r="C119" s="21" t="n">
        <f aca="false">B119-B109</f>
        <v>0</v>
      </c>
      <c r="D119" s="22" t="n">
        <v>25339.3338255175</v>
      </c>
      <c r="E119" s="23" t="n">
        <v>35548.184444905</v>
      </c>
      <c r="F119" s="23" t="n">
        <v>35819.94196498</v>
      </c>
      <c r="G119" s="23" t="n">
        <v>45706.6521091309</v>
      </c>
      <c r="H119" s="23" t="n">
        <v>53742.3973097647</v>
      </c>
      <c r="I119" s="23" t="n">
        <v>54951.7404005817</v>
      </c>
      <c r="J119" s="23" t="n">
        <v>55992.4359071439</v>
      </c>
      <c r="K119" s="23" t="n">
        <v>57138.2057275838</v>
      </c>
      <c r="L119" s="23" t="n">
        <v>58387.048830011</v>
      </c>
      <c r="M119" s="23" t="n">
        <v>59743.1145427118</v>
      </c>
      <c r="N119" s="24" t="n">
        <v>61232.9771780836</v>
      </c>
      <c r="O119" s="25" t="n">
        <v>62717.9044098124</v>
      </c>
      <c r="P119" s="25" t="n">
        <v>64331.5055870293</v>
      </c>
      <c r="Q119" s="25" t="n">
        <v>66011.2041076931</v>
      </c>
      <c r="R119" s="25" t="n">
        <v>67750.5015313441</v>
      </c>
      <c r="S119" s="25" t="n">
        <v>69517.5969839516</v>
      </c>
      <c r="T119" s="25" t="n">
        <v>71154.2810016721</v>
      </c>
      <c r="U119" s="25" t="n">
        <v>72960.878365928</v>
      </c>
      <c r="V119" s="25" t="n">
        <v>74533.4397867847</v>
      </c>
      <c r="W119" s="25" t="n">
        <v>76101.5730367325</v>
      </c>
      <c r="X119" s="25" t="n">
        <v>18749.9846394641</v>
      </c>
      <c r="Y119" s="6"/>
      <c r="Z119" s="6"/>
      <c r="AA119" s="6"/>
      <c r="AB119" s="6"/>
      <c r="AC119" s="6"/>
      <c r="AD119" s="6"/>
      <c r="AE119" s="0"/>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7"/>
      <c r="EE119" s="37"/>
      <c r="EF119" s="37"/>
      <c r="EG119" s="37"/>
      <c r="EH119" s="37"/>
      <c r="EI119" s="37"/>
      <c r="EJ119" s="37"/>
      <c r="EK119" s="37"/>
      <c r="EL119" s="37"/>
      <c r="EM119" s="37"/>
      <c r="EN119" s="37"/>
      <c r="EO119" s="37"/>
      <c r="EP119" s="37"/>
      <c r="EQ119" s="37"/>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7"/>
      <c r="GF119" s="37"/>
      <c r="GG119" s="37"/>
      <c r="GH119" s="37"/>
      <c r="GI119" s="37"/>
      <c r="GJ119" s="37"/>
      <c r="GK119" s="37"/>
      <c r="GL119" s="37"/>
      <c r="GM119" s="37"/>
      <c r="GN119" s="37"/>
      <c r="GO119" s="37"/>
      <c r="GP119" s="37"/>
      <c r="GQ119" s="37"/>
      <c r="GR119" s="37"/>
      <c r="GS119" s="37"/>
      <c r="GT119" s="37"/>
      <c r="GU119" s="37"/>
      <c r="GV119" s="37"/>
      <c r="GW119" s="37"/>
      <c r="GX119" s="37"/>
      <c r="GY119" s="37"/>
      <c r="GZ119" s="37"/>
      <c r="HA119" s="37"/>
      <c r="HB119" s="37"/>
      <c r="HC119" s="37"/>
      <c r="HD119" s="37"/>
      <c r="HE119" s="37"/>
      <c r="HF119" s="37"/>
      <c r="HG119" s="37"/>
      <c r="HH119" s="37"/>
      <c r="HI119" s="37"/>
      <c r="HJ119" s="37"/>
      <c r="HK119" s="37"/>
      <c r="HL119" s="37"/>
      <c r="HM119" s="37"/>
      <c r="HN119" s="37"/>
      <c r="HO119" s="37"/>
      <c r="HP119" s="37"/>
      <c r="HQ119" s="37"/>
      <c r="HR119" s="37"/>
      <c r="HS119" s="37"/>
      <c r="HT119" s="37"/>
      <c r="HU119" s="37"/>
      <c r="HV119" s="37"/>
      <c r="HW119" s="37"/>
      <c r="HX119" s="37"/>
      <c r="HY119" s="37"/>
      <c r="HZ119" s="37"/>
      <c r="IA119" s="37"/>
      <c r="IB119" s="37"/>
      <c r="IC119" s="37"/>
      <c r="ID119" s="37"/>
      <c r="IE119" s="37"/>
      <c r="IF119" s="37"/>
      <c r="IG119" s="37"/>
      <c r="IH119" s="37"/>
      <c r="II119" s="37"/>
      <c r="IJ119" s="37"/>
      <c r="IK119" s="37"/>
      <c r="IL119" s="37"/>
      <c r="IM119" s="37"/>
      <c r="IN119" s="37"/>
      <c r="IO119" s="37"/>
      <c r="IP119" s="37"/>
      <c r="IQ119" s="37"/>
      <c r="IR119" s="37"/>
      <c r="IS119" s="37"/>
      <c r="IT119" s="37"/>
      <c r="IU119" s="37"/>
      <c r="IV119" s="37"/>
      <c r="IW119" s="35"/>
    </row>
    <row r="120" customFormat="false" ht="12.75" hidden="false" customHeight="false" outlineLevel="1" collapsed="false">
      <c r="A120" s="26" t="s">
        <v>9</v>
      </c>
      <c r="B120" s="21" t="n">
        <f aca="false">NPV(0.1,D120:Y120)</f>
        <v>201666.204000367</v>
      </c>
      <c r="C120" s="21" t="n">
        <f aca="false">B120-B110</f>
        <v>0</v>
      </c>
      <c r="D120" s="22" t="n">
        <v>16045.1479921842</v>
      </c>
      <c r="E120" s="23" t="n">
        <v>20293.767744905</v>
      </c>
      <c r="F120" s="23" t="n">
        <v>20661.46276398</v>
      </c>
      <c r="G120" s="23" t="n">
        <v>20965.5658959006</v>
      </c>
      <c r="H120" s="23" t="n">
        <v>21336.7251254092</v>
      </c>
      <c r="I120" s="23" t="n">
        <v>21780.927318529</v>
      </c>
      <c r="J120" s="23" t="n">
        <v>22295.8161243665</v>
      </c>
      <c r="K120" s="23" t="n">
        <v>22914.886673812</v>
      </c>
      <c r="L120" s="23" t="n">
        <v>23638.5969067897</v>
      </c>
      <c r="M120" s="23" t="n">
        <v>24469.5825650224</v>
      </c>
      <c r="N120" s="24" t="n">
        <v>25971.9330493889</v>
      </c>
      <c r="O120" s="25" t="n">
        <v>27048.2216104758</v>
      </c>
      <c r="P120" s="25" t="n">
        <v>28262.6790365282</v>
      </c>
      <c r="Q120" s="25" t="n">
        <v>29556.733995477</v>
      </c>
      <c r="R120" s="25" t="n">
        <v>30923.9432876055</v>
      </c>
      <c r="S120" s="25" t="n">
        <v>32333.6133439001</v>
      </c>
      <c r="T120" s="25" t="n">
        <v>33797.8319222542</v>
      </c>
      <c r="U120" s="25" t="n">
        <v>35460.2143060578</v>
      </c>
      <c r="V120" s="25" t="n">
        <v>36917.5474518065</v>
      </c>
      <c r="W120" s="25" t="n">
        <v>38401.2550277938</v>
      </c>
      <c r="X120" s="25" t="n">
        <v>2896.63367269933</v>
      </c>
      <c r="Y120" s="6"/>
      <c r="Z120" s="6"/>
      <c r="AA120" s="6"/>
      <c r="AB120" s="6"/>
      <c r="AC120" s="6"/>
      <c r="AD120" s="6"/>
      <c r="AE120" s="0"/>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c r="EC120" s="38"/>
      <c r="ED120" s="38"/>
      <c r="EE120" s="38"/>
      <c r="EF120" s="38"/>
      <c r="EG120" s="38"/>
      <c r="EH120" s="38"/>
      <c r="EI120" s="38"/>
      <c r="EJ120" s="38"/>
      <c r="EK120" s="38"/>
      <c r="EL120" s="38"/>
      <c r="EM120" s="38"/>
      <c r="EN120" s="38"/>
      <c r="EO120" s="38"/>
      <c r="EP120" s="38"/>
      <c r="EQ120" s="38"/>
      <c r="ER120" s="38"/>
      <c r="ES120" s="38"/>
      <c r="ET120" s="38"/>
      <c r="EU120" s="38"/>
      <c r="EV120" s="38"/>
      <c r="EW120" s="38"/>
      <c r="EX120" s="38"/>
      <c r="EY120" s="38"/>
      <c r="EZ120" s="38"/>
      <c r="FA120" s="38"/>
      <c r="FB120" s="38"/>
      <c r="FC120" s="38"/>
      <c r="FD120" s="38"/>
      <c r="FE120" s="38"/>
      <c r="FF120" s="38"/>
      <c r="FG120" s="38"/>
      <c r="FH120" s="38"/>
      <c r="FI120" s="38"/>
      <c r="FJ120" s="38"/>
      <c r="FK120" s="38"/>
      <c r="FL120" s="38"/>
      <c r="FM120" s="38"/>
      <c r="FN120" s="38"/>
      <c r="FO120" s="38"/>
      <c r="FP120" s="38"/>
      <c r="FQ120" s="38"/>
      <c r="FR120" s="38"/>
      <c r="FS120" s="38"/>
      <c r="FT120" s="38"/>
      <c r="FU120" s="38"/>
      <c r="FV120" s="38"/>
      <c r="FW120" s="38"/>
      <c r="FX120" s="38"/>
      <c r="FY120" s="38"/>
      <c r="FZ120" s="38"/>
      <c r="GA120" s="38"/>
      <c r="GB120" s="38"/>
      <c r="GC120" s="38"/>
      <c r="GD120" s="38"/>
      <c r="GE120" s="38"/>
      <c r="GF120" s="38"/>
      <c r="GG120" s="38"/>
      <c r="GH120" s="38"/>
      <c r="GI120" s="38"/>
      <c r="GJ120" s="38"/>
      <c r="GK120" s="38"/>
      <c r="GL120" s="38"/>
      <c r="GM120" s="38"/>
      <c r="GN120" s="38"/>
      <c r="GO120" s="38"/>
      <c r="GP120" s="38"/>
      <c r="GQ120" s="38"/>
      <c r="GR120" s="38"/>
      <c r="GS120" s="38"/>
      <c r="GT120" s="38"/>
      <c r="GU120" s="38"/>
      <c r="GV120" s="38"/>
      <c r="GW120" s="38"/>
      <c r="GX120" s="38"/>
      <c r="GY120" s="38"/>
      <c r="GZ120" s="38"/>
      <c r="HA120" s="38"/>
      <c r="HB120" s="38"/>
      <c r="HC120" s="38"/>
      <c r="HD120" s="38"/>
      <c r="HE120" s="38"/>
      <c r="HF120" s="38"/>
      <c r="HG120" s="38"/>
      <c r="HH120" s="38"/>
      <c r="HI120" s="38"/>
      <c r="HJ120" s="38"/>
      <c r="HK120" s="38"/>
      <c r="HL120" s="38"/>
      <c r="HM120" s="38"/>
      <c r="HN120" s="38"/>
      <c r="HO120" s="38"/>
      <c r="HP120" s="38"/>
      <c r="HQ120" s="38"/>
      <c r="HR120" s="38"/>
      <c r="HS120" s="38"/>
      <c r="HT120" s="38"/>
      <c r="HU120" s="38"/>
      <c r="HV120" s="38"/>
      <c r="HW120" s="38"/>
      <c r="HX120" s="38"/>
      <c r="HY120" s="38"/>
      <c r="HZ120" s="38"/>
      <c r="IA120" s="38"/>
      <c r="IB120" s="38"/>
      <c r="IC120" s="38"/>
      <c r="ID120" s="38"/>
      <c r="IE120" s="38"/>
      <c r="IF120" s="38"/>
      <c r="IG120" s="38"/>
      <c r="IH120" s="38"/>
      <c r="II120" s="38"/>
      <c r="IJ120" s="38"/>
      <c r="IK120" s="38"/>
      <c r="IL120" s="38"/>
      <c r="IM120" s="38"/>
      <c r="IN120" s="38"/>
      <c r="IO120" s="38"/>
      <c r="IP120" s="38"/>
      <c r="IQ120" s="38"/>
      <c r="IR120" s="38"/>
      <c r="IS120" s="38"/>
      <c r="IT120" s="38"/>
      <c r="IU120" s="38"/>
      <c r="IV120" s="38"/>
      <c r="IW120" s="35"/>
    </row>
    <row r="121" customFormat="false" ht="12.75" hidden="false" customHeight="false" outlineLevel="1" collapsed="false">
      <c r="A121" s="26" t="s">
        <v>10</v>
      </c>
      <c r="B121" s="21" t="n">
        <f aca="false">NPV(0.1,D121:Y121)</f>
        <v>76861.6507884814</v>
      </c>
      <c r="C121" s="21" t="n">
        <f aca="false">B121-B111</f>
        <v>-32.2765388094558</v>
      </c>
      <c r="D121" s="22" t="n">
        <v>-420.84921997843</v>
      </c>
      <c r="E121" s="23" t="n">
        <v>-280.965175970919</v>
      </c>
      <c r="F121" s="23" t="n">
        <v>-252.264730876466</v>
      </c>
      <c r="G121" s="23" t="n">
        <v>5751.9586570797</v>
      </c>
      <c r="H121" s="23" t="n">
        <v>10522.0595122846</v>
      </c>
      <c r="I121" s="23" t="n">
        <v>11298.4117598998</v>
      </c>
      <c r="J121" s="23" t="n">
        <v>11914.7960379099</v>
      </c>
      <c r="K121" s="23" t="n">
        <v>12399.2909541562</v>
      </c>
      <c r="L121" s="23" t="n">
        <v>12969.8067617101</v>
      </c>
      <c r="M121" s="23" t="n">
        <v>13569.4537504828</v>
      </c>
      <c r="N121" s="24" t="n">
        <v>13866.8765842867</v>
      </c>
      <c r="O121" s="25" t="n">
        <v>14381.5374580544</v>
      </c>
      <c r="P121" s="25" t="n">
        <v>14991.2520293137</v>
      </c>
      <c r="Q121" s="25" t="n">
        <v>15628.535969481</v>
      </c>
      <c r="R121" s="25" t="n">
        <v>16295.9347490131</v>
      </c>
      <c r="S121" s="25" t="n">
        <v>16919.6170949114</v>
      </c>
      <c r="T121" s="25" t="n">
        <v>17548.7113185536</v>
      </c>
      <c r="U121" s="25" t="n">
        <v>18204.4058515619</v>
      </c>
      <c r="V121" s="25" t="n">
        <v>18889.1818851104</v>
      </c>
      <c r="W121" s="25" t="n">
        <v>19355.7224997677</v>
      </c>
      <c r="X121" s="25" t="n">
        <v>0</v>
      </c>
      <c r="Y121" s="6"/>
      <c r="Z121" s="6"/>
      <c r="AA121" s="6"/>
      <c r="AB121" s="6"/>
      <c r="AC121" s="6"/>
      <c r="AD121" s="6"/>
      <c r="AE121" s="0"/>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c r="CH121" s="38"/>
      <c r="CI121" s="38"/>
      <c r="CJ121" s="38"/>
      <c r="CK121" s="38"/>
      <c r="CL121" s="38"/>
      <c r="CM121" s="38"/>
      <c r="CN121" s="38"/>
      <c r="CO121" s="38"/>
      <c r="CP121" s="38"/>
      <c r="CQ121" s="38"/>
      <c r="CR121" s="38"/>
      <c r="CS121" s="38"/>
      <c r="CT121" s="38"/>
      <c r="CU121" s="38"/>
      <c r="CV121" s="38"/>
      <c r="CW121" s="38"/>
      <c r="CX121" s="38"/>
      <c r="CY121" s="38"/>
      <c r="CZ121" s="38"/>
      <c r="DA121" s="38"/>
      <c r="DB121" s="38"/>
      <c r="DC121" s="38"/>
      <c r="DD121" s="38"/>
      <c r="DE121" s="38"/>
      <c r="DF121" s="38"/>
      <c r="DG121" s="38"/>
      <c r="DH121" s="38"/>
      <c r="DI121" s="38"/>
      <c r="DJ121" s="38"/>
      <c r="DK121" s="38"/>
      <c r="DL121" s="38"/>
      <c r="DM121" s="38"/>
      <c r="DN121" s="38"/>
      <c r="DO121" s="38"/>
      <c r="DP121" s="38"/>
      <c r="DQ121" s="38"/>
      <c r="DR121" s="38"/>
      <c r="DS121" s="38"/>
      <c r="DT121" s="38"/>
      <c r="DU121" s="38"/>
      <c r="DV121" s="38"/>
      <c r="DW121" s="38"/>
      <c r="DX121" s="38"/>
      <c r="DY121" s="38"/>
      <c r="DZ121" s="38"/>
      <c r="EA121" s="38"/>
      <c r="EB121" s="38"/>
      <c r="EC121" s="38"/>
      <c r="ED121" s="38"/>
      <c r="EE121" s="38"/>
      <c r="EF121" s="38"/>
      <c r="EG121" s="38"/>
      <c r="EH121" s="38"/>
      <c r="EI121" s="38"/>
      <c r="EJ121" s="38"/>
      <c r="EK121" s="38"/>
      <c r="EL121" s="38"/>
      <c r="EM121" s="38"/>
      <c r="EN121" s="38"/>
      <c r="EO121" s="38"/>
      <c r="EP121" s="38"/>
      <c r="EQ121" s="38"/>
      <c r="ER121" s="38"/>
      <c r="ES121" s="38"/>
      <c r="ET121" s="38"/>
      <c r="EU121" s="38"/>
      <c r="EV121" s="38"/>
      <c r="EW121" s="38"/>
      <c r="EX121" s="38"/>
      <c r="EY121" s="38"/>
      <c r="EZ121" s="38"/>
      <c r="FA121" s="38"/>
      <c r="FB121" s="38"/>
      <c r="FC121" s="38"/>
      <c r="FD121" s="38"/>
      <c r="FE121" s="38"/>
      <c r="FF121" s="38"/>
      <c r="FG121" s="38"/>
      <c r="FH121" s="38"/>
      <c r="FI121" s="38"/>
      <c r="FJ121" s="38"/>
      <c r="FK121" s="38"/>
      <c r="FL121" s="38"/>
      <c r="FM121" s="38"/>
      <c r="FN121" s="38"/>
      <c r="FO121" s="38"/>
      <c r="FP121" s="38"/>
      <c r="FQ121" s="38"/>
      <c r="FR121" s="38"/>
      <c r="FS121" s="38"/>
      <c r="FT121" s="38"/>
      <c r="FU121" s="38"/>
      <c r="FV121" s="38"/>
      <c r="FW121" s="38"/>
      <c r="FX121" s="38"/>
      <c r="FY121" s="38"/>
      <c r="FZ121" s="38"/>
      <c r="GA121" s="38"/>
      <c r="GB121" s="38"/>
      <c r="GC121" s="38"/>
      <c r="GD121" s="38"/>
      <c r="GE121" s="38"/>
      <c r="GF121" s="38"/>
      <c r="GG121" s="38"/>
      <c r="GH121" s="38"/>
      <c r="GI121" s="38"/>
      <c r="GJ121" s="38"/>
      <c r="GK121" s="38"/>
      <c r="GL121" s="38"/>
      <c r="GM121" s="38"/>
      <c r="GN121" s="38"/>
      <c r="GO121" s="38"/>
      <c r="GP121" s="38"/>
      <c r="GQ121" s="38"/>
      <c r="GR121" s="38"/>
      <c r="GS121" s="38"/>
      <c r="GT121" s="38"/>
      <c r="GU121" s="38"/>
      <c r="GV121" s="38"/>
      <c r="GW121" s="38"/>
      <c r="GX121" s="38"/>
      <c r="GY121" s="38"/>
      <c r="GZ121" s="38"/>
      <c r="HA121" s="38"/>
      <c r="HB121" s="38"/>
      <c r="HC121" s="38"/>
      <c r="HD121" s="38"/>
      <c r="HE121" s="38"/>
      <c r="HF121" s="38"/>
      <c r="HG121" s="38"/>
      <c r="HH121" s="38"/>
      <c r="HI121" s="38"/>
      <c r="HJ121" s="38"/>
      <c r="HK121" s="38"/>
      <c r="HL121" s="38"/>
      <c r="HM121" s="38"/>
      <c r="HN121" s="38"/>
      <c r="HO121" s="38"/>
      <c r="HP121" s="38"/>
      <c r="HQ121" s="38"/>
      <c r="HR121" s="38"/>
      <c r="HS121" s="38"/>
      <c r="HT121" s="38"/>
      <c r="HU121" s="38"/>
      <c r="HV121" s="38"/>
      <c r="HW121" s="38"/>
      <c r="HX121" s="38"/>
      <c r="HY121" s="38"/>
      <c r="HZ121" s="38"/>
      <c r="IA121" s="38"/>
      <c r="IB121" s="38"/>
      <c r="IC121" s="38"/>
      <c r="ID121" s="38"/>
      <c r="IE121" s="38"/>
      <c r="IF121" s="38"/>
      <c r="IG121" s="38"/>
      <c r="IH121" s="38"/>
      <c r="II121" s="38"/>
      <c r="IJ121" s="38"/>
      <c r="IK121" s="38"/>
      <c r="IL121" s="38"/>
      <c r="IM121" s="38"/>
      <c r="IN121" s="38"/>
      <c r="IO121" s="38"/>
      <c r="IP121" s="38"/>
      <c r="IQ121" s="38"/>
      <c r="IR121" s="38"/>
      <c r="IS121" s="38"/>
      <c r="IT121" s="38"/>
      <c r="IU121" s="38"/>
      <c r="IV121" s="38"/>
      <c r="IW121" s="35"/>
    </row>
    <row r="122" customFormat="false" ht="12.75" hidden="false" customHeight="false" outlineLevel="1" collapsed="false">
      <c r="A122" s="26" t="s">
        <v>11</v>
      </c>
      <c r="B122" s="21" t="n">
        <f aca="false">NPV(0.1,D122:Y122)</f>
        <v>94574.2997569748</v>
      </c>
      <c r="C122" s="21" t="n">
        <f aca="false">B122-B112</f>
        <v>30.9114903287555</v>
      </c>
      <c r="D122" s="27" t="n">
        <v>2147.34074364316</v>
      </c>
      <c r="E122" s="28" t="n">
        <v>4194.21147191307</v>
      </c>
      <c r="F122" s="28" t="n">
        <v>3605.25300160905</v>
      </c>
      <c r="G122" s="28" t="n">
        <v>14792.7015601839</v>
      </c>
      <c r="H122" s="28" t="n">
        <v>19154.9553834684</v>
      </c>
      <c r="I122" s="28" t="n">
        <v>17505.3442921729</v>
      </c>
      <c r="J122" s="28" t="n">
        <v>14151.677585848</v>
      </c>
      <c r="K122" s="28" t="n">
        <v>14088.5134606585</v>
      </c>
      <c r="L122" s="28" t="n">
        <v>14056.8274838613</v>
      </c>
      <c r="M122" s="28" t="n">
        <v>14016.3794441047</v>
      </c>
      <c r="N122" s="29" t="n">
        <v>14375.3205373848</v>
      </c>
      <c r="O122" s="25" t="n">
        <v>13643.9574834542</v>
      </c>
      <c r="P122" s="25" t="n">
        <v>13511.6919312557</v>
      </c>
      <c r="Q122" s="25" t="n">
        <v>13368.7064348814</v>
      </c>
      <c r="R122" s="25" t="n">
        <v>13186.7453560753</v>
      </c>
      <c r="S122" s="25" t="n">
        <v>11241.5137566157</v>
      </c>
      <c r="T122" s="25" t="n">
        <v>9304.11103409205</v>
      </c>
      <c r="U122" s="25" t="n">
        <v>9002.6069223853</v>
      </c>
      <c r="V122" s="25" t="n">
        <v>8664.95526734082</v>
      </c>
      <c r="W122" s="25" t="n">
        <v>13916.3983597511</v>
      </c>
      <c r="X122" s="25" t="n">
        <v>0</v>
      </c>
      <c r="Y122" s="6"/>
      <c r="Z122" s="6"/>
      <c r="AA122" s="6"/>
      <c r="AB122" s="6"/>
      <c r="AC122" s="6"/>
      <c r="AD122" s="6"/>
      <c r="AE122" s="0"/>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8"/>
      <c r="DO122" s="38"/>
      <c r="DP122" s="38"/>
      <c r="DQ122" s="38"/>
      <c r="DR122" s="38"/>
      <c r="DS122" s="38"/>
      <c r="DT122" s="38"/>
      <c r="DU122" s="38"/>
      <c r="DV122" s="38"/>
      <c r="DW122" s="38"/>
      <c r="DX122" s="38"/>
      <c r="DY122" s="38"/>
      <c r="DZ122" s="38"/>
      <c r="EA122" s="38"/>
      <c r="EB122" s="38"/>
      <c r="EC122" s="38"/>
      <c r="ED122" s="38"/>
      <c r="EE122" s="38"/>
      <c r="EF122" s="38"/>
      <c r="EG122" s="38"/>
      <c r="EH122" s="38"/>
      <c r="EI122" s="38"/>
      <c r="EJ122" s="38"/>
      <c r="EK122" s="38"/>
      <c r="EL122" s="38"/>
      <c r="EM122" s="38"/>
      <c r="EN122" s="38"/>
      <c r="EO122" s="38"/>
      <c r="EP122" s="38"/>
      <c r="EQ122" s="38"/>
      <c r="ER122" s="38"/>
      <c r="ES122" s="38"/>
      <c r="ET122" s="38"/>
      <c r="EU122" s="38"/>
      <c r="EV122" s="38"/>
      <c r="EW122" s="38"/>
      <c r="EX122" s="38"/>
      <c r="EY122" s="38"/>
      <c r="EZ122" s="38"/>
      <c r="FA122" s="38"/>
      <c r="FB122" s="38"/>
      <c r="FC122" s="38"/>
      <c r="FD122" s="38"/>
      <c r="FE122" s="38"/>
      <c r="FF122" s="38"/>
      <c r="FG122" s="38"/>
      <c r="FH122" s="38"/>
      <c r="FI122" s="38"/>
      <c r="FJ122" s="38"/>
      <c r="FK122" s="38"/>
      <c r="FL122" s="38"/>
      <c r="FM122" s="38"/>
      <c r="FN122" s="38"/>
      <c r="FO122" s="38"/>
      <c r="FP122" s="38"/>
      <c r="FQ122" s="38"/>
      <c r="FR122" s="38"/>
      <c r="FS122" s="38"/>
      <c r="FT122" s="38"/>
      <c r="FU122" s="38"/>
      <c r="FV122" s="38"/>
      <c r="FW122" s="38"/>
      <c r="FX122" s="38"/>
      <c r="FY122" s="38"/>
      <c r="FZ122" s="38"/>
      <c r="GA122" s="38"/>
      <c r="GB122" s="38"/>
      <c r="GC122" s="38"/>
      <c r="GD122" s="38"/>
      <c r="GE122" s="38"/>
      <c r="GF122" s="38"/>
      <c r="GG122" s="38"/>
      <c r="GH122" s="38"/>
      <c r="GI122" s="38"/>
      <c r="GJ122" s="38"/>
      <c r="GK122" s="38"/>
      <c r="GL122" s="38"/>
      <c r="GM122" s="38"/>
      <c r="GN122" s="38"/>
      <c r="GO122" s="38"/>
      <c r="GP122" s="38"/>
      <c r="GQ122" s="38"/>
      <c r="GR122" s="38"/>
      <c r="GS122" s="38"/>
      <c r="GT122" s="38"/>
      <c r="GU122" s="38"/>
      <c r="GV122" s="38"/>
      <c r="GW122" s="38"/>
      <c r="GX122" s="38"/>
      <c r="GY122" s="38"/>
      <c r="GZ122" s="38"/>
      <c r="HA122" s="38"/>
      <c r="HB122" s="38"/>
      <c r="HC122" s="38"/>
      <c r="HD122" s="38"/>
      <c r="HE122" s="38"/>
      <c r="HF122" s="38"/>
      <c r="HG122" s="38"/>
      <c r="HH122" s="38"/>
      <c r="HI122" s="38"/>
      <c r="HJ122" s="38"/>
      <c r="HK122" s="38"/>
      <c r="HL122" s="38"/>
      <c r="HM122" s="38"/>
      <c r="HN122" s="38"/>
      <c r="HO122" s="38"/>
      <c r="HP122" s="38"/>
      <c r="HQ122" s="38"/>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c r="IO122" s="38"/>
      <c r="IP122" s="38"/>
      <c r="IQ122" s="38"/>
      <c r="IR122" s="38"/>
      <c r="IS122" s="38"/>
      <c r="IT122" s="38"/>
      <c r="IU122" s="38"/>
      <c r="IV122" s="38"/>
      <c r="IW122" s="35"/>
    </row>
    <row r="123" customFormat="false" ht="12.75" hidden="false" customHeight="false" outlineLevel="1" collapsed="false">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0"/>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c r="DN123" s="38"/>
      <c r="DO123" s="38"/>
      <c r="DP123" s="38"/>
      <c r="DQ123" s="38"/>
      <c r="DR123" s="38"/>
      <c r="DS123" s="38"/>
      <c r="DT123" s="38"/>
      <c r="DU123" s="38"/>
      <c r="DV123" s="38"/>
      <c r="DW123" s="38"/>
      <c r="DX123" s="38"/>
      <c r="DY123" s="38"/>
      <c r="DZ123" s="38"/>
      <c r="EA123" s="38"/>
      <c r="EB123" s="38"/>
      <c r="EC123" s="38"/>
      <c r="ED123" s="38"/>
      <c r="EE123" s="38"/>
      <c r="EF123" s="38"/>
      <c r="EG123" s="38"/>
      <c r="EH123" s="38"/>
      <c r="EI123" s="38"/>
      <c r="EJ123" s="38"/>
      <c r="EK123" s="38"/>
      <c r="EL123" s="38"/>
      <c r="EM123" s="38"/>
      <c r="EN123" s="38"/>
      <c r="EO123" s="38"/>
      <c r="EP123" s="38"/>
      <c r="EQ123" s="38"/>
      <c r="ER123" s="38"/>
      <c r="ES123" s="38"/>
      <c r="ET123" s="38"/>
      <c r="EU123" s="38"/>
      <c r="EV123" s="38"/>
      <c r="EW123" s="38"/>
      <c r="EX123" s="38"/>
      <c r="EY123" s="38"/>
      <c r="EZ123" s="38"/>
      <c r="FA123" s="38"/>
      <c r="FB123" s="38"/>
      <c r="FC123" s="38"/>
      <c r="FD123" s="38"/>
      <c r="FE123" s="38"/>
      <c r="FF123" s="38"/>
      <c r="FG123" s="38"/>
      <c r="FH123" s="38"/>
      <c r="FI123" s="38"/>
      <c r="FJ123" s="38"/>
      <c r="FK123" s="38"/>
      <c r="FL123" s="38"/>
      <c r="FM123" s="38"/>
      <c r="FN123" s="38"/>
      <c r="FO123" s="38"/>
      <c r="FP123" s="38"/>
      <c r="FQ123" s="38"/>
      <c r="FR123" s="38"/>
      <c r="FS123" s="38"/>
      <c r="FT123" s="38"/>
      <c r="FU123" s="38"/>
      <c r="FV123" s="38"/>
      <c r="FW123" s="38"/>
      <c r="FX123" s="38"/>
      <c r="FY123" s="38"/>
      <c r="FZ123" s="38"/>
      <c r="GA123" s="38"/>
      <c r="GB123" s="38"/>
      <c r="GC123" s="38"/>
      <c r="GD123" s="38"/>
      <c r="GE123" s="38"/>
      <c r="GF123" s="38"/>
      <c r="GG123" s="38"/>
      <c r="GH123" s="38"/>
      <c r="GI123" s="38"/>
      <c r="GJ123" s="38"/>
      <c r="GK123" s="38"/>
      <c r="GL123" s="38"/>
      <c r="GM123" s="38"/>
      <c r="GN123" s="38"/>
      <c r="GO123" s="38"/>
      <c r="GP123" s="38"/>
      <c r="GQ123" s="38"/>
      <c r="GR123" s="38"/>
      <c r="GS123" s="38"/>
      <c r="GT123" s="38"/>
      <c r="GU123" s="38"/>
      <c r="GV123" s="38"/>
      <c r="GW123" s="38"/>
      <c r="GX123" s="38"/>
      <c r="GY123" s="38"/>
      <c r="GZ123" s="38"/>
      <c r="HA123" s="38"/>
      <c r="HB123" s="38"/>
      <c r="HC123" s="38"/>
      <c r="HD123" s="38"/>
      <c r="HE123" s="38"/>
      <c r="HF123" s="38"/>
      <c r="HG123" s="38"/>
      <c r="HH123" s="38"/>
      <c r="HI123" s="38"/>
      <c r="HJ123" s="38"/>
      <c r="HK123" s="38"/>
      <c r="HL123" s="38"/>
      <c r="HM123" s="38"/>
      <c r="HN123" s="38"/>
      <c r="HO123" s="38"/>
      <c r="HP123" s="38"/>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c r="IO123" s="38"/>
      <c r="IP123" s="38"/>
      <c r="IQ123" s="38"/>
      <c r="IR123" s="38"/>
      <c r="IS123" s="38"/>
      <c r="IT123" s="38"/>
      <c r="IU123" s="38"/>
      <c r="IV123" s="38"/>
      <c r="IW123" s="35"/>
    </row>
    <row r="124" customFormat="false" ht="12.75" hidden="false" customHeight="false" outlineLevel="1" collapsed="false">
      <c r="A124" s="30" t="s">
        <v>23</v>
      </c>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0"/>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c r="DN124" s="38"/>
      <c r="DO124" s="38"/>
      <c r="DP124" s="38"/>
      <c r="DQ124" s="38"/>
      <c r="DR124" s="38"/>
      <c r="DS124" s="38"/>
      <c r="DT124" s="38"/>
      <c r="DU124" s="38"/>
      <c r="DV124" s="38"/>
      <c r="DW124" s="38"/>
      <c r="DX124" s="38"/>
      <c r="DY124" s="38"/>
      <c r="DZ124" s="38"/>
      <c r="EA124" s="38"/>
      <c r="EB124" s="38"/>
      <c r="EC124" s="38"/>
      <c r="ED124" s="38"/>
      <c r="EE124" s="38"/>
      <c r="EF124" s="38"/>
      <c r="EG124" s="38"/>
      <c r="EH124" s="38"/>
      <c r="EI124" s="38"/>
      <c r="EJ124" s="38"/>
      <c r="EK124" s="38"/>
      <c r="EL124" s="38"/>
      <c r="EM124" s="38"/>
      <c r="EN124" s="38"/>
      <c r="EO124" s="38"/>
      <c r="EP124" s="38"/>
      <c r="EQ124" s="38"/>
      <c r="ER124" s="38"/>
      <c r="ES124" s="38"/>
      <c r="ET124" s="38"/>
      <c r="EU124" s="38"/>
      <c r="EV124" s="38"/>
      <c r="EW124" s="38"/>
      <c r="EX124" s="38"/>
      <c r="EY124" s="38"/>
      <c r="EZ124" s="38"/>
      <c r="FA124" s="38"/>
      <c r="FB124" s="38"/>
      <c r="FC124" s="38"/>
      <c r="FD124" s="38"/>
      <c r="FE124" s="38"/>
      <c r="FF124" s="38"/>
      <c r="FG124" s="38"/>
      <c r="FH124" s="38"/>
      <c r="FI124" s="38"/>
      <c r="FJ124" s="38"/>
      <c r="FK124" s="38"/>
      <c r="FL124" s="38"/>
      <c r="FM124" s="38"/>
      <c r="FN124" s="38"/>
      <c r="FO124" s="38"/>
      <c r="FP124" s="38"/>
      <c r="FQ124" s="38"/>
      <c r="FR124" s="38"/>
      <c r="FS124" s="38"/>
      <c r="FT124" s="38"/>
      <c r="FU124" s="38"/>
      <c r="FV124" s="38"/>
      <c r="FW124" s="38"/>
      <c r="FX124" s="38"/>
      <c r="FY124" s="38"/>
      <c r="FZ124" s="38"/>
      <c r="GA124" s="38"/>
      <c r="GB124" s="38"/>
      <c r="GC124" s="38"/>
      <c r="GD124" s="38"/>
      <c r="GE124" s="38"/>
      <c r="GF124" s="38"/>
      <c r="GG124" s="38"/>
      <c r="GH124" s="38"/>
      <c r="GI124" s="38"/>
      <c r="GJ124" s="38"/>
      <c r="GK124" s="38"/>
      <c r="GL124" s="38"/>
      <c r="GM124" s="38"/>
      <c r="GN124" s="38"/>
      <c r="GO124" s="38"/>
      <c r="GP124" s="38"/>
      <c r="GQ124" s="38"/>
      <c r="GR124" s="38"/>
      <c r="GS124" s="38"/>
      <c r="GT124" s="38"/>
      <c r="GU124" s="38"/>
      <c r="GV124" s="38"/>
      <c r="GW124" s="38"/>
      <c r="GX124" s="38"/>
      <c r="GY124" s="38"/>
      <c r="GZ124" s="38"/>
      <c r="HA124" s="38"/>
      <c r="HB124" s="38"/>
      <c r="HC124" s="38"/>
      <c r="HD124" s="38"/>
      <c r="HE124" s="38"/>
      <c r="HF124" s="38"/>
      <c r="HG124" s="38"/>
      <c r="HH124" s="38"/>
      <c r="HI124" s="38"/>
      <c r="HJ124" s="38"/>
      <c r="HK124" s="38"/>
      <c r="HL124" s="38"/>
      <c r="HM124" s="38"/>
      <c r="HN124" s="38"/>
      <c r="HO124" s="38"/>
      <c r="HP124" s="38"/>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c r="IO124" s="38"/>
      <c r="IP124" s="38"/>
      <c r="IQ124" s="38"/>
      <c r="IR124" s="38"/>
      <c r="IS124" s="38"/>
      <c r="IT124" s="38"/>
      <c r="IU124" s="38"/>
      <c r="IV124" s="38"/>
      <c r="IW124" s="35"/>
    </row>
    <row r="125" customFormat="false" ht="12.75" hidden="false" customHeight="false" outlineLevel="1" collapsed="false">
      <c r="A125" s="34" t="n">
        <v>36249</v>
      </c>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0"/>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38"/>
      <c r="DO125" s="38"/>
      <c r="DP125" s="38"/>
      <c r="DQ125" s="38"/>
      <c r="DR125" s="38"/>
      <c r="DS125" s="38"/>
      <c r="DT125" s="38"/>
      <c r="DU125" s="38"/>
      <c r="DV125" s="38"/>
      <c r="DW125" s="38"/>
      <c r="DX125" s="38"/>
      <c r="DY125" s="38"/>
      <c r="DZ125" s="38"/>
      <c r="EA125" s="38"/>
      <c r="EB125" s="38"/>
      <c r="EC125" s="38"/>
      <c r="ED125" s="38"/>
      <c r="EE125" s="38"/>
      <c r="EF125" s="38"/>
      <c r="EG125" s="38"/>
      <c r="EH125" s="38"/>
      <c r="EI125" s="38"/>
      <c r="EJ125" s="38"/>
      <c r="EK125" s="38"/>
      <c r="EL125" s="38"/>
      <c r="EM125" s="38"/>
      <c r="EN125" s="38"/>
      <c r="EO125" s="38"/>
      <c r="EP125" s="38"/>
      <c r="EQ125" s="38"/>
      <c r="ER125" s="38"/>
      <c r="ES125" s="38"/>
      <c r="ET125" s="38"/>
      <c r="EU125" s="38"/>
      <c r="EV125" s="38"/>
      <c r="EW125" s="38"/>
      <c r="EX125" s="38"/>
      <c r="EY125" s="38"/>
      <c r="EZ125" s="38"/>
      <c r="FA125" s="38"/>
      <c r="FB125" s="38"/>
      <c r="FC125" s="38"/>
      <c r="FD125" s="38"/>
      <c r="FE125" s="38"/>
      <c r="FF125" s="38"/>
      <c r="FG125" s="38"/>
      <c r="FH125" s="38"/>
      <c r="FI125" s="38"/>
      <c r="FJ125" s="38"/>
      <c r="FK125" s="38"/>
      <c r="FL125" s="38"/>
      <c r="FM125" s="38"/>
      <c r="FN125" s="38"/>
      <c r="FO125" s="38"/>
      <c r="FP125" s="38"/>
      <c r="FQ125" s="38"/>
      <c r="FR125" s="38"/>
      <c r="FS125" s="38"/>
      <c r="FT125" s="38"/>
      <c r="FU125" s="38"/>
      <c r="FV125" s="38"/>
      <c r="FW125" s="38"/>
      <c r="FX125" s="38"/>
      <c r="FY125" s="38"/>
      <c r="FZ125" s="38"/>
      <c r="GA125" s="38"/>
      <c r="GB125" s="38"/>
      <c r="GC125" s="38"/>
      <c r="GD125" s="38"/>
      <c r="GE125" s="38"/>
      <c r="GF125" s="38"/>
      <c r="GG125" s="38"/>
      <c r="GH125" s="38"/>
      <c r="GI125" s="38"/>
      <c r="GJ125" s="38"/>
      <c r="GK125" s="38"/>
      <c r="GL125" s="38"/>
      <c r="GM125" s="38"/>
      <c r="GN125" s="38"/>
      <c r="GO125" s="38"/>
      <c r="GP125" s="38"/>
      <c r="GQ125" s="38"/>
      <c r="GR125" s="38"/>
      <c r="GS125" s="38"/>
      <c r="GT125" s="38"/>
      <c r="GU125" s="38"/>
      <c r="GV125" s="38"/>
      <c r="GW125" s="38"/>
      <c r="GX125" s="38"/>
      <c r="GY125" s="38"/>
      <c r="GZ125" s="38"/>
      <c r="HA125" s="38"/>
      <c r="HB125" s="38"/>
      <c r="HC125" s="38"/>
      <c r="HD125" s="38"/>
      <c r="HE125" s="38"/>
      <c r="HF125" s="38"/>
      <c r="HG125" s="38"/>
      <c r="HH125" s="38"/>
      <c r="HI125" s="38"/>
      <c r="HJ125" s="38"/>
      <c r="HK125" s="38"/>
      <c r="HL125" s="38"/>
      <c r="HM125" s="38"/>
      <c r="HN125" s="38"/>
      <c r="HO125" s="38"/>
      <c r="HP125" s="38"/>
      <c r="HQ125" s="38"/>
      <c r="HR125" s="38"/>
      <c r="HS125" s="38"/>
      <c r="HT125" s="38"/>
      <c r="HU125" s="38"/>
      <c r="HV125" s="38"/>
      <c r="HW125" s="38"/>
      <c r="HX125" s="38"/>
      <c r="HY125" s="38"/>
      <c r="HZ125" s="38"/>
      <c r="IA125" s="38"/>
      <c r="IB125" s="38"/>
      <c r="IC125" s="38"/>
      <c r="ID125" s="38"/>
      <c r="IE125" s="38"/>
      <c r="IF125" s="38"/>
      <c r="IG125" s="38"/>
      <c r="IH125" s="38"/>
      <c r="II125" s="38"/>
      <c r="IJ125" s="38"/>
      <c r="IK125" s="38"/>
      <c r="IL125" s="38"/>
      <c r="IM125" s="38"/>
      <c r="IN125" s="38"/>
      <c r="IO125" s="38"/>
      <c r="IP125" s="38"/>
      <c r="IQ125" s="38"/>
      <c r="IR125" s="38"/>
      <c r="IS125" s="38"/>
      <c r="IT125" s="38"/>
      <c r="IU125" s="38"/>
      <c r="IV125" s="38"/>
      <c r="IW125" s="35"/>
    </row>
    <row r="126" customFormat="false" ht="12.75" hidden="false" customHeight="false" outlineLevel="1" collapsed="false">
      <c r="A126" s="11" t="s">
        <v>3</v>
      </c>
      <c r="B126" s="12" t="n">
        <v>54169.8141812478</v>
      </c>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0"/>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c r="EC126" s="38"/>
      <c r="ED126" s="38"/>
      <c r="EE126" s="38"/>
      <c r="EF126" s="38"/>
      <c r="EG126" s="38"/>
      <c r="EH126" s="38"/>
      <c r="EI126" s="38"/>
      <c r="EJ126" s="38"/>
      <c r="EK126" s="38"/>
      <c r="EL126" s="38"/>
      <c r="EM126" s="38"/>
      <c r="EN126" s="38"/>
      <c r="EO126" s="38"/>
      <c r="EP126" s="38"/>
      <c r="EQ126" s="38"/>
      <c r="ER126" s="38"/>
      <c r="ES126" s="38"/>
      <c r="ET126" s="38"/>
      <c r="EU126" s="38"/>
      <c r="EV126" s="38"/>
      <c r="EW126" s="38"/>
      <c r="EX126" s="38"/>
      <c r="EY126" s="38"/>
      <c r="EZ126" s="38"/>
      <c r="FA126" s="38"/>
      <c r="FB126" s="38"/>
      <c r="FC126" s="38"/>
      <c r="FD126" s="38"/>
      <c r="FE126" s="38"/>
      <c r="FF126" s="38"/>
      <c r="FG126" s="38"/>
      <c r="FH126" s="38"/>
      <c r="FI126" s="38"/>
      <c r="FJ126" s="38"/>
      <c r="FK126" s="38"/>
      <c r="FL126" s="38"/>
      <c r="FM126" s="38"/>
      <c r="FN126" s="38"/>
      <c r="FO126" s="38"/>
      <c r="FP126" s="38"/>
      <c r="FQ126" s="38"/>
      <c r="FR126" s="38"/>
      <c r="FS126" s="38"/>
      <c r="FT126" s="38"/>
      <c r="FU126" s="38"/>
      <c r="FV126" s="38"/>
      <c r="FW126" s="38"/>
      <c r="FX126" s="38"/>
      <c r="FY126" s="38"/>
      <c r="FZ126" s="38"/>
      <c r="GA126" s="38"/>
      <c r="GB126" s="38"/>
      <c r="GC126" s="38"/>
      <c r="GD126" s="38"/>
      <c r="GE126" s="38"/>
      <c r="GF126" s="38"/>
      <c r="GG126" s="38"/>
      <c r="GH126" s="38"/>
      <c r="GI126" s="38"/>
      <c r="GJ126" s="38"/>
      <c r="GK126" s="38"/>
      <c r="GL126" s="38"/>
      <c r="GM126" s="38"/>
      <c r="GN126" s="38"/>
      <c r="GO126" s="38"/>
      <c r="GP126" s="38"/>
      <c r="GQ126" s="38"/>
      <c r="GR126" s="38"/>
      <c r="GS126" s="38"/>
      <c r="GT126" s="38"/>
      <c r="GU126" s="38"/>
      <c r="GV126" s="38"/>
      <c r="GW126" s="38"/>
      <c r="GX126" s="38"/>
      <c r="GY126" s="38"/>
      <c r="GZ126" s="38"/>
      <c r="HA126" s="38"/>
      <c r="HB126" s="38"/>
      <c r="HC126" s="38"/>
      <c r="HD126" s="38"/>
      <c r="HE126" s="38"/>
      <c r="HF126" s="38"/>
      <c r="HG126" s="38"/>
      <c r="HH126" s="38"/>
      <c r="HI126" s="38"/>
      <c r="HJ126" s="38"/>
      <c r="HK126" s="38"/>
      <c r="HL126" s="38"/>
      <c r="HM126" s="38"/>
      <c r="HN126" s="38"/>
      <c r="HO126" s="38"/>
      <c r="HP126" s="38"/>
      <c r="HQ126" s="38"/>
      <c r="HR126" s="38"/>
      <c r="HS126" s="38"/>
      <c r="HT126" s="38"/>
      <c r="HU126" s="38"/>
      <c r="HV126" s="38"/>
      <c r="HW126" s="38"/>
      <c r="HX126" s="38"/>
      <c r="HY126" s="38"/>
      <c r="HZ126" s="38"/>
      <c r="IA126" s="38"/>
      <c r="IB126" s="38"/>
      <c r="IC126" s="38"/>
      <c r="ID126" s="38"/>
      <c r="IE126" s="38"/>
      <c r="IF126" s="38"/>
      <c r="IG126" s="38"/>
      <c r="IH126" s="38"/>
      <c r="II126" s="38"/>
      <c r="IJ126" s="38"/>
      <c r="IK126" s="38"/>
      <c r="IL126" s="38"/>
      <c r="IM126" s="38"/>
      <c r="IN126" s="38"/>
      <c r="IO126" s="38"/>
      <c r="IP126" s="38"/>
      <c r="IQ126" s="38"/>
      <c r="IR126" s="38"/>
      <c r="IS126" s="38"/>
      <c r="IT126" s="38"/>
      <c r="IU126" s="38"/>
      <c r="IV126" s="38"/>
      <c r="IW126" s="35"/>
    </row>
    <row r="127" customFormat="false" ht="12.75" hidden="false" customHeight="false" outlineLevel="1" collapsed="false">
      <c r="A127" s="13" t="s">
        <v>4</v>
      </c>
      <c r="B127" s="14" t="n">
        <v>87016.870251927</v>
      </c>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0"/>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c r="EN127" s="38"/>
      <c r="EO127" s="38"/>
      <c r="EP127" s="38"/>
      <c r="EQ127" s="38"/>
      <c r="ER127" s="38"/>
      <c r="ES127" s="38"/>
      <c r="ET127" s="38"/>
      <c r="EU127" s="38"/>
      <c r="EV127" s="38"/>
      <c r="EW127" s="38"/>
      <c r="EX127" s="38"/>
      <c r="EY127" s="38"/>
      <c r="EZ127" s="38"/>
      <c r="FA127" s="38"/>
      <c r="FB127" s="38"/>
      <c r="FC127" s="38"/>
      <c r="FD127" s="38"/>
      <c r="FE127" s="38"/>
      <c r="FF127" s="38"/>
      <c r="FG127" s="38"/>
      <c r="FH127" s="38"/>
      <c r="FI127" s="38"/>
      <c r="FJ127" s="38"/>
      <c r="FK127" s="38"/>
      <c r="FL127" s="38"/>
      <c r="FM127" s="38"/>
      <c r="FN127" s="38"/>
      <c r="FO127" s="38"/>
      <c r="FP127" s="38"/>
      <c r="FQ127" s="38"/>
      <c r="FR127" s="38"/>
      <c r="FS127" s="38"/>
      <c r="FT127" s="38"/>
      <c r="FU127" s="38"/>
      <c r="FV127" s="38"/>
      <c r="FW127" s="38"/>
      <c r="FX127" s="38"/>
      <c r="FY127" s="38"/>
      <c r="FZ127" s="38"/>
      <c r="GA127" s="38"/>
      <c r="GB127" s="38"/>
      <c r="GC127" s="38"/>
      <c r="GD127" s="38"/>
      <c r="GE127" s="38"/>
      <c r="GF127" s="38"/>
      <c r="GG127" s="38"/>
      <c r="GH127" s="38"/>
      <c r="GI127" s="38"/>
      <c r="GJ127" s="38"/>
      <c r="GK127" s="38"/>
      <c r="GL127" s="38"/>
      <c r="GM127" s="38"/>
      <c r="GN127" s="38"/>
      <c r="GO127" s="38"/>
      <c r="GP127" s="38"/>
      <c r="GQ127" s="38"/>
      <c r="GR127" s="38"/>
      <c r="GS127" s="38"/>
      <c r="GT127" s="38"/>
      <c r="GU127" s="38"/>
      <c r="GV127" s="38"/>
      <c r="GW127" s="38"/>
      <c r="GX127" s="38"/>
      <c r="GY127" s="38"/>
      <c r="GZ127" s="38"/>
      <c r="HA127" s="38"/>
      <c r="HB127" s="38"/>
      <c r="HC127" s="38"/>
      <c r="HD127" s="38"/>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5"/>
    </row>
    <row r="128" customFormat="false" ht="12.75" hidden="false" customHeight="false" outlineLevel="1" collapsed="false">
      <c r="A128" s="15" t="s">
        <v>5</v>
      </c>
      <c r="B128" s="16" t="s">
        <v>6</v>
      </c>
      <c r="C128" s="16" t="s">
        <v>7</v>
      </c>
      <c r="D128" s="17" t="n">
        <v>2000</v>
      </c>
      <c r="E128" s="18" t="n">
        <v>2001</v>
      </c>
      <c r="F128" s="18" t="n">
        <v>2002</v>
      </c>
      <c r="G128" s="18" t="n">
        <v>2003</v>
      </c>
      <c r="H128" s="18" t="n">
        <v>2004</v>
      </c>
      <c r="I128" s="18" t="n">
        <v>2005</v>
      </c>
      <c r="J128" s="18" t="n">
        <v>2006</v>
      </c>
      <c r="K128" s="18" t="n">
        <v>2007</v>
      </c>
      <c r="L128" s="18" t="n">
        <v>2008</v>
      </c>
      <c r="M128" s="18" t="n">
        <v>2009</v>
      </c>
      <c r="N128" s="19" t="n">
        <v>2010</v>
      </c>
      <c r="O128" s="20" t="n">
        <v>2011</v>
      </c>
      <c r="P128" s="20" t="n">
        <v>2012</v>
      </c>
      <c r="Q128" s="20" t="n">
        <v>2013</v>
      </c>
      <c r="R128" s="20" t="n">
        <v>2014</v>
      </c>
      <c r="S128" s="20" t="n">
        <v>2015</v>
      </c>
      <c r="T128" s="20" t="n">
        <v>2016</v>
      </c>
      <c r="U128" s="20" t="n">
        <v>2017</v>
      </c>
      <c r="V128" s="20" t="n">
        <v>2018</v>
      </c>
      <c r="W128" s="20" t="n">
        <v>2019</v>
      </c>
      <c r="X128" s="20" t="n">
        <v>2020</v>
      </c>
      <c r="Y128" s="6"/>
      <c r="Z128" s="6"/>
      <c r="AA128" s="6"/>
      <c r="AB128" s="6"/>
      <c r="AC128" s="6"/>
      <c r="AD128" s="6"/>
      <c r="AE128" s="0"/>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c r="EC128" s="38"/>
      <c r="ED128" s="38"/>
      <c r="EE128" s="38"/>
      <c r="EF128" s="38"/>
      <c r="EG128" s="38"/>
      <c r="EH128" s="38"/>
      <c r="EI128" s="38"/>
      <c r="EJ128" s="38"/>
      <c r="EK128" s="38"/>
      <c r="EL128" s="38"/>
      <c r="EM128" s="38"/>
      <c r="EN128" s="38"/>
      <c r="EO128" s="38"/>
      <c r="EP128" s="38"/>
      <c r="EQ128" s="38"/>
      <c r="ER128" s="38"/>
      <c r="ES128" s="38"/>
      <c r="ET128" s="38"/>
      <c r="EU128" s="38"/>
      <c r="EV128" s="38"/>
      <c r="EW128" s="38"/>
      <c r="EX128" s="38"/>
      <c r="EY128" s="38"/>
      <c r="EZ128" s="38"/>
      <c r="FA128" s="38"/>
      <c r="FB128" s="38"/>
      <c r="FC128" s="38"/>
      <c r="FD128" s="38"/>
      <c r="FE128" s="38"/>
      <c r="FF128" s="38"/>
      <c r="FG128" s="38"/>
      <c r="FH128" s="38"/>
      <c r="FI128" s="38"/>
      <c r="FJ128" s="38"/>
      <c r="FK128" s="38"/>
      <c r="FL128" s="38"/>
      <c r="FM128" s="38"/>
      <c r="FN128" s="38"/>
      <c r="FO128" s="38"/>
      <c r="FP128" s="38"/>
      <c r="FQ128" s="38"/>
      <c r="FR128" s="38"/>
      <c r="FS128" s="38"/>
      <c r="FT128" s="38"/>
      <c r="FU128" s="38"/>
      <c r="FV128" s="38"/>
      <c r="FW128" s="38"/>
      <c r="FX128" s="38"/>
      <c r="FY128" s="38"/>
      <c r="FZ128" s="38"/>
      <c r="GA128" s="38"/>
      <c r="GB128" s="38"/>
      <c r="GC128" s="38"/>
      <c r="GD128" s="38"/>
      <c r="GE128" s="38"/>
      <c r="GF128" s="38"/>
      <c r="GG128" s="38"/>
      <c r="GH128" s="38"/>
      <c r="GI128" s="38"/>
      <c r="GJ128" s="38"/>
      <c r="GK128" s="38"/>
      <c r="GL128" s="38"/>
      <c r="GM128" s="38"/>
      <c r="GN128" s="38"/>
      <c r="GO128" s="38"/>
      <c r="GP128" s="38"/>
      <c r="GQ128" s="38"/>
      <c r="GR128" s="38"/>
      <c r="GS128" s="38"/>
      <c r="GT128" s="38"/>
      <c r="GU128" s="38"/>
      <c r="GV128" s="38"/>
      <c r="GW128" s="38"/>
      <c r="GX128" s="38"/>
      <c r="GY128" s="38"/>
      <c r="GZ128" s="38"/>
      <c r="HA128" s="38"/>
      <c r="HB128" s="38"/>
      <c r="HC128" s="38"/>
      <c r="HD128" s="38"/>
      <c r="HE128" s="38"/>
      <c r="HF128" s="38"/>
      <c r="HG128" s="38"/>
      <c r="HH128" s="38"/>
      <c r="HI128" s="38"/>
      <c r="HJ128" s="38"/>
      <c r="HK128" s="38"/>
      <c r="HL128" s="38"/>
      <c r="HM128" s="38"/>
      <c r="HN128" s="38"/>
      <c r="HO128" s="38"/>
      <c r="HP128" s="38"/>
      <c r="HQ128" s="38"/>
      <c r="HR128" s="38"/>
      <c r="HS128" s="38"/>
      <c r="HT128" s="38"/>
      <c r="HU128" s="38"/>
      <c r="HV128" s="38"/>
      <c r="HW128" s="38"/>
      <c r="HX128" s="38"/>
      <c r="HY128" s="38"/>
      <c r="HZ128" s="38"/>
      <c r="IA128" s="38"/>
      <c r="IB128" s="38"/>
      <c r="IC128" s="38"/>
      <c r="ID128" s="38"/>
      <c r="IE128" s="38"/>
      <c r="IF128" s="38"/>
      <c r="IG128" s="38"/>
      <c r="IH128" s="38"/>
      <c r="II128" s="38"/>
      <c r="IJ128" s="38"/>
      <c r="IK128" s="38"/>
      <c r="IL128" s="38"/>
      <c r="IM128" s="38"/>
      <c r="IN128" s="38"/>
      <c r="IO128" s="38"/>
      <c r="IP128" s="38"/>
      <c r="IQ128" s="38"/>
      <c r="IR128" s="38"/>
      <c r="IS128" s="38"/>
      <c r="IT128" s="38"/>
      <c r="IU128" s="38"/>
      <c r="IV128" s="38"/>
      <c r="IW128" s="35"/>
    </row>
    <row r="129" customFormat="false" ht="12.75" hidden="false" customHeight="false" outlineLevel="1" collapsed="false">
      <c r="A129" s="15" t="s">
        <v>8</v>
      </c>
      <c r="B129" s="21" t="n">
        <f aca="false">NPV(0.1,D129:Y129)</f>
        <v>440160.752489757</v>
      </c>
      <c r="C129" s="21" t="n">
        <f aca="false">B129-B119</f>
        <v>0</v>
      </c>
      <c r="D129" s="22" t="n">
        <v>25339.3338255175</v>
      </c>
      <c r="E129" s="23" t="n">
        <v>35548.184444905</v>
      </c>
      <c r="F129" s="23" t="n">
        <v>35819.94196498</v>
      </c>
      <c r="G129" s="23" t="n">
        <v>45706.6521091309</v>
      </c>
      <c r="H129" s="23" t="n">
        <v>53742.3973097647</v>
      </c>
      <c r="I129" s="23" t="n">
        <v>54951.7404005817</v>
      </c>
      <c r="J129" s="23" t="n">
        <v>55992.4359071439</v>
      </c>
      <c r="K129" s="23" t="n">
        <v>57138.2057275838</v>
      </c>
      <c r="L129" s="23" t="n">
        <v>58387.048830011</v>
      </c>
      <c r="M129" s="23" t="n">
        <v>59743.1145427118</v>
      </c>
      <c r="N129" s="24" t="n">
        <v>61232.9771780836</v>
      </c>
      <c r="O129" s="25" t="n">
        <v>62717.9044098124</v>
      </c>
      <c r="P129" s="25" t="n">
        <v>64331.5055870293</v>
      </c>
      <c r="Q129" s="25" t="n">
        <v>66011.2041076931</v>
      </c>
      <c r="R129" s="25" t="n">
        <v>67750.5015313441</v>
      </c>
      <c r="S129" s="25" t="n">
        <v>69517.5969839516</v>
      </c>
      <c r="T129" s="25" t="n">
        <v>71154.2810016721</v>
      </c>
      <c r="U129" s="25" t="n">
        <v>72960.878365928</v>
      </c>
      <c r="V129" s="25" t="n">
        <v>74533.4397867847</v>
      </c>
      <c r="W129" s="25" t="n">
        <v>76101.5730367325</v>
      </c>
      <c r="X129" s="25" t="n">
        <v>18749.9846394641</v>
      </c>
      <c r="Y129" s="6"/>
      <c r="Z129" s="6"/>
      <c r="AA129" s="6"/>
      <c r="AB129" s="6"/>
      <c r="AC129" s="6"/>
      <c r="AD129" s="6"/>
      <c r="AE129" s="0"/>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c r="CM129" s="38"/>
      <c r="CN129" s="38"/>
      <c r="CO129" s="38"/>
      <c r="CP129" s="38"/>
      <c r="CQ129" s="38"/>
      <c r="CR129" s="38"/>
      <c r="CS129" s="38"/>
      <c r="CT129" s="38"/>
      <c r="CU129" s="38"/>
      <c r="CV129" s="38"/>
      <c r="CW129" s="38"/>
      <c r="CX129" s="38"/>
      <c r="CY129" s="38"/>
      <c r="CZ129" s="38"/>
      <c r="DA129" s="38"/>
      <c r="DB129" s="38"/>
      <c r="DC129" s="38"/>
      <c r="DD129" s="38"/>
      <c r="DE129" s="38"/>
      <c r="DF129" s="38"/>
      <c r="DG129" s="38"/>
      <c r="DH129" s="38"/>
      <c r="DI129" s="38"/>
      <c r="DJ129" s="38"/>
      <c r="DK129" s="38"/>
      <c r="DL129" s="38"/>
      <c r="DM129" s="38"/>
      <c r="DN129" s="38"/>
      <c r="DO129" s="38"/>
      <c r="DP129" s="38"/>
      <c r="DQ129" s="38"/>
      <c r="DR129" s="38"/>
      <c r="DS129" s="38"/>
      <c r="DT129" s="38"/>
      <c r="DU129" s="38"/>
      <c r="DV129" s="38"/>
      <c r="DW129" s="38"/>
      <c r="DX129" s="38"/>
      <c r="DY129" s="38"/>
      <c r="DZ129" s="38"/>
      <c r="EA129" s="38"/>
      <c r="EB129" s="38"/>
      <c r="EC129" s="38"/>
      <c r="ED129" s="38"/>
      <c r="EE129" s="38"/>
      <c r="EF129" s="38"/>
      <c r="EG129" s="38"/>
      <c r="EH129" s="38"/>
      <c r="EI129" s="38"/>
      <c r="EJ129" s="38"/>
      <c r="EK129" s="38"/>
      <c r="EL129" s="38"/>
      <c r="EM129" s="38"/>
      <c r="EN129" s="38"/>
      <c r="EO129" s="38"/>
      <c r="EP129" s="38"/>
      <c r="EQ129" s="38"/>
      <c r="ER129" s="38"/>
      <c r="ES129" s="38"/>
      <c r="ET129" s="38"/>
      <c r="EU129" s="38"/>
      <c r="EV129" s="38"/>
      <c r="EW129" s="38"/>
      <c r="EX129" s="38"/>
      <c r="EY129" s="38"/>
      <c r="EZ129" s="38"/>
      <c r="FA129" s="38"/>
      <c r="FB129" s="38"/>
      <c r="FC129" s="38"/>
      <c r="FD129" s="38"/>
      <c r="FE129" s="38"/>
      <c r="FF129" s="38"/>
      <c r="FG129" s="38"/>
      <c r="FH129" s="38"/>
      <c r="FI129" s="38"/>
      <c r="FJ129" s="38"/>
      <c r="FK129" s="38"/>
      <c r="FL129" s="38"/>
      <c r="FM129" s="38"/>
      <c r="FN129" s="38"/>
      <c r="FO129" s="38"/>
      <c r="FP129" s="38"/>
      <c r="FQ129" s="38"/>
      <c r="FR129" s="38"/>
      <c r="FS129" s="38"/>
      <c r="FT129" s="38"/>
      <c r="FU129" s="38"/>
      <c r="FV129" s="38"/>
      <c r="FW129" s="38"/>
      <c r="FX129" s="38"/>
      <c r="FY129" s="38"/>
      <c r="FZ129" s="38"/>
      <c r="GA129" s="38"/>
      <c r="GB129" s="38"/>
      <c r="GC129" s="38"/>
      <c r="GD129" s="38"/>
      <c r="GE129" s="38"/>
      <c r="GF129" s="38"/>
      <c r="GG129" s="38"/>
      <c r="GH129" s="38"/>
      <c r="GI129" s="38"/>
      <c r="GJ129" s="38"/>
      <c r="GK129" s="38"/>
      <c r="GL129" s="38"/>
      <c r="GM129" s="38"/>
      <c r="GN129" s="38"/>
      <c r="GO129" s="38"/>
      <c r="GP129" s="38"/>
      <c r="GQ129" s="38"/>
      <c r="GR129" s="38"/>
      <c r="GS129" s="38"/>
      <c r="GT129" s="38"/>
      <c r="GU129" s="38"/>
      <c r="GV129" s="38"/>
      <c r="GW129" s="38"/>
      <c r="GX129" s="38"/>
      <c r="GY129" s="38"/>
      <c r="GZ129" s="38"/>
      <c r="HA129" s="38"/>
      <c r="HB129" s="38"/>
      <c r="HC129" s="38"/>
      <c r="HD129" s="38"/>
      <c r="HE129" s="38"/>
      <c r="HF129" s="38"/>
      <c r="HG129" s="38"/>
      <c r="HH129" s="38"/>
      <c r="HI129" s="38"/>
      <c r="HJ129" s="38"/>
      <c r="HK129" s="38"/>
      <c r="HL129" s="38"/>
      <c r="HM129" s="38"/>
      <c r="HN129" s="38"/>
      <c r="HO129" s="38"/>
      <c r="HP129" s="38"/>
      <c r="HQ129" s="38"/>
      <c r="HR129" s="38"/>
      <c r="HS129" s="38"/>
      <c r="HT129" s="38"/>
      <c r="HU129" s="38"/>
      <c r="HV129" s="38"/>
      <c r="HW129" s="38"/>
      <c r="HX129" s="38"/>
      <c r="HY129" s="38"/>
      <c r="HZ129" s="38"/>
      <c r="IA129" s="38"/>
      <c r="IB129" s="38"/>
      <c r="IC129" s="38"/>
      <c r="ID129" s="38"/>
      <c r="IE129" s="38"/>
      <c r="IF129" s="38"/>
      <c r="IG129" s="38"/>
      <c r="IH129" s="38"/>
      <c r="II129" s="38"/>
      <c r="IJ129" s="38"/>
      <c r="IK129" s="38"/>
      <c r="IL129" s="38"/>
      <c r="IM129" s="38"/>
      <c r="IN129" s="38"/>
      <c r="IO129" s="38"/>
      <c r="IP129" s="38"/>
      <c r="IQ129" s="38"/>
      <c r="IR129" s="38"/>
      <c r="IS129" s="38"/>
      <c r="IT129" s="38"/>
      <c r="IU129" s="38"/>
      <c r="IV129" s="38"/>
      <c r="IW129" s="35"/>
    </row>
    <row r="130" customFormat="false" ht="12.75" hidden="false" customHeight="false" outlineLevel="1" collapsed="false">
      <c r="A130" s="26" t="s">
        <v>9</v>
      </c>
      <c r="B130" s="21" t="n">
        <f aca="false">NPV(0.1,D130:Y130)</f>
        <v>201666.204000367</v>
      </c>
      <c r="C130" s="21" t="n">
        <f aca="false">B130-B120</f>
        <v>0</v>
      </c>
      <c r="D130" s="22" t="n">
        <v>16045.1479921842</v>
      </c>
      <c r="E130" s="23" t="n">
        <v>20293.767744905</v>
      </c>
      <c r="F130" s="23" t="n">
        <v>20661.46276398</v>
      </c>
      <c r="G130" s="23" t="n">
        <v>20965.5658959006</v>
      </c>
      <c r="H130" s="23" t="n">
        <v>21336.7251254092</v>
      </c>
      <c r="I130" s="23" t="n">
        <v>21780.927318529</v>
      </c>
      <c r="J130" s="23" t="n">
        <v>22295.8161243665</v>
      </c>
      <c r="K130" s="23" t="n">
        <v>22914.886673812</v>
      </c>
      <c r="L130" s="23" t="n">
        <v>23638.5969067897</v>
      </c>
      <c r="M130" s="23" t="n">
        <v>24469.5825650224</v>
      </c>
      <c r="N130" s="24" t="n">
        <v>25971.9330493889</v>
      </c>
      <c r="O130" s="25" t="n">
        <v>27048.2216104758</v>
      </c>
      <c r="P130" s="25" t="n">
        <v>28262.6790365282</v>
      </c>
      <c r="Q130" s="25" t="n">
        <v>29556.733995477</v>
      </c>
      <c r="R130" s="25" t="n">
        <v>30923.9432876055</v>
      </c>
      <c r="S130" s="25" t="n">
        <v>32333.6133439001</v>
      </c>
      <c r="T130" s="25" t="n">
        <v>33797.8319222542</v>
      </c>
      <c r="U130" s="25" t="n">
        <v>35460.2143060578</v>
      </c>
      <c r="V130" s="25" t="n">
        <v>36917.5474518065</v>
      </c>
      <c r="W130" s="25" t="n">
        <v>38401.2550277938</v>
      </c>
      <c r="X130" s="25" t="n">
        <v>2896.63367269933</v>
      </c>
      <c r="Y130" s="6"/>
      <c r="Z130" s="6"/>
      <c r="AA130" s="6"/>
      <c r="AB130" s="6"/>
      <c r="AC130" s="6"/>
      <c r="AD130" s="6"/>
      <c r="AE130" s="0"/>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c r="CM130" s="38"/>
      <c r="CN130" s="38"/>
      <c r="CO130" s="38"/>
      <c r="CP130" s="38"/>
      <c r="CQ130" s="38"/>
      <c r="CR130" s="38"/>
      <c r="CS130" s="38"/>
      <c r="CT130" s="38"/>
      <c r="CU130" s="38"/>
      <c r="CV130" s="38"/>
      <c r="CW130" s="38"/>
      <c r="CX130" s="38"/>
      <c r="CY130" s="38"/>
      <c r="CZ130" s="38"/>
      <c r="DA130" s="38"/>
      <c r="DB130" s="38"/>
      <c r="DC130" s="38"/>
      <c r="DD130" s="38"/>
      <c r="DE130" s="38"/>
      <c r="DF130" s="38"/>
      <c r="DG130" s="38"/>
      <c r="DH130" s="38"/>
      <c r="DI130" s="38"/>
      <c r="DJ130" s="38"/>
      <c r="DK130" s="38"/>
      <c r="DL130" s="38"/>
      <c r="DM130" s="38"/>
      <c r="DN130" s="38"/>
      <c r="DO130" s="38"/>
      <c r="DP130" s="38"/>
      <c r="DQ130" s="38"/>
      <c r="DR130" s="38"/>
      <c r="DS130" s="38"/>
      <c r="DT130" s="38"/>
      <c r="DU130" s="38"/>
      <c r="DV130" s="38"/>
      <c r="DW130" s="38"/>
      <c r="DX130" s="38"/>
      <c r="DY130" s="38"/>
      <c r="DZ130" s="38"/>
      <c r="EA130" s="38"/>
      <c r="EB130" s="38"/>
      <c r="EC130" s="38"/>
      <c r="ED130" s="38"/>
      <c r="EE130" s="38"/>
      <c r="EF130" s="38"/>
      <c r="EG130" s="38"/>
      <c r="EH130" s="38"/>
      <c r="EI130" s="38"/>
      <c r="EJ130" s="38"/>
      <c r="EK130" s="38"/>
      <c r="EL130" s="38"/>
      <c r="EM130" s="38"/>
      <c r="EN130" s="38"/>
      <c r="EO130" s="38"/>
      <c r="EP130" s="38"/>
      <c r="EQ130" s="38"/>
      <c r="ER130" s="38"/>
      <c r="ES130" s="38"/>
      <c r="ET130" s="38"/>
      <c r="EU130" s="38"/>
      <c r="EV130" s="38"/>
      <c r="EW130" s="38"/>
      <c r="EX130" s="38"/>
      <c r="EY130" s="38"/>
      <c r="EZ130" s="38"/>
      <c r="FA130" s="38"/>
      <c r="FB130" s="38"/>
      <c r="FC130" s="38"/>
      <c r="FD130" s="38"/>
      <c r="FE130" s="38"/>
      <c r="FF130" s="38"/>
      <c r="FG130" s="38"/>
      <c r="FH130" s="38"/>
      <c r="FI130" s="38"/>
      <c r="FJ130" s="38"/>
      <c r="FK130" s="38"/>
      <c r="FL130" s="38"/>
      <c r="FM130" s="38"/>
      <c r="FN130" s="38"/>
      <c r="FO130" s="38"/>
      <c r="FP130" s="38"/>
      <c r="FQ130" s="38"/>
      <c r="FR130" s="38"/>
      <c r="FS130" s="38"/>
      <c r="FT130" s="38"/>
      <c r="FU130" s="38"/>
      <c r="FV130" s="38"/>
      <c r="FW130" s="38"/>
      <c r="FX130" s="38"/>
      <c r="FY130" s="38"/>
      <c r="FZ130" s="38"/>
      <c r="GA130" s="38"/>
      <c r="GB130" s="38"/>
      <c r="GC130" s="38"/>
      <c r="GD130" s="38"/>
      <c r="GE130" s="38"/>
      <c r="GF130" s="38"/>
      <c r="GG130" s="38"/>
      <c r="GH130" s="38"/>
      <c r="GI130" s="38"/>
      <c r="GJ130" s="38"/>
      <c r="GK130" s="38"/>
      <c r="GL130" s="38"/>
      <c r="GM130" s="38"/>
      <c r="GN130" s="38"/>
      <c r="GO130" s="38"/>
      <c r="GP130" s="38"/>
      <c r="GQ130" s="38"/>
      <c r="GR130" s="38"/>
      <c r="GS130" s="38"/>
      <c r="GT130" s="38"/>
      <c r="GU130" s="38"/>
      <c r="GV130" s="38"/>
      <c r="GW130" s="38"/>
      <c r="GX130" s="38"/>
      <c r="GY130" s="38"/>
      <c r="GZ130" s="38"/>
      <c r="HA130" s="38"/>
      <c r="HB130" s="38"/>
      <c r="HC130" s="38"/>
      <c r="HD130" s="38"/>
      <c r="HE130" s="38"/>
      <c r="HF130" s="38"/>
      <c r="HG130" s="38"/>
      <c r="HH130" s="38"/>
      <c r="HI130" s="38"/>
      <c r="HJ130" s="38"/>
      <c r="HK130" s="38"/>
      <c r="HL130" s="38"/>
      <c r="HM130" s="38"/>
      <c r="HN130" s="38"/>
      <c r="HO130" s="38"/>
      <c r="HP130" s="38"/>
      <c r="HQ130" s="38"/>
      <c r="HR130" s="38"/>
      <c r="HS130" s="38"/>
      <c r="HT130" s="38"/>
      <c r="HU130" s="38"/>
      <c r="HV130" s="38"/>
      <c r="HW130" s="38"/>
      <c r="HX130" s="38"/>
      <c r="HY130" s="38"/>
      <c r="HZ130" s="38"/>
      <c r="IA130" s="38"/>
      <c r="IB130" s="38"/>
      <c r="IC130" s="38"/>
      <c r="ID130" s="38"/>
      <c r="IE130" s="38"/>
      <c r="IF130" s="38"/>
      <c r="IG130" s="38"/>
      <c r="IH130" s="38"/>
      <c r="II130" s="38"/>
      <c r="IJ130" s="38"/>
      <c r="IK130" s="38"/>
      <c r="IL130" s="38"/>
      <c r="IM130" s="38"/>
      <c r="IN130" s="38"/>
      <c r="IO130" s="38"/>
      <c r="IP130" s="38"/>
      <c r="IQ130" s="38"/>
      <c r="IR130" s="38"/>
      <c r="IS130" s="38"/>
      <c r="IT130" s="38"/>
      <c r="IU130" s="38"/>
      <c r="IV130" s="38"/>
      <c r="IW130" s="35"/>
    </row>
    <row r="131" customFormat="false" ht="12.75" hidden="false" customHeight="false" outlineLevel="1" collapsed="false">
      <c r="A131" s="26" t="s">
        <v>10</v>
      </c>
      <c r="B131" s="21" t="n">
        <f aca="false">NPV(0.1,D131:Y131)</f>
        <v>76953.6294189151</v>
      </c>
      <c r="C131" s="21" t="n">
        <f aca="false">B131-B121</f>
        <v>91.9786304336594</v>
      </c>
      <c r="D131" s="22" t="n">
        <v>-406.263317119299</v>
      </c>
      <c r="E131" s="23" t="n">
        <v>-255.960771069552</v>
      </c>
      <c r="F131" s="23" t="n">
        <v>-227.2603259751</v>
      </c>
      <c r="G131" s="23" t="n">
        <v>5776.96306198106</v>
      </c>
      <c r="H131" s="23" t="n">
        <v>10547.063917186</v>
      </c>
      <c r="I131" s="23" t="n">
        <v>11308.9319981345</v>
      </c>
      <c r="J131" s="23" t="n">
        <v>11914.9704428113</v>
      </c>
      <c r="K131" s="23" t="n">
        <v>12399.4653590575</v>
      </c>
      <c r="L131" s="23" t="n">
        <v>12969.9811666115</v>
      </c>
      <c r="M131" s="23" t="n">
        <v>13569.6281553842</v>
      </c>
      <c r="N131" s="24" t="n">
        <v>13867.0509891881</v>
      </c>
      <c r="O131" s="25" t="n">
        <v>14381.7118629558</v>
      </c>
      <c r="P131" s="25" t="n">
        <v>14991.426434215</v>
      </c>
      <c r="Q131" s="25" t="n">
        <v>15628.7103743824</v>
      </c>
      <c r="R131" s="25" t="n">
        <v>16296.1091539145</v>
      </c>
      <c r="S131" s="25" t="n">
        <v>16919.7914998128</v>
      </c>
      <c r="T131" s="25" t="n">
        <v>17548.8857234549</v>
      </c>
      <c r="U131" s="25" t="n">
        <v>18204.5802564633</v>
      </c>
      <c r="V131" s="25" t="n">
        <v>18889.3562900117</v>
      </c>
      <c r="W131" s="25" t="n">
        <v>19355.8969046691</v>
      </c>
      <c r="X131" s="25" t="n">
        <v>0</v>
      </c>
      <c r="Y131" s="6"/>
      <c r="Z131" s="6"/>
      <c r="AA131" s="6"/>
      <c r="AB131" s="6"/>
      <c r="AC131" s="6"/>
      <c r="AD131" s="6"/>
      <c r="AE131" s="0"/>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8"/>
      <c r="DO131" s="38"/>
      <c r="DP131" s="38"/>
      <c r="DQ131" s="38"/>
      <c r="DR131" s="38"/>
      <c r="DS131" s="38"/>
      <c r="DT131" s="38"/>
      <c r="DU131" s="38"/>
      <c r="DV131" s="38"/>
      <c r="DW131" s="38"/>
      <c r="DX131" s="38"/>
      <c r="DY131" s="38"/>
      <c r="DZ131" s="38"/>
      <c r="EA131" s="38"/>
      <c r="EB131" s="38"/>
      <c r="EC131" s="38"/>
      <c r="ED131" s="38"/>
      <c r="EE131" s="38"/>
      <c r="EF131" s="38"/>
      <c r="EG131" s="38"/>
      <c r="EH131" s="38"/>
      <c r="EI131" s="38"/>
      <c r="EJ131" s="38"/>
      <c r="EK131" s="38"/>
      <c r="EL131" s="38"/>
      <c r="EM131" s="38"/>
      <c r="EN131" s="38"/>
      <c r="EO131" s="38"/>
      <c r="EP131" s="38"/>
      <c r="EQ131" s="38"/>
      <c r="ER131" s="38"/>
      <c r="ES131" s="38"/>
      <c r="ET131" s="38"/>
      <c r="EU131" s="38"/>
      <c r="EV131" s="38"/>
      <c r="EW131" s="38"/>
      <c r="EX131" s="38"/>
      <c r="EY131" s="38"/>
      <c r="EZ131" s="38"/>
      <c r="FA131" s="38"/>
      <c r="FB131" s="38"/>
      <c r="FC131" s="38"/>
      <c r="FD131" s="38"/>
      <c r="FE131" s="38"/>
      <c r="FF131" s="38"/>
      <c r="FG131" s="38"/>
      <c r="FH131" s="38"/>
      <c r="FI131" s="38"/>
      <c r="FJ131" s="38"/>
      <c r="FK131" s="38"/>
      <c r="FL131" s="38"/>
      <c r="FM131" s="38"/>
      <c r="FN131" s="38"/>
      <c r="FO131" s="38"/>
      <c r="FP131" s="38"/>
      <c r="FQ131" s="38"/>
      <c r="FR131" s="38"/>
      <c r="FS131" s="38"/>
      <c r="FT131" s="38"/>
      <c r="FU131" s="38"/>
      <c r="FV131" s="38"/>
      <c r="FW131" s="38"/>
      <c r="FX131" s="38"/>
      <c r="FY131" s="38"/>
      <c r="FZ131" s="38"/>
      <c r="GA131" s="38"/>
      <c r="GB131" s="38"/>
      <c r="GC131" s="38"/>
      <c r="GD131" s="38"/>
      <c r="GE131" s="38"/>
      <c r="GF131" s="38"/>
      <c r="GG131" s="38"/>
      <c r="GH131" s="38"/>
      <c r="GI131" s="38"/>
      <c r="GJ131" s="38"/>
      <c r="GK131" s="38"/>
      <c r="GL131" s="38"/>
      <c r="GM131" s="38"/>
      <c r="GN131" s="38"/>
      <c r="GO131" s="38"/>
      <c r="GP131" s="38"/>
      <c r="GQ131" s="38"/>
      <c r="GR131" s="38"/>
      <c r="GS131" s="38"/>
      <c r="GT131" s="38"/>
      <c r="GU131" s="38"/>
      <c r="GV131" s="38"/>
      <c r="GW131" s="38"/>
      <c r="GX131" s="38"/>
      <c r="GY131" s="38"/>
      <c r="GZ131" s="38"/>
      <c r="HA131" s="38"/>
      <c r="HB131" s="38"/>
      <c r="HC131" s="38"/>
      <c r="HD131" s="38"/>
      <c r="HE131" s="38"/>
      <c r="HF131" s="38"/>
      <c r="HG131" s="38"/>
      <c r="HH131" s="38"/>
      <c r="HI131" s="38"/>
      <c r="HJ131" s="38"/>
      <c r="HK131" s="38"/>
      <c r="HL131" s="38"/>
      <c r="HM131" s="38"/>
      <c r="HN131" s="38"/>
      <c r="HO131" s="38"/>
      <c r="HP131" s="38"/>
      <c r="HQ131" s="38"/>
      <c r="HR131" s="38"/>
      <c r="HS131" s="38"/>
      <c r="HT131" s="38"/>
      <c r="HU131" s="38"/>
      <c r="HV131" s="38"/>
      <c r="HW131" s="38"/>
      <c r="HX131" s="38"/>
      <c r="HY131" s="38"/>
      <c r="HZ131" s="38"/>
      <c r="IA131" s="38"/>
      <c r="IB131" s="38"/>
      <c r="IC131" s="38"/>
      <c r="ID131" s="38"/>
      <c r="IE131" s="38"/>
      <c r="IF131" s="38"/>
      <c r="IG131" s="38"/>
      <c r="IH131" s="38"/>
      <c r="II131" s="38"/>
      <c r="IJ131" s="38"/>
      <c r="IK131" s="38"/>
      <c r="IL131" s="38"/>
      <c r="IM131" s="38"/>
      <c r="IN131" s="38"/>
      <c r="IO131" s="38"/>
      <c r="IP131" s="38"/>
      <c r="IQ131" s="38"/>
      <c r="IR131" s="38"/>
      <c r="IS131" s="38"/>
      <c r="IT131" s="38"/>
      <c r="IU131" s="38"/>
      <c r="IV131" s="38"/>
      <c r="IW131" s="35"/>
    </row>
    <row r="132" customFormat="false" ht="12.75" hidden="false" customHeight="false" outlineLevel="1" collapsed="false">
      <c r="A132" s="26" t="s">
        <v>11</v>
      </c>
      <c r="B132" s="21" t="n">
        <f aca="false">NPV(0.1,D132:Y132)</f>
        <v>94528.6817798748</v>
      </c>
      <c r="C132" s="21" t="n">
        <f aca="false">B132-B122</f>
        <v>-45.6179771000316</v>
      </c>
      <c r="D132" s="27" t="n">
        <v>2147.34074364316</v>
      </c>
      <c r="E132" s="28" t="n">
        <v>4194.21147191307</v>
      </c>
      <c r="F132" s="28" t="n">
        <v>3605.25300160905</v>
      </c>
      <c r="G132" s="28" t="n">
        <v>14791.3320075997</v>
      </c>
      <c r="H132" s="28" t="n">
        <v>19153.5858308842</v>
      </c>
      <c r="I132" s="28" t="n">
        <v>17428.7787802671</v>
      </c>
      <c r="J132" s="28" t="n">
        <v>14151.4967473904</v>
      </c>
      <c r="K132" s="28" t="n">
        <v>14088.3323262191</v>
      </c>
      <c r="L132" s="28" t="n">
        <v>14056.6466454037</v>
      </c>
      <c r="M132" s="28" t="n">
        <v>14016.1983096653</v>
      </c>
      <c r="N132" s="29" t="n">
        <v>14375.1396989273</v>
      </c>
      <c r="O132" s="25" t="n">
        <v>13643.7763490148</v>
      </c>
      <c r="P132" s="25" t="n">
        <v>13511.5110927982</v>
      </c>
      <c r="Q132" s="25" t="n">
        <v>13368.525300442</v>
      </c>
      <c r="R132" s="25" t="n">
        <v>13186.5645176178</v>
      </c>
      <c r="S132" s="25" t="n">
        <v>11241.420232797</v>
      </c>
      <c r="T132" s="25" t="n">
        <v>9304.10482491232</v>
      </c>
      <c r="U132" s="25" t="n">
        <v>9002.60071320557</v>
      </c>
      <c r="V132" s="25" t="n">
        <v>8664.94905816109</v>
      </c>
      <c r="W132" s="25" t="n">
        <v>13916.3921505714</v>
      </c>
      <c r="X132" s="25" t="n">
        <v>0</v>
      </c>
      <c r="Y132" s="6"/>
      <c r="Z132" s="6"/>
      <c r="AA132" s="6"/>
      <c r="AB132" s="6"/>
      <c r="AC132" s="6"/>
      <c r="AD132" s="6"/>
      <c r="AE132" s="0"/>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35"/>
      <c r="DY132" s="35"/>
      <c r="DZ132" s="35"/>
      <c r="EA132" s="35"/>
      <c r="EB132" s="35"/>
      <c r="EC132" s="35"/>
      <c r="ED132" s="35"/>
      <c r="EE132" s="35"/>
      <c r="EF132" s="35"/>
      <c r="EG132" s="35"/>
      <c r="EH132" s="35"/>
      <c r="EI132" s="35"/>
      <c r="EJ132" s="35"/>
      <c r="EK132" s="35"/>
      <c r="EL132" s="35"/>
      <c r="EM132" s="35"/>
      <c r="EN132" s="35"/>
      <c r="EO132" s="35"/>
      <c r="EP132" s="35"/>
      <c r="EQ132" s="35"/>
      <c r="ER132" s="35"/>
      <c r="ES132" s="35"/>
      <c r="ET132" s="35"/>
      <c r="EU132" s="35"/>
      <c r="EV132" s="35"/>
      <c r="EW132" s="35"/>
      <c r="EX132" s="35"/>
      <c r="EY132" s="35"/>
      <c r="EZ132" s="35"/>
      <c r="FA132" s="35"/>
      <c r="FB132" s="35"/>
      <c r="FC132" s="35"/>
      <c r="FD132" s="35"/>
      <c r="FE132" s="35"/>
      <c r="FF132" s="35"/>
      <c r="FG132" s="35"/>
      <c r="FH132" s="35"/>
      <c r="FI132" s="35"/>
      <c r="FJ132" s="35"/>
      <c r="FK132" s="35"/>
      <c r="FL132" s="35"/>
      <c r="FM132" s="35"/>
      <c r="FN132" s="35"/>
      <c r="FO132" s="35"/>
      <c r="FP132" s="35"/>
      <c r="FQ132" s="35"/>
      <c r="FR132" s="35"/>
      <c r="FS132" s="35"/>
      <c r="FT132" s="35"/>
      <c r="FU132" s="35"/>
      <c r="FV132" s="35"/>
      <c r="FW132" s="35"/>
      <c r="FX132" s="35"/>
      <c r="FY132" s="35"/>
      <c r="FZ132" s="35"/>
      <c r="GA132" s="35"/>
      <c r="GB132" s="35"/>
      <c r="GC132" s="35"/>
      <c r="GD132" s="35"/>
      <c r="GE132" s="35"/>
      <c r="GF132" s="35"/>
      <c r="GG132" s="35"/>
      <c r="GH132" s="35"/>
      <c r="GI132" s="35"/>
      <c r="GJ132" s="35"/>
      <c r="GK132" s="35"/>
      <c r="GL132" s="35"/>
      <c r="GM132" s="35"/>
      <c r="GN132" s="35"/>
      <c r="GO132" s="35"/>
      <c r="GP132" s="35"/>
      <c r="GQ132" s="35"/>
      <c r="GR132" s="35"/>
      <c r="GS132" s="35"/>
      <c r="GT132" s="35"/>
      <c r="GU132" s="35"/>
      <c r="GV132" s="35"/>
      <c r="GW132" s="35"/>
      <c r="GX132" s="35"/>
      <c r="GY132" s="35"/>
      <c r="GZ132" s="35"/>
      <c r="HA132" s="35"/>
      <c r="HB132" s="35"/>
      <c r="HC132" s="35"/>
      <c r="HD132" s="35"/>
      <c r="HE132" s="35"/>
      <c r="HF132" s="35"/>
      <c r="HG132" s="35"/>
      <c r="HH132" s="35"/>
      <c r="HI132" s="35"/>
      <c r="HJ132" s="35"/>
      <c r="HK132" s="35"/>
      <c r="HL132" s="35"/>
      <c r="HM132" s="35"/>
      <c r="HN132" s="35"/>
      <c r="HO132" s="35"/>
      <c r="HP132" s="35"/>
      <c r="HQ132" s="35"/>
      <c r="HR132" s="35"/>
      <c r="HS132" s="35"/>
      <c r="HT132" s="35"/>
      <c r="HU132" s="35"/>
      <c r="HV132" s="35"/>
      <c r="HW132" s="35"/>
      <c r="HX132" s="35"/>
      <c r="HY132" s="35"/>
      <c r="HZ132" s="35"/>
      <c r="IA132" s="35"/>
      <c r="IB132" s="35"/>
      <c r="IC132" s="35"/>
      <c r="ID132" s="35"/>
      <c r="IE132" s="35"/>
      <c r="IF132" s="35"/>
      <c r="IG132" s="35"/>
      <c r="IH132" s="35"/>
      <c r="II132" s="35"/>
      <c r="IJ132" s="35"/>
      <c r="IK132" s="35"/>
      <c r="IL132" s="35"/>
      <c r="IM132" s="35"/>
      <c r="IN132" s="35"/>
      <c r="IO132" s="35"/>
      <c r="IP132" s="35"/>
      <c r="IQ132" s="35"/>
      <c r="IR132" s="35"/>
      <c r="IS132" s="35"/>
      <c r="IT132" s="35"/>
      <c r="IU132" s="35"/>
      <c r="IV132" s="35"/>
      <c r="IW132" s="35"/>
    </row>
    <row r="133" customFormat="false" ht="12.75" hidden="false" customHeight="false" outlineLevel="1" collapsed="false">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0"/>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35"/>
      <c r="DY133" s="35"/>
      <c r="DZ133" s="35"/>
      <c r="EA133" s="35"/>
      <c r="EB133" s="35"/>
      <c r="EC133" s="35"/>
      <c r="ED133" s="35"/>
      <c r="EE133" s="35"/>
      <c r="EF133" s="35"/>
      <c r="EG133" s="35"/>
      <c r="EH133" s="35"/>
      <c r="EI133" s="35"/>
      <c r="EJ133" s="35"/>
      <c r="EK133" s="35"/>
      <c r="EL133" s="35"/>
      <c r="EM133" s="35"/>
      <c r="EN133" s="35"/>
      <c r="EO133" s="35"/>
      <c r="EP133" s="35"/>
      <c r="EQ133" s="35"/>
      <c r="ER133" s="35"/>
      <c r="ES133" s="35"/>
      <c r="ET133" s="35"/>
      <c r="EU133" s="35"/>
      <c r="EV133" s="35"/>
      <c r="EW133" s="35"/>
      <c r="EX133" s="35"/>
      <c r="EY133" s="35"/>
      <c r="EZ133" s="35"/>
      <c r="FA133" s="35"/>
      <c r="FB133" s="35"/>
      <c r="FC133" s="35"/>
      <c r="FD133" s="35"/>
      <c r="FE133" s="35"/>
      <c r="FF133" s="35"/>
      <c r="FG133" s="35"/>
      <c r="FH133" s="35"/>
      <c r="FI133" s="35"/>
      <c r="FJ133" s="35"/>
      <c r="FK133" s="35"/>
      <c r="FL133" s="35"/>
      <c r="FM133" s="35"/>
      <c r="FN133" s="35"/>
      <c r="FO133" s="35"/>
      <c r="FP133" s="35"/>
      <c r="FQ133" s="35"/>
      <c r="FR133" s="35"/>
      <c r="FS133" s="35"/>
      <c r="FT133" s="35"/>
      <c r="FU133" s="35"/>
      <c r="FV133" s="35"/>
      <c r="FW133" s="35"/>
      <c r="FX133" s="35"/>
      <c r="FY133" s="35"/>
      <c r="FZ133" s="35"/>
      <c r="GA133" s="35"/>
      <c r="GB133" s="35"/>
      <c r="GC133" s="35"/>
      <c r="GD133" s="35"/>
      <c r="GE133" s="35"/>
      <c r="GF133" s="35"/>
      <c r="GG133" s="35"/>
      <c r="GH133" s="35"/>
      <c r="GI133" s="35"/>
      <c r="GJ133" s="35"/>
      <c r="GK133" s="35"/>
      <c r="GL133" s="35"/>
      <c r="GM133" s="35"/>
      <c r="GN133" s="35"/>
      <c r="GO133" s="35"/>
      <c r="GP133" s="35"/>
      <c r="GQ133" s="35"/>
      <c r="GR133" s="35"/>
      <c r="GS133" s="35"/>
      <c r="GT133" s="35"/>
      <c r="GU133" s="35"/>
      <c r="GV133" s="35"/>
      <c r="GW133" s="35"/>
      <c r="GX133" s="35"/>
      <c r="GY133" s="35"/>
      <c r="GZ133" s="35"/>
      <c r="HA133" s="35"/>
      <c r="HB133" s="35"/>
      <c r="HC133" s="35"/>
      <c r="HD133" s="35"/>
      <c r="HE133" s="35"/>
      <c r="HF133" s="35"/>
      <c r="HG133" s="35"/>
      <c r="HH133" s="35"/>
      <c r="HI133" s="35"/>
      <c r="HJ133" s="35"/>
      <c r="HK133" s="35"/>
      <c r="HL133" s="35"/>
      <c r="HM133" s="35"/>
      <c r="HN133" s="35"/>
      <c r="HO133" s="35"/>
      <c r="HP133" s="35"/>
      <c r="HQ133" s="35"/>
      <c r="HR133" s="35"/>
      <c r="HS133" s="35"/>
      <c r="HT133" s="35"/>
      <c r="HU133" s="35"/>
      <c r="HV133" s="35"/>
      <c r="HW133" s="35"/>
      <c r="HX133" s="35"/>
      <c r="HY133" s="35"/>
      <c r="HZ133" s="35"/>
      <c r="IA133" s="35"/>
      <c r="IB133" s="35"/>
      <c r="IC133" s="35"/>
      <c r="ID133" s="35"/>
      <c r="IE133" s="35"/>
      <c r="IF133" s="35"/>
      <c r="IG133" s="35"/>
      <c r="IH133" s="35"/>
      <c r="II133" s="35"/>
      <c r="IJ133" s="35"/>
      <c r="IK133" s="35"/>
      <c r="IL133" s="35"/>
      <c r="IM133" s="35"/>
      <c r="IN133" s="35"/>
      <c r="IO133" s="35"/>
      <c r="IP133" s="35"/>
      <c r="IQ133" s="35"/>
      <c r="IR133" s="35"/>
      <c r="IS133" s="35"/>
      <c r="IT133" s="35"/>
      <c r="IU133" s="35"/>
      <c r="IV133" s="35"/>
      <c r="IW133" s="35"/>
    </row>
    <row r="134" customFormat="false" ht="12.75" hidden="false" customHeight="false" outlineLevel="0" collapsed="false">
      <c r="A134" s="30" t="s">
        <v>24</v>
      </c>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0"/>
    </row>
    <row r="135" customFormat="false" ht="12.75" hidden="false" customHeight="false" outlineLevel="0" collapsed="false">
      <c r="A135" s="34" t="n">
        <v>36249</v>
      </c>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0"/>
    </row>
    <row r="136" customFormat="false" ht="12.75" hidden="false" customHeight="false" outlineLevel="0" collapsed="false">
      <c r="A136" s="11" t="s">
        <v>3</v>
      </c>
      <c r="B136" s="12" t="n">
        <v>56476.7297390949</v>
      </c>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0"/>
    </row>
    <row r="137" customFormat="false" ht="12.75" hidden="false" customHeight="false" outlineLevel="0" collapsed="false">
      <c r="A137" s="13" t="s">
        <v>4</v>
      </c>
      <c r="B137" s="14" t="n">
        <v>90675.9356314881</v>
      </c>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0"/>
    </row>
    <row r="138" customFormat="false" ht="12.75" hidden="false" customHeight="false" outlineLevel="0" collapsed="false">
      <c r="A138" s="15" t="s">
        <v>5</v>
      </c>
      <c r="B138" s="16" t="s">
        <v>6</v>
      </c>
      <c r="C138" s="16" t="s">
        <v>7</v>
      </c>
      <c r="D138" s="17" t="n">
        <v>2000</v>
      </c>
      <c r="E138" s="18" t="n">
        <v>2001</v>
      </c>
      <c r="F138" s="18" t="n">
        <v>2002</v>
      </c>
      <c r="G138" s="18" t="n">
        <v>2003</v>
      </c>
      <c r="H138" s="18" t="n">
        <v>2004</v>
      </c>
      <c r="I138" s="18" t="n">
        <v>2005</v>
      </c>
      <c r="J138" s="18" t="n">
        <v>2006</v>
      </c>
      <c r="K138" s="18" t="n">
        <v>2007</v>
      </c>
      <c r="L138" s="18" t="n">
        <v>2008</v>
      </c>
      <c r="M138" s="18" t="n">
        <v>2009</v>
      </c>
      <c r="N138" s="19" t="n">
        <v>2010</v>
      </c>
      <c r="O138" s="20" t="n">
        <v>2011</v>
      </c>
      <c r="P138" s="20" t="n">
        <v>2012</v>
      </c>
      <c r="Q138" s="20" t="n">
        <v>2013</v>
      </c>
      <c r="R138" s="20" t="n">
        <v>2014</v>
      </c>
      <c r="S138" s="20" t="n">
        <v>2015</v>
      </c>
      <c r="T138" s="20" t="n">
        <v>2016</v>
      </c>
      <c r="U138" s="20" t="n">
        <v>2017</v>
      </c>
      <c r="V138" s="20" t="n">
        <v>2018</v>
      </c>
      <c r="W138" s="20" t="n">
        <v>2019</v>
      </c>
      <c r="X138" s="20" t="n">
        <v>2020</v>
      </c>
      <c r="Y138" s="6"/>
      <c r="Z138" s="6"/>
      <c r="AA138" s="6"/>
      <c r="AB138" s="6"/>
      <c r="AC138" s="6"/>
      <c r="AD138" s="6"/>
      <c r="AE138" s="0"/>
    </row>
    <row r="139" customFormat="false" ht="12.75" hidden="false" customHeight="false" outlineLevel="0" collapsed="false">
      <c r="A139" s="15" t="s">
        <v>8</v>
      </c>
      <c r="B139" s="21" t="n">
        <f aca="false">NPV(0.1,D139:Y139)</f>
        <v>446264.542045743</v>
      </c>
      <c r="C139" s="21" t="n">
        <f aca="false">B139-B129</f>
        <v>6103.7895559863</v>
      </c>
      <c r="D139" s="22" t="n">
        <v>25189.7623426675</v>
      </c>
      <c r="E139" s="23" t="n">
        <v>35376.433791805</v>
      </c>
      <c r="F139" s="23" t="n">
        <v>35645.33216578</v>
      </c>
      <c r="G139" s="23" t="n">
        <v>45529.9443235309</v>
      </c>
      <c r="H139" s="23" t="n">
        <v>53562.8879447647</v>
      </c>
      <c r="I139" s="23" t="n">
        <v>54768.6363149817</v>
      </c>
      <c r="J139" s="23" t="n">
        <v>55804.9951301439</v>
      </c>
      <c r="K139" s="23" t="n">
        <v>56945.2833214838</v>
      </c>
      <c r="L139" s="23" t="n">
        <v>58187.519046011</v>
      </c>
      <c r="M139" s="23" t="n">
        <v>59535.8004616118</v>
      </c>
      <c r="N139" s="24" t="n">
        <v>61016.3948582836</v>
      </c>
      <c r="O139" s="25" t="n">
        <v>62490.4739652124</v>
      </c>
      <c r="P139" s="25" t="n">
        <v>64091.6919056293</v>
      </c>
      <c r="Q139" s="25" t="n">
        <v>65758.1756704931</v>
      </c>
      <c r="R139" s="25" t="n">
        <v>67483.4907823441</v>
      </c>
      <c r="S139" s="25" t="n">
        <v>69236.1881636516</v>
      </c>
      <c r="T139" s="25" t="n">
        <v>70857.9112356721</v>
      </c>
      <c r="U139" s="25" t="n">
        <v>72647.372912228</v>
      </c>
      <c r="V139" s="25" t="n">
        <v>74205.2100504847</v>
      </c>
      <c r="W139" s="25" t="n">
        <v>75758.3951473325</v>
      </c>
      <c r="X139" s="25" t="n">
        <v>76682.6789338592</v>
      </c>
      <c r="Y139" s="6"/>
      <c r="Z139" s="6"/>
      <c r="AA139" s="6"/>
      <c r="AB139" s="6"/>
      <c r="AC139" s="6"/>
      <c r="AD139" s="6"/>
      <c r="AE139" s="0"/>
    </row>
    <row r="140" customFormat="false" ht="12.75" hidden="false" customHeight="false" outlineLevel="0" collapsed="false">
      <c r="A140" s="26" t="s">
        <v>9</v>
      </c>
      <c r="B140" s="21" t="n">
        <f aca="false">NPV(0.1,D140:Y140)</f>
        <v>204810.675760546</v>
      </c>
      <c r="C140" s="21" t="n">
        <f aca="false">B140-B130</f>
        <v>3144.47176017822</v>
      </c>
      <c r="D140" s="22" t="n">
        <v>15895.5765093342</v>
      </c>
      <c r="E140" s="23" t="n">
        <v>20122.017091805</v>
      </c>
      <c r="F140" s="23" t="n">
        <v>20486.85296478</v>
      </c>
      <c r="G140" s="23" t="n">
        <v>20788.8581103006</v>
      </c>
      <c r="H140" s="23" t="n">
        <v>21157.2157604092</v>
      </c>
      <c r="I140" s="23" t="n">
        <v>21597.823232929</v>
      </c>
      <c r="J140" s="23" t="n">
        <v>22108.3753473665</v>
      </c>
      <c r="K140" s="23" t="n">
        <v>22721.964267712</v>
      </c>
      <c r="L140" s="23" t="n">
        <v>23439.0671227897</v>
      </c>
      <c r="M140" s="23" t="n">
        <v>24262.2684839224</v>
      </c>
      <c r="N140" s="24" t="n">
        <v>25755.3507295889</v>
      </c>
      <c r="O140" s="25" t="n">
        <v>26820.7911658759</v>
      </c>
      <c r="P140" s="25" t="n">
        <v>28022.8653551282</v>
      </c>
      <c r="Q140" s="25" t="n">
        <v>29303.705558277</v>
      </c>
      <c r="R140" s="25" t="n">
        <v>30656.9325386055</v>
      </c>
      <c r="S140" s="25" t="n">
        <v>32052.2045236001</v>
      </c>
      <c r="T140" s="25" t="n">
        <v>33501.4621562542</v>
      </c>
      <c r="U140" s="25" t="n">
        <v>35146.7088523578</v>
      </c>
      <c r="V140" s="25" t="n">
        <v>36589.3177155065</v>
      </c>
      <c r="W140" s="25" t="n">
        <v>38058.0771383937</v>
      </c>
      <c r="X140" s="25" t="n">
        <v>38929.6366136237</v>
      </c>
      <c r="Y140" s="6"/>
      <c r="Z140" s="6"/>
      <c r="AA140" s="6"/>
      <c r="AB140" s="6"/>
      <c r="AC140" s="6"/>
      <c r="AD140" s="6"/>
      <c r="AE140" s="0"/>
    </row>
    <row r="141" customFormat="false" ht="12.75" hidden="false" customHeight="false" outlineLevel="0" collapsed="false">
      <c r="A141" s="26" t="s">
        <v>10</v>
      </c>
      <c r="B141" s="21" t="n">
        <f aca="false">NPV(0.1,D141:Y141)</f>
        <v>79674.1956481895</v>
      </c>
      <c r="C141" s="21" t="n">
        <f aca="false">B141-B131</f>
        <v>2720.56622927438</v>
      </c>
      <c r="D141" s="22" t="n">
        <v>-406.263317119297</v>
      </c>
      <c r="E141" s="23" t="n">
        <v>-255.960771069554</v>
      </c>
      <c r="F141" s="23" t="n">
        <v>-227.260325975101</v>
      </c>
      <c r="G141" s="23" t="n">
        <v>5776.96306198106</v>
      </c>
      <c r="H141" s="23" t="n">
        <v>10547.063917186</v>
      </c>
      <c r="I141" s="23" t="n">
        <v>11308.9319981345</v>
      </c>
      <c r="J141" s="23" t="n">
        <v>11914.9704428113</v>
      </c>
      <c r="K141" s="23" t="n">
        <v>12399.4653590575</v>
      </c>
      <c r="L141" s="23" t="n">
        <v>12969.9811666115</v>
      </c>
      <c r="M141" s="23" t="n">
        <v>13569.6281553842</v>
      </c>
      <c r="N141" s="24" t="n">
        <v>13867.0509891881</v>
      </c>
      <c r="O141" s="25" t="n">
        <v>14381.7118629558</v>
      </c>
      <c r="P141" s="25" t="n">
        <v>14991.426434215</v>
      </c>
      <c r="Q141" s="25" t="n">
        <v>15628.7103743823</v>
      </c>
      <c r="R141" s="25" t="n">
        <v>16296.1091539145</v>
      </c>
      <c r="S141" s="25" t="n">
        <v>16919.7914998128</v>
      </c>
      <c r="T141" s="25" t="n">
        <v>17548.8857234549</v>
      </c>
      <c r="U141" s="25" t="n">
        <v>18204.5802564633</v>
      </c>
      <c r="V141" s="25" t="n">
        <v>18889.3562900117</v>
      </c>
      <c r="W141" s="25" t="n">
        <v>19355.8969046691</v>
      </c>
      <c r="X141" s="25" t="n">
        <v>20132.8700865385</v>
      </c>
      <c r="Y141" s="6"/>
      <c r="Z141" s="6"/>
      <c r="AA141" s="6"/>
      <c r="AB141" s="6"/>
      <c r="AC141" s="6"/>
      <c r="AD141" s="6"/>
      <c r="AE141" s="0"/>
    </row>
    <row r="142" customFormat="false" ht="12.75" hidden="false" customHeight="false" outlineLevel="0" collapsed="false">
      <c r="A142" s="26" t="s">
        <v>11</v>
      </c>
      <c r="B142" s="21" t="n">
        <f aca="false">NPV(0.1,D142:Y142)</f>
        <v>97746.3534938663</v>
      </c>
      <c r="C142" s="21" t="n">
        <f aca="false">B142-B132</f>
        <v>3217.67171399151</v>
      </c>
      <c r="D142" s="27" t="n">
        <v>2147.34074364316</v>
      </c>
      <c r="E142" s="28" t="n">
        <v>4194.21147191307</v>
      </c>
      <c r="F142" s="28" t="n">
        <v>3605.25300160905</v>
      </c>
      <c r="G142" s="28" t="n">
        <v>14791.3320075997</v>
      </c>
      <c r="H142" s="28" t="n">
        <v>19153.5858308842</v>
      </c>
      <c r="I142" s="28" t="n">
        <v>17428.7787802671</v>
      </c>
      <c r="J142" s="28" t="n">
        <v>14151.4967473904</v>
      </c>
      <c r="K142" s="28" t="n">
        <v>14088.3323262191</v>
      </c>
      <c r="L142" s="28" t="n">
        <v>14056.6466454037</v>
      </c>
      <c r="M142" s="28" t="n">
        <v>14016.1983096653</v>
      </c>
      <c r="N142" s="29" t="n">
        <v>14375.1396989273</v>
      </c>
      <c r="O142" s="25" t="n">
        <v>13643.7763490148</v>
      </c>
      <c r="P142" s="25" t="n">
        <v>13511.5110927982</v>
      </c>
      <c r="Q142" s="25" t="n">
        <v>13368.525300442</v>
      </c>
      <c r="R142" s="25" t="n">
        <v>13186.5645176178</v>
      </c>
      <c r="S142" s="25" t="n">
        <v>11241.420232797</v>
      </c>
      <c r="T142" s="25" t="n">
        <v>9304.10482491232</v>
      </c>
      <c r="U142" s="25" t="n">
        <v>9002.60071320557</v>
      </c>
      <c r="V142" s="25" t="n">
        <v>8664.94905816109</v>
      </c>
      <c r="W142" s="25" t="n">
        <v>13916.3921505714</v>
      </c>
      <c r="X142" s="25" t="n">
        <v>23811.5749221068</v>
      </c>
      <c r="Y142" s="6"/>
      <c r="Z142" s="6"/>
      <c r="AA142" s="6"/>
      <c r="AB142" s="6"/>
      <c r="AC142" s="6"/>
      <c r="AD142" s="6"/>
      <c r="AE142" s="0"/>
    </row>
    <row r="143" customFormat="false" ht="12.75" hidden="false" customHeight="false" outlineLevel="0" collapsed="false">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0"/>
    </row>
    <row r="144" customFormat="false" ht="12.75" hidden="false" customHeight="false" outlineLevel="0" collapsed="false">
      <c r="A144" s="30" t="s">
        <v>25</v>
      </c>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0"/>
    </row>
    <row r="145" customFormat="false" ht="12.75" hidden="false" customHeight="false" outlineLevel="0" collapsed="false">
      <c r="A145" s="34" t="n">
        <v>36257</v>
      </c>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0"/>
    </row>
    <row r="146" customFormat="false" ht="12.75" hidden="false" customHeight="false" outlineLevel="0" collapsed="false">
      <c r="A146" s="11" t="s">
        <v>3</v>
      </c>
      <c r="B146" s="12" t="n">
        <v>56334.7616925664</v>
      </c>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0"/>
    </row>
    <row r="147" customFormat="false" ht="12.75" hidden="false" customHeight="false" outlineLevel="0" collapsed="false">
      <c r="A147" s="13" t="s">
        <v>4</v>
      </c>
      <c r="B147" s="14" t="n">
        <v>90675.9356314881</v>
      </c>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0"/>
    </row>
    <row r="148" customFormat="false" ht="12.75" hidden="false" customHeight="false" outlineLevel="0" collapsed="false">
      <c r="A148" s="15" t="s">
        <v>5</v>
      </c>
      <c r="B148" s="16" t="s">
        <v>6</v>
      </c>
      <c r="C148" s="16" t="s">
        <v>7</v>
      </c>
      <c r="D148" s="17" t="n">
        <v>2000</v>
      </c>
      <c r="E148" s="18" t="n">
        <v>2001</v>
      </c>
      <c r="F148" s="18" t="n">
        <v>2002</v>
      </c>
      <c r="G148" s="18" t="n">
        <v>2003</v>
      </c>
      <c r="H148" s="18" t="n">
        <v>2004</v>
      </c>
      <c r="I148" s="18" t="n">
        <v>2005</v>
      </c>
      <c r="J148" s="18" t="n">
        <v>2006</v>
      </c>
      <c r="K148" s="18" t="n">
        <v>2007</v>
      </c>
      <c r="L148" s="18" t="n">
        <v>2008</v>
      </c>
      <c r="M148" s="18" t="n">
        <v>2009</v>
      </c>
      <c r="N148" s="19" t="n">
        <v>2010</v>
      </c>
      <c r="O148" s="20" t="n">
        <v>2011</v>
      </c>
      <c r="P148" s="20" t="n">
        <v>2012</v>
      </c>
      <c r="Q148" s="20" t="n">
        <v>2013</v>
      </c>
      <c r="R148" s="20" t="n">
        <v>2014</v>
      </c>
      <c r="S148" s="20" t="n">
        <v>2015</v>
      </c>
      <c r="T148" s="20" t="n">
        <v>2016</v>
      </c>
      <c r="U148" s="20" t="n">
        <v>2017</v>
      </c>
      <c r="V148" s="20" t="n">
        <v>2018</v>
      </c>
      <c r="W148" s="20" t="n">
        <v>2019</v>
      </c>
      <c r="X148" s="20" t="n">
        <v>2020</v>
      </c>
      <c r="Y148" s="6"/>
      <c r="Z148" s="6"/>
      <c r="AA148" s="6"/>
      <c r="AB148" s="6"/>
      <c r="AC148" s="6"/>
      <c r="AD148" s="6"/>
      <c r="AE148" s="0"/>
    </row>
    <row r="149" customFormat="false" ht="12.75" hidden="false" customHeight="false" outlineLevel="1" collapsed="false">
      <c r="A149" s="15" t="s">
        <v>8</v>
      </c>
      <c r="B149" s="21" t="n">
        <f aca="false">NPV(0.1,D149:Y149)</f>
        <v>446264.542045743</v>
      </c>
      <c r="C149" s="21" t="n">
        <f aca="false">B149-B139</f>
        <v>0</v>
      </c>
      <c r="D149" s="22" t="n">
        <v>25189.7623426675</v>
      </c>
      <c r="E149" s="23" t="n">
        <v>35376.433791805</v>
      </c>
      <c r="F149" s="23" t="n">
        <v>35645.33216578</v>
      </c>
      <c r="G149" s="23" t="n">
        <v>45529.9443235309</v>
      </c>
      <c r="H149" s="23" t="n">
        <v>53562.8879447647</v>
      </c>
      <c r="I149" s="23" t="n">
        <v>54768.6363149817</v>
      </c>
      <c r="J149" s="23" t="n">
        <v>55804.9951301439</v>
      </c>
      <c r="K149" s="23" t="n">
        <v>56945.2833214838</v>
      </c>
      <c r="L149" s="23" t="n">
        <v>58187.519046011</v>
      </c>
      <c r="M149" s="23" t="n">
        <v>59535.8004616118</v>
      </c>
      <c r="N149" s="24" t="n">
        <v>61016.3948582836</v>
      </c>
      <c r="O149" s="25" t="n">
        <v>62490.4739652124</v>
      </c>
      <c r="P149" s="25" t="n">
        <v>64091.6919056293</v>
      </c>
      <c r="Q149" s="25" t="n">
        <v>65758.1756704931</v>
      </c>
      <c r="R149" s="25" t="n">
        <v>67483.4907823441</v>
      </c>
      <c r="S149" s="25" t="n">
        <v>69236.1881636516</v>
      </c>
      <c r="T149" s="25" t="n">
        <v>70857.9112356721</v>
      </c>
      <c r="U149" s="25" t="n">
        <v>72647.372912228</v>
      </c>
      <c r="V149" s="25" t="n">
        <v>74205.2100504847</v>
      </c>
      <c r="W149" s="25" t="n">
        <v>75758.3951473325</v>
      </c>
      <c r="X149" s="25" t="n">
        <v>76682.6789338592</v>
      </c>
      <c r="Y149" s="6"/>
      <c r="Z149" s="6"/>
      <c r="AA149" s="6"/>
      <c r="AB149" s="6"/>
      <c r="AC149" s="6"/>
      <c r="AD149" s="6"/>
      <c r="AE149" s="0"/>
    </row>
    <row r="150" customFormat="false" ht="12.75" hidden="false" customHeight="false" outlineLevel="1" collapsed="false">
      <c r="A150" s="26" t="s">
        <v>9</v>
      </c>
      <c r="B150" s="21" t="n">
        <f aca="false">NPV(0.1,D150:Y150)</f>
        <v>204810.675760546</v>
      </c>
      <c r="C150" s="21" t="n">
        <f aca="false">B150-B140</f>
        <v>0</v>
      </c>
      <c r="D150" s="22" t="n">
        <v>15895.5765093342</v>
      </c>
      <c r="E150" s="23" t="n">
        <v>20122.017091805</v>
      </c>
      <c r="F150" s="23" t="n">
        <v>20486.85296478</v>
      </c>
      <c r="G150" s="23" t="n">
        <v>20788.8581103006</v>
      </c>
      <c r="H150" s="23" t="n">
        <v>21157.2157604092</v>
      </c>
      <c r="I150" s="23" t="n">
        <v>21597.823232929</v>
      </c>
      <c r="J150" s="23" t="n">
        <v>22108.3753473665</v>
      </c>
      <c r="K150" s="23" t="n">
        <v>22721.964267712</v>
      </c>
      <c r="L150" s="23" t="n">
        <v>23439.0671227897</v>
      </c>
      <c r="M150" s="23" t="n">
        <v>24262.2684839224</v>
      </c>
      <c r="N150" s="24" t="n">
        <v>25755.3507295889</v>
      </c>
      <c r="O150" s="25" t="n">
        <v>26820.7911658759</v>
      </c>
      <c r="P150" s="25" t="n">
        <v>28022.8653551282</v>
      </c>
      <c r="Q150" s="25" t="n">
        <v>29303.705558277</v>
      </c>
      <c r="R150" s="25" t="n">
        <v>30656.9325386055</v>
      </c>
      <c r="S150" s="25" t="n">
        <v>32052.2045236001</v>
      </c>
      <c r="T150" s="25" t="n">
        <v>33501.4621562542</v>
      </c>
      <c r="U150" s="25" t="n">
        <v>35146.7088523578</v>
      </c>
      <c r="V150" s="25" t="n">
        <v>36589.3177155065</v>
      </c>
      <c r="W150" s="25" t="n">
        <v>38058.0771383937</v>
      </c>
      <c r="X150" s="25" t="n">
        <v>38929.6366136237</v>
      </c>
      <c r="Y150" s="6"/>
      <c r="Z150" s="6"/>
      <c r="AA150" s="6"/>
      <c r="AB150" s="6"/>
      <c r="AC150" s="6"/>
      <c r="AD150" s="6"/>
      <c r="AE150" s="0"/>
    </row>
    <row r="151" customFormat="false" ht="12.75" hidden="false" customHeight="false" outlineLevel="1" collapsed="false">
      <c r="A151" s="26" t="s">
        <v>10</v>
      </c>
      <c r="B151" s="21" t="n">
        <f aca="false">NPV(0.1,D151:Y151)</f>
        <v>84571.1805528486</v>
      </c>
      <c r="C151" s="21" t="n">
        <f aca="false">B151-B141</f>
        <v>4896.98490465908</v>
      </c>
      <c r="D151" s="22" t="n">
        <v>374.863252555854</v>
      </c>
      <c r="E151" s="23" t="n">
        <v>285.00620551642</v>
      </c>
      <c r="F151" s="23" t="n">
        <v>313.706650610874</v>
      </c>
      <c r="G151" s="23" t="n">
        <v>6317.93003856703</v>
      </c>
      <c r="H151" s="23" t="n">
        <v>11088.030893772</v>
      </c>
      <c r="I151" s="23" t="n">
        <v>11849.8989747205</v>
      </c>
      <c r="J151" s="23" t="n">
        <v>12455.9374193972</v>
      </c>
      <c r="K151" s="23" t="n">
        <v>12940.4323356435</v>
      </c>
      <c r="L151" s="23" t="n">
        <v>13510.9481431975</v>
      </c>
      <c r="M151" s="23" t="n">
        <v>14110.5951319701</v>
      </c>
      <c r="N151" s="24" t="n">
        <v>14408.0179657741</v>
      </c>
      <c r="O151" s="25" t="n">
        <v>14922.6788395417</v>
      </c>
      <c r="P151" s="25" t="n">
        <v>15532.393410801</v>
      </c>
      <c r="Q151" s="25" t="n">
        <v>16169.6773509683</v>
      </c>
      <c r="R151" s="25" t="n">
        <v>16837.0761305005</v>
      </c>
      <c r="S151" s="25" t="n">
        <v>17460.7584763987</v>
      </c>
      <c r="T151" s="25" t="n">
        <v>18089.8527000409</v>
      </c>
      <c r="U151" s="25" t="n">
        <v>18745.5472330493</v>
      </c>
      <c r="V151" s="25" t="n">
        <v>19430.3232665977</v>
      </c>
      <c r="W151" s="25" t="n">
        <v>19896.8638812551</v>
      </c>
      <c r="X151" s="25" t="n">
        <v>20673.8370631245</v>
      </c>
      <c r="Y151" s="6"/>
      <c r="Z151" s="6"/>
      <c r="AA151" s="6"/>
      <c r="AB151" s="6"/>
      <c r="AC151" s="6"/>
      <c r="AD151" s="6"/>
      <c r="AE151" s="0"/>
    </row>
    <row r="152" customFormat="false" ht="12.75" hidden="false" customHeight="false" outlineLevel="1" collapsed="false">
      <c r="A152" s="26" t="s">
        <v>11</v>
      </c>
      <c r="B152" s="21" t="n">
        <f aca="false">NPV(0.1,D152:Y152)</f>
        <v>97592.2292262181</v>
      </c>
      <c r="C152" s="21" t="n">
        <f aca="false">B152-B142</f>
        <v>-154.124267648192</v>
      </c>
      <c r="D152" s="27" t="n">
        <v>2147.34074364316</v>
      </c>
      <c r="E152" s="28" t="n">
        <v>4194.21147191307</v>
      </c>
      <c r="F152" s="28" t="n">
        <v>3605.25300160905</v>
      </c>
      <c r="G152" s="28" t="n">
        <v>14761.7019194742</v>
      </c>
      <c r="H152" s="28" t="n">
        <v>19123.9557427586</v>
      </c>
      <c r="I152" s="28" t="n">
        <v>17270.7192909234</v>
      </c>
      <c r="J152" s="28" t="n">
        <v>14149.0190026088</v>
      </c>
      <c r="K152" s="28" t="n">
        <v>14085.8830251875</v>
      </c>
      <c r="L152" s="28" t="n">
        <v>14054.1689006221</v>
      </c>
      <c r="M152" s="28" t="n">
        <v>14013.7490086337</v>
      </c>
      <c r="N152" s="29" t="n">
        <v>14372.6619541457</v>
      </c>
      <c r="O152" s="25" t="n">
        <v>13641.3270479832</v>
      </c>
      <c r="P152" s="25" t="n">
        <v>13509.0333480166</v>
      </c>
      <c r="Q152" s="25" t="n">
        <v>13366.0759994104</v>
      </c>
      <c r="R152" s="25" t="n">
        <v>13184.0867728362</v>
      </c>
      <c r="S152" s="25" t="n">
        <v>11230.5515817654</v>
      </c>
      <c r="T152" s="25" t="n">
        <v>9284.84526763072</v>
      </c>
      <c r="U152" s="25" t="n">
        <v>8983.34115592398</v>
      </c>
      <c r="V152" s="25" t="n">
        <v>8645.6895008795</v>
      </c>
      <c r="W152" s="25" t="n">
        <v>13897.1325932898</v>
      </c>
      <c r="X152" s="25" t="n">
        <v>23792.3153648253</v>
      </c>
      <c r="Y152" s="6"/>
      <c r="Z152" s="6"/>
      <c r="AA152" s="6"/>
      <c r="AB152" s="6"/>
      <c r="AC152" s="6"/>
      <c r="AD152" s="6"/>
      <c r="AE152" s="0"/>
    </row>
    <row r="153" customFormat="false" ht="12.75" hidden="false" customHeight="false" outlineLevel="1" collapsed="false">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0"/>
    </row>
    <row r="154" customFormat="false" ht="12.75" hidden="false" customHeight="false" outlineLevel="1" collapsed="false">
      <c r="A154" s="30" t="s">
        <v>26</v>
      </c>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0"/>
    </row>
    <row r="155" customFormat="false" ht="12.75" hidden="false" customHeight="false" outlineLevel="1" collapsed="false">
      <c r="A155" s="34" t="n">
        <v>36257</v>
      </c>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0"/>
    </row>
    <row r="156" customFormat="false" ht="12.75" hidden="false" customHeight="false" outlineLevel="1" collapsed="false">
      <c r="A156" s="11" t="s">
        <v>3</v>
      </c>
      <c r="B156" s="12" t="n">
        <v>56499.4680652299</v>
      </c>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0"/>
    </row>
    <row r="157" customFormat="false" ht="12.75" hidden="false" customHeight="false" outlineLevel="1" collapsed="false">
      <c r="A157" s="13" t="s">
        <v>4</v>
      </c>
      <c r="B157" s="14" t="n">
        <v>91003.7940472756</v>
      </c>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0"/>
    </row>
    <row r="158" customFormat="false" ht="12.75" hidden="false" customHeight="false" outlineLevel="1" collapsed="false">
      <c r="A158" s="15" t="s">
        <v>5</v>
      </c>
      <c r="B158" s="16" t="s">
        <v>6</v>
      </c>
      <c r="C158" s="16" t="s">
        <v>7</v>
      </c>
      <c r="D158" s="17" t="n">
        <v>2000</v>
      </c>
      <c r="E158" s="18" t="n">
        <v>2001</v>
      </c>
      <c r="F158" s="18" t="n">
        <v>2002</v>
      </c>
      <c r="G158" s="18" t="n">
        <v>2003</v>
      </c>
      <c r="H158" s="18" t="n">
        <v>2004</v>
      </c>
      <c r="I158" s="18" t="n">
        <v>2005</v>
      </c>
      <c r="J158" s="18" t="n">
        <v>2006</v>
      </c>
      <c r="K158" s="18" t="n">
        <v>2007</v>
      </c>
      <c r="L158" s="18" t="n">
        <v>2008</v>
      </c>
      <c r="M158" s="18" t="n">
        <v>2009</v>
      </c>
      <c r="N158" s="19" t="n">
        <v>2010</v>
      </c>
      <c r="O158" s="20" t="n">
        <v>2011</v>
      </c>
      <c r="P158" s="20" t="n">
        <v>2012</v>
      </c>
      <c r="Q158" s="20" t="n">
        <v>2013</v>
      </c>
      <c r="R158" s="20" t="n">
        <v>2014</v>
      </c>
      <c r="S158" s="20" t="n">
        <v>2015</v>
      </c>
      <c r="T158" s="20" t="n">
        <v>2016</v>
      </c>
      <c r="U158" s="20" t="n">
        <v>2017</v>
      </c>
      <c r="V158" s="20" t="n">
        <v>2018</v>
      </c>
      <c r="W158" s="20" t="n">
        <v>2019</v>
      </c>
      <c r="X158" s="20" t="n">
        <v>2020</v>
      </c>
      <c r="Y158" s="6"/>
      <c r="Z158" s="6"/>
      <c r="AA158" s="6"/>
      <c r="AB158" s="6"/>
      <c r="AC158" s="6"/>
      <c r="AD158" s="6"/>
      <c r="AE158" s="0"/>
    </row>
    <row r="159" customFormat="false" ht="12.75" hidden="false" customHeight="false" outlineLevel="1" collapsed="false">
      <c r="A159" s="15" t="s">
        <v>8</v>
      </c>
      <c r="B159" s="21" t="n">
        <f aca="false">NPV(0.1,D159:Y159)</f>
        <v>446264.542045743</v>
      </c>
      <c r="C159" s="21" t="n">
        <f aca="false">B159-B149</f>
        <v>0</v>
      </c>
      <c r="D159" s="22" t="n">
        <v>25189.7623426675</v>
      </c>
      <c r="E159" s="23" t="n">
        <v>35376.433791805</v>
      </c>
      <c r="F159" s="23" t="n">
        <v>35645.33216578</v>
      </c>
      <c r="G159" s="23" t="n">
        <v>45529.9443235309</v>
      </c>
      <c r="H159" s="23" t="n">
        <v>53562.8879447647</v>
      </c>
      <c r="I159" s="23" t="n">
        <v>54768.6363149817</v>
      </c>
      <c r="J159" s="23" t="n">
        <v>55804.9951301439</v>
      </c>
      <c r="K159" s="23" t="n">
        <v>56945.2833214838</v>
      </c>
      <c r="L159" s="23" t="n">
        <v>58187.519046011</v>
      </c>
      <c r="M159" s="23" t="n">
        <v>59535.8004616118</v>
      </c>
      <c r="N159" s="24" t="n">
        <v>61016.3948582836</v>
      </c>
      <c r="O159" s="25" t="n">
        <v>62490.4739652124</v>
      </c>
      <c r="P159" s="25" t="n">
        <v>64091.6919056293</v>
      </c>
      <c r="Q159" s="25" t="n">
        <v>65758.1756704931</v>
      </c>
      <c r="R159" s="25" t="n">
        <v>67483.4907823441</v>
      </c>
      <c r="S159" s="25" t="n">
        <v>69236.1881636516</v>
      </c>
      <c r="T159" s="25" t="n">
        <v>70857.9112356721</v>
      </c>
      <c r="U159" s="25" t="n">
        <v>72647.372912228</v>
      </c>
      <c r="V159" s="25" t="n">
        <v>74205.2100504847</v>
      </c>
      <c r="W159" s="25" t="n">
        <v>75758.3951473325</v>
      </c>
      <c r="X159" s="25" t="n">
        <v>76682.6789338592</v>
      </c>
      <c r="Y159" s="6"/>
      <c r="Z159" s="6"/>
      <c r="AA159" s="6"/>
      <c r="AB159" s="6"/>
      <c r="AC159" s="6"/>
      <c r="AD159" s="6"/>
      <c r="AE159" s="0"/>
    </row>
    <row r="160" customFormat="false" ht="12.75" hidden="false" customHeight="false" outlineLevel="1" collapsed="false">
      <c r="A160" s="26" t="s">
        <v>9</v>
      </c>
      <c r="B160" s="21" t="n">
        <f aca="false">NPV(0.1,D160:Y160)</f>
        <v>204810.675760546</v>
      </c>
      <c r="C160" s="21" t="n">
        <f aca="false">B160-B150</f>
        <v>0</v>
      </c>
      <c r="D160" s="22" t="n">
        <v>15895.5765093342</v>
      </c>
      <c r="E160" s="23" t="n">
        <v>20122.017091805</v>
      </c>
      <c r="F160" s="23" t="n">
        <v>20486.85296478</v>
      </c>
      <c r="G160" s="23" t="n">
        <v>20788.8581103006</v>
      </c>
      <c r="H160" s="23" t="n">
        <v>21157.2157604092</v>
      </c>
      <c r="I160" s="23" t="n">
        <v>21597.823232929</v>
      </c>
      <c r="J160" s="23" t="n">
        <v>22108.3753473665</v>
      </c>
      <c r="K160" s="23" t="n">
        <v>22721.964267712</v>
      </c>
      <c r="L160" s="23" t="n">
        <v>23439.0671227897</v>
      </c>
      <c r="M160" s="23" t="n">
        <v>24262.2684839224</v>
      </c>
      <c r="N160" s="24" t="n">
        <v>25755.3507295889</v>
      </c>
      <c r="O160" s="25" t="n">
        <v>26820.7911658759</v>
      </c>
      <c r="P160" s="25" t="n">
        <v>28022.8653551282</v>
      </c>
      <c r="Q160" s="25" t="n">
        <v>29303.705558277</v>
      </c>
      <c r="R160" s="25" t="n">
        <v>30656.9325386055</v>
      </c>
      <c r="S160" s="25" t="n">
        <v>32052.2045236001</v>
      </c>
      <c r="T160" s="25" t="n">
        <v>33501.4621562542</v>
      </c>
      <c r="U160" s="25" t="n">
        <v>35146.7088523578</v>
      </c>
      <c r="V160" s="25" t="n">
        <v>36589.3177155065</v>
      </c>
      <c r="W160" s="25" t="n">
        <v>38058.0771383937</v>
      </c>
      <c r="X160" s="25" t="n">
        <v>38929.6366136237</v>
      </c>
      <c r="Y160" s="6"/>
      <c r="Z160" s="6"/>
      <c r="AA160" s="6"/>
      <c r="AB160" s="6"/>
      <c r="AC160" s="6"/>
      <c r="AD160" s="6"/>
      <c r="AE160" s="0"/>
    </row>
    <row r="161" customFormat="false" ht="12.75" hidden="false" customHeight="false" outlineLevel="1" collapsed="false">
      <c r="A161" s="26" t="s">
        <v>10</v>
      </c>
      <c r="B161" s="21" t="n">
        <f aca="false">NPV(0.1,D161:Y161)</f>
        <v>84840.1210496271</v>
      </c>
      <c r="C161" s="21" t="n">
        <f aca="false">B161-B151</f>
        <v>268.940496778494</v>
      </c>
      <c r="D161" s="22" t="n">
        <v>343.729875574354</v>
      </c>
      <c r="E161" s="23" t="n">
        <v>218.328678867788</v>
      </c>
      <c r="F161" s="23" t="n">
        <v>232.375108652671</v>
      </c>
      <c r="G161" s="23" t="n">
        <v>6331.68887669558</v>
      </c>
      <c r="H161" s="23" t="n">
        <v>11146.505433735</v>
      </c>
      <c r="I161" s="23" t="n">
        <v>11899.1111340533</v>
      </c>
      <c r="J161" s="23" t="n">
        <v>12493.5741324417</v>
      </c>
      <c r="K161" s="23" t="n">
        <v>13025.9692235193</v>
      </c>
      <c r="L161" s="23" t="n">
        <v>13583.9509437761</v>
      </c>
      <c r="M161" s="23" t="n">
        <v>14170.5651717356</v>
      </c>
      <c r="N161" s="24" t="n">
        <v>14450.2708421597</v>
      </c>
      <c r="O161" s="25" t="n">
        <v>15017.4147716513</v>
      </c>
      <c r="P161" s="25" t="n">
        <v>15611.5331093107</v>
      </c>
      <c r="Q161" s="25" t="n">
        <v>16232.5552626563</v>
      </c>
      <c r="R161" s="25" t="n">
        <v>16883.0094495056</v>
      </c>
      <c r="S161" s="25" t="n">
        <v>17564.9665930859</v>
      </c>
      <c r="T161" s="25" t="n">
        <v>18174.3595222889</v>
      </c>
      <c r="U161" s="25" t="n">
        <v>18809.5023693997</v>
      </c>
      <c r="V161" s="25" t="n">
        <v>19472.8516772135</v>
      </c>
      <c r="W161" s="25" t="n">
        <v>20166.4043364199</v>
      </c>
      <c r="X161" s="25" t="n">
        <v>20920.1064626099</v>
      </c>
      <c r="Y161" s="6"/>
      <c r="Z161" s="6"/>
      <c r="AA161" s="6"/>
      <c r="AB161" s="6"/>
      <c r="AC161" s="6"/>
      <c r="AD161" s="6"/>
      <c r="AE161" s="0"/>
    </row>
    <row r="162" customFormat="false" ht="12.75" hidden="false" customHeight="false" outlineLevel="1" collapsed="false">
      <c r="A162" s="26" t="s">
        <v>11</v>
      </c>
      <c r="B162" s="21" t="n">
        <f aca="false">NPV(0.1,D162:Y162)</f>
        <v>97824.4254406733</v>
      </c>
      <c r="C162" s="21" t="n">
        <f aca="false">B162-B152</f>
        <v>232.19621445518</v>
      </c>
      <c r="D162" s="27" t="n">
        <v>2097.18629018927</v>
      </c>
      <c r="E162" s="28" t="n">
        <v>4086.79701094065</v>
      </c>
      <c r="F162" s="28" t="n">
        <v>3474.23158886929</v>
      </c>
      <c r="G162" s="28" t="n">
        <v>14783.1131762316</v>
      </c>
      <c r="H162" s="28" t="n">
        <v>19214.9527715211</v>
      </c>
      <c r="I162" s="28" t="n">
        <v>17384.8807089371</v>
      </c>
      <c r="J162" s="28" t="n">
        <v>14185.3157698486</v>
      </c>
      <c r="K162" s="28" t="n">
        <v>14168.37462072</v>
      </c>
      <c r="L162" s="28" t="n">
        <v>14124.5726486146</v>
      </c>
      <c r="M162" s="28" t="n">
        <v>14071.5839893918</v>
      </c>
      <c r="N162" s="29" t="n">
        <v>14413.4105396442</v>
      </c>
      <c r="O162" s="25" t="n">
        <v>13732.6901825098</v>
      </c>
      <c r="P162" s="25" t="n">
        <v>13585.3555075217</v>
      </c>
      <c r="Q162" s="25" t="n">
        <v>13426.7153257608</v>
      </c>
      <c r="R162" s="25" t="n">
        <v>13228.3847694892</v>
      </c>
      <c r="S162" s="25" t="n">
        <v>11331.0496712616</v>
      </c>
      <c r="T162" s="25" t="n">
        <v>9366.34347002901</v>
      </c>
      <c r="U162" s="25" t="n">
        <v>9045.01935548287</v>
      </c>
      <c r="V162" s="25" t="n">
        <v>8686.70381101261</v>
      </c>
      <c r="W162" s="25" t="n">
        <v>14157.0768437681</v>
      </c>
      <c r="X162" s="25" t="n">
        <v>24041.4213751948</v>
      </c>
      <c r="Y162" s="6"/>
      <c r="Z162" s="6"/>
      <c r="AA162" s="6"/>
      <c r="AB162" s="6"/>
      <c r="AC162" s="6"/>
      <c r="AD162" s="6"/>
      <c r="AE162" s="0"/>
    </row>
    <row r="163" customFormat="false" ht="12.75" hidden="false" customHeight="false" outlineLevel="1" collapsed="false">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0"/>
    </row>
    <row r="164" customFormat="false" ht="12.75" hidden="false" customHeight="false" outlineLevel="1" collapsed="false">
      <c r="A164" s="30" t="s">
        <v>27</v>
      </c>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0"/>
    </row>
    <row r="165" customFormat="false" ht="12.75" hidden="false" customHeight="false" outlineLevel="1" collapsed="false">
      <c r="A165" s="34" t="n">
        <v>36257</v>
      </c>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0"/>
    </row>
    <row r="166" customFormat="false" ht="12.75" hidden="false" customHeight="false" outlineLevel="1" collapsed="false">
      <c r="A166" s="11" t="s">
        <v>3</v>
      </c>
      <c r="B166" s="12" t="n">
        <v>55173.7463942895</v>
      </c>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0"/>
    </row>
    <row r="167" customFormat="false" ht="12.75" hidden="false" customHeight="false" outlineLevel="1" collapsed="false">
      <c r="A167" s="13" t="s">
        <v>4</v>
      </c>
      <c r="B167" s="14" t="n">
        <v>89269.1999189185</v>
      </c>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0"/>
    </row>
    <row r="168" customFormat="false" ht="12.75" hidden="false" customHeight="false" outlineLevel="1" collapsed="false">
      <c r="A168" s="15" t="s">
        <v>5</v>
      </c>
      <c r="B168" s="16" t="s">
        <v>6</v>
      </c>
      <c r="C168" s="16" t="s">
        <v>7</v>
      </c>
      <c r="D168" s="17" t="n">
        <v>2000</v>
      </c>
      <c r="E168" s="18" t="n">
        <v>2001</v>
      </c>
      <c r="F168" s="18" t="n">
        <v>2002</v>
      </c>
      <c r="G168" s="18" t="n">
        <v>2003</v>
      </c>
      <c r="H168" s="18" t="n">
        <v>2004</v>
      </c>
      <c r="I168" s="18" t="n">
        <v>2005</v>
      </c>
      <c r="J168" s="18" t="n">
        <v>2006</v>
      </c>
      <c r="K168" s="18" t="n">
        <v>2007</v>
      </c>
      <c r="L168" s="18" t="n">
        <v>2008</v>
      </c>
      <c r="M168" s="18" t="n">
        <v>2009</v>
      </c>
      <c r="N168" s="19" t="n">
        <v>2010</v>
      </c>
      <c r="O168" s="20" t="n">
        <v>2011</v>
      </c>
      <c r="P168" s="20" t="n">
        <v>2012</v>
      </c>
      <c r="Q168" s="20" t="n">
        <v>2013</v>
      </c>
      <c r="R168" s="20" t="n">
        <v>2014</v>
      </c>
      <c r="S168" s="20" t="n">
        <v>2015</v>
      </c>
      <c r="T168" s="20" t="n">
        <v>2016</v>
      </c>
      <c r="U168" s="20" t="n">
        <v>2017</v>
      </c>
      <c r="V168" s="20" t="n">
        <v>2018</v>
      </c>
      <c r="W168" s="20" t="n">
        <v>2019</v>
      </c>
      <c r="X168" s="20" t="n">
        <v>2020</v>
      </c>
      <c r="Y168" s="6"/>
      <c r="Z168" s="6"/>
      <c r="AA168" s="6"/>
      <c r="AB168" s="6"/>
      <c r="AC168" s="6"/>
      <c r="AD168" s="6"/>
      <c r="AE168" s="0"/>
    </row>
    <row r="169" customFormat="false" ht="12.75" hidden="false" customHeight="false" outlineLevel="1" collapsed="false">
      <c r="A169" s="15" t="s">
        <v>8</v>
      </c>
      <c r="B169" s="21" t="n">
        <f aca="false">NPV(0.1,D169:Y169)</f>
        <v>446264.542045743</v>
      </c>
      <c r="C169" s="21" t="n">
        <f aca="false">B169-B159</f>
        <v>0</v>
      </c>
      <c r="D169" s="22" t="n">
        <v>25189.7623426675</v>
      </c>
      <c r="E169" s="23" t="n">
        <v>35376.433791805</v>
      </c>
      <c r="F169" s="23" t="n">
        <v>35645.33216578</v>
      </c>
      <c r="G169" s="23" t="n">
        <v>45529.9443235309</v>
      </c>
      <c r="H169" s="23" t="n">
        <v>53562.8879447647</v>
      </c>
      <c r="I169" s="23" t="n">
        <v>54768.6363149817</v>
      </c>
      <c r="J169" s="23" t="n">
        <v>55804.9951301439</v>
      </c>
      <c r="K169" s="23" t="n">
        <v>56945.2833214838</v>
      </c>
      <c r="L169" s="23" t="n">
        <v>58187.519046011</v>
      </c>
      <c r="M169" s="23" t="n">
        <v>59535.8004616118</v>
      </c>
      <c r="N169" s="24" t="n">
        <v>61016.3948582836</v>
      </c>
      <c r="O169" s="25" t="n">
        <v>62490.4739652124</v>
      </c>
      <c r="P169" s="25" t="n">
        <v>64091.6919056293</v>
      </c>
      <c r="Q169" s="25" t="n">
        <v>65758.1756704931</v>
      </c>
      <c r="R169" s="25" t="n">
        <v>67483.4907823441</v>
      </c>
      <c r="S169" s="25" t="n">
        <v>69236.1881636516</v>
      </c>
      <c r="T169" s="25" t="n">
        <v>70857.9112356721</v>
      </c>
      <c r="U169" s="25" t="n">
        <v>72647.372912228</v>
      </c>
      <c r="V169" s="25" t="n">
        <v>74205.2100504847</v>
      </c>
      <c r="W169" s="25" t="n">
        <v>75758.3951473325</v>
      </c>
      <c r="X169" s="25" t="n">
        <v>76682.6789338592</v>
      </c>
      <c r="Y169" s="6"/>
      <c r="Z169" s="6"/>
      <c r="AA169" s="6"/>
      <c r="AB169" s="6"/>
      <c r="AC169" s="6"/>
      <c r="AD169" s="6"/>
      <c r="AE169" s="0"/>
    </row>
    <row r="170" customFormat="false" ht="12.75" hidden="false" customHeight="false" outlineLevel="1" collapsed="false">
      <c r="A170" s="26" t="s">
        <v>9</v>
      </c>
      <c r="B170" s="21" t="n">
        <f aca="false">NPV(0.1,D170:Y170)</f>
        <v>206542.328904514</v>
      </c>
      <c r="C170" s="21" t="n">
        <f aca="false">B170-B160</f>
        <v>1731.65314396829</v>
      </c>
      <c r="D170" s="22" t="n">
        <v>15993.497789611</v>
      </c>
      <c r="E170" s="23" t="n">
        <v>20294.9180952652</v>
      </c>
      <c r="F170" s="23" t="n">
        <v>20664.940998344</v>
      </c>
      <c r="G170" s="23" t="n">
        <v>20972.2887848715</v>
      </c>
      <c r="H170" s="23" t="n">
        <v>21346.1493552173</v>
      </c>
      <c r="I170" s="23" t="n">
        <v>21792.4248355813</v>
      </c>
      <c r="J170" s="23" t="n">
        <v>22308.8149980983</v>
      </c>
      <c r="K170" s="23" t="n">
        <v>22928.4171079658</v>
      </c>
      <c r="L170" s="23" t="n">
        <v>23651.7135482511</v>
      </c>
      <c r="M170" s="23" t="n">
        <v>24481.2943021477</v>
      </c>
      <c r="N170" s="24" t="n">
        <v>25980.9473223609</v>
      </c>
      <c r="O170" s="25" t="n">
        <v>27053.1556564311</v>
      </c>
      <c r="P170" s="25" t="n">
        <v>28262.2007804001</v>
      </c>
      <c r="Q170" s="25" t="n">
        <v>29550.221046307</v>
      </c>
      <c r="R170" s="25" t="n">
        <v>30910.8434912764</v>
      </c>
      <c r="S170" s="25" t="n">
        <v>32313.7328048512</v>
      </c>
      <c r="T170" s="25" t="n">
        <v>33770.8362859428</v>
      </c>
      <c r="U170" s="25" t="n">
        <v>35424.1642059371</v>
      </c>
      <c r="V170" s="25" t="n">
        <v>36875.0967296931</v>
      </c>
      <c r="W170" s="25" t="n">
        <v>38352.429523006</v>
      </c>
      <c r="X170" s="25" t="n">
        <v>39232.8195697742</v>
      </c>
      <c r="Y170" s="6"/>
      <c r="Z170" s="6"/>
      <c r="AA170" s="6"/>
      <c r="AB170" s="6"/>
      <c r="AC170" s="6"/>
      <c r="AD170" s="6"/>
      <c r="AE170" s="0"/>
    </row>
    <row r="171" customFormat="false" ht="12.75" hidden="false" customHeight="false" outlineLevel="1" collapsed="false">
      <c r="A171" s="26" t="s">
        <v>10</v>
      </c>
      <c r="B171" s="21" t="n">
        <f aca="false">NPV(0.1,D171:Y171)</f>
        <v>84046.8051230606</v>
      </c>
      <c r="C171" s="21" t="n">
        <f aca="false">B171-B161</f>
        <v>-793.315926566487</v>
      </c>
      <c r="D171" s="22" t="n">
        <v>310.071967771459</v>
      </c>
      <c r="E171" s="23" t="n">
        <v>156.001772656506</v>
      </c>
      <c r="F171" s="23" t="n">
        <v>163.981269777742</v>
      </c>
      <c r="G171" s="23" t="n">
        <v>6256.7208199526</v>
      </c>
      <c r="H171" s="23" t="n">
        <v>11067.6606604644</v>
      </c>
      <c r="I171" s="23" t="n">
        <v>11816.1431287733</v>
      </c>
      <c r="J171" s="23" t="n">
        <v>12406.2185670871</v>
      </c>
      <c r="K171" s="23" t="n">
        <v>12933.9425896945</v>
      </c>
      <c r="L171" s="23" t="n">
        <v>13486.9490773062</v>
      </c>
      <c r="M171" s="23" t="n">
        <v>14068.2616609509</v>
      </c>
      <c r="N171" s="24" t="n">
        <v>14342.3153106651</v>
      </c>
      <c r="O171" s="25" t="n">
        <v>14903.4310255946</v>
      </c>
      <c r="P171" s="25" t="n">
        <v>15491.1171383656</v>
      </c>
      <c r="Q171" s="25" t="n">
        <v>16105.2730830756</v>
      </c>
      <c r="R171" s="25" t="n">
        <v>16748.3947766697</v>
      </c>
      <c r="S171" s="25" t="n">
        <v>17422.5183299677</v>
      </c>
      <c r="T171" s="25" t="n">
        <v>18023.5390491722</v>
      </c>
      <c r="U171" s="25" t="n">
        <v>18649.7306190161</v>
      </c>
      <c r="V171" s="25" t="n">
        <v>19303.5059781991</v>
      </c>
      <c r="W171" s="25" t="n">
        <v>19986.8150066263</v>
      </c>
      <c r="X171" s="25" t="n">
        <v>20729.5531323291</v>
      </c>
      <c r="Y171" s="6"/>
      <c r="Z171" s="6"/>
      <c r="AA171" s="6"/>
      <c r="AB171" s="6"/>
      <c r="AC171" s="6"/>
      <c r="AD171" s="6"/>
      <c r="AE171" s="0"/>
    </row>
    <row r="172" customFormat="false" ht="12.75" hidden="false" customHeight="false" outlineLevel="1" collapsed="false">
      <c r="A172" s="26" t="s">
        <v>11</v>
      </c>
      <c r="B172" s="21" t="n">
        <f aca="false">NPV(0.1,D172:Y172)</f>
        <v>97346.7432871451</v>
      </c>
      <c r="C172" s="21" t="n">
        <f aca="false">B172-B162</f>
        <v>-477.682153528178</v>
      </c>
      <c r="D172" s="27" t="n">
        <v>2073.36505566039</v>
      </c>
      <c r="E172" s="28" t="n">
        <v>4044.73551682966</v>
      </c>
      <c r="F172" s="28" t="n">
        <v>3430.90824993497</v>
      </c>
      <c r="G172" s="28" t="n">
        <v>14674.8680723972</v>
      </c>
      <c r="H172" s="28" t="n">
        <v>19103.549466314</v>
      </c>
      <c r="I172" s="28" t="n">
        <v>17510.7826056981</v>
      </c>
      <c r="J172" s="28" t="n">
        <v>14119.0267997722</v>
      </c>
      <c r="K172" s="28" t="n">
        <v>14101.4226821388</v>
      </c>
      <c r="L172" s="28" t="n">
        <v>14057.0439085212</v>
      </c>
      <c r="M172" s="28" t="n">
        <v>14003.5756842724</v>
      </c>
      <c r="N172" s="29" t="n">
        <v>14345.0319863223</v>
      </c>
      <c r="O172" s="25" t="n">
        <v>13664.0638736152</v>
      </c>
      <c r="P172" s="25" t="n">
        <v>13516.6182984695</v>
      </c>
      <c r="Q172" s="25" t="n">
        <v>13358.019720675</v>
      </c>
      <c r="R172" s="25" t="n">
        <v>13159.9003141079</v>
      </c>
      <c r="S172" s="25" t="n">
        <v>11262.9644615043</v>
      </c>
      <c r="T172" s="25" t="n">
        <v>9298.86578560746</v>
      </c>
      <c r="U172" s="25" t="n">
        <v>8978.37942868735</v>
      </c>
      <c r="V172" s="25" t="n">
        <v>8621.1557416246</v>
      </c>
      <c r="W172" s="25" t="n">
        <v>14026.4002859806</v>
      </c>
      <c r="X172" s="25" t="n">
        <v>23848.6731898008</v>
      </c>
      <c r="Y172" s="6"/>
      <c r="Z172" s="6"/>
      <c r="AA172" s="6"/>
      <c r="AB172" s="6"/>
      <c r="AC172" s="6"/>
      <c r="AD172" s="6"/>
      <c r="AE172" s="0"/>
    </row>
    <row r="173" customFormat="false" ht="12.75" hidden="false" customHeight="false" outlineLevel="1" collapsed="false">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0"/>
    </row>
    <row r="174" customFormat="false" ht="12.75" hidden="false" customHeight="false" outlineLevel="1" collapsed="false">
      <c r="A174" s="30" t="s">
        <v>28</v>
      </c>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0"/>
    </row>
    <row r="175" customFormat="false" ht="12.75" hidden="false" customHeight="false" outlineLevel="1" collapsed="false">
      <c r="A175" s="34" t="n">
        <v>36258</v>
      </c>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0"/>
    </row>
    <row r="176" customFormat="false" ht="12.75" hidden="false" customHeight="false" outlineLevel="1" collapsed="false">
      <c r="A176" s="11" t="s">
        <v>3</v>
      </c>
      <c r="B176" s="12" t="n">
        <v>50631.4580392077</v>
      </c>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0"/>
    </row>
    <row r="177" customFormat="false" ht="12.75" hidden="false" customHeight="false" outlineLevel="1" collapsed="false">
      <c r="A177" s="13" t="s">
        <v>4</v>
      </c>
      <c r="B177" s="14" t="n">
        <v>83326.0016724562</v>
      </c>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0"/>
    </row>
    <row r="178" customFormat="false" ht="12.75" hidden="false" customHeight="false" outlineLevel="1" collapsed="false">
      <c r="A178" s="15" t="s">
        <v>5</v>
      </c>
      <c r="B178" s="16" t="s">
        <v>6</v>
      </c>
      <c r="C178" s="16" t="s">
        <v>7</v>
      </c>
      <c r="D178" s="17" t="n">
        <v>2000</v>
      </c>
      <c r="E178" s="18" t="n">
        <v>2001</v>
      </c>
      <c r="F178" s="18" t="n">
        <v>2002</v>
      </c>
      <c r="G178" s="18" t="n">
        <v>2003</v>
      </c>
      <c r="H178" s="18" t="n">
        <v>2004</v>
      </c>
      <c r="I178" s="18" t="n">
        <v>2005</v>
      </c>
      <c r="J178" s="18" t="n">
        <v>2006</v>
      </c>
      <c r="K178" s="18" t="n">
        <v>2007</v>
      </c>
      <c r="L178" s="18" t="n">
        <v>2008</v>
      </c>
      <c r="M178" s="18" t="n">
        <v>2009</v>
      </c>
      <c r="N178" s="19" t="n">
        <v>2010</v>
      </c>
      <c r="O178" s="20" t="n">
        <v>2011</v>
      </c>
      <c r="P178" s="20" t="n">
        <v>2012</v>
      </c>
      <c r="Q178" s="20" t="n">
        <v>2013</v>
      </c>
      <c r="R178" s="20" t="n">
        <v>2014</v>
      </c>
      <c r="S178" s="20" t="n">
        <v>2015</v>
      </c>
      <c r="T178" s="20" t="n">
        <v>2016</v>
      </c>
      <c r="U178" s="20" t="n">
        <v>2017</v>
      </c>
      <c r="V178" s="20" t="n">
        <v>2018</v>
      </c>
      <c r="W178" s="20" t="n">
        <v>2019</v>
      </c>
      <c r="X178" s="20" t="n">
        <v>2020</v>
      </c>
      <c r="Y178" s="6"/>
      <c r="Z178" s="6"/>
      <c r="AA178" s="6"/>
      <c r="AB178" s="6"/>
      <c r="AC178" s="6"/>
      <c r="AD178" s="6"/>
      <c r="AE178" s="0"/>
    </row>
    <row r="179" customFormat="false" ht="12.75" hidden="false" customHeight="false" outlineLevel="1" collapsed="false">
      <c r="A179" s="15" t="s">
        <v>8</v>
      </c>
      <c r="B179" s="21" t="n">
        <f aca="false">NPV(0.1,D179:Y179)</f>
        <v>446264.542045743</v>
      </c>
      <c r="C179" s="21" t="n">
        <f aca="false">B179-B169</f>
        <v>0</v>
      </c>
      <c r="D179" s="22" t="n">
        <v>25189.7623426675</v>
      </c>
      <c r="E179" s="23" t="n">
        <v>35376.433791805</v>
      </c>
      <c r="F179" s="23" t="n">
        <v>35645.33216578</v>
      </c>
      <c r="G179" s="23" t="n">
        <v>45529.9443235309</v>
      </c>
      <c r="H179" s="23" t="n">
        <v>53562.8879447647</v>
      </c>
      <c r="I179" s="23" t="n">
        <v>54768.6363149817</v>
      </c>
      <c r="J179" s="23" t="n">
        <v>55804.9951301439</v>
      </c>
      <c r="K179" s="23" t="n">
        <v>56945.2833214838</v>
      </c>
      <c r="L179" s="23" t="n">
        <v>58187.519046011</v>
      </c>
      <c r="M179" s="23" t="n">
        <v>59535.8004616118</v>
      </c>
      <c r="N179" s="24" t="n">
        <v>61016.3948582836</v>
      </c>
      <c r="O179" s="25" t="n">
        <v>62490.4739652124</v>
      </c>
      <c r="P179" s="25" t="n">
        <v>64091.6919056293</v>
      </c>
      <c r="Q179" s="25" t="n">
        <v>65758.1756704931</v>
      </c>
      <c r="R179" s="25" t="n">
        <v>67483.4907823441</v>
      </c>
      <c r="S179" s="25" t="n">
        <v>69236.1881636516</v>
      </c>
      <c r="T179" s="25" t="n">
        <v>70857.9112356721</v>
      </c>
      <c r="U179" s="25" t="n">
        <v>72647.372912228</v>
      </c>
      <c r="V179" s="25" t="n">
        <v>74205.2100504847</v>
      </c>
      <c r="W179" s="25" t="n">
        <v>75758.3951473325</v>
      </c>
      <c r="X179" s="25" t="n">
        <v>76682.6789338592</v>
      </c>
      <c r="Y179" s="6"/>
      <c r="Z179" s="6"/>
      <c r="AA179" s="6"/>
      <c r="AB179" s="6"/>
      <c r="AC179" s="6"/>
      <c r="AD179" s="6"/>
      <c r="AE179" s="0"/>
    </row>
    <row r="180" customFormat="false" ht="12.75" hidden="false" customHeight="false" outlineLevel="1" collapsed="false">
      <c r="A180" s="26" t="s">
        <v>9</v>
      </c>
      <c r="B180" s="21" t="n">
        <f aca="false">NPV(0.1,D180:Y180)</f>
        <v>212475.450526723</v>
      </c>
      <c r="C180" s="21" t="n">
        <f aca="false">B180-B170</f>
        <v>5933.12162220929</v>
      </c>
      <c r="D180" s="22" t="n">
        <v>16329.0031229443</v>
      </c>
      <c r="E180" s="23" t="n">
        <v>20887.3246552652</v>
      </c>
      <c r="F180" s="23" t="n">
        <v>21275.119755144</v>
      </c>
      <c r="G180" s="23" t="n">
        <v>21600.7729043755</v>
      </c>
      <c r="H180" s="23" t="n">
        <v>21993.4879983064</v>
      </c>
      <c r="I180" s="23" t="n">
        <v>22459.1836379631</v>
      </c>
      <c r="J180" s="23" t="n">
        <v>22995.5765645516</v>
      </c>
      <c r="K180" s="23" t="n">
        <v>23635.7815214126</v>
      </c>
      <c r="L180" s="23" t="n">
        <v>24380.2988941014</v>
      </c>
      <c r="M180" s="23" t="n">
        <v>25231.7372083734</v>
      </c>
      <c r="N180" s="24" t="n">
        <v>26753.9035157735</v>
      </c>
      <c r="O180" s="25" t="n">
        <v>27849.300535646</v>
      </c>
      <c r="P180" s="25" t="n">
        <v>29082.2300059914</v>
      </c>
      <c r="Q180" s="25" t="n">
        <v>30394.8511486661</v>
      </c>
      <c r="R180" s="25" t="n">
        <v>31780.8124967063</v>
      </c>
      <c r="S180" s="25" t="n">
        <v>33209.800880444</v>
      </c>
      <c r="T180" s="25" t="n">
        <v>34693.7864038033</v>
      </c>
      <c r="U180" s="25" t="n">
        <v>36374.8028273334</v>
      </c>
      <c r="V180" s="25" t="n">
        <v>37854.2545097314</v>
      </c>
      <c r="W180" s="25" t="n">
        <v>39360.9620364454</v>
      </c>
      <c r="X180" s="25" t="n">
        <v>40271.6080586168</v>
      </c>
      <c r="Y180" s="6"/>
      <c r="Z180" s="6"/>
      <c r="AA180" s="6"/>
      <c r="AB180" s="6"/>
      <c r="AC180" s="6"/>
      <c r="AD180" s="6"/>
      <c r="AE180" s="0"/>
    </row>
    <row r="181" customFormat="false" ht="12.75" hidden="false" customHeight="false" outlineLevel="1" collapsed="false">
      <c r="A181" s="26" t="s">
        <v>10</v>
      </c>
      <c r="B181" s="21" t="n">
        <f aca="false">NPV(0.1,D181:Y181)</f>
        <v>81328.6857967109</v>
      </c>
      <c r="C181" s="21" t="n">
        <f aca="false">B181-B171</f>
        <v>-2718.11932634971</v>
      </c>
      <c r="D181" s="22" t="n">
        <v>194.750685770344</v>
      </c>
      <c r="E181" s="23" t="n">
        <v>-57.5474107787795</v>
      </c>
      <c r="F181" s="23" t="n">
        <v>-70.3548994881319</v>
      </c>
      <c r="G181" s="23" t="n">
        <v>5999.85956573084</v>
      </c>
      <c r="H181" s="23" t="n">
        <v>10797.5167054124</v>
      </c>
      <c r="I181" s="23" t="n">
        <v>11531.8718428099</v>
      </c>
      <c r="J181" s="23" t="n">
        <v>12106.9142893041</v>
      </c>
      <c r="K181" s="23" t="n">
        <v>12618.6339420781</v>
      </c>
      <c r="L181" s="23" t="n">
        <v>13154.5939094415</v>
      </c>
      <c r="M181" s="23" t="n">
        <v>13717.7415963648</v>
      </c>
      <c r="N181" s="24" t="n">
        <v>13972.429863121</v>
      </c>
      <c r="O181" s="25" t="n">
        <v>14512.8912511223</v>
      </c>
      <c r="P181" s="25" t="n">
        <v>15078.538786077</v>
      </c>
      <c r="Q181" s="25" t="n">
        <v>15669.1692048697</v>
      </c>
      <c r="R181" s="25" t="n">
        <v>16287.167752741</v>
      </c>
      <c r="S181" s="25" t="n">
        <v>16934.4512635945</v>
      </c>
      <c r="T181" s="25" t="n">
        <v>17506.786480543</v>
      </c>
      <c r="U181" s="25" t="n">
        <v>18102.3085038421</v>
      </c>
      <c r="V181" s="25" t="n">
        <v>18723.2808725249</v>
      </c>
      <c r="W181" s="25" t="n">
        <v>19371.4923945734</v>
      </c>
      <c r="X181" s="25" t="n">
        <v>20076.6648284494</v>
      </c>
      <c r="Y181" s="6"/>
      <c r="Z181" s="6"/>
      <c r="AA181" s="6"/>
      <c r="AB181" s="6"/>
      <c r="AC181" s="6"/>
      <c r="AD181" s="6"/>
      <c r="AE181" s="0"/>
    </row>
    <row r="182" customFormat="false" ht="12.75" hidden="false" customHeight="false" outlineLevel="0" collapsed="false">
      <c r="A182" s="26" t="s">
        <v>11</v>
      </c>
      <c r="B182" s="21" t="n">
        <f aca="false">NPV(0.1,D182:Y182)</f>
        <v>95710.0723848264</v>
      </c>
      <c r="C182" s="21" t="n">
        <f aca="false">B182-B172</f>
        <v>-1636.67090231874</v>
      </c>
      <c r="D182" s="27" t="n">
        <v>1991.74693130142</v>
      </c>
      <c r="E182" s="28" t="n">
        <v>3900.62122867581</v>
      </c>
      <c r="F182" s="28" t="n">
        <v>3282.47053313651</v>
      </c>
      <c r="G182" s="28" t="n">
        <v>14303.9904700928</v>
      </c>
      <c r="H182" s="28" t="n">
        <v>18721.8509944163</v>
      </c>
      <c r="I182" s="28" t="n">
        <v>17942.1572539939</v>
      </c>
      <c r="J182" s="28" t="n">
        <v>13891.9024919719</v>
      </c>
      <c r="K182" s="28" t="n">
        <v>13872.0268612559</v>
      </c>
      <c r="L182" s="28" t="n">
        <v>13825.6718064553</v>
      </c>
      <c r="M182" s="28" t="n">
        <v>13770.5604600636</v>
      </c>
      <c r="N182" s="29" t="n">
        <v>14110.7481895797</v>
      </c>
      <c r="O182" s="25" t="n">
        <v>13428.9311978983</v>
      </c>
      <c r="P182" s="25" t="n">
        <v>13281.1056482032</v>
      </c>
      <c r="Q182" s="25" t="n">
        <v>13122.6496170807</v>
      </c>
      <c r="R182" s="25" t="n">
        <v>12925.25366768</v>
      </c>
      <c r="S182" s="25" t="n">
        <v>11029.6857407799</v>
      </c>
      <c r="T182" s="25" t="n">
        <v>9067.66861436525</v>
      </c>
      <c r="U182" s="25" t="n">
        <v>8750.05264630015</v>
      </c>
      <c r="V182" s="25" t="n">
        <v>8396.56996407744</v>
      </c>
      <c r="W182" s="25" t="n">
        <v>13578.6663311605</v>
      </c>
      <c r="X182" s="25" t="n">
        <v>23188.2647065047</v>
      </c>
      <c r="Y182" s="6"/>
      <c r="Z182" s="6"/>
      <c r="AA182" s="6"/>
      <c r="AB182" s="6"/>
      <c r="AC182" s="6"/>
      <c r="AD182" s="6"/>
      <c r="AE182" s="0"/>
    </row>
    <row r="183" customFormat="false" ht="12.75" hidden="false" customHeight="false" outlineLevel="0" collapsed="false">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0"/>
    </row>
    <row r="184" customFormat="false" ht="12.75" hidden="false" customHeight="false" outlineLevel="0" collapsed="false">
      <c r="A184" s="30" t="s">
        <v>29</v>
      </c>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0"/>
    </row>
    <row r="185" customFormat="false" ht="12.75" hidden="false" customHeight="false" outlineLevel="0" collapsed="false">
      <c r="A185" s="34" t="n">
        <v>36258</v>
      </c>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0"/>
    </row>
    <row r="186" customFormat="false" ht="12.75" hidden="false" customHeight="false" outlineLevel="0" collapsed="false">
      <c r="A186" s="11" t="s">
        <v>3</v>
      </c>
      <c r="B186" s="12" t="n">
        <v>51736.6461312964</v>
      </c>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0"/>
    </row>
    <row r="187" customFormat="false" ht="12.75" hidden="false" customHeight="false" outlineLevel="0" collapsed="false">
      <c r="A187" s="13" t="s">
        <v>4</v>
      </c>
      <c r="B187" s="14" t="n">
        <v>84846.6742678483</v>
      </c>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0"/>
    </row>
    <row r="188" customFormat="false" ht="12.75" hidden="false" customHeight="false" outlineLevel="0" collapsed="false">
      <c r="A188" s="15" t="s">
        <v>5</v>
      </c>
      <c r="B188" s="16" t="s">
        <v>6</v>
      </c>
      <c r="C188" s="16" t="s">
        <v>7</v>
      </c>
      <c r="D188" s="17" t="n">
        <v>2000</v>
      </c>
      <c r="E188" s="18" t="n">
        <v>2001</v>
      </c>
      <c r="F188" s="18" t="n">
        <v>2002</v>
      </c>
      <c r="G188" s="18" t="n">
        <v>2003</v>
      </c>
      <c r="H188" s="18" t="n">
        <v>2004</v>
      </c>
      <c r="I188" s="18" t="n">
        <v>2005</v>
      </c>
      <c r="J188" s="18" t="n">
        <v>2006</v>
      </c>
      <c r="K188" s="18" t="n">
        <v>2007</v>
      </c>
      <c r="L188" s="18" t="n">
        <v>2008</v>
      </c>
      <c r="M188" s="18" t="n">
        <v>2009</v>
      </c>
      <c r="N188" s="19" t="n">
        <v>2010</v>
      </c>
      <c r="O188" s="20" t="n">
        <v>2011</v>
      </c>
      <c r="P188" s="20" t="n">
        <v>2012</v>
      </c>
      <c r="Q188" s="20" t="n">
        <v>2013</v>
      </c>
      <c r="R188" s="20" t="n">
        <v>2014</v>
      </c>
      <c r="S188" s="20" t="n">
        <v>2015</v>
      </c>
      <c r="T188" s="20" t="n">
        <v>2016</v>
      </c>
      <c r="U188" s="20" t="n">
        <v>2017</v>
      </c>
      <c r="V188" s="20" t="n">
        <v>2018</v>
      </c>
      <c r="W188" s="20" t="n">
        <v>2019</v>
      </c>
      <c r="X188" s="20" t="n">
        <v>2020</v>
      </c>
      <c r="Y188" s="6"/>
      <c r="Z188" s="6"/>
      <c r="AA188" s="6"/>
      <c r="AB188" s="6"/>
      <c r="AC188" s="6"/>
      <c r="AD188" s="6"/>
      <c r="AE188" s="0"/>
    </row>
    <row r="189" customFormat="false" ht="12.75" hidden="false" customHeight="false" outlineLevel="0" collapsed="false">
      <c r="A189" s="15" t="s">
        <v>8</v>
      </c>
      <c r="B189" s="21" t="n">
        <f aca="false">NPV(0.1,D189:Y189)</f>
        <v>448587.125630728</v>
      </c>
      <c r="C189" s="21" t="n">
        <f aca="false">B189-B179</f>
        <v>2322.58358498471</v>
      </c>
      <c r="D189" s="22" t="n">
        <v>25319.2387272738</v>
      </c>
      <c r="E189" s="23" t="n">
        <v>35559.7588339425</v>
      </c>
      <c r="F189" s="23" t="n">
        <v>35829.96321573</v>
      </c>
      <c r="G189" s="23" t="n">
        <v>45766.9210592276</v>
      </c>
      <c r="H189" s="23" t="n">
        <v>53842.3749641973</v>
      </c>
      <c r="I189" s="23" t="n">
        <v>55054.3882650197</v>
      </c>
      <c r="J189" s="23" t="n">
        <v>56096.1054993884</v>
      </c>
      <c r="K189" s="23" t="n">
        <v>57242.2940927379</v>
      </c>
      <c r="L189" s="23" t="n">
        <v>58490.9616771286</v>
      </c>
      <c r="M189" s="23" t="n">
        <v>59846.2277805835</v>
      </c>
      <c r="N189" s="24" t="n">
        <v>61334.4973724432</v>
      </c>
      <c r="O189" s="25" t="n">
        <v>62816.204674786</v>
      </c>
      <c r="P189" s="25" t="n">
        <v>64425.7133443352</v>
      </c>
      <c r="Q189" s="25" t="n">
        <v>66100.8255690392</v>
      </c>
      <c r="R189" s="25" t="n">
        <v>67835.072929349</v>
      </c>
      <c r="S189" s="25" t="n">
        <v>69596.8411556877</v>
      </c>
      <c r="T189" s="25" t="n">
        <v>71226.9322184566</v>
      </c>
      <c r="U189" s="25" t="n">
        <v>73025.6358607209</v>
      </c>
      <c r="V189" s="25" t="n">
        <v>74591.4933759245</v>
      </c>
      <c r="W189" s="25" t="n">
        <v>76152.6678617835</v>
      </c>
      <c r="X189" s="25" t="n">
        <v>77081.634565422</v>
      </c>
      <c r="Y189" s="6"/>
      <c r="Z189" s="6"/>
      <c r="AA189" s="6"/>
      <c r="AB189" s="6"/>
      <c r="AC189" s="6"/>
      <c r="AD189" s="6"/>
      <c r="AE189" s="0"/>
    </row>
    <row r="190" customFormat="false" ht="12.75" hidden="false" customHeight="false" outlineLevel="0" collapsed="false">
      <c r="A190" s="26" t="s">
        <v>9</v>
      </c>
      <c r="B190" s="21" t="n">
        <f aca="false">NPV(0.1,D190:Y190)</f>
        <v>213292.818884705</v>
      </c>
      <c r="C190" s="21" t="n">
        <f aca="false">B190-B180</f>
        <v>817.368357982225</v>
      </c>
      <c r="D190" s="22" t="n">
        <v>16397.749259569</v>
      </c>
      <c r="E190" s="23" t="n">
        <v>20966.5674309667</v>
      </c>
      <c r="F190" s="23" t="n">
        <v>21355.696070665</v>
      </c>
      <c r="G190" s="23" t="n">
        <v>21682.3373154351</v>
      </c>
      <c r="H190" s="23" t="n">
        <v>22076.3617172867</v>
      </c>
      <c r="I190" s="23" t="n">
        <v>22543.7286617191</v>
      </c>
      <c r="J190" s="23" t="n">
        <v>23082.1316324843</v>
      </c>
      <c r="K190" s="23" t="n">
        <v>23724.8688000571</v>
      </c>
      <c r="L190" s="23" t="n">
        <v>24472.4318496047</v>
      </c>
      <c r="M190" s="23" t="n">
        <v>25327.4526288894</v>
      </c>
      <c r="N190" s="24" t="n">
        <v>26853.8779539733</v>
      </c>
      <c r="O190" s="25" t="n">
        <v>27954.2542455225</v>
      </c>
      <c r="P190" s="25" t="n">
        <v>29192.8629011071</v>
      </c>
      <c r="Q190" s="25" t="n">
        <v>30511.5429663949</v>
      </c>
      <c r="R190" s="25" t="n">
        <v>31903.9139031225</v>
      </c>
      <c r="S190" s="25" t="n">
        <v>33339.5024748064</v>
      </c>
      <c r="T190" s="25" t="n">
        <v>34830.345780688</v>
      </c>
      <c r="U190" s="25" t="n">
        <v>36519.2112054647</v>
      </c>
      <c r="V190" s="25" t="n">
        <v>38005.4159379252</v>
      </c>
      <c r="W190" s="25" t="n">
        <v>39518.9799562664</v>
      </c>
      <c r="X190" s="25" t="n">
        <v>40433.3196340302</v>
      </c>
      <c r="Y190" s="6"/>
      <c r="Z190" s="6"/>
      <c r="AA190" s="6"/>
      <c r="AB190" s="6"/>
      <c r="AC190" s="6"/>
      <c r="AD190" s="6"/>
      <c r="AE190" s="0"/>
    </row>
    <row r="191" customFormat="false" ht="12.75" hidden="false" customHeight="false" outlineLevel="0" collapsed="false">
      <c r="A191" s="26" t="s">
        <v>10</v>
      </c>
      <c r="B191" s="21" t="n">
        <f aca="false">NPV(0.1,D191:Y191)</f>
        <v>82009.94255301</v>
      </c>
      <c r="C191" s="21" t="n">
        <f aca="false">B191-B181</f>
        <v>681.256756299103</v>
      </c>
      <c r="D191" s="22" t="n">
        <v>209.561064752781</v>
      </c>
      <c r="E191" s="23" t="n">
        <v>-31.737925267053</v>
      </c>
      <c r="F191" s="23" t="n">
        <v>-43.7805813189442</v>
      </c>
      <c r="G191" s="23" t="n">
        <v>6059.55434434937</v>
      </c>
      <c r="H191" s="23" t="n">
        <v>10883.155128054</v>
      </c>
      <c r="I191" s="23" t="n">
        <v>11621.2681385555</v>
      </c>
      <c r="J191" s="23" t="n">
        <v>12199.4467130316</v>
      </c>
      <c r="K191" s="23" t="n">
        <v>12714.4639920502</v>
      </c>
      <c r="L191" s="23" t="n">
        <v>13253.8942542813</v>
      </c>
      <c r="M191" s="23" t="n">
        <v>13820.6969441678</v>
      </c>
      <c r="N191" s="24" t="n">
        <v>14079.2379001989</v>
      </c>
      <c r="O191" s="25" t="n">
        <v>14623.2740574144</v>
      </c>
      <c r="P191" s="25" t="n">
        <v>15192.6782778871</v>
      </c>
      <c r="Q191" s="25" t="n">
        <v>15787.2600807779</v>
      </c>
      <c r="R191" s="25" t="n">
        <v>16409.4185035835</v>
      </c>
      <c r="S191" s="25" t="n">
        <v>17061.0852640784</v>
      </c>
      <c r="T191" s="25" t="n">
        <v>17637.4755901687</v>
      </c>
      <c r="U191" s="25" t="n">
        <v>18237.2575069099</v>
      </c>
      <c r="V191" s="25" t="n">
        <v>18862.7092266631</v>
      </c>
      <c r="W191" s="25" t="n">
        <v>19515.6354097014</v>
      </c>
      <c r="X191" s="25" t="n">
        <v>20225.7749419024</v>
      </c>
      <c r="Y191" s="6"/>
      <c r="Z191" s="6"/>
      <c r="AA191" s="6"/>
      <c r="AB191" s="6"/>
      <c r="AC191" s="6"/>
      <c r="AD191" s="6"/>
      <c r="AE191" s="0"/>
    </row>
    <row r="192" customFormat="false" ht="12.75" hidden="false" customHeight="false" outlineLevel="0" collapsed="false">
      <c r="A192" s="26" t="s">
        <v>11</v>
      </c>
      <c r="B192" s="21" t="n">
        <f aca="false">NPV(0.1,D192:Y192)</f>
        <v>96096.4802068133</v>
      </c>
      <c r="C192" s="21" t="n">
        <f aca="false">B192-B182</f>
        <v>386.40782198697</v>
      </c>
      <c r="D192" s="27" t="n">
        <v>2031.11488012432</v>
      </c>
      <c r="E192" s="28" t="n">
        <v>3874.43044707007</v>
      </c>
      <c r="F192" s="28" t="n">
        <v>3259.49983432833</v>
      </c>
      <c r="G192" s="28" t="n">
        <v>14372.3735600604</v>
      </c>
      <c r="H192" s="28" t="n">
        <v>18837.5860144918</v>
      </c>
      <c r="I192" s="28" t="n">
        <v>17915.0965591052</v>
      </c>
      <c r="J192" s="28" t="n">
        <v>13957.365166159</v>
      </c>
      <c r="K192" s="28" t="n">
        <v>13937.4204506505</v>
      </c>
      <c r="L192" s="28" t="n">
        <v>13890.8956909423</v>
      </c>
      <c r="M192" s="28" t="n">
        <v>13835.5050398078</v>
      </c>
      <c r="N192" s="29" t="n">
        <v>14175.2941964253</v>
      </c>
      <c r="O192" s="25" t="n">
        <v>13492.7883799585</v>
      </c>
      <c r="P192" s="25" t="n">
        <v>13344.1334911394</v>
      </c>
      <c r="Q192" s="25" t="n">
        <v>13184.6965081607</v>
      </c>
      <c r="R192" s="25" t="n">
        <v>12986.1560933395</v>
      </c>
      <c r="S192" s="25" t="n">
        <v>11089.2674249856</v>
      </c>
      <c r="T192" s="25" t="n">
        <v>9125.5534435918</v>
      </c>
      <c r="U192" s="25" t="n">
        <v>8806.03640410414</v>
      </c>
      <c r="V192" s="25" t="n">
        <v>8450.433805668</v>
      </c>
      <c r="W192" s="25" t="n">
        <v>13670.2074182278</v>
      </c>
      <c r="X192" s="25" t="n">
        <v>23339.0923186467</v>
      </c>
      <c r="Y192" s="6"/>
      <c r="Z192" s="6"/>
      <c r="AA192" s="6"/>
      <c r="AB192" s="6"/>
      <c r="AC192" s="6"/>
      <c r="AD192" s="6"/>
      <c r="AE192" s="0"/>
    </row>
    <row r="193" customFormat="false" ht="12.75" hidden="false" customHeight="false" outlineLevel="0" collapsed="false">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0"/>
    </row>
    <row r="194" customFormat="false" ht="12.75" hidden="false" customHeight="false" outlineLevel="0" collapsed="false">
      <c r="A194" s="30" t="s">
        <v>30</v>
      </c>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0"/>
    </row>
    <row r="195" customFormat="false" ht="12.75" hidden="false" customHeight="false" outlineLevel="0" collapsed="false">
      <c r="A195" s="34" t="n">
        <v>36260</v>
      </c>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0"/>
    </row>
    <row r="196" customFormat="false" ht="12.75" hidden="false" customHeight="false" outlineLevel="0" collapsed="false">
      <c r="A196" s="11" t="s">
        <v>3</v>
      </c>
      <c r="B196" s="12" t="n">
        <v>51736.6461312964</v>
      </c>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0"/>
    </row>
    <row r="197" customFormat="false" ht="12.75" hidden="false" customHeight="false" outlineLevel="0" collapsed="false">
      <c r="A197" s="13" t="s">
        <v>4</v>
      </c>
      <c r="B197" s="14" t="n">
        <v>84846.6742678484</v>
      </c>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0"/>
    </row>
    <row r="198" customFormat="false" ht="12.75" hidden="false" customHeight="false" outlineLevel="0" collapsed="false">
      <c r="A198" s="15" t="s">
        <v>5</v>
      </c>
      <c r="B198" s="16" t="s">
        <v>6</v>
      </c>
      <c r="C198" s="16" t="s">
        <v>7</v>
      </c>
      <c r="D198" s="17" t="n">
        <v>2000</v>
      </c>
      <c r="E198" s="18" t="n">
        <v>2001</v>
      </c>
      <c r="F198" s="18" t="n">
        <v>2002</v>
      </c>
      <c r="G198" s="18" t="n">
        <v>2003</v>
      </c>
      <c r="H198" s="18" t="n">
        <v>2004</v>
      </c>
      <c r="I198" s="18" t="n">
        <v>2005</v>
      </c>
      <c r="J198" s="18" t="n">
        <v>2006</v>
      </c>
      <c r="K198" s="18" t="n">
        <v>2007</v>
      </c>
      <c r="L198" s="18" t="n">
        <v>2008</v>
      </c>
      <c r="M198" s="18" t="n">
        <v>2009</v>
      </c>
      <c r="N198" s="19" t="n">
        <v>2010</v>
      </c>
      <c r="O198" s="20" t="n">
        <v>2011</v>
      </c>
      <c r="P198" s="20" t="n">
        <v>2012</v>
      </c>
      <c r="Q198" s="20" t="n">
        <v>2013</v>
      </c>
      <c r="R198" s="20" t="n">
        <v>2014</v>
      </c>
      <c r="S198" s="20" t="n">
        <v>2015</v>
      </c>
      <c r="T198" s="20" t="n">
        <v>2016</v>
      </c>
      <c r="U198" s="20" t="n">
        <v>2017</v>
      </c>
      <c r="V198" s="20" t="n">
        <v>2018</v>
      </c>
      <c r="W198" s="20" t="n">
        <v>2019</v>
      </c>
      <c r="X198" s="20" t="n">
        <v>2020</v>
      </c>
      <c r="Y198" s="6"/>
      <c r="Z198" s="6"/>
      <c r="AA198" s="6"/>
      <c r="AB198" s="6"/>
      <c r="AC198" s="6"/>
      <c r="AD198" s="6"/>
      <c r="AE198" s="0"/>
    </row>
    <row r="199" customFormat="false" ht="12.75" hidden="false" customHeight="false" outlineLevel="0" collapsed="false">
      <c r="A199" s="15" t="s">
        <v>8</v>
      </c>
      <c r="B199" s="21" t="n">
        <f aca="false">NPV(0.1,D199:Y199)</f>
        <v>449920.81283257</v>
      </c>
      <c r="C199" s="21" t="n">
        <f aca="false">B199-B189</f>
        <v>1333.68720184197</v>
      </c>
      <c r="D199" s="22" t="n">
        <v>25431.8039130505</v>
      </c>
      <c r="E199" s="23" t="n">
        <v>35689.015720383</v>
      </c>
      <c r="F199" s="23" t="n">
        <v>35961.371851326</v>
      </c>
      <c r="G199" s="23" t="n">
        <v>45899.9086069556</v>
      </c>
      <c r="H199" s="23" t="n">
        <v>53977.4709372723</v>
      </c>
      <c r="I199" s="23" t="n">
        <v>55192.1895692477</v>
      </c>
      <c r="J199" s="23" t="n">
        <v>56237.1705305234</v>
      </c>
      <c r="K199" s="23" t="n">
        <v>57387.4845131934</v>
      </c>
      <c r="L199" s="23" t="n">
        <v>58641.1247080486</v>
      </c>
      <c r="M199" s="23" t="n">
        <v>60002.249153164</v>
      </c>
      <c r="N199" s="24" t="n">
        <v>61497.4938781921</v>
      </c>
      <c r="O199" s="25" t="n">
        <v>62987.365311559</v>
      </c>
      <c r="P199" s="25" t="n">
        <v>64606.1934136922</v>
      </c>
      <c r="Q199" s="25" t="n">
        <v>66291.2508593252</v>
      </c>
      <c r="R199" s="25" t="n">
        <v>68036.021091344</v>
      </c>
      <c r="S199" s="25" t="n">
        <v>69808.6250835642</v>
      </c>
      <c r="T199" s="25" t="n">
        <v>71449.9755227866</v>
      </c>
      <c r="U199" s="25" t="n">
        <v>73261.5752187145</v>
      </c>
      <c r="V199" s="25" t="n">
        <v>74838.514001381</v>
      </c>
      <c r="W199" s="25" t="n">
        <v>76410.9382361805</v>
      </c>
      <c r="X199" s="25" t="n">
        <v>77345.921903636</v>
      </c>
      <c r="Y199" s="6"/>
      <c r="Z199" s="6"/>
      <c r="AA199" s="6"/>
      <c r="AB199" s="6"/>
      <c r="AC199" s="6"/>
      <c r="AD199" s="6"/>
      <c r="AE199" s="0"/>
    </row>
    <row r="200" customFormat="false" ht="12.75" hidden="false" customHeight="false" outlineLevel="0" collapsed="false">
      <c r="A200" s="26" t="s">
        <v>9</v>
      </c>
      <c r="B200" s="21" t="n">
        <f aca="false">NPV(0.1,D200:Y200)</f>
        <v>214626.506086547</v>
      </c>
      <c r="C200" s="21" t="n">
        <f aca="false">B200-B190</f>
        <v>1333.68720184194</v>
      </c>
      <c r="D200" s="22" t="n">
        <v>16510.3144453458</v>
      </c>
      <c r="E200" s="23" t="n">
        <v>21095.8243174072</v>
      </c>
      <c r="F200" s="23" t="n">
        <v>21487.104706261</v>
      </c>
      <c r="G200" s="23" t="n">
        <v>21815.3248631631</v>
      </c>
      <c r="H200" s="23" t="n">
        <v>22211.4576903617</v>
      </c>
      <c r="I200" s="23" t="n">
        <v>22681.5299659471</v>
      </c>
      <c r="J200" s="23" t="n">
        <v>23223.1966636193</v>
      </c>
      <c r="K200" s="23" t="n">
        <v>23870.0592205126</v>
      </c>
      <c r="L200" s="23" t="n">
        <v>24622.5948805247</v>
      </c>
      <c r="M200" s="23" t="n">
        <v>25483.4740014699</v>
      </c>
      <c r="N200" s="24" t="n">
        <v>27016.8744597223</v>
      </c>
      <c r="O200" s="25" t="n">
        <v>28125.4148822955</v>
      </c>
      <c r="P200" s="25" t="n">
        <v>29373.3429704641</v>
      </c>
      <c r="Q200" s="25" t="n">
        <v>30701.9682566809</v>
      </c>
      <c r="R200" s="25" t="n">
        <v>32104.8620651175</v>
      </c>
      <c r="S200" s="25" t="n">
        <v>33551.2864026829</v>
      </c>
      <c r="T200" s="25" t="n">
        <v>35053.389085018</v>
      </c>
      <c r="U200" s="25" t="n">
        <v>36755.1505634582</v>
      </c>
      <c r="V200" s="25" t="n">
        <v>38252.4365633817</v>
      </c>
      <c r="W200" s="25" t="n">
        <v>39777.2503306633</v>
      </c>
      <c r="X200" s="25" t="n">
        <v>40697.6069722441</v>
      </c>
      <c r="Y200" s="6"/>
      <c r="Z200" s="6"/>
      <c r="AA200" s="6"/>
      <c r="AB200" s="6"/>
      <c r="AC200" s="6"/>
      <c r="AD200" s="6"/>
      <c r="AE200" s="0"/>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c r="DH200" s="35"/>
      <c r="DI200" s="35"/>
      <c r="DJ200" s="35"/>
      <c r="DK200" s="35"/>
      <c r="DL200" s="35"/>
      <c r="DM200" s="35"/>
      <c r="DN200" s="35"/>
      <c r="DO200" s="35"/>
      <c r="DP200" s="35"/>
      <c r="DQ200" s="35"/>
      <c r="DR200" s="35"/>
      <c r="DS200" s="35"/>
      <c r="DT200" s="35"/>
      <c r="DU200" s="35"/>
      <c r="DV200" s="35"/>
      <c r="DW200" s="35"/>
      <c r="DX200" s="35"/>
      <c r="DY200" s="35"/>
      <c r="DZ200" s="35"/>
      <c r="EA200" s="35"/>
      <c r="EB200" s="35"/>
      <c r="EC200" s="35"/>
      <c r="ED200" s="35"/>
      <c r="EE200" s="35"/>
      <c r="EF200" s="35"/>
      <c r="EG200" s="35"/>
      <c r="EH200" s="35"/>
      <c r="EI200" s="35"/>
      <c r="EJ200" s="35"/>
      <c r="EK200" s="35"/>
      <c r="EL200" s="35"/>
      <c r="EM200" s="35"/>
      <c r="EN200" s="35"/>
      <c r="EO200" s="35"/>
      <c r="EP200" s="35"/>
      <c r="EQ200" s="35"/>
      <c r="ER200" s="35"/>
      <c r="ES200" s="35"/>
      <c r="ET200" s="35"/>
      <c r="EU200" s="35"/>
      <c r="EV200" s="35"/>
      <c r="EW200" s="35"/>
      <c r="EX200" s="35"/>
      <c r="EY200" s="35"/>
      <c r="EZ200" s="35"/>
      <c r="FA200" s="35"/>
      <c r="FB200" s="35"/>
      <c r="FC200" s="35"/>
      <c r="FD200" s="35"/>
      <c r="FE200" s="35"/>
      <c r="FF200" s="35"/>
      <c r="FG200" s="35"/>
      <c r="FH200" s="35"/>
      <c r="FI200" s="35"/>
      <c r="FJ200" s="35"/>
      <c r="FK200" s="35"/>
      <c r="FL200" s="35"/>
      <c r="FM200" s="35"/>
      <c r="FN200" s="35"/>
      <c r="FO200" s="35"/>
      <c r="FP200" s="35"/>
      <c r="FQ200" s="35"/>
      <c r="FR200" s="35"/>
      <c r="FS200" s="35"/>
      <c r="FT200" s="35"/>
      <c r="FU200" s="35"/>
      <c r="FV200" s="35"/>
      <c r="FW200" s="35"/>
      <c r="FX200" s="35"/>
      <c r="FY200" s="35"/>
      <c r="FZ200" s="35"/>
      <c r="GA200" s="35"/>
      <c r="GB200" s="35"/>
      <c r="GC200" s="35"/>
      <c r="GD200" s="35"/>
      <c r="GE200" s="35"/>
      <c r="GF200" s="35"/>
      <c r="GG200" s="35"/>
      <c r="GH200" s="35"/>
      <c r="GI200" s="35"/>
      <c r="GJ200" s="35"/>
      <c r="GK200" s="35"/>
      <c r="GL200" s="35"/>
      <c r="GM200" s="35"/>
      <c r="GN200" s="35"/>
      <c r="GO200" s="35"/>
      <c r="GP200" s="35"/>
      <c r="GQ200" s="35"/>
      <c r="GR200" s="35"/>
      <c r="GS200" s="35"/>
      <c r="GT200" s="35"/>
      <c r="GU200" s="35"/>
      <c r="GV200" s="35"/>
      <c r="GW200" s="35"/>
      <c r="GX200" s="35"/>
      <c r="GY200" s="35"/>
      <c r="GZ200" s="35"/>
      <c r="HA200" s="35"/>
      <c r="HB200" s="35"/>
      <c r="HC200" s="35"/>
      <c r="HD200" s="35"/>
      <c r="HE200" s="35"/>
      <c r="HF200" s="35"/>
      <c r="HG200" s="35"/>
      <c r="HH200" s="35"/>
      <c r="HI200" s="35"/>
      <c r="HJ200" s="35"/>
      <c r="HK200" s="35"/>
      <c r="HL200" s="35"/>
      <c r="HM200" s="35"/>
      <c r="HN200" s="35"/>
      <c r="HO200" s="35"/>
      <c r="HP200" s="35"/>
      <c r="HQ200" s="35"/>
      <c r="HR200" s="35"/>
      <c r="HS200" s="35"/>
      <c r="HT200" s="35"/>
      <c r="HU200" s="35"/>
      <c r="HV200" s="35"/>
      <c r="HW200" s="35"/>
      <c r="HX200" s="35"/>
      <c r="HY200" s="35"/>
      <c r="HZ200" s="35"/>
      <c r="IA200" s="35"/>
      <c r="IB200" s="35"/>
      <c r="IC200" s="35"/>
      <c r="ID200" s="35"/>
      <c r="IE200" s="35"/>
      <c r="IF200" s="35"/>
      <c r="IG200" s="35"/>
      <c r="IH200" s="35"/>
      <c r="II200" s="35"/>
      <c r="IJ200" s="35"/>
      <c r="IK200" s="35"/>
      <c r="IL200" s="35"/>
      <c r="IM200" s="35"/>
      <c r="IN200" s="35"/>
      <c r="IO200" s="35"/>
      <c r="IP200" s="35"/>
      <c r="IQ200" s="35"/>
      <c r="IR200" s="35"/>
      <c r="IS200" s="35"/>
      <c r="IT200" s="35"/>
      <c r="IU200" s="35"/>
      <c r="IV200" s="35"/>
      <c r="IW200" s="35"/>
    </row>
    <row r="201" customFormat="false" ht="12.75" hidden="false" customHeight="false" outlineLevel="0" collapsed="false">
      <c r="A201" s="26" t="s">
        <v>10</v>
      </c>
      <c r="B201" s="21" t="n">
        <f aca="false">NPV(0.1,D201:Y201)</f>
        <v>82009.94255301</v>
      </c>
      <c r="C201" s="21" t="n">
        <f aca="false">B201-B191</f>
        <v>0</v>
      </c>
      <c r="D201" s="22" t="n">
        <v>209.561064752779</v>
      </c>
      <c r="E201" s="23" t="n">
        <v>-31.7379252670507</v>
      </c>
      <c r="F201" s="23" t="n">
        <v>-43.7805813189465</v>
      </c>
      <c r="G201" s="23" t="n">
        <v>6059.55434434937</v>
      </c>
      <c r="H201" s="23" t="n">
        <v>10883.155128054</v>
      </c>
      <c r="I201" s="23" t="n">
        <v>11621.2681385555</v>
      </c>
      <c r="J201" s="23" t="n">
        <v>12199.4467130316</v>
      </c>
      <c r="K201" s="23" t="n">
        <v>12714.4639920502</v>
      </c>
      <c r="L201" s="23" t="n">
        <v>13253.8942542813</v>
      </c>
      <c r="M201" s="23" t="n">
        <v>13820.6969441678</v>
      </c>
      <c r="N201" s="24" t="n">
        <v>14079.2379001989</v>
      </c>
      <c r="O201" s="25" t="n">
        <v>14623.2740574144</v>
      </c>
      <c r="P201" s="25" t="n">
        <v>15192.6782778871</v>
      </c>
      <c r="Q201" s="25" t="n">
        <v>15787.2600807779</v>
      </c>
      <c r="R201" s="25" t="n">
        <v>16409.4185035835</v>
      </c>
      <c r="S201" s="25" t="n">
        <v>17061.0852640784</v>
      </c>
      <c r="T201" s="25" t="n">
        <v>17637.4755901687</v>
      </c>
      <c r="U201" s="25" t="n">
        <v>18237.2575069099</v>
      </c>
      <c r="V201" s="25" t="n">
        <v>18862.7092266631</v>
      </c>
      <c r="W201" s="25" t="n">
        <v>19515.6354097014</v>
      </c>
      <c r="X201" s="25" t="n">
        <v>20225.7749419024</v>
      </c>
      <c r="Y201" s="6"/>
      <c r="Z201" s="6"/>
      <c r="AA201" s="6"/>
      <c r="AB201" s="6"/>
      <c r="AC201" s="6"/>
      <c r="AD201" s="6"/>
      <c r="AE201" s="0"/>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c r="DH201" s="35"/>
      <c r="DI201" s="35"/>
      <c r="DJ201" s="35"/>
      <c r="DK201" s="35"/>
      <c r="DL201" s="35"/>
      <c r="DM201" s="35"/>
      <c r="DN201" s="35"/>
      <c r="DO201" s="35"/>
      <c r="DP201" s="35"/>
      <c r="DQ201" s="35"/>
      <c r="DR201" s="35"/>
      <c r="DS201" s="35"/>
      <c r="DT201" s="35"/>
      <c r="DU201" s="35"/>
      <c r="DV201" s="35"/>
      <c r="DW201" s="35"/>
      <c r="DX201" s="35"/>
      <c r="DY201" s="35"/>
      <c r="DZ201" s="35"/>
      <c r="EA201" s="35"/>
      <c r="EB201" s="35"/>
      <c r="EC201" s="35"/>
      <c r="ED201" s="35"/>
      <c r="EE201" s="35"/>
      <c r="EF201" s="35"/>
      <c r="EG201" s="35"/>
      <c r="EH201" s="35"/>
      <c r="EI201" s="35"/>
      <c r="EJ201" s="35"/>
      <c r="EK201" s="35"/>
      <c r="EL201" s="35"/>
      <c r="EM201" s="35"/>
      <c r="EN201" s="35"/>
      <c r="EO201" s="35"/>
      <c r="EP201" s="35"/>
      <c r="EQ201" s="35"/>
      <c r="ER201" s="35"/>
      <c r="ES201" s="35"/>
      <c r="ET201" s="35"/>
      <c r="EU201" s="35"/>
      <c r="EV201" s="35"/>
      <c r="EW201" s="35"/>
      <c r="EX201" s="35"/>
      <c r="EY201" s="35"/>
      <c r="EZ201" s="35"/>
      <c r="FA201" s="35"/>
      <c r="FB201" s="35"/>
      <c r="FC201" s="35"/>
      <c r="FD201" s="35"/>
      <c r="FE201" s="35"/>
      <c r="FF201" s="35"/>
      <c r="FG201" s="35"/>
      <c r="FH201" s="35"/>
      <c r="FI201" s="35"/>
      <c r="FJ201" s="35"/>
      <c r="FK201" s="35"/>
      <c r="FL201" s="35"/>
      <c r="FM201" s="35"/>
      <c r="FN201" s="35"/>
      <c r="FO201" s="35"/>
      <c r="FP201" s="35"/>
      <c r="FQ201" s="35"/>
      <c r="FR201" s="35"/>
      <c r="FS201" s="35"/>
      <c r="FT201" s="35"/>
      <c r="FU201" s="35"/>
      <c r="FV201" s="35"/>
      <c r="FW201" s="35"/>
      <c r="FX201" s="35"/>
      <c r="FY201" s="35"/>
      <c r="FZ201" s="35"/>
      <c r="GA201" s="35"/>
      <c r="GB201" s="35"/>
      <c r="GC201" s="35"/>
      <c r="GD201" s="35"/>
      <c r="GE201" s="35"/>
      <c r="GF201" s="35"/>
      <c r="GG201" s="35"/>
      <c r="GH201" s="35"/>
      <c r="GI201" s="35"/>
      <c r="GJ201" s="35"/>
      <c r="GK201" s="35"/>
      <c r="GL201" s="35"/>
      <c r="GM201" s="35"/>
      <c r="GN201" s="35"/>
      <c r="GO201" s="35"/>
      <c r="GP201" s="35"/>
      <c r="GQ201" s="35"/>
      <c r="GR201" s="35"/>
      <c r="GS201" s="35"/>
      <c r="GT201" s="35"/>
      <c r="GU201" s="35"/>
      <c r="GV201" s="35"/>
      <c r="GW201" s="35"/>
      <c r="GX201" s="35"/>
      <c r="GY201" s="35"/>
      <c r="GZ201" s="35"/>
      <c r="HA201" s="35"/>
      <c r="HB201" s="35"/>
      <c r="HC201" s="35"/>
      <c r="HD201" s="35"/>
      <c r="HE201" s="35"/>
      <c r="HF201" s="35"/>
      <c r="HG201" s="35"/>
      <c r="HH201" s="35"/>
      <c r="HI201" s="35"/>
      <c r="HJ201" s="35"/>
      <c r="HK201" s="35"/>
      <c r="HL201" s="35"/>
      <c r="HM201" s="35"/>
      <c r="HN201" s="35"/>
      <c r="HO201" s="35"/>
      <c r="HP201" s="35"/>
      <c r="HQ201" s="35"/>
      <c r="HR201" s="35"/>
      <c r="HS201" s="35"/>
      <c r="HT201" s="35"/>
      <c r="HU201" s="35"/>
      <c r="HV201" s="35"/>
      <c r="HW201" s="35"/>
      <c r="HX201" s="35"/>
      <c r="HY201" s="35"/>
      <c r="HZ201" s="35"/>
      <c r="IA201" s="35"/>
      <c r="IB201" s="35"/>
      <c r="IC201" s="35"/>
      <c r="ID201" s="35"/>
      <c r="IE201" s="35"/>
      <c r="IF201" s="35"/>
      <c r="IG201" s="35"/>
      <c r="IH201" s="35"/>
      <c r="II201" s="35"/>
      <c r="IJ201" s="35"/>
      <c r="IK201" s="35"/>
      <c r="IL201" s="35"/>
      <c r="IM201" s="35"/>
      <c r="IN201" s="35"/>
      <c r="IO201" s="35"/>
      <c r="IP201" s="35"/>
      <c r="IQ201" s="35"/>
      <c r="IR201" s="35"/>
      <c r="IS201" s="35"/>
      <c r="IT201" s="35"/>
      <c r="IU201" s="35"/>
      <c r="IV201" s="35"/>
      <c r="IW201" s="35"/>
    </row>
    <row r="202" customFormat="false" ht="12.75" hidden="false" customHeight="false" outlineLevel="0" collapsed="false">
      <c r="A202" s="26" t="s">
        <v>11</v>
      </c>
      <c r="B202" s="21" t="n">
        <f aca="false">NPV(0.1,D202:Y202)</f>
        <v>96096.4802068133</v>
      </c>
      <c r="C202" s="21" t="n">
        <f aca="false">B202-B192</f>
        <v>0</v>
      </c>
      <c r="D202" s="27" t="n">
        <v>2031.11488012432</v>
      </c>
      <c r="E202" s="28" t="n">
        <v>3874.43044707007</v>
      </c>
      <c r="F202" s="28" t="n">
        <v>3259.49983432833</v>
      </c>
      <c r="G202" s="28" t="n">
        <v>14372.3735600604</v>
      </c>
      <c r="H202" s="28" t="n">
        <v>18837.5860144918</v>
      </c>
      <c r="I202" s="28" t="n">
        <v>17915.0965591052</v>
      </c>
      <c r="J202" s="28" t="n">
        <v>13957.365166159</v>
      </c>
      <c r="K202" s="28" t="n">
        <v>13937.4204506505</v>
      </c>
      <c r="L202" s="28" t="n">
        <v>13890.8956909423</v>
      </c>
      <c r="M202" s="28" t="n">
        <v>13835.5050398078</v>
      </c>
      <c r="N202" s="29" t="n">
        <v>14175.2941964253</v>
      </c>
      <c r="O202" s="25" t="n">
        <v>13492.7883799585</v>
      </c>
      <c r="P202" s="25" t="n">
        <v>13344.1334911394</v>
      </c>
      <c r="Q202" s="25" t="n">
        <v>13184.6965081607</v>
      </c>
      <c r="R202" s="25" t="n">
        <v>12986.1560933395</v>
      </c>
      <c r="S202" s="25" t="n">
        <v>11089.2674249856</v>
      </c>
      <c r="T202" s="25" t="n">
        <v>9125.55344359181</v>
      </c>
      <c r="U202" s="25" t="n">
        <v>8806.03640410414</v>
      </c>
      <c r="V202" s="25" t="n">
        <v>8450.43380566801</v>
      </c>
      <c r="W202" s="25" t="n">
        <v>13670.2074182278</v>
      </c>
      <c r="X202" s="25" t="n">
        <v>23339.0923186467</v>
      </c>
      <c r="Y202" s="6"/>
      <c r="Z202" s="6"/>
      <c r="AA202" s="6"/>
      <c r="AB202" s="6"/>
      <c r="AC202" s="6"/>
      <c r="AD202" s="6"/>
      <c r="AE202" s="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35"/>
      <c r="EE202" s="35"/>
      <c r="EF202" s="35"/>
      <c r="EG202" s="35"/>
      <c r="EH202" s="35"/>
      <c r="EI202" s="35"/>
      <c r="EJ202" s="35"/>
      <c r="EK202" s="35"/>
      <c r="EL202" s="35"/>
      <c r="EM202" s="35"/>
      <c r="EN202" s="35"/>
      <c r="EO202" s="35"/>
      <c r="EP202" s="35"/>
      <c r="EQ202" s="35"/>
      <c r="ER202" s="35"/>
      <c r="ES202" s="35"/>
      <c r="ET202" s="35"/>
      <c r="EU202" s="35"/>
      <c r="EV202" s="35"/>
      <c r="EW202" s="35"/>
      <c r="EX202" s="35"/>
      <c r="EY202" s="35"/>
      <c r="EZ202" s="35"/>
      <c r="FA202" s="35"/>
      <c r="FB202" s="35"/>
      <c r="FC202" s="35"/>
      <c r="FD202" s="35"/>
      <c r="FE202" s="35"/>
      <c r="FF202" s="35"/>
      <c r="FG202" s="35"/>
      <c r="FH202" s="35"/>
      <c r="FI202" s="35"/>
      <c r="FJ202" s="35"/>
      <c r="FK202" s="35"/>
      <c r="FL202" s="35"/>
      <c r="FM202" s="35"/>
      <c r="FN202" s="35"/>
      <c r="FO202" s="35"/>
      <c r="FP202" s="35"/>
      <c r="FQ202" s="35"/>
      <c r="FR202" s="35"/>
      <c r="FS202" s="35"/>
      <c r="FT202" s="35"/>
      <c r="FU202" s="35"/>
      <c r="FV202" s="35"/>
      <c r="FW202" s="35"/>
      <c r="FX202" s="35"/>
      <c r="FY202" s="35"/>
      <c r="FZ202" s="35"/>
      <c r="GA202" s="35"/>
      <c r="GB202" s="35"/>
      <c r="GC202" s="35"/>
      <c r="GD202" s="35"/>
      <c r="GE202" s="35"/>
      <c r="GF202" s="35"/>
      <c r="GG202" s="35"/>
      <c r="GH202" s="35"/>
      <c r="GI202" s="35"/>
      <c r="GJ202" s="35"/>
      <c r="GK202" s="35"/>
      <c r="GL202" s="35"/>
      <c r="GM202" s="35"/>
      <c r="GN202" s="35"/>
      <c r="GO202" s="35"/>
      <c r="GP202" s="35"/>
      <c r="GQ202" s="35"/>
      <c r="GR202" s="35"/>
      <c r="GS202" s="35"/>
      <c r="GT202" s="35"/>
      <c r="GU202" s="35"/>
      <c r="GV202" s="35"/>
      <c r="GW202" s="35"/>
      <c r="GX202" s="35"/>
      <c r="GY202" s="35"/>
      <c r="GZ202" s="35"/>
      <c r="HA202" s="35"/>
      <c r="HB202" s="35"/>
      <c r="HC202" s="35"/>
      <c r="HD202" s="35"/>
      <c r="HE202" s="35"/>
      <c r="HF202" s="35"/>
      <c r="HG202" s="35"/>
      <c r="HH202" s="35"/>
      <c r="HI202" s="35"/>
      <c r="HJ202" s="35"/>
      <c r="HK202" s="35"/>
      <c r="HL202" s="35"/>
      <c r="HM202" s="35"/>
      <c r="HN202" s="35"/>
      <c r="HO202" s="35"/>
      <c r="HP202" s="35"/>
      <c r="HQ202" s="35"/>
      <c r="HR202" s="35"/>
      <c r="HS202" s="35"/>
      <c r="HT202" s="35"/>
      <c r="HU202" s="35"/>
      <c r="HV202" s="35"/>
      <c r="HW202" s="35"/>
      <c r="HX202" s="35"/>
      <c r="HY202" s="35"/>
      <c r="HZ202" s="35"/>
      <c r="IA202" s="35"/>
      <c r="IB202" s="35"/>
      <c r="IC202" s="35"/>
      <c r="ID202" s="35"/>
      <c r="IE202" s="35"/>
      <c r="IF202" s="35"/>
      <c r="IG202" s="35"/>
      <c r="IH202" s="35"/>
      <c r="II202" s="35"/>
      <c r="IJ202" s="35"/>
      <c r="IK202" s="35"/>
      <c r="IL202" s="35"/>
      <c r="IM202" s="35"/>
      <c r="IN202" s="35"/>
      <c r="IO202" s="35"/>
      <c r="IP202" s="35"/>
      <c r="IQ202" s="35"/>
      <c r="IR202" s="35"/>
      <c r="IS202" s="35"/>
      <c r="IT202" s="35"/>
      <c r="IU202" s="35"/>
      <c r="IV202" s="35"/>
      <c r="IW202" s="35"/>
    </row>
    <row r="203" customFormat="false" ht="12.75" hidden="false" customHeight="false" outlineLevel="0" collapsed="false">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0"/>
    </row>
    <row r="204" customFormat="false" ht="12.75" hidden="false" customHeight="false" outlineLevel="0" collapsed="false">
      <c r="A204" s="30" t="s">
        <v>31</v>
      </c>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0"/>
    </row>
    <row r="205" customFormat="false" ht="12.75" hidden="false" customHeight="false" outlineLevel="0" collapsed="false">
      <c r="A205" s="34" t="n">
        <v>36260</v>
      </c>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0"/>
    </row>
    <row r="206" customFormat="false" ht="12.75" hidden="false" customHeight="false" outlineLevel="0" collapsed="false">
      <c r="A206" s="11" t="s">
        <v>3</v>
      </c>
      <c r="B206" s="12" t="n">
        <v>51736.6461312964</v>
      </c>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0"/>
    </row>
    <row r="207" customFormat="false" ht="12.75" hidden="false" customHeight="false" outlineLevel="0" collapsed="false">
      <c r="A207" s="13" t="s">
        <v>4</v>
      </c>
      <c r="B207" s="14" t="n">
        <v>84846.6742678484</v>
      </c>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0"/>
    </row>
    <row r="208" customFormat="false" ht="12.75" hidden="false" customHeight="false" outlineLevel="0" collapsed="false">
      <c r="A208" s="15" t="s">
        <v>5</v>
      </c>
      <c r="B208" s="16" t="s">
        <v>6</v>
      </c>
      <c r="C208" s="16" t="s">
        <v>7</v>
      </c>
      <c r="D208" s="17" t="n">
        <v>2000</v>
      </c>
      <c r="E208" s="18" t="n">
        <v>2001</v>
      </c>
      <c r="F208" s="18" t="n">
        <v>2002</v>
      </c>
      <c r="G208" s="18" t="n">
        <v>2003</v>
      </c>
      <c r="H208" s="18" t="n">
        <v>2004</v>
      </c>
      <c r="I208" s="18" t="n">
        <v>2005</v>
      </c>
      <c r="J208" s="18" t="n">
        <v>2006</v>
      </c>
      <c r="K208" s="18" t="n">
        <v>2007</v>
      </c>
      <c r="L208" s="18" t="n">
        <v>2008</v>
      </c>
      <c r="M208" s="18" t="n">
        <v>2009</v>
      </c>
      <c r="N208" s="19" t="n">
        <v>2010</v>
      </c>
      <c r="O208" s="20" t="n">
        <v>2011</v>
      </c>
      <c r="P208" s="20" t="n">
        <v>2012</v>
      </c>
      <c r="Q208" s="20" t="n">
        <v>2013</v>
      </c>
      <c r="R208" s="20" t="n">
        <v>2014</v>
      </c>
      <c r="S208" s="20" t="n">
        <v>2015</v>
      </c>
      <c r="T208" s="20" t="n">
        <v>2016</v>
      </c>
      <c r="U208" s="20" t="n">
        <v>2017</v>
      </c>
      <c r="V208" s="20" t="n">
        <v>2018</v>
      </c>
      <c r="W208" s="20" t="n">
        <v>2019</v>
      </c>
      <c r="X208" s="20" t="n">
        <v>2020</v>
      </c>
      <c r="Y208" s="6"/>
      <c r="Z208" s="6"/>
      <c r="AA208" s="6"/>
      <c r="AB208" s="6"/>
      <c r="AC208" s="6"/>
      <c r="AD208" s="6"/>
      <c r="AE208" s="0"/>
    </row>
    <row r="209" customFormat="false" ht="12.75" hidden="false" customHeight="false" outlineLevel="0" collapsed="false">
      <c r="A209" s="15" t="s">
        <v>8</v>
      </c>
      <c r="B209" s="21" t="n">
        <f aca="false">NPV(0.1,D209:Y209)</f>
        <v>435770.303043215</v>
      </c>
      <c r="C209" s="21" t="n">
        <f aca="false">B209-B199</f>
        <v>-14150.5097893547</v>
      </c>
      <c r="D209" s="22" t="n">
        <v>28662.1113</v>
      </c>
      <c r="E209" s="23" t="n">
        <v>36968.644369</v>
      </c>
      <c r="F209" s="23" t="n">
        <v>36989.53593007</v>
      </c>
      <c r="G209" s="23" t="n">
        <v>46743.5528223476</v>
      </c>
      <c r="H209" s="23" t="n">
        <v>54574.7136278223</v>
      </c>
      <c r="I209" s="23" t="n">
        <v>55473.2732256397</v>
      </c>
      <c r="J209" s="23" t="n">
        <v>56136.8381279134</v>
      </c>
      <c r="K209" s="23" t="n">
        <v>56805.0377115204</v>
      </c>
      <c r="L209" s="23" t="n">
        <v>57477.5528489286</v>
      </c>
      <c r="M209" s="23" t="n">
        <v>58154.041093741</v>
      </c>
      <c r="N209" s="24" t="n">
        <v>58834.1355687782</v>
      </c>
      <c r="O209" s="25" t="n">
        <v>59369.904294081</v>
      </c>
      <c r="P209" s="25" t="n">
        <v>59899.6151539902</v>
      </c>
      <c r="Q209" s="25" t="n">
        <v>60422.4224847292</v>
      </c>
      <c r="R209" s="25" t="n">
        <v>60937.435334774</v>
      </c>
      <c r="S209" s="25" t="n">
        <v>61443.7155086852</v>
      </c>
      <c r="T209" s="25" t="n">
        <v>61769.2368004066</v>
      </c>
      <c r="U209" s="25" t="n">
        <v>62073.7367587735</v>
      </c>
      <c r="V209" s="25" t="n">
        <v>62355.661134622</v>
      </c>
      <c r="W209" s="25" t="n">
        <v>62613.3813430385</v>
      </c>
      <c r="X209" s="25" t="n">
        <v>62845.1914020388</v>
      </c>
      <c r="Y209" s="6"/>
      <c r="Z209" s="6"/>
      <c r="AA209" s="6"/>
      <c r="AB209" s="6"/>
      <c r="AC209" s="6"/>
      <c r="AD209" s="6"/>
      <c r="AE209" s="0"/>
    </row>
    <row r="210" customFormat="false" ht="12.75" hidden="false" customHeight="false" outlineLevel="0" collapsed="false">
      <c r="A210" s="26" t="s">
        <v>9</v>
      </c>
      <c r="B210" s="21" t="n">
        <f aca="false">NPV(0.1,D210:Y210)</f>
        <v>200475.996297193</v>
      </c>
      <c r="C210" s="21" t="n">
        <f aca="false">B210-B200</f>
        <v>-14150.5097893546</v>
      </c>
      <c r="D210" s="22" t="n">
        <v>19740.6218322953</v>
      </c>
      <c r="E210" s="23" t="n">
        <v>22375.4529660242</v>
      </c>
      <c r="F210" s="23" t="n">
        <v>22515.2687850049</v>
      </c>
      <c r="G210" s="23" t="n">
        <v>22658.9690785551</v>
      </c>
      <c r="H210" s="23" t="n">
        <v>22808.7003809118</v>
      </c>
      <c r="I210" s="23" t="n">
        <v>22962.6136223391</v>
      </c>
      <c r="J210" s="23" t="n">
        <v>23122.8642610093</v>
      </c>
      <c r="K210" s="23" t="n">
        <v>23287.6124188396</v>
      </c>
      <c r="L210" s="23" t="n">
        <v>23459.0230214047</v>
      </c>
      <c r="M210" s="23" t="n">
        <v>23635.2659420469</v>
      </c>
      <c r="N210" s="24" t="n">
        <v>24353.5161503083</v>
      </c>
      <c r="O210" s="25" t="n">
        <v>24507.9538648175</v>
      </c>
      <c r="P210" s="25" t="n">
        <v>24666.7647107621</v>
      </c>
      <c r="Q210" s="25" t="n">
        <v>24833.1398820849</v>
      </c>
      <c r="R210" s="25" t="n">
        <v>25006.2763085475</v>
      </c>
      <c r="S210" s="25" t="n">
        <v>25186.3768278039</v>
      </c>
      <c r="T210" s="25" t="n">
        <v>25372.650362638</v>
      </c>
      <c r="U210" s="25" t="n">
        <v>25567.3121035172</v>
      </c>
      <c r="V210" s="25" t="n">
        <v>25769.5836966227</v>
      </c>
      <c r="W210" s="25" t="n">
        <v>25979.6934375213</v>
      </c>
      <c r="X210" s="25" t="n">
        <v>26196.876470647</v>
      </c>
      <c r="Y210" s="6"/>
      <c r="Z210" s="6"/>
      <c r="AA210" s="6"/>
      <c r="AB210" s="6"/>
      <c r="AC210" s="6"/>
      <c r="AD210" s="6"/>
      <c r="AE210" s="0"/>
    </row>
    <row r="211" customFormat="false" ht="12.75" hidden="false" customHeight="false" outlineLevel="0" collapsed="false">
      <c r="A211" s="26" t="s">
        <v>10</v>
      </c>
      <c r="B211" s="21" t="n">
        <f aca="false">NPV(0.1,D211:Y211)</f>
        <v>82009.94255301</v>
      </c>
      <c r="C211" s="21" t="n">
        <f aca="false">B211-B201</f>
        <v>0</v>
      </c>
      <c r="D211" s="22" t="n">
        <v>209.561064752781</v>
      </c>
      <c r="E211" s="23" t="n">
        <v>-31.737925267053</v>
      </c>
      <c r="F211" s="23" t="n">
        <v>-43.7805813189465</v>
      </c>
      <c r="G211" s="23" t="n">
        <v>6059.55434434937</v>
      </c>
      <c r="H211" s="23" t="n">
        <v>10883.155128054</v>
      </c>
      <c r="I211" s="23" t="n">
        <v>11621.2681385555</v>
      </c>
      <c r="J211" s="23" t="n">
        <v>12199.4467130316</v>
      </c>
      <c r="K211" s="23" t="n">
        <v>12714.4639920502</v>
      </c>
      <c r="L211" s="23" t="n">
        <v>13253.8942542813</v>
      </c>
      <c r="M211" s="23" t="n">
        <v>13820.6969441678</v>
      </c>
      <c r="N211" s="24" t="n">
        <v>14079.2379001989</v>
      </c>
      <c r="O211" s="25" t="n">
        <v>14623.2740574144</v>
      </c>
      <c r="P211" s="25" t="n">
        <v>15192.6782778871</v>
      </c>
      <c r="Q211" s="25" t="n">
        <v>15787.2600807779</v>
      </c>
      <c r="R211" s="25" t="n">
        <v>16409.4185035835</v>
      </c>
      <c r="S211" s="25" t="n">
        <v>17061.0852640784</v>
      </c>
      <c r="T211" s="25" t="n">
        <v>17637.4755901687</v>
      </c>
      <c r="U211" s="25" t="n">
        <v>18237.2575069099</v>
      </c>
      <c r="V211" s="25" t="n">
        <v>18862.7092266631</v>
      </c>
      <c r="W211" s="25" t="n">
        <v>19515.6354097014</v>
      </c>
      <c r="X211" s="25" t="n">
        <v>20225.7749419024</v>
      </c>
      <c r="Y211" s="6"/>
      <c r="Z211" s="6"/>
      <c r="AA211" s="6"/>
      <c r="AB211" s="6"/>
      <c r="AC211" s="6"/>
      <c r="AD211" s="6"/>
      <c r="AE211" s="0"/>
    </row>
    <row r="212" customFormat="false" ht="12.75" hidden="false" customHeight="false" outlineLevel="0" collapsed="false">
      <c r="A212" s="26" t="s">
        <v>11</v>
      </c>
      <c r="B212" s="21" t="n">
        <f aca="false">NPV(0.1,D212:Y212)</f>
        <v>96096.4802068133</v>
      </c>
      <c r="C212" s="21" t="n">
        <f aca="false">B212-B202</f>
        <v>0</v>
      </c>
      <c r="D212" s="27" t="n">
        <v>2031.11488012432</v>
      </c>
      <c r="E212" s="28" t="n">
        <v>3874.43044707007</v>
      </c>
      <c r="F212" s="28" t="n">
        <v>3259.49983432833</v>
      </c>
      <c r="G212" s="28" t="n">
        <v>14372.3735600604</v>
      </c>
      <c r="H212" s="28" t="n">
        <v>18837.5860144918</v>
      </c>
      <c r="I212" s="28" t="n">
        <v>17915.0965591052</v>
      </c>
      <c r="J212" s="28" t="n">
        <v>13957.365166159</v>
      </c>
      <c r="K212" s="28" t="n">
        <v>13937.4204506505</v>
      </c>
      <c r="L212" s="28" t="n">
        <v>13890.8956909423</v>
      </c>
      <c r="M212" s="28" t="n">
        <v>13835.5050398078</v>
      </c>
      <c r="N212" s="29" t="n">
        <v>14175.2941964253</v>
      </c>
      <c r="O212" s="25" t="n">
        <v>13492.7883799585</v>
      </c>
      <c r="P212" s="25" t="n">
        <v>13344.1334911394</v>
      </c>
      <c r="Q212" s="25" t="n">
        <v>13184.6965081607</v>
      </c>
      <c r="R212" s="25" t="n">
        <v>12986.1560933395</v>
      </c>
      <c r="S212" s="25" t="n">
        <v>11089.2674249856</v>
      </c>
      <c r="T212" s="25" t="n">
        <v>9125.5534435918</v>
      </c>
      <c r="U212" s="25" t="n">
        <v>8806.03640410414</v>
      </c>
      <c r="V212" s="25" t="n">
        <v>8450.433805668</v>
      </c>
      <c r="W212" s="25" t="n">
        <v>13670.2074182278</v>
      </c>
      <c r="X212" s="25" t="n">
        <v>23339.0923186467</v>
      </c>
      <c r="Y212" s="6"/>
      <c r="Z212" s="6"/>
      <c r="AA212" s="6"/>
      <c r="AB212" s="6"/>
      <c r="AC212" s="6"/>
      <c r="AD212" s="6"/>
      <c r="AE212" s="0"/>
    </row>
    <row r="213" customFormat="false" ht="12.75" hidden="false" customHeight="false" outlineLevel="0" collapsed="false">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0"/>
    </row>
    <row r="214" customFormat="false" ht="12.75" hidden="false" customHeight="false" outlineLevel="0" collapsed="false">
      <c r="A214" s="30" t="s">
        <v>32</v>
      </c>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0"/>
    </row>
    <row r="215" customFormat="false" ht="12.75" hidden="false" customHeight="false" outlineLevel="0" collapsed="false">
      <c r="A215" s="34" t="n">
        <v>36263</v>
      </c>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0"/>
    </row>
    <row r="216" customFormat="false" ht="12.75" hidden="false" customHeight="false" outlineLevel="0" collapsed="false">
      <c r="A216" s="11" t="s">
        <v>3</v>
      </c>
      <c r="B216" s="12" t="n">
        <v>66330.8642812095</v>
      </c>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0"/>
    </row>
    <row r="217" customFormat="false" ht="12.75" hidden="false" customHeight="false" outlineLevel="0" collapsed="false">
      <c r="A217" s="13" t="s">
        <v>4</v>
      </c>
      <c r="B217" s="14" t="n">
        <v>103817.903340335</v>
      </c>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0"/>
    </row>
    <row r="218" customFormat="false" ht="12.75" hidden="false" customHeight="false" outlineLevel="0" collapsed="false">
      <c r="A218" s="15" t="s">
        <v>5</v>
      </c>
      <c r="B218" s="16" t="s">
        <v>6</v>
      </c>
      <c r="C218" s="16" t="s">
        <v>7</v>
      </c>
      <c r="D218" s="17" t="n">
        <v>2000</v>
      </c>
      <c r="E218" s="18" t="n">
        <v>2001</v>
      </c>
      <c r="F218" s="18" t="n">
        <v>2002</v>
      </c>
      <c r="G218" s="18" t="n">
        <v>2003</v>
      </c>
      <c r="H218" s="18" t="n">
        <v>2004</v>
      </c>
      <c r="I218" s="18" t="n">
        <v>2005</v>
      </c>
      <c r="J218" s="18" t="n">
        <v>2006</v>
      </c>
      <c r="K218" s="18" t="n">
        <v>2007</v>
      </c>
      <c r="L218" s="18" t="n">
        <v>2008</v>
      </c>
      <c r="M218" s="18" t="n">
        <v>2009</v>
      </c>
      <c r="N218" s="19" t="n">
        <v>2010</v>
      </c>
      <c r="O218" s="20" t="n">
        <v>2011</v>
      </c>
      <c r="P218" s="20" t="n">
        <v>2012</v>
      </c>
      <c r="Q218" s="20" t="n">
        <v>2013</v>
      </c>
      <c r="R218" s="20" t="n">
        <v>2014</v>
      </c>
      <c r="S218" s="20" t="n">
        <v>2015</v>
      </c>
      <c r="T218" s="20" t="n">
        <v>2016</v>
      </c>
      <c r="U218" s="20" t="n">
        <v>2017</v>
      </c>
      <c r="V218" s="20" t="n">
        <v>2018</v>
      </c>
      <c r="W218" s="20" t="n">
        <v>2019</v>
      </c>
      <c r="X218" s="20" t="n">
        <v>2020</v>
      </c>
      <c r="Y218" s="6"/>
      <c r="Z218" s="6"/>
      <c r="AA218" s="6"/>
      <c r="AB218" s="6"/>
      <c r="AC218" s="6"/>
      <c r="AD218" s="6"/>
      <c r="AE218" s="0"/>
    </row>
    <row r="219" customFormat="false" ht="12.75" hidden="false" customHeight="false" outlineLevel="0" collapsed="false">
      <c r="A219" s="15" t="s">
        <v>8</v>
      </c>
      <c r="B219" s="21" t="n">
        <f aca="false">NPV(0.1,D219:Y219)</f>
        <v>455265.882977566</v>
      </c>
      <c r="C219" s="21" t="n">
        <f aca="false">B219-B209</f>
        <v>19495.5799343515</v>
      </c>
      <c r="D219" s="22" t="n">
        <v>29974.2383</v>
      </c>
      <c r="E219" s="23" t="n">
        <v>37753.118929</v>
      </c>
      <c r="F219" s="23" t="n">
        <v>37840.15972687</v>
      </c>
      <c r="G219" s="23" t="n">
        <v>48490.9353330516</v>
      </c>
      <c r="H219" s="23" t="n">
        <v>56984.1488638475</v>
      </c>
      <c r="I219" s="23" t="n">
        <v>57954.9915187456</v>
      </c>
      <c r="J219" s="23" t="n">
        <v>58693.0079698124</v>
      </c>
      <c r="K219" s="23" t="n">
        <v>59437.8926486764</v>
      </c>
      <c r="L219" s="23" t="n">
        <v>60189.3934341993</v>
      </c>
      <c r="M219" s="23" t="n">
        <v>60947.2368965699</v>
      </c>
      <c r="N219" s="24" t="n">
        <v>61711.1272456918</v>
      </c>
      <c r="O219" s="25" t="n">
        <v>62333.2057213021</v>
      </c>
      <c r="P219" s="25" t="n">
        <v>62951.8156240279</v>
      </c>
      <c r="Q219" s="25" t="n">
        <v>63566.1889688681</v>
      </c>
      <c r="R219" s="25" t="n">
        <v>64175.514813437</v>
      </c>
      <c r="S219" s="25" t="n">
        <v>64778.9373717081</v>
      </c>
      <c r="T219" s="25" t="n">
        <v>65204.5153193202</v>
      </c>
      <c r="U219" s="25" t="n">
        <v>65612.0736332545</v>
      </c>
      <c r="V219" s="25" t="n">
        <v>66000.1481153374</v>
      </c>
      <c r="W219" s="25" t="n">
        <v>66367.2029331754</v>
      </c>
      <c r="X219" s="25" t="n">
        <v>66711.6276398799</v>
      </c>
      <c r="Y219" s="6"/>
      <c r="Z219" s="6"/>
      <c r="AA219" s="6"/>
      <c r="AB219" s="6"/>
      <c r="AC219" s="6"/>
      <c r="AD219" s="6"/>
      <c r="AE219" s="0"/>
    </row>
    <row r="220" customFormat="false" ht="12.75" hidden="false" customHeight="false" outlineLevel="0" collapsed="false">
      <c r="A220" s="26" t="s">
        <v>9</v>
      </c>
      <c r="B220" s="21" t="n">
        <f aca="false">NPV(0.1,D220:Y220)</f>
        <v>201286.887206284</v>
      </c>
      <c r="C220" s="21" t="n">
        <f aca="false">B220-B210</f>
        <v>810.8909090909</v>
      </c>
      <c r="D220" s="22" t="n">
        <v>20632.6018322953</v>
      </c>
      <c r="E220" s="23" t="n">
        <v>22375.4529660242</v>
      </c>
      <c r="F220" s="23" t="n">
        <v>22515.2687850049</v>
      </c>
      <c r="G220" s="23" t="n">
        <v>22658.9690785551</v>
      </c>
      <c r="H220" s="23" t="n">
        <v>22808.7003809118</v>
      </c>
      <c r="I220" s="23" t="n">
        <v>22962.6136223391</v>
      </c>
      <c r="J220" s="23" t="n">
        <v>23122.8642610093</v>
      </c>
      <c r="K220" s="23" t="n">
        <v>23287.6124188396</v>
      </c>
      <c r="L220" s="23" t="n">
        <v>23459.0230214047</v>
      </c>
      <c r="M220" s="23" t="n">
        <v>23635.2659420469</v>
      </c>
      <c r="N220" s="24" t="n">
        <v>24353.5161503083</v>
      </c>
      <c r="O220" s="25" t="n">
        <v>24507.9538648175</v>
      </c>
      <c r="P220" s="25" t="n">
        <v>24666.7647107621</v>
      </c>
      <c r="Q220" s="25" t="n">
        <v>24833.1398820849</v>
      </c>
      <c r="R220" s="25" t="n">
        <v>25006.2763085475</v>
      </c>
      <c r="S220" s="25" t="n">
        <v>25186.3768278039</v>
      </c>
      <c r="T220" s="25" t="n">
        <v>25372.650362638</v>
      </c>
      <c r="U220" s="25" t="n">
        <v>25567.3121035172</v>
      </c>
      <c r="V220" s="25" t="n">
        <v>25769.5836966227</v>
      </c>
      <c r="W220" s="25" t="n">
        <v>25979.6934375213</v>
      </c>
      <c r="X220" s="25" t="n">
        <v>26196.876470647</v>
      </c>
      <c r="Y220" s="6"/>
      <c r="Z220" s="6"/>
      <c r="AA220" s="6"/>
      <c r="AB220" s="6"/>
      <c r="AC220" s="6"/>
      <c r="AD220" s="6"/>
      <c r="AE220" s="0"/>
    </row>
    <row r="221" customFormat="false" ht="12.75" hidden="false" customHeight="false" outlineLevel="0" collapsed="false">
      <c r="A221" s="26" t="s">
        <v>10</v>
      </c>
      <c r="B221" s="21" t="n">
        <f aca="false">NPV(0.1,D221:Y221)</f>
        <v>90196.0071211834</v>
      </c>
      <c r="C221" s="21" t="n">
        <f aca="false">B221-B211</f>
        <v>8186.06456817349</v>
      </c>
      <c r="D221" s="22" t="n">
        <v>192.839677580767</v>
      </c>
      <c r="E221" s="23" t="n">
        <v>-26.2516624089598</v>
      </c>
      <c r="F221" s="23" t="n">
        <v>-5.47460111965588</v>
      </c>
      <c r="G221" s="23" t="n">
        <v>6654.4952538023</v>
      </c>
      <c r="H221" s="23" t="n">
        <v>11888.6479578894</v>
      </c>
      <c r="I221" s="23" t="n">
        <v>12679.3437845912</v>
      </c>
      <c r="J221" s="23" t="n">
        <v>13313.4761022582</v>
      </c>
      <c r="K221" s="23" t="n">
        <v>13888.062654668</v>
      </c>
      <c r="L221" s="23" t="n">
        <v>14490.9411398294</v>
      </c>
      <c r="M221" s="23" t="n">
        <v>15125.3547203781</v>
      </c>
      <c r="N221" s="24" t="n">
        <v>15455.9748525189</v>
      </c>
      <c r="O221" s="25" t="n">
        <v>16076.8877165535</v>
      </c>
      <c r="P221" s="25" t="n">
        <v>16728.3209129096</v>
      </c>
      <c r="Q221" s="25" t="n">
        <v>17410.4662062492</v>
      </c>
      <c r="R221" s="25" t="n">
        <v>18126.1345611288</v>
      </c>
      <c r="S221" s="25" t="n">
        <v>18877.7016515247</v>
      </c>
      <c r="T221" s="25" t="n">
        <v>19560.8612252671</v>
      </c>
      <c r="U221" s="25" t="n">
        <v>20274.7971275722</v>
      </c>
      <c r="V221" s="25" t="n">
        <v>21022.3436457771</v>
      </c>
      <c r="W221" s="25" t="n">
        <v>21805.9049600072</v>
      </c>
      <c r="X221" s="25" t="n">
        <v>22655.8663652252</v>
      </c>
      <c r="Y221" s="6"/>
      <c r="Z221" s="6"/>
      <c r="AA221" s="6"/>
      <c r="AB221" s="6"/>
      <c r="AC221" s="6"/>
      <c r="AD221" s="6"/>
      <c r="AE221" s="0"/>
    </row>
    <row r="222" customFormat="false" ht="12.75" hidden="false" customHeight="false" outlineLevel="0" collapsed="false">
      <c r="A222" s="26" t="s">
        <v>11</v>
      </c>
      <c r="B222" s="21" t="n">
        <f aca="false">NPV(0.1,D222:Y222)</f>
        <v>102017.387906707</v>
      </c>
      <c r="C222" s="21" t="n">
        <f aca="false">B222-B212</f>
        <v>5920.9076998932</v>
      </c>
      <c r="D222" s="27" t="n">
        <v>2143.26721762432</v>
      </c>
      <c r="E222" s="28" t="n">
        <v>4082.3149698393</v>
      </c>
      <c r="F222" s="28" t="n">
        <v>3483.47643104986</v>
      </c>
      <c r="G222" s="28" t="n">
        <v>15433.5963044928</v>
      </c>
      <c r="H222" s="28" t="n">
        <v>20258.2917881167</v>
      </c>
      <c r="I222" s="28" t="n">
        <v>17763.7423948428</v>
      </c>
      <c r="J222" s="28" t="n">
        <v>14802.7361570833</v>
      </c>
      <c r="K222" s="28" t="n">
        <v>14791.2461564581</v>
      </c>
      <c r="L222" s="28" t="n">
        <v>14752.0772398923</v>
      </c>
      <c r="M222" s="28" t="n">
        <v>14702.8023929518</v>
      </c>
      <c r="N222" s="29" t="n">
        <v>15047.3132565073</v>
      </c>
      <c r="O222" s="25" t="n">
        <v>14367.967021094</v>
      </c>
      <c r="P222" s="25" t="n">
        <v>14220.7264215002</v>
      </c>
      <c r="Q222" s="25" t="n">
        <v>14060.7588708228</v>
      </c>
      <c r="R222" s="25" t="n">
        <v>13859.5257028232</v>
      </c>
      <c r="S222" s="25" t="n">
        <v>11957.5455287708</v>
      </c>
      <c r="T222" s="25" t="n">
        <v>9986.08388898903</v>
      </c>
      <c r="U222" s="25" t="n">
        <v>9655.88308124158</v>
      </c>
      <c r="V222" s="25" t="n">
        <v>9286.35622696813</v>
      </c>
      <c r="W222" s="25" t="n">
        <v>14790.3552681387</v>
      </c>
      <c r="X222" s="25" t="n">
        <v>25797.1743238088</v>
      </c>
      <c r="Y222" s="6"/>
      <c r="Z222" s="6"/>
      <c r="AA222" s="6"/>
      <c r="AB222" s="6"/>
      <c r="AC222" s="6"/>
      <c r="AD222" s="6"/>
      <c r="AE222" s="0"/>
    </row>
    <row r="223" customFormat="false" ht="12.75" hidden="false" customHeight="false" outlineLevel="0" collapsed="false">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0"/>
    </row>
    <row r="224" customFormat="false" ht="12.75" hidden="false" customHeight="false" outlineLevel="0" collapsed="false">
      <c r="A224" s="30" t="s">
        <v>33</v>
      </c>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0"/>
    </row>
    <row r="225" customFormat="false" ht="12.75" hidden="false" customHeight="false" outlineLevel="0" collapsed="false">
      <c r="A225" s="34" t="n">
        <v>36263</v>
      </c>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0"/>
    </row>
    <row r="226" customFormat="false" ht="12.75" hidden="false" customHeight="false" outlineLevel="0" collapsed="false">
      <c r="A226" s="11" t="s">
        <v>3</v>
      </c>
      <c r="B226" s="12" t="n">
        <v>71203.5060134742</v>
      </c>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0"/>
    </row>
    <row r="227" customFormat="false" ht="12.75" hidden="false" customHeight="false" outlineLevel="0" collapsed="false">
      <c r="A227" s="13" t="s">
        <v>4</v>
      </c>
      <c r="B227" s="14" t="n">
        <v>108603.77307249</v>
      </c>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0"/>
    </row>
    <row r="228" customFormat="false" ht="12.75" hidden="false" customHeight="false" outlineLevel="0" collapsed="false">
      <c r="A228" s="15" t="s">
        <v>5</v>
      </c>
      <c r="B228" s="16" t="s">
        <v>6</v>
      </c>
      <c r="C228" s="16" t="s">
        <v>7</v>
      </c>
      <c r="D228" s="17" t="n">
        <v>2000</v>
      </c>
      <c r="E228" s="18" t="n">
        <v>2001</v>
      </c>
      <c r="F228" s="18" t="n">
        <v>2002</v>
      </c>
      <c r="G228" s="18" t="n">
        <v>2003</v>
      </c>
      <c r="H228" s="18" t="n">
        <v>2004</v>
      </c>
      <c r="I228" s="18" t="n">
        <v>2005</v>
      </c>
      <c r="J228" s="18" t="n">
        <v>2006</v>
      </c>
      <c r="K228" s="18" t="n">
        <v>2007</v>
      </c>
      <c r="L228" s="18" t="n">
        <v>2008</v>
      </c>
      <c r="M228" s="18" t="n">
        <v>2009</v>
      </c>
      <c r="N228" s="19" t="n">
        <v>2010</v>
      </c>
      <c r="O228" s="20" t="n">
        <v>2011</v>
      </c>
      <c r="P228" s="20" t="n">
        <v>2012</v>
      </c>
      <c r="Q228" s="20" t="n">
        <v>2013</v>
      </c>
      <c r="R228" s="20" t="n">
        <v>2014</v>
      </c>
      <c r="S228" s="20" t="n">
        <v>2015</v>
      </c>
      <c r="T228" s="20" t="n">
        <v>2016</v>
      </c>
      <c r="U228" s="20" t="n">
        <v>2017</v>
      </c>
      <c r="V228" s="20" t="n">
        <v>2018</v>
      </c>
      <c r="W228" s="20" t="n">
        <v>2019</v>
      </c>
      <c r="X228" s="20" t="n">
        <v>2020</v>
      </c>
      <c r="Y228" s="6"/>
      <c r="Z228" s="6"/>
      <c r="AA228" s="6"/>
      <c r="AB228" s="6"/>
      <c r="AC228" s="6"/>
      <c r="AD228" s="6"/>
      <c r="AE228" s="0"/>
    </row>
    <row r="229" customFormat="false" ht="12.75" hidden="false" customHeight="false" outlineLevel="0" collapsed="false">
      <c r="A229" s="15" t="s">
        <v>8</v>
      </c>
      <c r="B229" s="21" t="n">
        <f aca="false">NPV(0.1,D229:Y229)</f>
        <v>455265.882977566</v>
      </c>
      <c r="C229" s="21" t="n">
        <f aca="false">B229-B219</f>
        <v>0</v>
      </c>
      <c r="D229" s="22" t="n">
        <v>29974.2383</v>
      </c>
      <c r="E229" s="23" t="n">
        <v>37753.118929</v>
      </c>
      <c r="F229" s="23" t="n">
        <v>37840.15972687</v>
      </c>
      <c r="G229" s="23" t="n">
        <v>48490.9353330516</v>
      </c>
      <c r="H229" s="23" t="n">
        <v>56984.1488638475</v>
      </c>
      <c r="I229" s="23" t="n">
        <v>57954.9915187456</v>
      </c>
      <c r="J229" s="23" t="n">
        <v>58693.0079698124</v>
      </c>
      <c r="K229" s="23" t="n">
        <v>59437.8926486764</v>
      </c>
      <c r="L229" s="23" t="n">
        <v>60189.3934341993</v>
      </c>
      <c r="M229" s="23" t="n">
        <v>60947.2368965699</v>
      </c>
      <c r="N229" s="24" t="n">
        <v>61711.1272456918</v>
      </c>
      <c r="O229" s="25" t="n">
        <v>62333.2057213021</v>
      </c>
      <c r="P229" s="25" t="n">
        <v>62951.8156240279</v>
      </c>
      <c r="Q229" s="25" t="n">
        <v>63566.1889688681</v>
      </c>
      <c r="R229" s="25" t="n">
        <v>64175.514813437</v>
      </c>
      <c r="S229" s="25" t="n">
        <v>64778.9373717081</v>
      </c>
      <c r="T229" s="25" t="n">
        <v>65204.5153193202</v>
      </c>
      <c r="U229" s="25" t="n">
        <v>65612.0736332545</v>
      </c>
      <c r="V229" s="25" t="n">
        <v>66000.1481153374</v>
      </c>
      <c r="W229" s="25" t="n">
        <v>66367.2029331754</v>
      </c>
      <c r="X229" s="25" t="n">
        <v>66711.6276398799</v>
      </c>
      <c r="Y229" s="6"/>
      <c r="Z229" s="6"/>
      <c r="AA229" s="6"/>
      <c r="AB229" s="6"/>
      <c r="AC229" s="6"/>
      <c r="AD229" s="6"/>
      <c r="AE229" s="0"/>
    </row>
    <row r="230" customFormat="false" ht="12.75" hidden="false" customHeight="false" outlineLevel="0" collapsed="false">
      <c r="A230" s="26" t="s">
        <v>9</v>
      </c>
      <c r="B230" s="21" t="n">
        <f aca="false">NPV(0.1,D230:Y230)</f>
        <v>201286.887206284</v>
      </c>
      <c r="C230" s="21" t="n">
        <f aca="false">B230-B220</f>
        <v>0</v>
      </c>
      <c r="D230" s="22" t="n">
        <v>20632.6018322953</v>
      </c>
      <c r="E230" s="23" t="n">
        <v>22375.4529660242</v>
      </c>
      <c r="F230" s="23" t="n">
        <v>22515.2687850049</v>
      </c>
      <c r="G230" s="23" t="n">
        <v>22658.9690785551</v>
      </c>
      <c r="H230" s="23" t="n">
        <v>22808.7003809118</v>
      </c>
      <c r="I230" s="23" t="n">
        <v>22962.6136223391</v>
      </c>
      <c r="J230" s="23" t="n">
        <v>23122.8642610093</v>
      </c>
      <c r="K230" s="23" t="n">
        <v>23287.6124188396</v>
      </c>
      <c r="L230" s="23" t="n">
        <v>23459.0230214047</v>
      </c>
      <c r="M230" s="23" t="n">
        <v>23635.2659420469</v>
      </c>
      <c r="N230" s="24" t="n">
        <v>24353.5161503083</v>
      </c>
      <c r="O230" s="25" t="n">
        <v>24507.9538648175</v>
      </c>
      <c r="P230" s="25" t="n">
        <v>24666.7647107621</v>
      </c>
      <c r="Q230" s="25" t="n">
        <v>24833.1398820849</v>
      </c>
      <c r="R230" s="25" t="n">
        <v>25006.2763085475</v>
      </c>
      <c r="S230" s="25" t="n">
        <v>25186.3768278039</v>
      </c>
      <c r="T230" s="25" t="n">
        <v>25372.650362638</v>
      </c>
      <c r="U230" s="25" t="n">
        <v>25567.3121035172</v>
      </c>
      <c r="V230" s="25" t="n">
        <v>25769.5836966227</v>
      </c>
      <c r="W230" s="25" t="n">
        <v>25979.6934375213</v>
      </c>
      <c r="X230" s="25" t="n">
        <v>26196.876470647</v>
      </c>
      <c r="Y230" s="6"/>
      <c r="Z230" s="6"/>
      <c r="AA230" s="6"/>
      <c r="AB230" s="6"/>
      <c r="AC230" s="6"/>
      <c r="AD230" s="6"/>
      <c r="AE230" s="0"/>
    </row>
    <row r="231" customFormat="false" ht="12.75" hidden="false" customHeight="false" outlineLevel="0" collapsed="false">
      <c r="A231" s="26" t="s">
        <v>10</v>
      </c>
      <c r="B231" s="21" t="n">
        <f aca="false">NPV(0.1,D231:Y231)</f>
        <v>90061.3014785972</v>
      </c>
      <c r="C231" s="21" t="n">
        <f aca="false">B231-B221</f>
        <v>-134.705642586297</v>
      </c>
      <c r="D231" s="22" t="n">
        <v>175.241607290483</v>
      </c>
      <c r="E231" s="23" t="n">
        <v>-56.419782906588</v>
      </c>
      <c r="F231" s="23" t="n">
        <v>-35.6427216172841</v>
      </c>
      <c r="G231" s="23" t="n">
        <v>6624.32713330468</v>
      </c>
      <c r="H231" s="23" t="n">
        <v>11858.4798373917</v>
      </c>
      <c r="I231" s="23" t="n">
        <v>12663.6598307602</v>
      </c>
      <c r="J231" s="23" t="n">
        <v>13308.1379817605</v>
      </c>
      <c r="K231" s="23" t="n">
        <v>13882.7245341704</v>
      </c>
      <c r="L231" s="23" t="n">
        <v>14485.6030193317</v>
      </c>
      <c r="M231" s="23" t="n">
        <v>15120.0165998805</v>
      </c>
      <c r="N231" s="24" t="n">
        <v>15450.6367320213</v>
      </c>
      <c r="O231" s="25" t="n">
        <v>16071.5495960559</v>
      </c>
      <c r="P231" s="25" t="n">
        <v>16722.982792412</v>
      </c>
      <c r="Q231" s="25" t="n">
        <v>17405.1280857516</v>
      </c>
      <c r="R231" s="25" t="n">
        <v>18120.7964406312</v>
      </c>
      <c r="S231" s="25" t="n">
        <v>18872.3635310271</v>
      </c>
      <c r="T231" s="25" t="n">
        <v>19555.5231047695</v>
      </c>
      <c r="U231" s="25" t="n">
        <v>20269.4590070746</v>
      </c>
      <c r="V231" s="25" t="n">
        <v>21017.0055252795</v>
      </c>
      <c r="W231" s="25" t="n">
        <v>21800.5668395096</v>
      </c>
      <c r="X231" s="25" t="n">
        <v>22650.5282447276</v>
      </c>
      <c r="Y231" s="6"/>
      <c r="Z231" s="6"/>
      <c r="AA231" s="6"/>
      <c r="AB231" s="6"/>
      <c r="AC231" s="6"/>
      <c r="AD231" s="6"/>
      <c r="AE231" s="0"/>
    </row>
    <row r="232" customFormat="false" ht="12.75" hidden="false" customHeight="false" outlineLevel="0" collapsed="false">
      <c r="A232" s="26" t="s">
        <v>11</v>
      </c>
      <c r="B232" s="21" t="n">
        <f aca="false">NPV(0.1,D232:Y232)</f>
        <v>101232.194850981</v>
      </c>
      <c r="C232" s="21" t="n">
        <f aca="false">B232-B222</f>
        <v>-785.193055725729</v>
      </c>
      <c r="D232" s="27" t="n">
        <v>2143.26721762432</v>
      </c>
      <c r="E232" s="28" t="n">
        <v>4082.3149698393</v>
      </c>
      <c r="F232" s="28" t="n">
        <v>3483.47643104986</v>
      </c>
      <c r="G232" s="28" t="n">
        <v>15435.2486864452</v>
      </c>
      <c r="H232" s="28" t="n">
        <v>20259.944170069</v>
      </c>
      <c r="I232" s="28" t="n">
        <v>17886.7293827239</v>
      </c>
      <c r="J232" s="28" t="n">
        <v>14809.3401911074</v>
      </c>
      <c r="K232" s="28" t="n">
        <v>14797.8610616445</v>
      </c>
      <c r="L232" s="28" t="n">
        <v>14758.6812739164</v>
      </c>
      <c r="M232" s="28" t="n">
        <v>14709.4172981382</v>
      </c>
      <c r="N232" s="29" t="n">
        <v>15053.9172905314</v>
      </c>
      <c r="O232" s="25" t="n">
        <v>14374.5819262804</v>
      </c>
      <c r="P232" s="25" t="n">
        <v>14227.3304555243</v>
      </c>
      <c r="Q232" s="25" t="n">
        <v>14067.3737760093</v>
      </c>
      <c r="R232" s="25" t="n">
        <v>13866.1297368473</v>
      </c>
      <c r="S232" s="25" t="n">
        <v>11960.9425699174</v>
      </c>
      <c r="T232" s="25" t="n">
        <v>9986.27393725805</v>
      </c>
      <c r="U232" s="25" t="n">
        <v>9656.07312951061</v>
      </c>
      <c r="V232" s="25" t="n">
        <v>9286.54627523715</v>
      </c>
      <c r="W232" s="25" t="n">
        <v>8876.05840757091</v>
      </c>
      <c r="X232" s="25" t="n">
        <v>25797.3643720778</v>
      </c>
      <c r="Y232" s="6"/>
      <c r="Z232" s="6"/>
      <c r="AA232" s="6"/>
      <c r="AB232" s="6"/>
      <c r="AC232" s="6"/>
      <c r="AD232" s="6"/>
      <c r="AE232" s="0"/>
    </row>
    <row r="233" customFormat="false" ht="12.75" hidden="false" customHeight="false" outlineLevel="0" collapsed="false">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0"/>
    </row>
    <row r="234" customFormat="false" ht="12.75" hidden="false" customHeight="false" outlineLevel="0" collapsed="false">
      <c r="A234" s="30" t="s">
        <v>34</v>
      </c>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0"/>
    </row>
    <row r="235" customFormat="false" ht="12.75" hidden="false" customHeight="false" outlineLevel="0" collapsed="false">
      <c r="A235" s="34" t="n">
        <v>36266</v>
      </c>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0"/>
    </row>
    <row r="236" customFormat="false" ht="12.75" hidden="false" customHeight="false" outlineLevel="0" collapsed="false">
      <c r="A236" s="11" t="s">
        <v>3</v>
      </c>
      <c r="B236" s="12" t="n">
        <v>70196.4050516628</v>
      </c>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0"/>
    </row>
    <row r="237" customFormat="false" ht="12.75" hidden="false" customHeight="false" outlineLevel="0" collapsed="false">
      <c r="A237" s="13" t="s">
        <v>4</v>
      </c>
      <c r="B237" s="14" t="n">
        <v>107190.358612998</v>
      </c>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0"/>
    </row>
    <row r="238" customFormat="false" ht="12.75" hidden="false" customHeight="false" outlineLevel="0" collapsed="false">
      <c r="A238" s="15" t="s">
        <v>5</v>
      </c>
      <c r="B238" s="16" t="s">
        <v>6</v>
      </c>
      <c r="C238" s="16" t="s">
        <v>7</v>
      </c>
      <c r="D238" s="17" t="n">
        <v>2000</v>
      </c>
      <c r="E238" s="18" t="n">
        <v>2001</v>
      </c>
      <c r="F238" s="18" t="n">
        <v>2002</v>
      </c>
      <c r="G238" s="18" t="n">
        <v>2003</v>
      </c>
      <c r="H238" s="18" t="n">
        <v>2004</v>
      </c>
      <c r="I238" s="18" t="n">
        <v>2005</v>
      </c>
      <c r="J238" s="18" t="n">
        <v>2006</v>
      </c>
      <c r="K238" s="18" t="n">
        <v>2007</v>
      </c>
      <c r="L238" s="18" t="n">
        <v>2008</v>
      </c>
      <c r="M238" s="18" t="n">
        <v>2009</v>
      </c>
      <c r="N238" s="19" t="n">
        <v>2010</v>
      </c>
      <c r="O238" s="20" t="n">
        <v>2011</v>
      </c>
      <c r="P238" s="20" t="n">
        <v>2012</v>
      </c>
      <c r="Q238" s="20" t="n">
        <v>2013</v>
      </c>
      <c r="R238" s="20" t="n">
        <v>2014</v>
      </c>
      <c r="S238" s="20" t="n">
        <v>2015</v>
      </c>
      <c r="T238" s="20" t="n">
        <v>2016</v>
      </c>
      <c r="U238" s="20" t="n">
        <v>2017</v>
      </c>
      <c r="V238" s="20" t="n">
        <v>2018</v>
      </c>
      <c r="W238" s="20" t="n">
        <v>2019</v>
      </c>
      <c r="X238" s="20" t="n">
        <v>2020</v>
      </c>
      <c r="Y238" s="6"/>
      <c r="Z238" s="6"/>
      <c r="AA238" s="6"/>
      <c r="AB238" s="6"/>
      <c r="AC238" s="6"/>
      <c r="AD238" s="6"/>
      <c r="AE238" s="0"/>
    </row>
    <row r="239" customFormat="false" ht="12.75" hidden="false" customHeight="false" outlineLevel="0" collapsed="false">
      <c r="A239" s="15" t="s">
        <v>8</v>
      </c>
      <c r="B239" s="21" t="n">
        <f aca="false">NPV(0.1,D239:Y239)</f>
        <v>455265.882977566</v>
      </c>
      <c r="C239" s="21" t="n">
        <f aca="false">B239-B229</f>
        <v>0</v>
      </c>
      <c r="D239" s="22" t="n">
        <v>29974.2383</v>
      </c>
      <c r="E239" s="23" t="n">
        <v>37753.118929</v>
      </c>
      <c r="F239" s="23" t="n">
        <v>37840.15972687</v>
      </c>
      <c r="G239" s="23" t="n">
        <v>48490.9353330516</v>
      </c>
      <c r="H239" s="23" t="n">
        <v>56984.1488638475</v>
      </c>
      <c r="I239" s="23" t="n">
        <v>57954.9915187456</v>
      </c>
      <c r="J239" s="23" t="n">
        <v>58693.0079698124</v>
      </c>
      <c r="K239" s="23" t="n">
        <v>59437.8926486764</v>
      </c>
      <c r="L239" s="23" t="n">
        <v>60189.3934341993</v>
      </c>
      <c r="M239" s="23" t="n">
        <v>60947.2368965699</v>
      </c>
      <c r="N239" s="24" t="n">
        <v>61711.1272456918</v>
      </c>
      <c r="O239" s="25" t="n">
        <v>62333.2057213021</v>
      </c>
      <c r="P239" s="25" t="n">
        <v>62951.8156240279</v>
      </c>
      <c r="Q239" s="25" t="n">
        <v>63566.1889688681</v>
      </c>
      <c r="R239" s="25" t="n">
        <v>64175.514813437</v>
      </c>
      <c r="S239" s="25" t="n">
        <v>64778.9373717081</v>
      </c>
      <c r="T239" s="25" t="n">
        <v>65204.5153193202</v>
      </c>
      <c r="U239" s="25" t="n">
        <v>65612.0736332545</v>
      </c>
      <c r="V239" s="25" t="n">
        <v>66000.1481153374</v>
      </c>
      <c r="W239" s="25" t="n">
        <v>66367.2029331754</v>
      </c>
      <c r="X239" s="25" t="n">
        <v>66711.6276398799</v>
      </c>
      <c r="Y239" s="6"/>
      <c r="Z239" s="6"/>
      <c r="AA239" s="6"/>
      <c r="AB239" s="6"/>
      <c r="AC239" s="6"/>
      <c r="AD239" s="6"/>
      <c r="AE239" s="0"/>
    </row>
    <row r="240" customFormat="false" ht="12.75" hidden="false" customHeight="false" outlineLevel="0" collapsed="false">
      <c r="A240" s="26" t="s">
        <v>9</v>
      </c>
      <c r="B240" s="21" t="n">
        <f aca="false">NPV(0.1,D240:Y240)</f>
        <v>202890.366988004</v>
      </c>
      <c r="C240" s="21" t="n">
        <f aca="false">B240-B230</f>
        <v>1603.47978171991</v>
      </c>
      <c r="D240" s="22" t="n">
        <v>20632.6018322953</v>
      </c>
      <c r="E240" s="23" t="n">
        <v>21875.4807325974</v>
      </c>
      <c r="F240" s="23" t="n">
        <v>22353.4353844441</v>
      </c>
      <c r="G240" s="23" t="n">
        <v>22837.8502050246</v>
      </c>
      <c r="H240" s="23" t="n">
        <v>23166.57522965</v>
      </c>
      <c r="I240" s="23" t="n">
        <v>23363.3968010493</v>
      </c>
      <c r="J240" s="23" t="n">
        <v>23559.2529930341</v>
      </c>
      <c r="K240" s="23" t="n">
        <v>23722.7900442351</v>
      </c>
      <c r="L240" s="23" t="n">
        <v>23910.8978701429</v>
      </c>
      <c r="M240" s="23" t="n">
        <v>24158.411615715</v>
      </c>
      <c r="N240" s="24" t="n">
        <v>24411.9326489063</v>
      </c>
      <c r="O240" s="25" t="n">
        <v>24624.3703634155</v>
      </c>
      <c r="P240" s="25" t="n">
        <v>24843.1812093601</v>
      </c>
      <c r="Q240" s="25" t="n">
        <v>25068.5563806829</v>
      </c>
      <c r="R240" s="25" t="n">
        <v>25300.6928071455</v>
      </c>
      <c r="S240" s="25" t="n">
        <v>25539.7933264019</v>
      </c>
      <c r="T240" s="25" t="n">
        <v>25786.066861236</v>
      </c>
      <c r="U240" s="25" t="n">
        <v>26039.7286021152</v>
      </c>
      <c r="V240" s="25" t="n">
        <v>26301.0001952207</v>
      </c>
      <c r="W240" s="25" t="n">
        <v>26570.1099361193</v>
      </c>
      <c r="X240" s="25" t="n">
        <v>26847.292969245</v>
      </c>
      <c r="Y240" s="6"/>
      <c r="Z240" s="6"/>
      <c r="AA240" s="6"/>
      <c r="AB240" s="6"/>
      <c r="AC240" s="6"/>
      <c r="AD240" s="6"/>
      <c r="AE240" s="0"/>
    </row>
    <row r="241" customFormat="false" ht="12.75" hidden="false" customHeight="false" outlineLevel="0" collapsed="false">
      <c r="A241" s="26" t="s">
        <v>10</v>
      </c>
      <c r="B241" s="21" t="n">
        <f aca="false">NPV(0.1,D241:Y241)</f>
        <v>89426.6669535846</v>
      </c>
      <c r="C241" s="21" t="n">
        <f aca="false">B241-B231</f>
        <v>-634.634525012589</v>
      </c>
      <c r="D241" s="22" t="n">
        <v>192.583454052441</v>
      </c>
      <c r="E241" s="23" t="n">
        <v>288.890326329252</v>
      </c>
      <c r="F241" s="23" t="n">
        <v>118.054206253741</v>
      </c>
      <c r="G241" s="23" t="n">
        <v>6573.8993256963</v>
      </c>
      <c r="H241" s="23" t="n">
        <v>11696.9595551662</v>
      </c>
      <c r="I241" s="23" t="n">
        <v>12473.1350281091</v>
      </c>
      <c r="J241" s="23" t="n">
        <v>13092.183292588</v>
      </c>
      <c r="K241" s="23" t="n">
        <v>13663.5281886995</v>
      </c>
      <c r="L241" s="23" t="n">
        <v>14251.6132938531</v>
      </c>
      <c r="M241" s="23" t="n">
        <v>14836.2578790365</v>
      </c>
      <c r="N241" s="24" t="n">
        <v>15452.1763480469</v>
      </c>
      <c r="O241" s="25" t="n">
        <v>16038.5356776472</v>
      </c>
      <c r="P241" s="25" t="n">
        <v>16653.1582095644</v>
      </c>
      <c r="Q241" s="25" t="n">
        <v>17298.0014996849</v>
      </c>
      <c r="R241" s="25" t="n">
        <v>17975.1782793379</v>
      </c>
      <c r="S241" s="25" t="n">
        <v>18686.9690567391</v>
      </c>
      <c r="T241" s="25" t="n">
        <v>19328.3362913221</v>
      </c>
      <c r="U241" s="25" t="n">
        <v>19999.5899817102</v>
      </c>
      <c r="V241" s="25" t="n">
        <v>20702.8342992947</v>
      </c>
      <c r="W241" s="25" t="n">
        <v>21440.3438251047</v>
      </c>
      <c r="X241" s="25" t="n">
        <v>22241.7353777041</v>
      </c>
      <c r="Y241" s="6"/>
      <c r="Z241" s="6"/>
      <c r="AA241" s="6"/>
      <c r="AB241" s="6"/>
      <c r="AC241" s="6"/>
      <c r="AD241" s="6"/>
      <c r="AE241" s="0"/>
    </row>
    <row r="242" customFormat="false" ht="12.75" hidden="false" customHeight="false" outlineLevel="0" collapsed="false">
      <c r="A242" s="26" t="s">
        <v>11</v>
      </c>
      <c r="B242" s="21" t="n">
        <f aca="false">NPV(0.1,D242:Y242)</f>
        <v>100733.206397545</v>
      </c>
      <c r="C242" s="21" t="n">
        <f aca="false">B242-B232</f>
        <v>-498.988453435595</v>
      </c>
      <c r="D242" s="27" t="n">
        <v>2143.26721762432</v>
      </c>
      <c r="E242" s="28" t="n">
        <v>3703.97059704422</v>
      </c>
      <c r="F242" s="28" t="n">
        <v>3860.98435078306</v>
      </c>
      <c r="G242" s="28" t="n">
        <v>15669.1605782188</v>
      </c>
      <c r="H242" s="28" t="n">
        <v>20228.5864095003</v>
      </c>
      <c r="I242" s="28" t="n">
        <v>17617.3049285627</v>
      </c>
      <c r="J242" s="28" t="n">
        <v>14717.2845723547</v>
      </c>
      <c r="K242" s="28" t="n">
        <v>14671.8264999836</v>
      </c>
      <c r="L242" s="28" t="n">
        <v>14649.8927501852</v>
      </c>
      <c r="M242" s="28" t="n">
        <v>14643.7274673959</v>
      </c>
      <c r="N242" s="29" t="n">
        <v>14552.4125611907</v>
      </c>
      <c r="O242" s="25" t="n">
        <v>14382.6221872256</v>
      </c>
      <c r="P242" s="25" t="n">
        <v>14224.4208939525</v>
      </c>
      <c r="Q242" s="25" t="n">
        <v>14051.4445702441</v>
      </c>
      <c r="R242" s="25" t="n">
        <v>13838.9500125033</v>
      </c>
      <c r="S242" s="25" t="n">
        <v>11923.3429826582</v>
      </c>
      <c r="T242" s="25" t="n">
        <v>9939.94546207553</v>
      </c>
      <c r="U242" s="25" t="n">
        <v>9600.20361949588</v>
      </c>
      <c r="V242" s="25" t="n">
        <v>9223.18314475365</v>
      </c>
      <c r="W242" s="25" t="n">
        <v>8806.33286413114</v>
      </c>
      <c r="X242" s="25" t="n">
        <v>25443.8628961148</v>
      </c>
      <c r="Y242" s="6"/>
      <c r="Z242" s="6"/>
      <c r="AA242" s="6"/>
      <c r="AB242" s="6"/>
      <c r="AC242" s="6"/>
      <c r="AD242" s="6"/>
      <c r="AE242" s="0"/>
    </row>
    <row r="243" customFormat="false" ht="12.75" hidden="false" customHeight="false" outlineLevel="0" collapsed="false">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0"/>
    </row>
    <row r="244" customFormat="false" ht="12.75" hidden="false" customHeight="false" outlineLevel="0" collapsed="false">
      <c r="A244" s="30" t="s">
        <v>35</v>
      </c>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0"/>
    </row>
    <row r="245" customFormat="false" ht="12.75" hidden="false" customHeight="false" outlineLevel="0" collapsed="false">
      <c r="A245" s="34" t="n">
        <v>36266</v>
      </c>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0"/>
    </row>
    <row r="246" customFormat="false" ht="12.75" hidden="false" customHeight="false" outlineLevel="0" collapsed="false">
      <c r="A246" s="11" t="s">
        <v>3</v>
      </c>
      <c r="B246" s="12" t="n">
        <v>71216.831200086</v>
      </c>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0"/>
    </row>
    <row r="247" customFormat="false" ht="12.75" hidden="false" customHeight="false" outlineLevel="0" collapsed="false">
      <c r="A247" s="13" t="s">
        <v>4</v>
      </c>
      <c r="B247" s="14" t="n">
        <v>108639.595791575</v>
      </c>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0"/>
    </row>
    <row r="248" customFormat="false" ht="12.75" hidden="false" customHeight="false" outlineLevel="0" collapsed="false">
      <c r="A248" s="15" t="s">
        <v>5</v>
      </c>
      <c r="B248" s="16" t="s">
        <v>6</v>
      </c>
      <c r="C248" s="16" t="s">
        <v>7</v>
      </c>
      <c r="D248" s="17" t="n">
        <v>2000</v>
      </c>
      <c r="E248" s="18" t="n">
        <v>2001</v>
      </c>
      <c r="F248" s="18" t="n">
        <v>2002</v>
      </c>
      <c r="G248" s="18" t="n">
        <v>2003</v>
      </c>
      <c r="H248" s="18" t="n">
        <v>2004</v>
      </c>
      <c r="I248" s="18" t="n">
        <v>2005</v>
      </c>
      <c r="J248" s="18" t="n">
        <v>2006</v>
      </c>
      <c r="K248" s="18" t="n">
        <v>2007</v>
      </c>
      <c r="L248" s="18" t="n">
        <v>2008</v>
      </c>
      <c r="M248" s="18" t="n">
        <v>2009</v>
      </c>
      <c r="N248" s="19" t="n">
        <v>2010</v>
      </c>
      <c r="O248" s="20" t="n">
        <v>2011</v>
      </c>
      <c r="P248" s="20" t="n">
        <v>2012</v>
      </c>
      <c r="Q248" s="20" t="n">
        <v>2013</v>
      </c>
      <c r="R248" s="20" t="n">
        <v>2014</v>
      </c>
      <c r="S248" s="20" t="n">
        <v>2015</v>
      </c>
      <c r="T248" s="20" t="n">
        <v>2016</v>
      </c>
      <c r="U248" s="20" t="n">
        <v>2017</v>
      </c>
      <c r="V248" s="20" t="n">
        <v>2018</v>
      </c>
      <c r="W248" s="20" t="n">
        <v>2019</v>
      </c>
      <c r="X248" s="20" t="n">
        <v>2020</v>
      </c>
      <c r="Y248" s="6"/>
      <c r="Z248" s="6"/>
      <c r="AA248" s="6"/>
      <c r="AB248" s="6"/>
      <c r="AC248" s="6"/>
      <c r="AD248" s="6"/>
      <c r="AE248" s="0"/>
    </row>
    <row r="249" customFormat="false" ht="12.75" hidden="false" customHeight="false" outlineLevel="0" collapsed="false">
      <c r="A249" s="15" t="s">
        <v>8</v>
      </c>
      <c r="B249" s="21" t="n">
        <f aca="false">NPV(0.1,D249:Y249)</f>
        <v>456664.619536288</v>
      </c>
      <c r="C249" s="21" t="n">
        <f aca="false">B249-B239</f>
        <v>1398.73655872187</v>
      </c>
      <c r="D249" s="22" t="n">
        <v>29974.2383</v>
      </c>
      <c r="E249" s="23" t="n">
        <v>37753.118929</v>
      </c>
      <c r="F249" s="23" t="n">
        <v>37840.15972687</v>
      </c>
      <c r="G249" s="23" t="n">
        <v>48694.7561793991</v>
      </c>
      <c r="H249" s="23" t="n">
        <v>57464.0013706771</v>
      </c>
      <c r="I249" s="23" t="n">
        <v>58572.8016212888</v>
      </c>
      <c r="J249" s="23" t="n">
        <v>59202.083494308</v>
      </c>
      <c r="K249" s="23" t="n">
        <v>59831.1534913492</v>
      </c>
      <c r="L249" s="23" t="n">
        <v>60459.432546168</v>
      </c>
      <c r="M249" s="23" t="n">
        <v>61086.3070392337</v>
      </c>
      <c r="N249" s="24" t="n">
        <v>61711.1272456918</v>
      </c>
      <c r="O249" s="25" t="n">
        <v>62333.2057213021</v>
      </c>
      <c r="P249" s="25" t="n">
        <v>62951.8156240279</v>
      </c>
      <c r="Q249" s="25" t="n">
        <v>63566.1889688681</v>
      </c>
      <c r="R249" s="25" t="n">
        <v>64175.514813437</v>
      </c>
      <c r="S249" s="25" t="n">
        <v>64778.9373717081</v>
      </c>
      <c r="T249" s="25" t="n">
        <v>65204.5153193202</v>
      </c>
      <c r="U249" s="25" t="n">
        <v>65612.0736332545</v>
      </c>
      <c r="V249" s="25" t="n">
        <v>66000.1481153374</v>
      </c>
      <c r="W249" s="25" t="n">
        <v>66367.2029331754</v>
      </c>
      <c r="X249" s="25" t="n">
        <v>66711.6276398799</v>
      </c>
      <c r="Y249" s="6"/>
      <c r="Z249" s="6"/>
      <c r="AA249" s="6"/>
      <c r="AB249" s="6"/>
      <c r="AC249" s="6"/>
      <c r="AD249" s="6"/>
      <c r="AE249" s="0"/>
    </row>
    <row r="250" customFormat="false" ht="12.75" hidden="false" customHeight="false" outlineLevel="0" collapsed="false">
      <c r="A250" s="26" t="s">
        <v>9</v>
      </c>
      <c r="B250" s="21" t="n">
        <f aca="false">NPV(0.1,D250:Y250)</f>
        <v>202890.366988004</v>
      </c>
      <c r="C250" s="21" t="n">
        <f aca="false">B250-B240</f>
        <v>0</v>
      </c>
      <c r="D250" s="22" t="n">
        <v>20632.6018322953</v>
      </c>
      <c r="E250" s="23" t="n">
        <v>21875.4807325974</v>
      </c>
      <c r="F250" s="23" t="n">
        <v>22353.4353844441</v>
      </c>
      <c r="G250" s="23" t="n">
        <v>22837.8502050246</v>
      </c>
      <c r="H250" s="23" t="n">
        <v>23166.57522965</v>
      </c>
      <c r="I250" s="23" t="n">
        <v>23363.3968010493</v>
      </c>
      <c r="J250" s="23" t="n">
        <v>23559.2529930341</v>
      </c>
      <c r="K250" s="23" t="n">
        <v>23722.7900442351</v>
      </c>
      <c r="L250" s="23" t="n">
        <v>23910.8978701429</v>
      </c>
      <c r="M250" s="23" t="n">
        <v>24158.411615715</v>
      </c>
      <c r="N250" s="24" t="n">
        <v>24411.9326489063</v>
      </c>
      <c r="O250" s="25" t="n">
        <v>24624.3703634155</v>
      </c>
      <c r="P250" s="25" t="n">
        <v>24843.1812093601</v>
      </c>
      <c r="Q250" s="25" t="n">
        <v>25068.5563806829</v>
      </c>
      <c r="R250" s="25" t="n">
        <v>25300.6928071455</v>
      </c>
      <c r="S250" s="25" t="n">
        <v>25539.7933264019</v>
      </c>
      <c r="T250" s="25" t="n">
        <v>25786.066861236</v>
      </c>
      <c r="U250" s="25" t="n">
        <v>26039.7286021152</v>
      </c>
      <c r="V250" s="25" t="n">
        <v>26301.0001952207</v>
      </c>
      <c r="W250" s="25" t="n">
        <v>26570.1099361193</v>
      </c>
      <c r="X250" s="25" t="n">
        <v>26847.292969245</v>
      </c>
      <c r="Y250" s="6"/>
      <c r="Z250" s="6"/>
      <c r="AA250" s="6"/>
      <c r="AB250" s="6"/>
      <c r="AC250" s="6"/>
      <c r="AD250" s="6"/>
      <c r="AE250" s="0"/>
    </row>
    <row r="251" customFormat="false" ht="12.75" hidden="false" customHeight="false" outlineLevel="0" collapsed="false">
      <c r="A251" s="26" t="s">
        <v>10</v>
      </c>
      <c r="B251" s="21" t="n">
        <f aca="false">NPV(0.1,D251:Y251)</f>
        <v>90142.0132791387</v>
      </c>
      <c r="C251" s="21" t="n">
        <f aca="false">B251-B241</f>
        <v>715.346325554128</v>
      </c>
      <c r="D251" s="22" t="n">
        <v>173.641563277614</v>
      </c>
      <c r="E251" s="23" t="n">
        <v>254.950517037355</v>
      </c>
      <c r="F251" s="23" t="n">
        <v>81.484061741722</v>
      </c>
      <c r="G251" s="23" t="n">
        <v>6662.59830773447</v>
      </c>
      <c r="H251" s="23" t="n">
        <v>11960.0433744491</v>
      </c>
      <c r="I251" s="23" t="n">
        <v>12829.3776414559</v>
      </c>
      <c r="J251" s="23" t="n">
        <v>13389.7928378764</v>
      </c>
      <c r="K251" s="23" t="n">
        <v>13896.6714613631</v>
      </c>
      <c r="L251" s="23" t="n">
        <v>14414.0002986421</v>
      </c>
      <c r="M251" s="23" t="n">
        <v>14921.1069070075</v>
      </c>
      <c r="N251" s="24" t="n">
        <v>15452.1763480469</v>
      </c>
      <c r="O251" s="25" t="n">
        <v>16038.5356776472</v>
      </c>
      <c r="P251" s="25" t="n">
        <v>16653.1582095644</v>
      </c>
      <c r="Q251" s="25" t="n">
        <v>17298.0014996849</v>
      </c>
      <c r="R251" s="25" t="n">
        <v>17975.1782793379</v>
      </c>
      <c r="S251" s="25" t="n">
        <v>18686.9690567391</v>
      </c>
      <c r="T251" s="25" t="n">
        <v>19328.3362913222</v>
      </c>
      <c r="U251" s="25" t="n">
        <v>19999.5899817102</v>
      </c>
      <c r="V251" s="25" t="n">
        <v>20702.8342992947</v>
      </c>
      <c r="W251" s="25" t="n">
        <v>21440.3438251047</v>
      </c>
      <c r="X251" s="25" t="n">
        <v>22241.7353777041</v>
      </c>
      <c r="Y251" s="6"/>
      <c r="Z251" s="6"/>
      <c r="AA251" s="6"/>
      <c r="AB251" s="6"/>
      <c r="AC251" s="6"/>
      <c r="AD251" s="6"/>
      <c r="AE251" s="0"/>
    </row>
    <row r="252" customFormat="false" ht="12.75" hidden="false" customHeight="false" outlineLevel="0" collapsed="false">
      <c r="A252" s="26" t="s">
        <v>11</v>
      </c>
      <c r="B252" s="21" t="n">
        <f aca="false">NPV(0.1,D252:Y252)</f>
        <v>101126.246403941</v>
      </c>
      <c r="C252" s="21" t="n">
        <f aca="false">B252-B242</f>
        <v>393.040006395808</v>
      </c>
      <c r="D252" s="27" t="n">
        <v>2143.26721762432</v>
      </c>
      <c r="E252" s="28" t="n">
        <v>3703.97059704422</v>
      </c>
      <c r="F252" s="28" t="n">
        <v>3860.98435078306</v>
      </c>
      <c r="G252" s="28" t="n">
        <v>15789.1425858104</v>
      </c>
      <c r="H252" s="28" t="n">
        <v>20508.0863238914</v>
      </c>
      <c r="I252" s="28" t="n">
        <v>17611.8541352982</v>
      </c>
      <c r="J252" s="28" t="n">
        <v>14836.6719199097</v>
      </c>
      <c r="K252" s="28" t="n">
        <v>14761.9584479838</v>
      </c>
      <c r="L252" s="28" t="n">
        <v>14710.2993190376</v>
      </c>
      <c r="M252" s="28" t="n">
        <v>14674.0482320309</v>
      </c>
      <c r="N252" s="29" t="n">
        <v>14552.4125611907</v>
      </c>
      <c r="O252" s="25" t="n">
        <v>14382.6221872255</v>
      </c>
      <c r="P252" s="25" t="n">
        <v>14224.4208939525</v>
      </c>
      <c r="Q252" s="25" t="n">
        <v>14051.444570244</v>
      </c>
      <c r="R252" s="25" t="n">
        <v>13838.9500125033</v>
      </c>
      <c r="S252" s="25" t="n">
        <v>11923.3429826582</v>
      </c>
      <c r="T252" s="25" t="n">
        <v>9939.94546207552</v>
      </c>
      <c r="U252" s="25" t="n">
        <v>9600.20361949588</v>
      </c>
      <c r="V252" s="25" t="n">
        <v>9223.18314475366</v>
      </c>
      <c r="W252" s="25" t="n">
        <v>8806.33286413114</v>
      </c>
      <c r="X252" s="25" t="n">
        <v>25443.8628961148</v>
      </c>
      <c r="Y252" s="6"/>
      <c r="Z252" s="6"/>
      <c r="AA252" s="6"/>
      <c r="AB252" s="6"/>
      <c r="AC252" s="6"/>
      <c r="AD252" s="6"/>
      <c r="AE252" s="0"/>
    </row>
    <row r="253" customFormat="false" ht="12.75" hidden="false" customHeight="false" outlineLevel="0" collapsed="false">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0"/>
    </row>
    <row r="254" customFormat="false" ht="12.75" hidden="false" customHeight="false" outlineLevel="0" collapsed="false">
      <c r="A254" s="30" t="s">
        <v>36</v>
      </c>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0"/>
    </row>
    <row r="255" customFormat="false" ht="12.75" hidden="false" customHeight="false" outlineLevel="0" collapsed="false">
      <c r="A255" s="34" t="n">
        <v>36266</v>
      </c>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0"/>
    </row>
    <row r="256" customFormat="false" ht="12.75" hidden="false" customHeight="false" outlineLevel="0" collapsed="false">
      <c r="A256" s="11" t="s">
        <v>3</v>
      </c>
      <c r="B256" s="12" t="n">
        <v>71216.831200086</v>
      </c>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0"/>
    </row>
    <row r="257" customFormat="false" ht="12.75" hidden="false" customHeight="false" outlineLevel="0" collapsed="false">
      <c r="A257" s="13" t="s">
        <v>4</v>
      </c>
      <c r="B257" s="14" t="n">
        <v>108639.595791575</v>
      </c>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0"/>
    </row>
    <row r="258" customFormat="false" ht="12.75" hidden="false" customHeight="false" outlineLevel="0" collapsed="false">
      <c r="A258" s="15" t="s">
        <v>5</v>
      </c>
      <c r="B258" s="16" t="s">
        <v>6</v>
      </c>
      <c r="C258" s="16" t="s">
        <v>7</v>
      </c>
      <c r="D258" s="17" t="n">
        <v>2000</v>
      </c>
      <c r="E258" s="18" t="n">
        <v>2001</v>
      </c>
      <c r="F258" s="18" t="n">
        <v>2002</v>
      </c>
      <c r="G258" s="18" t="n">
        <v>2003</v>
      </c>
      <c r="H258" s="18" t="n">
        <v>2004</v>
      </c>
      <c r="I258" s="18" t="n">
        <v>2005</v>
      </c>
      <c r="J258" s="18" t="n">
        <v>2006</v>
      </c>
      <c r="K258" s="18" t="n">
        <v>2007</v>
      </c>
      <c r="L258" s="18" t="n">
        <v>2008</v>
      </c>
      <c r="M258" s="18" t="n">
        <v>2009</v>
      </c>
      <c r="N258" s="19" t="n">
        <v>2010</v>
      </c>
      <c r="O258" s="20" t="n">
        <v>2011</v>
      </c>
      <c r="P258" s="20" t="n">
        <v>2012</v>
      </c>
      <c r="Q258" s="20" t="n">
        <v>2013</v>
      </c>
      <c r="R258" s="20" t="n">
        <v>2014</v>
      </c>
      <c r="S258" s="20" t="n">
        <v>2015</v>
      </c>
      <c r="T258" s="20" t="n">
        <v>2016</v>
      </c>
      <c r="U258" s="20" t="n">
        <v>2017</v>
      </c>
      <c r="V258" s="20" t="n">
        <v>2018</v>
      </c>
      <c r="W258" s="20" t="n">
        <v>2019</v>
      </c>
      <c r="X258" s="20" t="n">
        <v>2020</v>
      </c>
      <c r="Y258" s="6"/>
      <c r="Z258" s="6"/>
      <c r="AA258" s="6"/>
      <c r="AB258" s="6"/>
      <c r="AC258" s="6"/>
      <c r="AD258" s="6"/>
      <c r="AE258" s="0"/>
    </row>
    <row r="259" customFormat="false" ht="12.75" hidden="false" customHeight="false" outlineLevel="0" collapsed="false">
      <c r="A259" s="15" t="s">
        <v>8</v>
      </c>
      <c r="B259" s="21" t="n">
        <f aca="false">NPV(0.1,D259:Y259)</f>
        <v>456743.184275225</v>
      </c>
      <c r="C259" s="21" t="n">
        <f aca="false">B259-B249</f>
        <v>78.5647389366059</v>
      </c>
      <c r="D259" s="22" t="n">
        <v>29983.3223</v>
      </c>
      <c r="E259" s="23" t="n">
        <v>37762.202929</v>
      </c>
      <c r="F259" s="23" t="n">
        <v>37849.24372687</v>
      </c>
      <c r="G259" s="23" t="n">
        <v>48703.8401793991</v>
      </c>
      <c r="H259" s="23" t="n">
        <v>57473.0853706771</v>
      </c>
      <c r="I259" s="23" t="n">
        <v>58581.8856212888</v>
      </c>
      <c r="J259" s="23" t="n">
        <v>59211.167494308</v>
      </c>
      <c r="K259" s="23" t="n">
        <v>59840.2374913492</v>
      </c>
      <c r="L259" s="23" t="n">
        <v>60468.516546168</v>
      </c>
      <c r="M259" s="23" t="n">
        <v>61095.3910392337</v>
      </c>
      <c r="N259" s="24" t="n">
        <v>61720.2112456918</v>
      </c>
      <c r="O259" s="25" t="n">
        <v>62342.2897213021</v>
      </c>
      <c r="P259" s="25" t="n">
        <v>62960.8996240279</v>
      </c>
      <c r="Q259" s="25" t="n">
        <v>63575.2729688681</v>
      </c>
      <c r="R259" s="25" t="n">
        <v>64184.598813437</v>
      </c>
      <c r="S259" s="25" t="n">
        <v>64788.0213717081</v>
      </c>
      <c r="T259" s="25" t="n">
        <v>65213.5993193202</v>
      </c>
      <c r="U259" s="25" t="n">
        <v>65621.1576332545</v>
      </c>
      <c r="V259" s="25" t="n">
        <v>66009.2321153374</v>
      </c>
      <c r="W259" s="25" t="n">
        <v>66376.2869331754</v>
      </c>
      <c r="X259" s="25" t="n">
        <v>66720.7116398799</v>
      </c>
      <c r="Y259" s="6"/>
      <c r="Z259" s="6"/>
      <c r="AA259" s="6"/>
      <c r="AB259" s="6"/>
      <c r="AC259" s="6"/>
      <c r="AD259" s="6"/>
      <c r="AE259" s="0"/>
    </row>
    <row r="260" customFormat="false" ht="12.75" hidden="false" customHeight="false" outlineLevel="0" collapsed="false">
      <c r="A260" s="26" t="s">
        <v>9</v>
      </c>
      <c r="B260" s="21" t="n">
        <f aca="false">NPV(0.1,D260:Y260)</f>
        <v>202968.93172694</v>
      </c>
      <c r="C260" s="21" t="n">
        <f aca="false">B260-B250</f>
        <v>78.5647389366059</v>
      </c>
      <c r="D260" s="22" t="n">
        <v>20641.6858322953</v>
      </c>
      <c r="E260" s="23" t="n">
        <v>21884.5647325974</v>
      </c>
      <c r="F260" s="23" t="n">
        <v>22362.5193844441</v>
      </c>
      <c r="G260" s="23" t="n">
        <v>22846.9342050246</v>
      </c>
      <c r="H260" s="23" t="n">
        <v>23175.6592296499</v>
      </c>
      <c r="I260" s="23" t="n">
        <v>23372.4808010493</v>
      </c>
      <c r="J260" s="23" t="n">
        <v>23568.3369930341</v>
      </c>
      <c r="K260" s="23" t="n">
        <v>23731.8740442351</v>
      </c>
      <c r="L260" s="23" t="n">
        <v>23919.9818701429</v>
      </c>
      <c r="M260" s="23" t="n">
        <v>24167.495615715</v>
      </c>
      <c r="N260" s="24" t="n">
        <v>24421.0166489063</v>
      </c>
      <c r="O260" s="25" t="n">
        <v>24633.4543634155</v>
      </c>
      <c r="P260" s="25" t="n">
        <v>24852.2652093601</v>
      </c>
      <c r="Q260" s="25" t="n">
        <v>25077.6403806829</v>
      </c>
      <c r="R260" s="25" t="n">
        <v>25309.7768071455</v>
      </c>
      <c r="S260" s="25" t="n">
        <v>25548.8773264019</v>
      </c>
      <c r="T260" s="25" t="n">
        <v>25795.150861236</v>
      </c>
      <c r="U260" s="25" t="n">
        <v>26048.8126021152</v>
      </c>
      <c r="V260" s="25" t="n">
        <v>26310.0841952207</v>
      </c>
      <c r="W260" s="25" t="n">
        <v>26579.1939361193</v>
      </c>
      <c r="X260" s="25" t="n">
        <v>26856.376969245</v>
      </c>
      <c r="Y260" s="6"/>
      <c r="Z260" s="6"/>
      <c r="AA260" s="6"/>
      <c r="AB260" s="6"/>
      <c r="AC260" s="6"/>
      <c r="AD260" s="6"/>
      <c r="AE260" s="0"/>
    </row>
    <row r="261" customFormat="false" ht="12.75" hidden="false" customHeight="false" outlineLevel="0" collapsed="false">
      <c r="A261" s="26" t="s">
        <v>10</v>
      </c>
      <c r="B261" s="21" t="n">
        <f aca="false">NPV(0.1,D261:Y261)</f>
        <v>90142.0132791387</v>
      </c>
      <c r="C261" s="21" t="n">
        <f aca="false">B261-B251</f>
        <v>0</v>
      </c>
      <c r="D261" s="22" t="n">
        <v>173.641563277613</v>
      </c>
      <c r="E261" s="23" t="n">
        <v>254.950517037352</v>
      </c>
      <c r="F261" s="23" t="n">
        <v>81.4840617417231</v>
      </c>
      <c r="G261" s="23" t="n">
        <v>6662.59830773447</v>
      </c>
      <c r="H261" s="23" t="n">
        <v>11960.0433744491</v>
      </c>
      <c r="I261" s="23" t="n">
        <v>12829.3776414559</v>
      </c>
      <c r="J261" s="23" t="n">
        <v>13389.7928378764</v>
      </c>
      <c r="K261" s="23" t="n">
        <v>13896.6714613631</v>
      </c>
      <c r="L261" s="23" t="n">
        <v>14414.0002986421</v>
      </c>
      <c r="M261" s="23" t="n">
        <v>14921.1069070075</v>
      </c>
      <c r="N261" s="24" t="n">
        <v>15452.1763480469</v>
      </c>
      <c r="O261" s="25" t="n">
        <v>16038.5356776472</v>
      </c>
      <c r="P261" s="25" t="n">
        <v>16653.1582095644</v>
      </c>
      <c r="Q261" s="25" t="n">
        <v>17298.0014996849</v>
      </c>
      <c r="R261" s="25" t="n">
        <v>17975.1782793379</v>
      </c>
      <c r="S261" s="25" t="n">
        <v>18686.9690567391</v>
      </c>
      <c r="T261" s="25" t="n">
        <v>19328.3362913222</v>
      </c>
      <c r="U261" s="25" t="n">
        <v>19999.5899817102</v>
      </c>
      <c r="V261" s="25" t="n">
        <v>20702.8342992947</v>
      </c>
      <c r="W261" s="25" t="n">
        <v>21440.3438251047</v>
      </c>
      <c r="X261" s="25" t="n">
        <v>22241.7353777041</v>
      </c>
      <c r="Y261" s="6"/>
      <c r="Z261" s="6"/>
      <c r="AA261" s="6"/>
      <c r="AB261" s="6"/>
      <c r="AC261" s="6"/>
      <c r="AD261" s="6"/>
      <c r="AE261" s="0"/>
    </row>
    <row r="262" customFormat="false" ht="12.75" hidden="false" customHeight="false" outlineLevel="0" collapsed="false">
      <c r="A262" s="26" t="s">
        <v>11</v>
      </c>
      <c r="B262" s="21" t="n">
        <f aca="false">NPV(0.1,D262:Y262)</f>
        <v>101126.246403941</v>
      </c>
      <c r="C262" s="21" t="n">
        <f aca="false">B262-B252</f>
        <v>0</v>
      </c>
      <c r="D262" s="27" t="n">
        <v>2143.26721762432</v>
      </c>
      <c r="E262" s="28" t="n">
        <v>3703.97059704421</v>
      </c>
      <c r="F262" s="28" t="n">
        <v>3860.98435078306</v>
      </c>
      <c r="G262" s="28" t="n">
        <v>15789.1425858104</v>
      </c>
      <c r="H262" s="28" t="n">
        <v>20508.0863238914</v>
      </c>
      <c r="I262" s="28" t="n">
        <v>17611.8541352982</v>
      </c>
      <c r="J262" s="28" t="n">
        <v>14836.6719199097</v>
      </c>
      <c r="K262" s="28" t="n">
        <v>14761.9584479838</v>
      </c>
      <c r="L262" s="28" t="n">
        <v>14710.2993190376</v>
      </c>
      <c r="M262" s="28" t="n">
        <v>14674.048232031</v>
      </c>
      <c r="N262" s="29" t="n">
        <v>14552.4125611907</v>
      </c>
      <c r="O262" s="25" t="n">
        <v>14382.6221872256</v>
      </c>
      <c r="P262" s="25" t="n">
        <v>14224.4208939525</v>
      </c>
      <c r="Q262" s="25" t="n">
        <v>14051.444570244</v>
      </c>
      <c r="R262" s="25" t="n">
        <v>13838.9500125033</v>
      </c>
      <c r="S262" s="25" t="n">
        <v>11923.3429826582</v>
      </c>
      <c r="T262" s="25" t="n">
        <v>9939.94546207554</v>
      </c>
      <c r="U262" s="25" t="n">
        <v>9600.20361949588</v>
      </c>
      <c r="V262" s="25" t="n">
        <v>9223.18314475366</v>
      </c>
      <c r="W262" s="25" t="n">
        <v>8806.33286413114</v>
      </c>
      <c r="X262" s="25" t="n">
        <v>25443.8628961148</v>
      </c>
      <c r="Y262" s="6"/>
      <c r="Z262" s="6"/>
      <c r="AA262" s="6"/>
      <c r="AB262" s="6"/>
      <c r="AC262" s="6"/>
      <c r="AD262" s="6"/>
      <c r="AE262" s="0"/>
    </row>
    <row r="263" customFormat="false" ht="12.75" hidden="false" customHeight="false" outlineLevel="0" collapsed="false">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0"/>
    </row>
    <row r="264" customFormat="false" ht="12.75" hidden="false" customHeight="false" outlineLevel="0" collapsed="false">
      <c r="A264" s="30" t="s">
        <v>37</v>
      </c>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0"/>
    </row>
    <row r="265" customFormat="false" ht="11.25" hidden="false" customHeight="false" outlineLevel="0" collapsed="false">
      <c r="A265" s="34" t="n">
        <v>36268</v>
      </c>
    </row>
    <row r="266" customFormat="false" ht="12.75" hidden="false" customHeight="false" outlineLevel="0" collapsed="false">
      <c r="A266" s="11" t="s">
        <v>3</v>
      </c>
      <c r="B266" s="12" t="n">
        <v>69561.0026130656</v>
      </c>
      <c r="C266" s="6"/>
      <c r="D266" s="6"/>
      <c r="E266" s="6"/>
      <c r="F266" s="6"/>
      <c r="G266" s="6"/>
      <c r="H266" s="6"/>
      <c r="I266" s="6"/>
      <c r="J266" s="6"/>
      <c r="K266" s="6"/>
      <c r="L266" s="6"/>
      <c r="M266" s="6"/>
      <c r="N266" s="6"/>
      <c r="O266" s="6"/>
      <c r="P266" s="6"/>
      <c r="Q266" s="6"/>
      <c r="R266" s="6"/>
      <c r="S266" s="6"/>
      <c r="T266" s="6"/>
      <c r="U266" s="6"/>
      <c r="V266" s="6"/>
      <c r="W266" s="6"/>
      <c r="X266" s="6"/>
    </row>
    <row r="267" customFormat="false" ht="12.75" hidden="false" customHeight="false" outlineLevel="0" collapsed="false">
      <c r="A267" s="13" t="s">
        <v>4</v>
      </c>
      <c r="B267" s="14" t="n">
        <v>106476.862758387</v>
      </c>
      <c r="C267" s="6"/>
      <c r="D267" s="6"/>
      <c r="E267" s="6"/>
      <c r="F267" s="6"/>
      <c r="G267" s="6"/>
      <c r="H267" s="6"/>
      <c r="I267" s="6"/>
      <c r="J267" s="6"/>
      <c r="K267" s="6"/>
      <c r="L267" s="6"/>
      <c r="M267" s="6"/>
      <c r="N267" s="6"/>
      <c r="O267" s="6"/>
      <c r="P267" s="6"/>
      <c r="Q267" s="6"/>
      <c r="R267" s="6"/>
      <c r="S267" s="6"/>
      <c r="T267" s="6"/>
      <c r="U267" s="6"/>
      <c r="V267" s="6"/>
      <c r="W267" s="6"/>
      <c r="X267" s="6"/>
    </row>
    <row r="268" customFormat="false" ht="12.75" hidden="false" customHeight="false" outlineLevel="0" collapsed="false">
      <c r="A268" s="15" t="s">
        <v>5</v>
      </c>
      <c r="B268" s="16" t="s">
        <v>6</v>
      </c>
      <c r="C268" s="16" t="s">
        <v>7</v>
      </c>
      <c r="D268" s="17" t="n">
        <v>2000</v>
      </c>
      <c r="E268" s="18" t="n">
        <v>2001</v>
      </c>
      <c r="F268" s="18" t="n">
        <v>2002</v>
      </c>
      <c r="G268" s="18" t="n">
        <v>2003</v>
      </c>
      <c r="H268" s="18" t="n">
        <v>2004</v>
      </c>
      <c r="I268" s="18" t="n">
        <v>2005</v>
      </c>
      <c r="J268" s="18" t="n">
        <v>2006</v>
      </c>
      <c r="K268" s="18" t="n">
        <v>2007</v>
      </c>
      <c r="L268" s="18" t="n">
        <v>2008</v>
      </c>
      <c r="M268" s="18" t="n">
        <v>2009</v>
      </c>
      <c r="N268" s="19" t="n">
        <v>2010</v>
      </c>
      <c r="O268" s="20" t="n">
        <v>2011</v>
      </c>
      <c r="P268" s="20" t="n">
        <v>2012</v>
      </c>
      <c r="Q268" s="20" t="n">
        <v>2013</v>
      </c>
      <c r="R268" s="20" t="n">
        <v>2014</v>
      </c>
      <c r="S268" s="20" t="n">
        <v>2015</v>
      </c>
      <c r="T268" s="20" t="n">
        <v>2016</v>
      </c>
      <c r="U268" s="20" t="n">
        <v>2017</v>
      </c>
      <c r="V268" s="20" t="n">
        <v>2018</v>
      </c>
      <c r="W268" s="20" t="n">
        <v>2019</v>
      </c>
      <c r="X268" s="20" t="n">
        <v>2020</v>
      </c>
    </row>
    <row r="269" customFormat="false" ht="12.75" hidden="false" customHeight="false" outlineLevel="0" collapsed="false">
      <c r="A269" s="15" t="s">
        <v>8</v>
      </c>
      <c r="B269" s="21" t="n">
        <f aca="false">NPV(0.1,D269:Y269)</f>
        <v>453600.418462268</v>
      </c>
      <c r="C269" s="21" t="n">
        <f aca="false">B269-B259</f>
        <v>-3142.76581295702</v>
      </c>
      <c r="D269" s="22" t="n">
        <v>29783.802</v>
      </c>
      <c r="E269" s="23" t="n">
        <v>37505.80114</v>
      </c>
      <c r="F269" s="23" t="n">
        <v>37592.8352542</v>
      </c>
      <c r="G269" s="23" t="n">
        <v>48367.8528996187</v>
      </c>
      <c r="H269" s="23" t="n">
        <v>57072.9533811185</v>
      </c>
      <c r="I269" s="23" t="n">
        <v>58174.2533832721</v>
      </c>
      <c r="J269" s="23" t="n">
        <v>58799.6003664786</v>
      </c>
      <c r="K269" s="23" t="n">
        <v>59424.7585382324</v>
      </c>
      <c r="L269" s="23" t="n">
        <v>60049.1537575617</v>
      </c>
      <c r="M269" s="23" t="n">
        <v>60672.1776049663</v>
      </c>
      <c r="N269" s="24" t="n">
        <v>61293.1858424334</v>
      </c>
      <c r="O269" s="25" t="n">
        <v>61911.496811904</v>
      </c>
      <c r="P269" s="25" t="n">
        <v>62526.3897698847</v>
      </c>
      <c r="Q269" s="25" t="n">
        <v>63137.1031558135</v>
      </c>
      <c r="R269" s="25" t="n">
        <v>63742.8327917052</v>
      </c>
      <c r="S269" s="25" t="n">
        <v>64342.7300105101</v>
      </c>
      <c r="T269" s="25" t="n">
        <v>64766.1252544719</v>
      </c>
      <c r="U269" s="25" t="n">
        <v>65171.6629536619</v>
      </c>
      <c r="V269" s="25" t="n">
        <v>65557.8905996742</v>
      </c>
      <c r="W269" s="25" t="n">
        <v>65923.2846053891</v>
      </c>
      <c r="X269" s="25" t="n">
        <v>66266.2473475071</v>
      </c>
    </row>
    <row r="270" customFormat="false" ht="12.75" hidden="false" customHeight="false" outlineLevel="0" collapsed="false">
      <c r="A270" s="26" t="s">
        <v>9</v>
      </c>
      <c r="B270" s="21" t="n">
        <f aca="false">NPV(0.1,D270:Y270)</f>
        <v>201918.683504531</v>
      </c>
      <c r="C270" s="21" t="n">
        <f aca="false">B270-B260</f>
        <v>-1050.2482224089</v>
      </c>
      <c r="D270" s="22" t="n">
        <v>20521.0628794694</v>
      </c>
      <c r="E270" s="23" t="n">
        <v>21763.3781166078</v>
      </c>
      <c r="F270" s="23" t="n">
        <v>22241.2875399748</v>
      </c>
      <c r="G270" s="23" t="n">
        <v>22725.6557752212</v>
      </c>
      <c r="H270" s="23" t="n">
        <v>23054.3328169525</v>
      </c>
      <c r="I270" s="23" t="n">
        <v>23251.1049659708</v>
      </c>
      <c r="J270" s="23" t="n">
        <v>23446.9102529033</v>
      </c>
      <c r="K270" s="23" t="n">
        <v>23610.3948719004</v>
      </c>
      <c r="L270" s="23" t="n">
        <v>23798.4486926382</v>
      </c>
      <c r="M270" s="23" t="n">
        <v>24045.9068128851</v>
      </c>
      <c r="N270" s="24" t="n">
        <v>24299.3705519915</v>
      </c>
      <c r="O270" s="25" t="n">
        <v>24511.7492535933</v>
      </c>
      <c r="P270" s="25" t="n">
        <v>24730.4993162432</v>
      </c>
      <c r="Q270" s="25" t="n">
        <v>24955.8118807725</v>
      </c>
      <c r="R270" s="25" t="n">
        <v>25187.8838222378</v>
      </c>
      <c r="S270" s="25" t="n">
        <v>25426.917921947</v>
      </c>
      <c r="T270" s="25" t="n">
        <v>25673.1230446474</v>
      </c>
      <c r="U270" s="25" t="n">
        <v>25926.7143210289</v>
      </c>
      <c r="V270" s="25" t="n">
        <v>26187.9133357018</v>
      </c>
      <c r="W270" s="25" t="n">
        <v>26456.948320815</v>
      </c>
      <c r="X270" s="25" t="n">
        <v>26734.0543554815</v>
      </c>
    </row>
    <row r="271" customFormat="false" ht="12.75" hidden="false" customHeight="false" outlineLevel="0" collapsed="false">
      <c r="A271" s="26" t="s">
        <v>10</v>
      </c>
      <c r="B271" s="21" t="n">
        <f aca="false">NPV(0.1,D271:Y271)</f>
        <v>89197.2392522861</v>
      </c>
      <c r="C271" s="21" t="n">
        <f aca="false">B271-B261</f>
        <v>-944.774026852625</v>
      </c>
      <c r="D271" s="22" t="n">
        <v>156.343436623674</v>
      </c>
      <c r="E271" s="23" t="n">
        <v>224.902854513249</v>
      </c>
      <c r="F271" s="23" t="n">
        <v>50.7143849506824</v>
      </c>
      <c r="G271" s="23" t="n">
        <v>6581.03923669687</v>
      </c>
      <c r="H271" s="23" t="n">
        <v>11838.2049293876</v>
      </c>
      <c r="I271" s="23" t="n">
        <v>12701.5895662785</v>
      </c>
      <c r="J271" s="23" t="n">
        <v>13258.0475852947</v>
      </c>
      <c r="K271" s="23" t="n">
        <v>13760.7860514775</v>
      </c>
      <c r="L271" s="23" t="n">
        <v>14273.7794895374</v>
      </c>
      <c r="M271" s="23" t="n">
        <v>14776.3422361384</v>
      </c>
      <c r="N271" s="24" t="n">
        <v>15302.6450961379</v>
      </c>
      <c r="O271" s="25" t="n">
        <v>15883.9997488382</v>
      </c>
      <c r="P271" s="25" t="n">
        <v>16493.3629210303</v>
      </c>
      <c r="Q271" s="25" t="n">
        <v>17132.6742734134</v>
      </c>
      <c r="R271" s="25" t="n">
        <v>17804.0272281584</v>
      </c>
      <c r="S271" s="25" t="n">
        <v>18509.6814560617</v>
      </c>
      <c r="T271" s="25" t="n">
        <v>19145.3715378461</v>
      </c>
      <c r="U271" s="25" t="n">
        <v>19810.6613774152</v>
      </c>
      <c r="V271" s="25" t="n">
        <v>20507.6346035012</v>
      </c>
      <c r="W271" s="25" t="n">
        <v>21238.5436039256</v>
      </c>
      <c r="X271" s="25" t="n">
        <v>22032.9812188699</v>
      </c>
    </row>
    <row r="272" customFormat="false" ht="12.75" hidden="false" customHeight="false" outlineLevel="0" collapsed="false">
      <c r="A272" s="26" t="s">
        <v>11</v>
      </c>
      <c r="B272" s="21" t="n">
        <f aca="false">NPV(0.1,D272:Y272)</f>
        <v>100519.985052696</v>
      </c>
      <c r="C272" s="21" t="n">
        <f aca="false">B272-B262</f>
        <v>-606.261351245092</v>
      </c>
      <c r="D272" s="27" t="n">
        <v>2125.02942066753</v>
      </c>
      <c r="E272" s="28" t="n">
        <v>3672.71490591765</v>
      </c>
      <c r="F272" s="28" t="n">
        <v>3829.7380364227</v>
      </c>
      <c r="G272" s="28" t="n">
        <v>15662.1006055583</v>
      </c>
      <c r="H272" s="28" t="n">
        <v>20343.9912985305</v>
      </c>
      <c r="I272" s="28" t="n">
        <v>17685.7557022101</v>
      </c>
      <c r="J272" s="28" t="n">
        <v>14744.1416930141</v>
      </c>
      <c r="K272" s="28" t="n">
        <v>14669.7411887913</v>
      </c>
      <c r="L272" s="28" t="n">
        <v>14618.5393696872</v>
      </c>
      <c r="M272" s="28" t="n">
        <v>14582.9016964689</v>
      </c>
      <c r="N272" s="29" t="n">
        <v>14462.0481516068</v>
      </c>
      <c r="O272" s="25" t="n">
        <v>14293.2221323413</v>
      </c>
      <c r="P272" s="25" t="n">
        <v>14136.1819138418</v>
      </c>
      <c r="Q272" s="25" t="n">
        <v>13964.5789227319</v>
      </c>
      <c r="R272" s="25" t="n">
        <v>13753.68661658</v>
      </c>
      <c r="S272" s="25" t="n">
        <v>11839.9286247703</v>
      </c>
      <c r="T272" s="25" t="n">
        <v>9858.90670115837</v>
      </c>
      <c r="U272" s="25" t="n">
        <v>9521.82635857031</v>
      </c>
      <c r="V272" s="25" t="n">
        <v>9147.77376652688</v>
      </c>
      <c r="W272" s="25" t="n">
        <v>8734.21963954867</v>
      </c>
      <c r="X272" s="25" t="n">
        <v>25232.704239116</v>
      </c>
    </row>
    <row r="274" customFormat="false" ht="11.25" hidden="false" customHeight="false" outlineLevel="0" collapsed="false">
      <c r="A274" s="30" t="s">
        <v>38</v>
      </c>
    </row>
    <row r="275" customFormat="false" ht="11.25" hidden="false" customHeight="false" outlineLevel="0" collapsed="false">
      <c r="A275" s="34" t="n">
        <v>36268</v>
      </c>
    </row>
    <row r="276" customFormat="false" ht="12.75" hidden="false" customHeight="false" outlineLevel="0" collapsed="false">
      <c r="A276" s="11" t="s">
        <v>3</v>
      </c>
      <c r="B276" s="12" t="n">
        <v>77822.5447599237</v>
      </c>
      <c r="C276" s="6"/>
      <c r="D276" s="6"/>
      <c r="E276" s="6"/>
      <c r="F276" s="6"/>
      <c r="G276" s="6"/>
      <c r="H276" s="6"/>
      <c r="I276" s="6"/>
      <c r="J276" s="6"/>
      <c r="K276" s="6"/>
      <c r="L276" s="6"/>
      <c r="M276" s="6"/>
      <c r="N276" s="6"/>
      <c r="O276" s="6"/>
      <c r="P276" s="6"/>
      <c r="Q276" s="6"/>
      <c r="R276" s="6"/>
      <c r="S276" s="6"/>
      <c r="T276" s="6"/>
      <c r="U276" s="6"/>
      <c r="V276" s="6"/>
      <c r="W276" s="6"/>
      <c r="X276" s="6"/>
    </row>
    <row r="277" customFormat="false" ht="12.75" hidden="false" customHeight="false" outlineLevel="0" collapsed="false">
      <c r="A277" s="13" t="s">
        <v>4</v>
      </c>
      <c r="B277" s="14" t="n">
        <v>117306.539076347</v>
      </c>
      <c r="C277" s="6"/>
      <c r="D277" s="6"/>
      <c r="E277" s="6"/>
      <c r="F277" s="6"/>
      <c r="G277" s="6"/>
      <c r="H277" s="6"/>
      <c r="I277" s="6"/>
      <c r="J277" s="6"/>
      <c r="K277" s="6"/>
      <c r="L277" s="6"/>
      <c r="M277" s="6"/>
      <c r="N277" s="6"/>
      <c r="O277" s="6"/>
      <c r="P277" s="6"/>
      <c r="Q277" s="6"/>
      <c r="R277" s="6"/>
      <c r="S277" s="6"/>
      <c r="T277" s="6"/>
      <c r="U277" s="6"/>
      <c r="V277" s="6"/>
      <c r="W277" s="6"/>
      <c r="X277" s="6"/>
    </row>
    <row r="278" customFormat="false" ht="12.75" hidden="false" customHeight="false" outlineLevel="0" collapsed="false">
      <c r="A278" s="15" t="s">
        <v>5</v>
      </c>
      <c r="B278" s="16" t="s">
        <v>6</v>
      </c>
      <c r="C278" s="16" t="s">
        <v>7</v>
      </c>
      <c r="D278" s="17" t="n">
        <v>2000</v>
      </c>
      <c r="E278" s="18" t="n">
        <v>2001</v>
      </c>
      <c r="F278" s="18" t="n">
        <v>2002</v>
      </c>
      <c r="G278" s="18" t="n">
        <v>2003</v>
      </c>
      <c r="H278" s="18" t="n">
        <v>2004</v>
      </c>
      <c r="I278" s="18" t="n">
        <v>2005</v>
      </c>
      <c r="J278" s="18" t="n">
        <v>2006</v>
      </c>
      <c r="K278" s="18" t="n">
        <v>2007</v>
      </c>
      <c r="L278" s="18" t="n">
        <v>2008</v>
      </c>
      <c r="M278" s="18" t="n">
        <v>2009</v>
      </c>
      <c r="N278" s="19" t="n">
        <v>2010</v>
      </c>
      <c r="O278" s="20" t="n">
        <v>2011</v>
      </c>
      <c r="P278" s="20" t="n">
        <v>2012</v>
      </c>
      <c r="Q278" s="20" t="n">
        <v>2013</v>
      </c>
      <c r="R278" s="20" t="n">
        <v>2014</v>
      </c>
      <c r="S278" s="20" t="n">
        <v>2015</v>
      </c>
      <c r="T278" s="20" t="n">
        <v>2016</v>
      </c>
      <c r="U278" s="20" t="n">
        <v>2017</v>
      </c>
      <c r="V278" s="20" t="n">
        <v>2018</v>
      </c>
      <c r="W278" s="20" t="n">
        <v>2019</v>
      </c>
      <c r="X278" s="20" t="n">
        <v>2020</v>
      </c>
    </row>
    <row r="279" customFormat="false" ht="12.75" hidden="false" customHeight="false" outlineLevel="0" collapsed="false">
      <c r="A279" s="15" t="s">
        <v>8</v>
      </c>
      <c r="B279" s="21" t="n">
        <f aca="false">NPV(0.1,D279:Y279)</f>
        <v>463721.340871939</v>
      </c>
      <c r="C279" s="21" t="n">
        <f aca="false">B279-B269</f>
        <v>10120.9224096714</v>
      </c>
      <c r="D279" s="22" t="n">
        <v>32251.302</v>
      </c>
      <c r="E279" s="23" t="n">
        <v>41735.80114</v>
      </c>
      <c r="F279" s="23" t="n">
        <v>41822.8352542</v>
      </c>
      <c r="G279" s="23" t="n">
        <v>50130.3528996187</v>
      </c>
      <c r="H279" s="23" t="n">
        <v>57072.9533811185</v>
      </c>
      <c r="I279" s="23" t="n">
        <v>58174.2533832721</v>
      </c>
      <c r="J279" s="23" t="n">
        <v>58799.6003664786</v>
      </c>
      <c r="K279" s="23" t="n">
        <v>59424.7585382324</v>
      </c>
      <c r="L279" s="23" t="n">
        <v>60049.1537575617</v>
      </c>
      <c r="M279" s="23" t="n">
        <v>60672.1776049663</v>
      </c>
      <c r="N279" s="24" t="n">
        <v>61293.1858424334</v>
      </c>
      <c r="O279" s="25" t="n">
        <v>61911.496811904</v>
      </c>
      <c r="P279" s="25" t="n">
        <v>62526.3897698847</v>
      </c>
      <c r="Q279" s="25" t="n">
        <v>63137.1031558135</v>
      </c>
      <c r="R279" s="25" t="n">
        <v>63742.8327917052</v>
      </c>
      <c r="S279" s="25" t="n">
        <v>64342.7300105101</v>
      </c>
      <c r="T279" s="25" t="n">
        <v>64766.1252544719</v>
      </c>
      <c r="U279" s="25" t="n">
        <v>65171.6629536619</v>
      </c>
      <c r="V279" s="25" t="n">
        <v>65557.8905996742</v>
      </c>
      <c r="W279" s="25" t="n">
        <v>65923.2846053891</v>
      </c>
      <c r="X279" s="25" t="n">
        <v>66266.2473475071</v>
      </c>
    </row>
    <row r="280" customFormat="false" ht="12.75" hidden="false" customHeight="false" outlineLevel="0" collapsed="false">
      <c r="A280" s="26" t="s">
        <v>9</v>
      </c>
      <c r="B280" s="21" t="n">
        <f aca="false">NPV(0.1,D280:Y280)</f>
        <v>201918.683504531</v>
      </c>
      <c r="C280" s="21" t="n">
        <f aca="false">B280-B270</f>
        <v>0</v>
      </c>
      <c r="D280" s="22" t="n">
        <v>20521.0628794694</v>
      </c>
      <c r="E280" s="23" t="n">
        <v>21763.3781166078</v>
      </c>
      <c r="F280" s="23" t="n">
        <v>22241.2875399748</v>
      </c>
      <c r="G280" s="23" t="n">
        <v>22725.6557752212</v>
      </c>
      <c r="H280" s="23" t="n">
        <v>23054.3328169525</v>
      </c>
      <c r="I280" s="23" t="n">
        <v>23251.1049659708</v>
      </c>
      <c r="J280" s="23" t="n">
        <v>23446.9102529033</v>
      </c>
      <c r="K280" s="23" t="n">
        <v>23610.3948719004</v>
      </c>
      <c r="L280" s="23" t="n">
        <v>23798.4486926382</v>
      </c>
      <c r="M280" s="23" t="n">
        <v>24045.9068128851</v>
      </c>
      <c r="N280" s="24" t="n">
        <v>24299.3705519915</v>
      </c>
      <c r="O280" s="25" t="n">
        <v>24511.7492535933</v>
      </c>
      <c r="P280" s="25" t="n">
        <v>24730.4993162432</v>
      </c>
      <c r="Q280" s="25" t="n">
        <v>24955.8118807725</v>
      </c>
      <c r="R280" s="25" t="n">
        <v>25187.8838222378</v>
      </c>
      <c r="S280" s="25" t="n">
        <v>25426.917921947</v>
      </c>
      <c r="T280" s="25" t="n">
        <v>25673.1230446474</v>
      </c>
      <c r="U280" s="25" t="n">
        <v>25926.7143210289</v>
      </c>
      <c r="V280" s="25" t="n">
        <v>26187.9133357018</v>
      </c>
      <c r="W280" s="25" t="n">
        <v>26456.948320815</v>
      </c>
      <c r="X280" s="25" t="n">
        <v>26734.0543554815</v>
      </c>
    </row>
    <row r="281" customFormat="false" ht="12.75" hidden="false" customHeight="false" outlineLevel="0" collapsed="false">
      <c r="A281" s="26" t="s">
        <v>10</v>
      </c>
      <c r="B281" s="21" t="n">
        <f aca="false">NPV(0.1,D281:Y281)</f>
        <v>94947.260665686</v>
      </c>
      <c r="C281" s="21" t="n">
        <f aca="false">B281-B271</f>
        <v>5750.0214133999</v>
      </c>
      <c r="D281" s="22" t="n">
        <v>1484.31767173743</v>
      </c>
      <c r="E281" s="23" t="n">
        <v>2575.4704063866</v>
      </c>
      <c r="F281" s="23" t="n">
        <v>2533.94627373484</v>
      </c>
      <c r="G281" s="23" t="n">
        <v>7656.37006568992</v>
      </c>
      <c r="H281" s="23" t="n">
        <v>11838.2049293876</v>
      </c>
      <c r="I281" s="23" t="n">
        <v>12701.5895662785</v>
      </c>
      <c r="J281" s="23" t="n">
        <v>13258.0475852947</v>
      </c>
      <c r="K281" s="23" t="n">
        <v>13760.7860514775</v>
      </c>
      <c r="L281" s="23" t="n">
        <v>14273.7794895374</v>
      </c>
      <c r="M281" s="23" t="n">
        <v>14776.3422361384</v>
      </c>
      <c r="N281" s="24" t="n">
        <v>15302.6450961379</v>
      </c>
      <c r="O281" s="25" t="n">
        <v>15883.9997488382</v>
      </c>
      <c r="P281" s="25" t="n">
        <v>16493.3629210303</v>
      </c>
      <c r="Q281" s="25" t="n">
        <v>17132.6742734134</v>
      </c>
      <c r="R281" s="25" t="n">
        <v>17804.0272281584</v>
      </c>
      <c r="S281" s="25" t="n">
        <v>18509.6814560617</v>
      </c>
      <c r="T281" s="25" t="n">
        <v>19145.3715378461</v>
      </c>
      <c r="U281" s="25" t="n">
        <v>19810.6613774152</v>
      </c>
      <c r="V281" s="25" t="n">
        <v>20507.6346035012</v>
      </c>
      <c r="W281" s="25" t="n">
        <v>21238.5436039256</v>
      </c>
      <c r="X281" s="25" t="n">
        <v>22032.9812188699</v>
      </c>
    </row>
    <row r="282" customFormat="false" ht="12.75" hidden="false" customHeight="false" outlineLevel="0" collapsed="false">
      <c r="A282" s="26" t="s">
        <v>11</v>
      </c>
      <c r="B282" s="21" t="n">
        <f aca="false">NPV(0.1,D282:Y282)</f>
        <v>100724.846312054</v>
      </c>
      <c r="C282" s="21" t="n">
        <f aca="false">B282-B272</f>
        <v>204.861259357931</v>
      </c>
      <c r="D282" s="27" t="n">
        <v>2695.68624759061</v>
      </c>
      <c r="E282" s="28" t="n">
        <v>4650.98375207149</v>
      </c>
      <c r="F282" s="28" t="n">
        <v>4808.00688257655</v>
      </c>
      <c r="G282" s="28" t="n">
        <v>16682.7333486139</v>
      </c>
      <c r="H282" s="28" t="n">
        <v>18639.8146826366</v>
      </c>
      <c r="I282" s="28" t="n">
        <v>15034.9007998731</v>
      </c>
      <c r="J282" s="28" t="n">
        <v>14744.1416930141</v>
      </c>
      <c r="K282" s="28" t="n">
        <v>14669.7411887913</v>
      </c>
      <c r="L282" s="28" t="n">
        <v>14618.5393696872</v>
      </c>
      <c r="M282" s="28" t="n">
        <v>14582.9016964689</v>
      </c>
      <c r="N282" s="29" t="n">
        <v>14462.0481516068</v>
      </c>
      <c r="O282" s="25" t="n">
        <v>14293.2221323413</v>
      </c>
      <c r="P282" s="25" t="n">
        <v>14136.1819138418</v>
      </c>
      <c r="Q282" s="25" t="n">
        <v>13964.5789227319</v>
      </c>
      <c r="R282" s="25" t="n">
        <v>13753.68661658</v>
      </c>
      <c r="S282" s="25" t="n">
        <v>11839.9286247703</v>
      </c>
      <c r="T282" s="25" t="n">
        <v>9858.90670115837</v>
      </c>
      <c r="U282" s="25" t="n">
        <v>9521.82635857031</v>
      </c>
      <c r="V282" s="25" t="n">
        <v>9147.77376652688</v>
      </c>
      <c r="W282" s="25" t="n">
        <v>8734.21963954867</v>
      </c>
      <c r="X282" s="25" t="n">
        <v>25232.704239116</v>
      </c>
    </row>
    <row r="284" customFormat="false" ht="11.25" hidden="false" customHeight="false" outlineLevel="0" collapsed="false">
      <c r="A284" s="30" t="s">
        <v>39</v>
      </c>
    </row>
    <row r="285" customFormat="false" ht="11.25" hidden="false" customHeight="false" outlineLevel="0" collapsed="false">
      <c r="A285" s="34" t="n">
        <v>36269</v>
      </c>
    </row>
    <row r="286" customFormat="false" ht="12.75" hidden="false" customHeight="false" outlineLevel="0" collapsed="false">
      <c r="A286" s="11" t="s">
        <v>3</v>
      </c>
      <c r="B286" s="12" t="n">
        <v>78760.9473567333</v>
      </c>
      <c r="C286" s="6"/>
      <c r="D286" s="6"/>
      <c r="E286" s="6"/>
      <c r="F286" s="6"/>
      <c r="G286" s="6"/>
      <c r="H286" s="6"/>
      <c r="I286" s="6"/>
      <c r="J286" s="6"/>
      <c r="K286" s="6"/>
      <c r="L286" s="6"/>
      <c r="M286" s="6"/>
      <c r="N286" s="6"/>
      <c r="O286" s="6"/>
      <c r="P286" s="6"/>
      <c r="Q286" s="6"/>
      <c r="R286" s="6"/>
      <c r="S286" s="6"/>
      <c r="T286" s="6"/>
      <c r="U286" s="6"/>
      <c r="V286" s="6"/>
      <c r="W286" s="6"/>
      <c r="X286" s="6"/>
    </row>
    <row r="287" customFormat="false" ht="12.75" hidden="false" customHeight="false" outlineLevel="0" collapsed="false">
      <c r="A287" s="13" t="s">
        <v>4</v>
      </c>
      <c r="B287" s="14" t="n">
        <v>118533.056285305</v>
      </c>
      <c r="C287" s="6"/>
      <c r="D287" s="6"/>
      <c r="E287" s="6"/>
      <c r="F287" s="6"/>
      <c r="G287" s="6"/>
      <c r="H287" s="6"/>
      <c r="I287" s="6"/>
      <c r="J287" s="6"/>
      <c r="K287" s="6"/>
      <c r="L287" s="6"/>
      <c r="M287" s="6"/>
      <c r="N287" s="6"/>
      <c r="O287" s="6"/>
      <c r="P287" s="6"/>
      <c r="Q287" s="6"/>
      <c r="R287" s="6"/>
      <c r="S287" s="6"/>
      <c r="T287" s="6"/>
      <c r="U287" s="6"/>
      <c r="V287" s="6"/>
      <c r="W287" s="6"/>
      <c r="X287" s="6"/>
    </row>
    <row r="288" customFormat="false" ht="12.75" hidden="false" customHeight="false" outlineLevel="0" collapsed="false">
      <c r="A288" s="15" t="s">
        <v>5</v>
      </c>
      <c r="B288" s="16" t="s">
        <v>6</v>
      </c>
      <c r="C288" s="16" t="s">
        <v>7</v>
      </c>
      <c r="D288" s="17" t="n">
        <v>2000</v>
      </c>
      <c r="E288" s="18" t="n">
        <v>2001</v>
      </c>
      <c r="F288" s="18" t="n">
        <v>2002</v>
      </c>
      <c r="G288" s="18" t="n">
        <v>2003</v>
      </c>
      <c r="H288" s="18" t="n">
        <v>2004</v>
      </c>
      <c r="I288" s="18" t="n">
        <v>2005</v>
      </c>
      <c r="J288" s="18" t="n">
        <v>2006</v>
      </c>
      <c r="K288" s="18" t="n">
        <v>2007</v>
      </c>
      <c r="L288" s="18" t="n">
        <v>2008</v>
      </c>
      <c r="M288" s="18" t="n">
        <v>2009</v>
      </c>
      <c r="N288" s="19" t="n">
        <v>2010</v>
      </c>
      <c r="O288" s="20" t="n">
        <v>2011</v>
      </c>
      <c r="P288" s="20" t="n">
        <v>2012</v>
      </c>
      <c r="Q288" s="20" t="n">
        <v>2013</v>
      </c>
      <c r="R288" s="20" t="n">
        <v>2014</v>
      </c>
      <c r="S288" s="20" t="n">
        <v>2015</v>
      </c>
      <c r="T288" s="20" t="n">
        <v>2016</v>
      </c>
      <c r="U288" s="20" t="n">
        <v>2017</v>
      </c>
      <c r="V288" s="20" t="n">
        <v>2018</v>
      </c>
      <c r="W288" s="20" t="n">
        <v>2019</v>
      </c>
      <c r="X288" s="20" t="n">
        <v>2020</v>
      </c>
    </row>
    <row r="289" customFormat="false" ht="12.75" hidden="false" customHeight="false" outlineLevel="0" collapsed="false">
      <c r="A289" s="15" t="s">
        <v>8</v>
      </c>
      <c r="B289" s="21" t="n">
        <f aca="false">NPV(0.1,D289:Y289)</f>
        <v>463721.340871939</v>
      </c>
      <c r="C289" s="21" t="n">
        <f aca="false">B289-B279</f>
        <v>0</v>
      </c>
      <c r="D289" s="22" t="n">
        <v>32251.302</v>
      </c>
      <c r="E289" s="23" t="n">
        <v>41735.80114</v>
      </c>
      <c r="F289" s="23" t="n">
        <v>41822.8352542</v>
      </c>
      <c r="G289" s="23" t="n">
        <v>50130.3528996187</v>
      </c>
      <c r="H289" s="23" t="n">
        <v>57072.9533811185</v>
      </c>
      <c r="I289" s="23" t="n">
        <v>58174.2533832721</v>
      </c>
      <c r="J289" s="23" t="n">
        <v>58799.6003664786</v>
      </c>
      <c r="K289" s="23" t="n">
        <v>59424.7585382324</v>
      </c>
      <c r="L289" s="23" t="n">
        <v>60049.1537575617</v>
      </c>
      <c r="M289" s="23" t="n">
        <v>60672.1776049663</v>
      </c>
      <c r="N289" s="24" t="n">
        <v>61293.1858424334</v>
      </c>
      <c r="O289" s="25" t="n">
        <v>61911.496811904</v>
      </c>
      <c r="P289" s="25" t="n">
        <v>62526.3897698847</v>
      </c>
      <c r="Q289" s="25" t="n">
        <v>63137.1031558135</v>
      </c>
      <c r="R289" s="25" t="n">
        <v>63742.8327917052</v>
      </c>
      <c r="S289" s="25" t="n">
        <v>64342.7300105101</v>
      </c>
      <c r="T289" s="25" t="n">
        <v>64766.1252544719</v>
      </c>
      <c r="U289" s="25" t="n">
        <v>65171.6629536619</v>
      </c>
      <c r="V289" s="25" t="n">
        <v>65557.8905996742</v>
      </c>
      <c r="W289" s="25" t="n">
        <v>65923.2846053891</v>
      </c>
      <c r="X289" s="25" t="n">
        <v>66266.2473475071</v>
      </c>
    </row>
    <row r="290" customFormat="false" ht="12.75" hidden="false" customHeight="false" outlineLevel="0" collapsed="false">
      <c r="A290" s="26" t="s">
        <v>9</v>
      </c>
      <c r="B290" s="21" t="n">
        <f aca="false">NPV(0.1,D290:Y290)</f>
        <v>200733.847850917</v>
      </c>
      <c r="C290" s="21" t="n">
        <f aca="false">B290-B280</f>
        <v>-1184.83565361446</v>
      </c>
      <c r="D290" s="22" t="n">
        <v>20492.7378794694</v>
      </c>
      <c r="E290" s="23" t="n">
        <v>21641.3746166078</v>
      </c>
      <c r="F290" s="23" t="n">
        <v>22115.6239349748</v>
      </c>
      <c r="G290" s="23" t="n">
        <v>22596.2222620712</v>
      </c>
      <c r="H290" s="23" t="n">
        <v>22921.016298408</v>
      </c>
      <c r="I290" s="23" t="n">
        <v>23113.78895187</v>
      </c>
      <c r="J290" s="23" t="n">
        <v>23305.4747583795</v>
      </c>
      <c r="K290" s="23" t="n">
        <v>23464.7163125408</v>
      </c>
      <c r="L290" s="23" t="n">
        <v>23648.3997764978</v>
      </c>
      <c r="M290" s="23" t="n">
        <v>23891.3564292605</v>
      </c>
      <c r="N290" s="24" t="n">
        <v>24140.1836568582</v>
      </c>
      <c r="O290" s="25" t="n">
        <v>24347.786751606</v>
      </c>
      <c r="P290" s="25" t="n">
        <v>24561.6179391963</v>
      </c>
      <c r="Q290" s="25" t="n">
        <v>24781.8640624142</v>
      </c>
      <c r="R290" s="25" t="n">
        <v>25008.7175693287</v>
      </c>
      <c r="S290" s="25" t="n">
        <v>25242.3766814506</v>
      </c>
      <c r="T290" s="25" t="n">
        <v>25483.0455669362</v>
      </c>
      <c r="U290" s="25" t="n">
        <v>25730.9345189863</v>
      </c>
      <c r="V290" s="25" t="n">
        <v>25986.260139598</v>
      </c>
      <c r="W290" s="25" t="n">
        <v>26249.245528828</v>
      </c>
      <c r="X290" s="25" t="n">
        <v>26520.1204797349</v>
      </c>
    </row>
    <row r="291" customFormat="false" ht="12.75" hidden="false" customHeight="false" outlineLevel="0" collapsed="false">
      <c r="A291" s="26" t="s">
        <v>10</v>
      </c>
      <c r="B291" s="21" t="n">
        <f aca="false">NPV(0.1,D291:Y291)</f>
        <v>95484.5154512649</v>
      </c>
      <c r="C291" s="21" t="n">
        <f aca="false">B291-B281</f>
        <v>537.254785578974</v>
      </c>
      <c r="D291" s="22" t="n">
        <v>1483.28477800697</v>
      </c>
      <c r="E291" s="23" t="n">
        <v>2619.44991228749</v>
      </c>
      <c r="F291" s="23" t="n">
        <v>2582.20676704712</v>
      </c>
      <c r="G291" s="23" t="n">
        <v>7709.26950020909</v>
      </c>
      <c r="H291" s="23" t="n">
        <v>11893.8398771509</v>
      </c>
      <c r="I291" s="23" t="n">
        <v>12760.1339750998</v>
      </c>
      <c r="J291" s="23" t="n">
        <v>13319.6879720157</v>
      </c>
      <c r="K291" s="23" t="n">
        <v>13825.7224670862</v>
      </c>
      <c r="L291" s="23" t="n">
        <v>14342.2265602831</v>
      </c>
      <c r="M291" s="23" t="n">
        <v>14848.5302866889</v>
      </c>
      <c r="N291" s="24" t="n">
        <v>15378.8213613019</v>
      </c>
      <c r="O291" s="25" t="n">
        <v>15964.4296809018</v>
      </c>
      <c r="P291" s="25" t="n">
        <v>16578.3316003161</v>
      </c>
      <c r="Q291" s="25" t="n">
        <v>17222.4879302789</v>
      </c>
      <c r="R291" s="25" t="n">
        <v>17899.0148853071</v>
      </c>
      <c r="S291" s="25" t="n">
        <v>18610.1967007481</v>
      </c>
      <c r="T291" s="25" t="n">
        <v>19251.7944343224</v>
      </c>
      <c r="U291" s="25" t="n">
        <v>19923.4005307909</v>
      </c>
      <c r="V291" s="25" t="n">
        <v>20627.1293870838</v>
      </c>
      <c r="W291" s="25" t="n">
        <v>21365.2665630697</v>
      </c>
      <c r="X291" s="25" t="n">
        <v>22167.4406654067</v>
      </c>
    </row>
    <row r="292" customFormat="false" ht="12.75" hidden="false" customHeight="false" outlineLevel="0" collapsed="false">
      <c r="A292" s="26" t="s">
        <v>11</v>
      </c>
      <c r="B292" s="21" t="n">
        <f aca="false">NPV(0.1,D292:Y292)</f>
        <v>101047.695568508</v>
      </c>
      <c r="C292" s="21" t="n">
        <f aca="false">B292-B282</f>
        <v>322.849256454298</v>
      </c>
      <c r="D292" s="27" t="n">
        <v>2702.57684855215</v>
      </c>
      <c r="E292" s="28" t="n">
        <v>4680.66344966764</v>
      </c>
      <c r="F292" s="28" t="n">
        <v>4838.57697110059</v>
      </c>
      <c r="G292" s="28" t="n">
        <v>16759.1139436443</v>
      </c>
      <c r="H292" s="28" t="n">
        <v>18598.4714718163</v>
      </c>
      <c r="I292" s="28" t="n">
        <v>15081.1545854846</v>
      </c>
      <c r="J292" s="28" t="n">
        <v>14790.9169354873</v>
      </c>
      <c r="K292" s="28" t="n">
        <v>14716.9842392955</v>
      </c>
      <c r="L292" s="28" t="n">
        <v>14666.1894265238</v>
      </c>
      <c r="M292" s="28" t="n">
        <v>14630.8901470133</v>
      </c>
      <c r="N292" s="29" t="n">
        <v>14510.2978590305</v>
      </c>
      <c r="O292" s="25" t="n">
        <v>14341.6466626197</v>
      </c>
      <c r="P292" s="25" t="n">
        <v>14184.6846981911</v>
      </c>
      <c r="Q292" s="25" t="n">
        <v>14013.0523502272</v>
      </c>
      <c r="R292" s="25" t="n">
        <v>13802.0110512849</v>
      </c>
      <c r="S292" s="25" t="n">
        <v>11887.9713412519</v>
      </c>
      <c r="T292" s="25" t="n">
        <v>9906.52073176878</v>
      </c>
      <c r="U292" s="25" t="n">
        <v>9568.84924534417</v>
      </c>
      <c r="V292" s="25" t="n">
        <v>9194.02620996872</v>
      </c>
      <c r="W292" s="25" t="n">
        <v>8779.50403596369</v>
      </c>
      <c r="X292" s="25" t="n">
        <v>25368.7124332046</v>
      </c>
    </row>
    <row r="294" customFormat="false" ht="11.25" hidden="false" customHeight="false" outlineLevel="0" collapsed="false">
      <c r="A294" s="30" t="s">
        <v>40</v>
      </c>
    </row>
    <row r="295" customFormat="false" ht="11.25" hidden="false" customHeight="false" outlineLevel="0" collapsed="false">
      <c r="A295" s="34" t="n">
        <v>36271</v>
      </c>
    </row>
    <row r="296" customFormat="false" ht="12.75" hidden="false" customHeight="false" outlineLevel="0" collapsed="false">
      <c r="A296" s="11" t="s">
        <v>3</v>
      </c>
      <c r="B296" s="12" t="n">
        <v>78760.1654170659</v>
      </c>
      <c r="C296" s="6"/>
      <c r="D296" s="6"/>
      <c r="E296" s="6"/>
      <c r="F296" s="6"/>
      <c r="G296" s="6"/>
      <c r="H296" s="6"/>
      <c r="I296" s="6"/>
      <c r="J296" s="6"/>
      <c r="K296" s="6"/>
      <c r="L296" s="6"/>
      <c r="M296" s="6"/>
      <c r="N296" s="6"/>
      <c r="O296" s="6"/>
      <c r="P296" s="6"/>
      <c r="Q296" s="6"/>
      <c r="R296" s="6"/>
      <c r="S296" s="6"/>
      <c r="T296" s="6"/>
      <c r="U296" s="6"/>
      <c r="V296" s="6"/>
      <c r="W296" s="6"/>
      <c r="X296" s="6"/>
    </row>
    <row r="297" customFormat="false" ht="12.75" hidden="false" customHeight="false" outlineLevel="0" collapsed="false">
      <c r="A297" s="13" t="s">
        <v>4</v>
      </c>
      <c r="B297" s="14" t="n">
        <v>118532.118285305</v>
      </c>
      <c r="C297" s="6"/>
      <c r="D297" s="6"/>
      <c r="E297" s="6"/>
      <c r="F297" s="6"/>
      <c r="G297" s="6"/>
      <c r="H297" s="6"/>
      <c r="I297" s="6"/>
      <c r="J297" s="6"/>
      <c r="K297" s="6"/>
      <c r="L297" s="6"/>
      <c r="M297" s="6"/>
      <c r="N297" s="6"/>
      <c r="O297" s="6"/>
      <c r="P297" s="6"/>
      <c r="Q297" s="6"/>
      <c r="R297" s="6"/>
      <c r="S297" s="6"/>
      <c r="T297" s="6"/>
      <c r="U297" s="6"/>
      <c r="V297" s="6"/>
      <c r="W297" s="6"/>
      <c r="X297" s="6"/>
    </row>
    <row r="298" customFormat="false" ht="12.75" hidden="false" customHeight="false" outlineLevel="0" collapsed="false">
      <c r="A298" s="15" t="s">
        <v>5</v>
      </c>
      <c r="B298" s="16" t="s">
        <v>6</v>
      </c>
      <c r="C298" s="16" t="s">
        <v>7</v>
      </c>
      <c r="D298" s="17" t="n">
        <v>2000</v>
      </c>
      <c r="E298" s="18" t="n">
        <v>2001</v>
      </c>
      <c r="F298" s="18" t="n">
        <v>2002</v>
      </c>
      <c r="G298" s="18" t="n">
        <v>2003</v>
      </c>
      <c r="H298" s="18" t="n">
        <v>2004</v>
      </c>
      <c r="I298" s="18" t="n">
        <v>2005</v>
      </c>
      <c r="J298" s="18" t="n">
        <v>2006</v>
      </c>
      <c r="K298" s="18" t="n">
        <v>2007</v>
      </c>
      <c r="L298" s="18" t="n">
        <v>2008</v>
      </c>
      <c r="M298" s="18" t="n">
        <v>2009</v>
      </c>
      <c r="N298" s="19" t="n">
        <v>2010</v>
      </c>
      <c r="O298" s="20" t="n">
        <v>2011</v>
      </c>
      <c r="P298" s="20" t="n">
        <v>2012</v>
      </c>
      <c r="Q298" s="20" t="n">
        <v>2013</v>
      </c>
      <c r="R298" s="20" t="n">
        <v>2014</v>
      </c>
      <c r="S298" s="20" t="n">
        <v>2015</v>
      </c>
      <c r="T298" s="20" t="n">
        <v>2016</v>
      </c>
      <c r="U298" s="20" t="n">
        <v>2017</v>
      </c>
      <c r="V298" s="20" t="n">
        <v>2018</v>
      </c>
      <c r="W298" s="20" t="n">
        <v>2019</v>
      </c>
      <c r="X298" s="20" t="n">
        <v>2020</v>
      </c>
    </row>
    <row r="299" customFormat="false" ht="12.75" hidden="false" customHeight="false" outlineLevel="0" collapsed="false">
      <c r="A299" s="15" t="s">
        <v>8</v>
      </c>
      <c r="B299" s="21" t="n">
        <f aca="false">NPV(0.1,D299:Y299)</f>
        <v>467830.940938046</v>
      </c>
      <c r="C299" s="21" t="n">
        <f aca="false">B299-B289</f>
        <v>4109.600066107</v>
      </c>
      <c r="D299" s="22" t="n">
        <v>32726.472</v>
      </c>
      <c r="E299" s="23" t="n">
        <v>42210.97114</v>
      </c>
      <c r="F299" s="23" t="n">
        <v>42298.0052542</v>
      </c>
      <c r="G299" s="23" t="n">
        <v>50605.5228996187</v>
      </c>
      <c r="H299" s="23" t="n">
        <v>57548.1233811185</v>
      </c>
      <c r="I299" s="23" t="n">
        <v>58649.4233832721</v>
      </c>
      <c r="J299" s="23" t="n">
        <v>59274.7703664786</v>
      </c>
      <c r="K299" s="23" t="n">
        <v>59899.9285382324</v>
      </c>
      <c r="L299" s="23" t="n">
        <v>60524.3237575617</v>
      </c>
      <c r="M299" s="23" t="n">
        <v>61147.3476049663</v>
      </c>
      <c r="N299" s="24" t="n">
        <v>61768.3558424334</v>
      </c>
      <c r="O299" s="25" t="n">
        <v>62386.666811904</v>
      </c>
      <c r="P299" s="25" t="n">
        <v>63001.5597698847</v>
      </c>
      <c r="Q299" s="25" t="n">
        <v>63612.2731558135</v>
      </c>
      <c r="R299" s="25" t="n">
        <v>64218.0027917052</v>
      </c>
      <c r="S299" s="25" t="n">
        <v>64817.9000105101</v>
      </c>
      <c r="T299" s="25" t="n">
        <v>65241.2952544719</v>
      </c>
      <c r="U299" s="25" t="n">
        <v>65646.8329536619</v>
      </c>
      <c r="V299" s="25" t="n">
        <v>66033.0605996742</v>
      </c>
      <c r="W299" s="25" t="n">
        <v>66398.4546053891</v>
      </c>
      <c r="X299" s="25" t="n">
        <v>66741.4173475071</v>
      </c>
    </row>
    <row r="300" customFormat="false" ht="12.75" hidden="false" customHeight="false" outlineLevel="0" collapsed="false">
      <c r="A300" s="26" t="s">
        <v>9</v>
      </c>
      <c r="B300" s="21" t="n">
        <f aca="false">NPV(0.1,D300:Y300)</f>
        <v>204843.447917024</v>
      </c>
      <c r="C300" s="21" t="n">
        <f aca="false">B300-B290</f>
        <v>4109.60006610697</v>
      </c>
      <c r="D300" s="22" t="n">
        <v>20967.9078794694</v>
      </c>
      <c r="E300" s="23" t="n">
        <v>22116.5446166078</v>
      </c>
      <c r="F300" s="23" t="n">
        <v>22590.7939349748</v>
      </c>
      <c r="G300" s="23" t="n">
        <v>23071.3922620712</v>
      </c>
      <c r="H300" s="23" t="n">
        <v>23396.186298408</v>
      </c>
      <c r="I300" s="23" t="n">
        <v>23588.95895187</v>
      </c>
      <c r="J300" s="23" t="n">
        <v>23780.6447583794</v>
      </c>
      <c r="K300" s="23" t="n">
        <v>23939.8863125408</v>
      </c>
      <c r="L300" s="23" t="n">
        <v>24123.5697764978</v>
      </c>
      <c r="M300" s="23" t="n">
        <v>24366.5264292605</v>
      </c>
      <c r="N300" s="24" t="n">
        <v>24615.3536568582</v>
      </c>
      <c r="O300" s="25" t="n">
        <v>24822.956751606</v>
      </c>
      <c r="P300" s="25" t="n">
        <v>25036.7879391963</v>
      </c>
      <c r="Q300" s="25" t="n">
        <v>25257.0340624142</v>
      </c>
      <c r="R300" s="25" t="n">
        <v>25483.8875693287</v>
      </c>
      <c r="S300" s="25" t="n">
        <v>25717.5466814506</v>
      </c>
      <c r="T300" s="25" t="n">
        <v>25958.2155669362</v>
      </c>
      <c r="U300" s="25" t="n">
        <v>26206.1045189863</v>
      </c>
      <c r="V300" s="25" t="n">
        <v>26461.430139598</v>
      </c>
      <c r="W300" s="25" t="n">
        <v>26724.415528828</v>
      </c>
      <c r="X300" s="25" t="n">
        <v>26995.2904797349</v>
      </c>
    </row>
    <row r="301" customFormat="false" ht="12.75" hidden="false" customHeight="false" outlineLevel="0" collapsed="false">
      <c r="A301" s="26" t="s">
        <v>10</v>
      </c>
      <c r="B301" s="21" t="n">
        <f aca="false">NPV(0.1,D301:Y301)</f>
        <v>95484.3709933254</v>
      </c>
      <c r="C301" s="21" t="n">
        <f aca="false">B301-B291</f>
        <v>-0.144457939575659</v>
      </c>
      <c r="D301" s="22" t="n">
        <v>1483.27458839572</v>
      </c>
      <c r="E301" s="23" t="n">
        <v>2619.43244438249</v>
      </c>
      <c r="F301" s="23" t="n">
        <v>2582.18929914212</v>
      </c>
      <c r="G301" s="23" t="n">
        <v>7709.25203230409</v>
      </c>
      <c r="H301" s="23" t="n">
        <v>11893.8224092459</v>
      </c>
      <c r="I301" s="23" t="n">
        <v>12760.1165071948</v>
      </c>
      <c r="J301" s="23" t="n">
        <v>13319.6705041107</v>
      </c>
      <c r="K301" s="23" t="n">
        <v>13825.7049991812</v>
      </c>
      <c r="L301" s="23" t="n">
        <v>14342.2090923781</v>
      </c>
      <c r="M301" s="23" t="n">
        <v>14848.5128187839</v>
      </c>
      <c r="N301" s="24" t="n">
        <v>15378.8038933969</v>
      </c>
      <c r="O301" s="25" t="n">
        <v>15964.4122129968</v>
      </c>
      <c r="P301" s="25" t="n">
        <v>16578.3141324111</v>
      </c>
      <c r="Q301" s="25" t="n">
        <v>17222.4704623739</v>
      </c>
      <c r="R301" s="25" t="n">
        <v>17898.9974174021</v>
      </c>
      <c r="S301" s="25" t="n">
        <v>18610.1792328431</v>
      </c>
      <c r="T301" s="25" t="n">
        <v>19251.7769664174</v>
      </c>
      <c r="U301" s="25" t="n">
        <v>19923.3830628859</v>
      </c>
      <c r="V301" s="25" t="n">
        <v>20627.1119191788</v>
      </c>
      <c r="W301" s="25" t="n">
        <v>21365.2490951647</v>
      </c>
      <c r="X301" s="25" t="n">
        <v>22167.4231975017</v>
      </c>
    </row>
    <row r="302" customFormat="false" ht="12.75" hidden="false" customHeight="false" outlineLevel="0" collapsed="false">
      <c r="A302" s="26" t="s">
        <v>11</v>
      </c>
      <c r="B302" s="21" t="n">
        <f aca="false">NPV(0.1,D302:Y302)</f>
        <v>101047.865725157</v>
      </c>
      <c r="C302" s="21" t="n">
        <f aca="false">B302-B292</f>
        <v>0.170156648920965</v>
      </c>
      <c r="D302" s="27" t="n">
        <v>2702.57684855215</v>
      </c>
      <c r="E302" s="28" t="n">
        <v>4680.66344966764</v>
      </c>
      <c r="F302" s="28" t="n">
        <v>4838.57697110058</v>
      </c>
      <c r="G302" s="28" t="n">
        <v>16759.1149004043</v>
      </c>
      <c r="H302" s="28" t="n">
        <v>18598.6058003575</v>
      </c>
      <c r="I302" s="28" t="n">
        <v>15081.1773697626</v>
      </c>
      <c r="J302" s="28" t="n">
        <v>14790.9385458348</v>
      </c>
      <c r="K302" s="28" t="n">
        <v>14717.0058852166</v>
      </c>
      <c r="L302" s="28" t="n">
        <v>14666.2110368713</v>
      </c>
      <c r="M302" s="28" t="n">
        <v>14630.9117929345</v>
      </c>
      <c r="N302" s="29" t="n">
        <v>14510.319469378</v>
      </c>
      <c r="O302" s="25" t="n">
        <v>14341.6683085409</v>
      </c>
      <c r="P302" s="25" t="n">
        <v>14184.7063085386</v>
      </c>
      <c r="Q302" s="25" t="n">
        <v>14013.0739961483</v>
      </c>
      <c r="R302" s="25" t="n">
        <v>13802.0326616324</v>
      </c>
      <c r="S302" s="25" t="n">
        <v>11887.9824573726</v>
      </c>
      <c r="T302" s="25" t="n">
        <v>9906.52135366277</v>
      </c>
      <c r="U302" s="25" t="n">
        <v>9568.84986723817</v>
      </c>
      <c r="V302" s="25" t="n">
        <v>9194.02683186272</v>
      </c>
      <c r="W302" s="25" t="n">
        <v>8779.50465785769</v>
      </c>
      <c r="X302" s="25" t="n">
        <v>25368.7130550986</v>
      </c>
    </row>
    <row r="304" customFormat="false" ht="11.25" hidden="false" customHeight="false" outlineLevel="0" collapsed="false">
      <c r="A304" s="30" t="s">
        <v>41</v>
      </c>
    </row>
    <row r="305" customFormat="false" ht="11.25" hidden="false" customHeight="false" outlineLevel="0" collapsed="false">
      <c r="A305" s="34" t="n">
        <v>36271</v>
      </c>
    </row>
    <row r="306" customFormat="false" ht="12.75" hidden="false" customHeight="false" outlineLevel="0" collapsed="false">
      <c r="A306" s="11" t="s">
        <v>3</v>
      </c>
      <c r="B306" s="12" t="n">
        <v>78232.3148937966</v>
      </c>
      <c r="C306" s="6"/>
      <c r="D306" s="6"/>
      <c r="E306" s="6"/>
      <c r="F306" s="6"/>
      <c r="G306" s="6"/>
      <c r="H306" s="6"/>
      <c r="I306" s="6"/>
      <c r="J306" s="6"/>
      <c r="K306" s="6"/>
      <c r="L306" s="6"/>
      <c r="M306" s="6"/>
      <c r="N306" s="6"/>
      <c r="O306" s="6"/>
      <c r="P306" s="6"/>
      <c r="Q306" s="6"/>
      <c r="R306" s="6"/>
      <c r="S306" s="6"/>
      <c r="T306" s="6"/>
      <c r="U306" s="6"/>
      <c r="V306" s="6"/>
      <c r="W306" s="6"/>
      <c r="X306" s="6"/>
    </row>
    <row r="307" customFormat="false" ht="12.75" hidden="false" customHeight="false" outlineLevel="0" collapsed="false">
      <c r="A307" s="13" t="s">
        <v>4</v>
      </c>
      <c r="B307" s="14" t="n">
        <v>117850.794217999</v>
      </c>
      <c r="C307" s="6"/>
      <c r="D307" s="6"/>
      <c r="E307" s="6"/>
      <c r="F307" s="6"/>
      <c r="G307" s="6"/>
      <c r="H307" s="6"/>
      <c r="I307" s="6"/>
      <c r="J307" s="6"/>
      <c r="K307" s="6"/>
      <c r="L307" s="6"/>
      <c r="M307" s="6"/>
      <c r="N307" s="6"/>
      <c r="O307" s="6"/>
      <c r="P307" s="6"/>
      <c r="Q307" s="6"/>
      <c r="R307" s="6"/>
      <c r="S307" s="6"/>
      <c r="T307" s="6"/>
      <c r="U307" s="6"/>
      <c r="V307" s="6"/>
      <c r="W307" s="6"/>
      <c r="X307" s="6"/>
    </row>
    <row r="308" customFormat="false" ht="12.75" hidden="false" customHeight="false" outlineLevel="0" collapsed="false">
      <c r="A308" s="15" t="s">
        <v>5</v>
      </c>
      <c r="B308" s="16" t="s">
        <v>6</v>
      </c>
      <c r="C308" s="16" t="s">
        <v>7</v>
      </c>
      <c r="D308" s="17" t="n">
        <v>2000</v>
      </c>
      <c r="E308" s="18" t="n">
        <v>2001</v>
      </c>
      <c r="F308" s="18" t="n">
        <v>2002</v>
      </c>
      <c r="G308" s="18" t="n">
        <v>2003</v>
      </c>
      <c r="H308" s="18" t="n">
        <v>2004</v>
      </c>
      <c r="I308" s="18" t="n">
        <v>2005</v>
      </c>
      <c r="J308" s="18" t="n">
        <v>2006</v>
      </c>
      <c r="K308" s="18" t="n">
        <v>2007</v>
      </c>
      <c r="L308" s="18" t="n">
        <v>2008</v>
      </c>
      <c r="M308" s="18" t="n">
        <v>2009</v>
      </c>
      <c r="N308" s="19" t="n">
        <v>2010</v>
      </c>
      <c r="O308" s="20" t="n">
        <v>2011</v>
      </c>
      <c r="P308" s="20" t="n">
        <v>2012</v>
      </c>
      <c r="Q308" s="20" t="n">
        <v>2013</v>
      </c>
      <c r="R308" s="20" t="n">
        <v>2014</v>
      </c>
      <c r="S308" s="20" t="n">
        <v>2015</v>
      </c>
      <c r="T308" s="20" t="n">
        <v>2016</v>
      </c>
      <c r="U308" s="20" t="n">
        <v>2017</v>
      </c>
      <c r="V308" s="20" t="n">
        <v>2018</v>
      </c>
      <c r="W308" s="20" t="n">
        <v>2019</v>
      </c>
      <c r="X308" s="20" t="n">
        <v>2020</v>
      </c>
    </row>
    <row r="309" customFormat="false" ht="12.75" hidden="false" customHeight="false" outlineLevel="0" collapsed="false">
      <c r="A309" s="15" t="s">
        <v>8</v>
      </c>
      <c r="B309" s="21" t="n">
        <f aca="false">NPV(0.1,D309:Y309)</f>
        <v>457491.71558129</v>
      </c>
      <c r="C309" s="21" t="n">
        <f aca="false">B309-B299</f>
        <v>-10339.2253567567</v>
      </c>
      <c r="D309" s="22" t="n">
        <v>22235.354</v>
      </c>
      <c r="E309" s="23" t="n">
        <v>42210.97114</v>
      </c>
      <c r="F309" s="23" t="n">
        <v>42298.0052542</v>
      </c>
      <c r="G309" s="23" t="n">
        <v>49431.5411127911</v>
      </c>
      <c r="H309" s="23" t="n">
        <v>57548.1233811185</v>
      </c>
      <c r="I309" s="23" t="n">
        <v>58649.4233832721</v>
      </c>
      <c r="J309" s="23" t="n">
        <v>59274.7703664786</v>
      </c>
      <c r="K309" s="23" t="n">
        <v>59899.9285382324</v>
      </c>
      <c r="L309" s="23" t="n">
        <v>60524.3237575617</v>
      </c>
      <c r="M309" s="23" t="n">
        <v>61147.3476049663</v>
      </c>
      <c r="N309" s="24" t="n">
        <v>61768.3558424334</v>
      </c>
      <c r="O309" s="25" t="n">
        <v>62386.666811904</v>
      </c>
      <c r="P309" s="25" t="n">
        <v>63001.5597698847</v>
      </c>
      <c r="Q309" s="25" t="n">
        <v>63612.2731558135</v>
      </c>
      <c r="R309" s="25" t="n">
        <v>64218.0027917052</v>
      </c>
      <c r="S309" s="25" t="n">
        <v>64817.9000105101</v>
      </c>
      <c r="T309" s="25" t="n">
        <v>65241.2952544719</v>
      </c>
      <c r="U309" s="25" t="n">
        <v>65646.8329536619</v>
      </c>
      <c r="V309" s="25" t="n">
        <v>66033.0605996742</v>
      </c>
      <c r="W309" s="25" t="n">
        <v>66398.4546053891</v>
      </c>
      <c r="X309" s="25" t="n">
        <v>66741.4173475071</v>
      </c>
    </row>
    <row r="310" customFormat="false" ht="12.75" hidden="false" customHeight="false" outlineLevel="0" collapsed="false">
      <c r="A310" s="26" t="s">
        <v>9</v>
      </c>
      <c r="B310" s="21" t="n">
        <f aca="false">NPV(0.1,D310:Y310)</f>
        <v>197153.082867742</v>
      </c>
      <c r="C310" s="21" t="n">
        <f aca="false">B310-B300</f>
        <v>-7690.36504928174</v>
      </c>
      <c r="D310" s="22" t="n">
        <v>12508.5063252595</v>
      </c>
      <c r="E310" s="23" t="n">
        <v>22116.5446166078</v>
      </c>
      <c r="F310" s="23" t="n">
        <v>22590.7939349748</v>
      </c>
      <c r="G310" s="23" t="n">
        <v>23071.3922620712</v>
      </c>
      <c r="H310" s="23" t="n">
        <v>23396.186298408</v>
      </c>
      <c r="I310" s="23" t="n">
        <v>23588.95895187</v>
      </c>
      <c r="J310" s="23" t="n">
        <v>23780.6447583794</v>
      </c>
      <c r="K310" s="23" t="n">
        <v>23939.8863125408</v>
      </c>
      <c r="L310" s="23" t="n">
        <v>24123.5697764978</v>
      </c>
      <c r="M310" s="23" t="n">
        <v>24366.5264292605</v>
      </c>
      <c r="N310" s="24" t="n">
        <v>24615.3536568582</v>
      </c>
      <c r="O310" s="25" t="n">
        <v>24822.956751606</v>
      </c>
      <c r="P310" s="25" t="n">
        <v>25036.7879391963</v>
      </c>
      <c r="Q310" s="25" t="n">
        <v>25257.0340624142</v>
      </c>
      <c r="R310" s="25" t="n">
        <v>25483.8875693287</v>
      </c>
      <c r="S310" s="25" t="n">
        <v>25717.5466814506</v>
      </c>
      <c r="T310" s="25" t="n">
        <v>25958.2155669362</v>
      </c>
      <c r="U310" s="25" t="n">
        <v>26206.1045189863</v>
      </c>
      <c r="V310" s="25" t="n">
        <v>26461.430139598</v>
      </c>
      <c r="W310" s="25" t="n">
        <v>26724.415528828</v>
      </c>
      <c r="X310" s="25" t="n">
        <v>26995.2904797349</v>
      </c>
    </row>
    <row r="311" customFormat="false" ht="12.75" hidden="false" customHeight="false" outlineLevel="0" collapsed="false">
      <c r="A311" s="26" t="s">
        <v>10</v>
      </c>
      <c r="B311" s="21" t="n">
        <f aca="false">NPV(0.1,D311:Y311)</f>
        <v>94641.4384428264</v>
      </c>
      <c r="C311" s="21" t="n">
        <f aca="false">B311-B301</f>
        <v>-842.932550498968</v>
      </c>
      <c r="D311" s="22" t="n">
        <v>1073.41329521981</v>
      </c>
      <c r="E311" s="23" t="n">
        <v>2638.03059466484</v>
      </c>
      <c r="F311" s="23" t="n">
        <v>2602.22880607135</v>
      </c>
      <c r="G311" s="23" t="n">
        <v>6992.98604191999</v>
      </c>
      <c r="H311" s="23" t="n">
        <v>11893.8224092459</v>
      </c>
      <c r="I311" s="23" t="n">
        <v>12740.6042655281</v>
      </c>
      <c r="J311" s="23" t="n">
        <v>13319.6705041107</v>
      </c>
      <c r="K311" s="23" t="n">
        <v>13825.7049991812</v>
      </c>
      <c r="L311" s="23" t="n">
        <v>14342.2090923781</v>
      </c>
      <c r="M311" s="23" t="n">
        <v>14848.5128187839</v>
      </c>
      <c r="N311" s="24" t="n">
        <v>15378.8038933969</v>
      </c>
      <c r="O311" s="25" t="n">
        <v>15964.4122129968</v>
      </c>
      <c r="P311" s="25" t="n">
        <v>16578.3141324111</v>
      </c>
      <c r="Q311" s="25" t="n">
        <v>17222.4704623739</v>
      </c>
      <c r="R311" s="25" t="n">
        <v>17898.9974174021</v>
      </c>
      <c r="S311" s="25" t="n">
        <v>18610.1792328431</v>
      </c>
      <c r="T311" s="25" t="n">
        <v>19251.7769664174</v>
      </c>
      <c r="U311" s="25" t="n">
        <v>19923.3830628859</v>
      </c>
      <c r="V311" s="25" t="n">
        <v>20627.1119191788</v>
      </c>
      <c r="W311" s="25" t="n">
        <v>21365.2490951647</v>
      </c>
      <c r="X311" s="25" t="n">
        <v>22163.5435100017</v>
      </c>
    </row>
    <row r="312" customFormat="false" ht="12.75" hidden="false" customHeight="false" outlineLevel="0" collapsed="false">
      <c r="A312" s="26" t="s">
        <v>11</v>
      </c>
      <c r="B312" s="21" t="n">
        <f aca="false">NPV(0.1,D312:Y312)</f>
        <v>100649.300014699</v>
      </c>
      <c r="C312" s="21" t="n">
        <f aca="false">B312-B302</f>
        <v>-398.565710458061</v>
      </c>
      <c r="D312" s="27" t="n">
        <v>2230.8827516436</v>
      </c>
      <c r="E312" s="28" t="n">
        <v>4680.66344966765</v>
      </c>
      <c r="F312" s="28" t="n">
        <v>4838.57697110059</v>
      </c>
      <c r="G312" s="28" t="n">
        <v>16079.2827010358</v>
      </c>
      <c r="H312" s="28" t="n">
        <v>19383.6355442695</v>
      </c>
      <c r="I312" s="28" t="n">
        <v>15093.7931380959</v>
      </c>
      <c r="J312" s="28" t="n">
        <v>14790.9385458348</v>
      </c>
      <c r="K312" s="28" t="n">
        <v>14717.0058852166</v>
      </c>
      <c r="L312" s="28" t="n">
        <v>14666.2110368713</v>
      </c>
      <c r="M312" s="28" t="n">
        <v>14630.9117929345</v>
      </c>
      <c r="N312" s="29" t="n">
        <v>14510.319469378</v>
      </c>
      <c r="O312" s="25" t="n">
        <v>14341.6683085409</v>
      </c>
      <c r="P312" s="25" t="n">
        <v>14184.7063085386</v>
      </c>
      <c r="Q312" s="25" t="n">
        <v>14013.0739961483</v>
      </c>
      <c r="R312" s="25" t="n">
        <v>13802.0326616324</v>
      </c>
      <c r="S312" s="25" t="n">
        <v>11887.9824573726</v>
      </c>
      <c r="T312" s="25" t="n">
        <v>9906.52135366277</v>
      </c>
      <c r="U312" s="25" t="n">
        <v>9568.84986723817</v>
      </c>
      <c r="V312" s="25" t="n">
        <v>9194.02683186272</v>
      </c>
      <c r="W312" s="25" t="n">
        <v>8779.50465785769</v>
      </c>
      <c r="X312" s="25" t="n">
        <v>25368.8511800986</v>
      </c>
    </row>
    <row r="314" customFormat="false" ht="11.25" hidden="false" customHeight="false" outlineLevel="0" collapsed="false">
      <c r="A314" s="30" t="s">
        <v>42</v>
      </c>
    </row>
    <row r="315" customFormat="false" ht="11.25" hidden="false" customHeight="false" outlineLevel="0" collapsed="false">
      <c r="A315" s="34" t="n">
        <v>36284</v>
      </c>
    </row>
    <row r="316" customFormat="false" ht="12.75" hidden="false" customHeight="false" outlineLevel="0" collapsed="false">
      <c r="A316" s="11" t="s">
        <v>3</v>
      </c>
      <c r="B316" s="12" t="n">
        <v>74444.2898641775</v>
      </c>
      <c r="C316" s="6"/>
      <c r="D316" s="6"/>
      <c r="E316" s="6"/>
      <c r="F316" s="6"/>
      <c r="G316" s="6"/>
      <c r="H316" s="6"/>
      <c r="I316" s="6"/>
      <c r="J316" s="6"/>
      <c r="K316" s="6"/>
      <c r="L316" s="6"/>
      <c r="M316" s="6"/>
      <c r="N316" s="6"/>
      <c r="O316" s="6"/>
      <c r="P316" s="6"/>
      <c r="Q316" s="6"/>
      <c r="R316" s="6"/>
      <c r="S316" s="6"/>
      <c r="T316" s="6"/>
      <c r="U316" s="6"/>
      <c r="V316" s="6"/>
      <c r="W316" s="6"/>
      <c r="X316" s="6"/>
    </row>
    <row r="317" customFormat="false" ht="12.75" hidden="false" customHeight="false" outlineLevel="0" collapsed="false">
      <c r="A317" s="13" t="s">
        <v>4</v>
      </c>
      <c r="B317" s="14" t="n">
        <v>112891.78382078</v>
      </c>
      <c r="C317" s="6"/>
      <c r="D317" s="6"/>
      <c r="E317" s="6"/>
      <c r="F317" s="6"/>
      <c r="G317" s="6"/>
      <c r="H317" s="6"/>
      <c r="I317" s="6"/>
      <c r="J317" s="6"/>
      <c r="K317" s="6"/>
      <c r="L317" s="6"/>
      <c r="M317" s="6"/>
      <c r="N317" s="6"/>
      <c r="O317" s="6"/>
      <c r="P317" s="6"/>
      <c r="Q317" s="6"/>
      <c r="R317" s="6"/>
      <c r="S317" s="6"/>
      <c r="T317" s="6"/>
      <c r="U317" s="6"/>
      <c r="V317" s="6"/>
      <c r="W317" s="6"/>
      <c r="X317" s="6"/>
    </row>
    <row r="318" customFormat="false" ht="12.75" hidden="false" customHeight="false" outlineLevel="0" collapsed="false">
      <c r="A318" s="15" t="s">
        <v>5</v>
      </c>
      <c r="B318" s="16" t="s">
        <v>6</v>
      </c>
      <c r="C318" s="16" t="s">
        <v>7</v>
      </c>
      <c r="D318" s="17" t="n">
        <v>2000</v>
      </c>
      <c r="E318" s="18" t="n">
        <v>2001</v>
      </c>
      <c r="F318" s="18" t="n">
        <v>2002</v>
      </c>
      <c r="G318" s="18" t="n">
        <v>2003</v>
      </c>
      <c r="H318" s="18" t="n">
        <v>2004</v>
      </c>
      <c r="I318" s="18" t="n">
        <v>2005</v>
      </c>
      <c r="J318" s="18" t="n">
        <v>2006</v>
      </c>
      <c r="K318" s="18" t="n">
        <v>2007</v>
      </c>
      <c r="L318" s="18" t="n">
        <v>2008</v>
      </c>
      <c r="M318" s="18" t="n">
        <v>2009</v>
      </c>
      <c r="N318" s="19" t="n">
        <v>2010</v>
      </c>
      <c r="O318" s="20" t="n">
        <v>2011</v>
      </c>
      <c r="P318" s="20" t="n">
        <v>2012</v>
      </c>
      <c r="Q318" s="20" t="n">
        <v>2013</v>
      </c>
      <c r="R318" s="20" t="n">
        <v>2014</v>
      </c>
      <c r="S318" s="20" t="n">
        <v>2015</v>
      </c>
      <c r="T318" s="20" t="n">
        <v>2016</v>
      </c>
      <c r="U318" s="20" t="n">
        <v>2017</v>
      </c>
      <c r="V318" s="20" t="n">
        <v>2018</v>
      </c>
      <c r="W318" s="20" t="n">
        <v>2019</v>
      </c>
      <c r="X318" s="20" t="n">
        <v>2020</v>
      </c>
    </row>
    <row r="319" customFormat="false" ht="12.75" hidden="false" customHeight="false" outlineLevel="0" collapsed="false">
      <c r="A319" s="15" t="s">
        <v>8</v>
      </c>
      <c r="B319" s="21" t="n">
        <f aca="false">NPV(0.1,D319:Y319)</f>
        <v>450773.169989544</v>
      </c>
      <c r="C319" s="21" t="n">
        <f aca="false">B319-B309</f>
        <v>-6718.54559174599</v>
      </c>
      <c r="D319" s="22" t="n">
        <v>22235.354</v>
      </c>
      <c r="E319" s="23" t="n">
        <v>42210.97114</v>
      </c>
      <c r="F319" s="23" t="n">
        <v>42298.0052542</v>
      </c>
      <c r="G319" s="23" t="n">
        <v>48962.6531167703</v>
      </c>
      <c r="H319" s="23" t="n">
        <v>56449.4192982166</v>
      </c>
      <c r="I319" s="23" t="n">
        <v>57530.1389614688</v>
      </c>
      <c r="J319" s="23" t="n">
        <v>58144.468035987</v>
      </c>
      <c r="K319" s="23" t="n">
        <v>58758.6567462109</v>
      </c>
      <c r="L319" s="23" t="n">
        <v>59372.1437741159</v>
      </c>
      <c r="M319" s="23" t="n">
        <v>59984.3342489236</v>
      </c>
      <c r="N319" s="24" t="n">
        <v>60594.598239123</v>
      </c>
      <c r="O319" s="25" t="n">
        <v>61202.2691842104</v>
      </c>
      <c r="P319" s="25" t="n">
        <v>61806.6422638878</v>
      </c>
      <c r="Q319" s="25" t="n">
        <v>62406.9727023801</v>
      </c>
      <c r="R319" s="25" t="n">
        <v>63002.4740054444</v>
      </c>
      <c r="S319" s="25" t="n">
        <v>63592.3161275604</v>
      </c>
      <c r="T319" s="25" t="n">
        <v>64009.2445997607</v>
      </c>
      <c r="U319" s="25" t="n">
        <v>64408.7327120782</v>
      </c>
      <c r="V319" s="25" t="n">
        <v>64789.3588072951</v>
      </c>
      <c r="W319" s="25" t="n">
        <v>65149.631625084</v>
      </c>
      <c r="X319" s="25" t="n">
        <v>65487.9874053137</v>
      </c>
    </row>
    <row r="320" customFormat="false" ht="12.75" hidden="false" customHeight="false" outlineLevel="0" collapsed="false">
      <c r="A320" s="26" t="s">
        <v>9</v>
      </c>
      <c r="B320" s="21" t="n">
        <f aca="false">NPV(0.1,D320:Y320)</f>
        <v>195226.976677899</v>
      </c>
      <c r="C320" s="21" t="n">
        <f aca="false">B320-B310</f>
        <v>-1926.1061898428</v>
      </c>
      <c r="D320" s="22" t="n">
        <v>12508.5063252595</v>
      </c>
      <c r="E320" s="23" t="n">
        <v>22116.5446166078</v>
      </c>
      <c r="F320" s="23" t="n">
        <v>22590.7939349748</v>
      </c>
      <c r="G320" s="23" t="n">
        <v>22905.9287620712</v>
      </c>
      <c r="H320" s="23" t="n">
        <v>23065.259298408</v>
      </c>
      <c r="I320" s="23" t="n">
        <v>23258.03195187</v>
      </c>
      <c r="J320" s="23" t="n">
        <v>23449.7177583795</v>
      </c>
      <c r="K320" s="23" t="n">
        <v>23608.9593125408</v>
      </c>
      <c r="L320" s="23" t="n">
        <v>23792.6427764978</v>
      </c>
      <c r="M320" s="23" t="n">
        <v>24035.5994292605</v>
      </c>
      <c r="N320" s="24" t="n">
        <v>24284.4266568582</v>
      </c>
      <c r="O320" s="25" t="n">
        <v>24492.029751606</v>
      </c>
      <c r="P320" s="25" t="n">
        <v>24705.8609391963</v>
      </c>
      <c r="Q320" s="25" t="n">
        <v>24926.1070624142</v>
      </c>
      <c r="R320" s="25" t="n">
        <v>25152.9605693287</v>
      </c>
      <c r="S320" s="25" t="n">
        <v>25386.6196814506</v>
      </c>
      <c r="T320" s="25" t="n">
        <v>25627.2885669362</v>
      </c>
      <c r="U320" s="25" t="n">
        <v>25875.1775189863</v>
      </c>
      <c r="V320" s="25" t="n">
        <v>26130.503139598</v>
      </c>
      <c r="W320" s="25" t="n">
        <v>26393.488528828</v>
      </c>
      <c r="X320" s="25" t="n">
        <v>26664.3634797349</v>
      </c>
    </row>
    <row r="321" customFormat="false" ht="12.75" hidden="false" customHeight="false" outlineLevel="0" collapsed="false">
      <c r="A321" s="26" t="s">
        <v>10</v>
      </c>
      <c r="B321" s="21" t="n">
        <f aca="false">NPV(0.1,D321:Y321)</f>
        <v>92584.0370834793</v>
      </c>
      <c r="C321" s="21" t="n">
        <f aca="false">B321-B311</f>
        <v>-2057.40135934709</v>
      </c>
      <c r="D321" s="22" t="n">
        <v>1132.31514672307</v>
      </c>
      <c r="E321" s="23" t="n">
        <v>2760.39919116286</v>
      </c>
      <c r="F321" s="23" t="n">
        <v>2734.08096879797</v>
      </c>
      <c r="G321" s="23" t="n">
        <v>6944.35160690415</v>
      </c>
      <c r="H321" s="23" t="n">
        <v>11558.6764523079</v>
      </c>
      <c r="I321" s="23" t="n">
        <v>12389.0649796812</v>
      </c>
      <c r="J321" s="23" t="n">
        <v>12957.0624871022</v>
      </c>
      <c r="K321" s="23" t="n">
        <v>13451.5083309855</v>
      </c>
      <c r="L321" s="23" t="n">
        <v>13955.8688451051</v>
      </c>
      <c r="M321" s="23" t="n">
        <v>14449.4363221731</v>
      </c>
      <c r="N321" s="24" t="n">
        <v>14966.3577795925</v>
      </c>
      <c r="O321" s="25" t="n">
        <v>15537.9192227661</v>
      </c>
      <c r="P321" s="25" t="n">
        <v>16137.0496635394</v>
      </c>
      <c r="Q321" s="25" t="n">
        <v>16765.6588394117</v>
      </c>
      <c r="R321" s="25" t="n">
        <v>17425.80786027</v>
      </c>
      <c r="S321" s="25" t="n">
        <v>18119.7214999873</v>
      </c>
      <c r="T321" s="25" t="n">
        <v>18745.2307429995</v>
      </c>
      <c r="U321" s="25" t="n">
        <v>19399.9201724548</v>
      </c>
      <c r="V321" s="25" t="n">
        <v>20085.8446320196</v>
      </c>
      <c r="W321" s="25" t="n">
        <v>20805.2253530763</v>
      </c>
      <c r="X321" s="25" t="n">
        <v>21583.7417623681</v>
      </c>
    </row>
    <row r="322" customFormat="false" ht="12.75" hidden="false" customHeight="false" outlineLevel="0" collapsed="false">
      <c r="A322" s="26" t="s">
        <v>11</v>
      </c>
      <c r="B322" s="21" t="n">
        <f aca="false">NPV(0.1,D322:Y322)</f>
        <v>99034.0882132478</v>
      </c>
      <c r="C322" s="21" t="n">
        <f aca="false">B322-B312</f>
        <v>-1615.21180145124</v>
      </c>
      <c r="D322" s="27" t="n">
        <v>2230.8827516436</v>
      </c>
      <c r="E322" s="28" t="n">
        <v>4680.66344966764</v>
      </c>
      <c r="F322" s="28" t="n">
        <v>4838.57697110058</v>
      </c>
      <c r="G322" s="28" t="n">
        <v>15896.0990245135</v>
      </c>
      <c r="H322" s="28" t="n">
        <v>18967.540328115</v>
      </c>
      <c r="I322" s="28" t="n">
        <v>14838.2142573133</v>
      </c>
      <c r="J322" s="28" t="n">
        <v>14535.7677569982</v>
      </c>
      <c r="K322" s="28" t="n">
        <v>14462.6090199268</v>
      </c>
      <c r="L322" s="28" t="n">
        <v>14412.9844153494</v>
      </c>
      <c r="M322" s="28" t="n">
        <v>14379.2844365715</v>
      </c>
      <c r="N322" s="29" t="n">
        <v>14260.7554755961</v>
      </c>
      <c r="O322" s="25" t="n">
        <v>14094.6694002732</v>
      </c>
      <c r="P322" s="25" t="n">
        <v>13940.8145715924</v>
      </c>
      <c r="Q322" s="25" t="n">
        <v>13772.874818749</v>
      </c>
      <c r="R322" s="25" t="n">
        <v>13566.1578915588</v>
      </c>
      <c r="S322" s="25" t="n">
        <v>11657.1137932984</v>
      </c>
      <c r="T322" s="25" t="n">
        <v>9682.0939113967</v>
      </c>
      <c r="U322" s="25" t="n">
        <v>9351.65463546258</v>
      </c>
      <c r="V322" s="25" t="n">
        <v>8984.91220016737</v>
      </c>
      <c r="W322" s="25" t="n">
        <v>8579.38040799927</v>
      </c>
      <c r="X322" s="25" t="n">
        <v>24782.3710877279</v>
      </c>
    </row>
    <row r="324" customFormat="false" ht="11.25" hidden="false" customHeight="false" outlineLevel="0" collapsed="false">
      <c r="A324" s="30" t="s">
        <v>43</v>
      </c>
    </row>
    <row r="325" customFormat="false" ht="11.25" hidden="false" customHeight="false" outlineLevel="0" collapsed="false">
      <c r="A325" s="34" t="n">
        <v>36284</v>
      </c>
    </row>
    <row r="326" customFormat="false" ht="12.75" hidden="false" customHeight="false" outlineLevel="0" collapsed="false">
      <c r="A326" s="11" t="s">
        <v>3</v>
      </c>
      <c r="B326" s="12" t="n">
        <v>71987.4124264255</v>
      </c>
      <c r="C326" s="6"/>
      <c r="D326" s="6"/>
      <c r="E326" s="6"/>
      <c r="F326" s="6"/>
      <c r="G326" s="6"/>
      <c r="H326" s="6"/>
      <c r="I326" s="6"/>
      <c r="J326" s="6"/>
      <c r="K326" s="6"/>
      <c r="L326" s="6"/>
      <c r="M326" s="6"/>
      <c r="N326" s="6"/>
      <c r="O326" s="6"/>
      <c r="P326" s="6"/>
      <c r="Q326" s="6"/>
      <c r="R326" s="6"/>
      <c r="S326" s="6"/>
      <c r="T326" s="6"/>
      <c r="U326" s="6"/>
      <c r="V326" s="6"/>
      <c r="W326" s="6"/>
      <c r="X326" s="6"/>
    </row>
    <row r="327" customFormat="false" ht="12.75" hidden="false" customHeight="false" outlineLevel="0" collapsed="false">
      <c r="A327" s="13" t="s">
        <v>4</v>
      </c>
      <c r="B327" s="14" t="n">
        <v>109695.240765713</v>
      </c>
      <c r="C327" s="6"/>
      <c r="D327" s="6"/>
      <c r="E327" s="6"/>
      <c r="F327" s="6"/>
      <c r="G327" s="6"/>
      <c r="H327" s="6"/>
      <c r="I327" s="6"/>
      <c r="J327" s="6"/>
      <c r="K327" s="6"/>
      <c r="L327" s="6"/>
      <c r="M327" s="6"/>
      <c r="N327" s="6"/>
      <c r="O327" s="6"/>
      <c r="P327" s="6"/>
      <c r="Q327" s="6"/>
      <c r="R327" s="6"/>
      <c r="S327" s="6"/>
      <c r="T327" s="6"/>
      <c r="U327" s="6"/>
      <c r="V327" s="6"/>
      <c r="W327" s="6"/>
      <c r="X327" s="6"/>
    </row>
    <row r="328" customFormat="false" ht="12.75" hidden="false" customHeight="false" outlineLevel="0" collapsed="false">
      <c r="A328" s="15" t="s">
        <v>5</v>
      </c>
      <c r="B328" s="16" t="s">
        <v>6</v>
      </c>
      <c r="C328" s="16" t="s">
        <v>7</v>
      </c>
      <c r="D328" s="17" t="n">
        <v>2000</v>
      </c>
      <c r="E328" s="18" t="n">
        <v>2001</v>
      </c>
      <c r="F328" s="18" t="n">
        <v>2002</v>
      </c>
      <c r="G328" s="18" t="n">
        <v>2003</v>
      </c>
      <c r="H328" s="18" t="n">
        <v>2004</v>
      </c>
      <c r="I328" s="18" t="n">
        <v>2005</v>
      </c>
      <c r="J328" s="18" t="n">
        <v>2006</v>
      </c>
      <c r="K328" s="18" t="n">
        <v>2007</v>
      </c>
      <c r="L328" s="18" t="n">
        <v>2008</v>
      </c>
      <c r="M328" s="18" t="n">
        <v>2009</v>
      </c>
      <c r="N328" s="19" t="n">
        <v>2010</v>
      </c>
      <c r="O328" s="20" t="n">
        <v>2011</v>
      </c>
      <c r="P328" s="20" t="n">
        <v>2012</v>
      </c>
      <c r="Q328" s="20" t="n">
        <v>2013</v>
      </c>
      <c r="R328" s="20" t="n">
        <v>2014</v>
      </c>
      <c r="S328" s="20" t="n">
        <v>2015</v>
      </c>
      <c r="T328" s="20" t="n">
        <v>2016</v>
      </c>
      <c r="U328" s="20" t="n">
        <v>2017</v>
      </c>
      <c r="V328" s="20" t="n">
        <v>2018</v>
      </c>
      <c r="W328" s="20" t="n">
        <v>2019</v>
      </c>
      <c r="X328" s="20" t="n">
        <v>2020</v>
      </c>
    </row>
    <row r="329" customFormat="false" ht="12.75" hidden="false" customHeight="false" outlineLevel="0" collapsed="false">
      <c r="A329" s="15" t="s">
        <v>8</v>
      </c>
      <c r="B329" s="21" t="n">
        <f aca="false">NPV(0.1,D329:Y329)</f>
        <v>450773.169989544</v>
      </c>
      <c r="C329" s="21" t="n">
        <f aca="false">B329-B319</f>
        <v>0</v>
      </c>
      <c r="D329" s="22" t="n">
        <v>22235.354</v>
      </c>
      <c r="E329" s="23" t="n">
        <v>42210.97114</v>
      </c>
      <c r="F329" s="23" t="n">
        <v>42298.0052542</v>
      </c>
      <c r="G329" s="23" t="n">
        <v>48962.6531167703</v>
      </c>
      <c r="H329" s="23" t="n">
        <v>56449.4192982166</v>
      </c>
      <c r="I329" s="23" t="n">
        <v>57530.1389614688</v>
      </c>
      <c r="J329" s="23" t="n">
        <v>58144.468035987</v>
      </c>
      <c r="K329" s="23" t="n">
        <v>58758.6567462109</v>
      </c>
      <c r="L329" s="23" t="n">
        <v>59372.1437741159</v>
      </c>
      <c r="M329" s="23" t="n">
        <v>59984.3342489236</v>
      </c>
      <c r="N329" s="24" t="n">
        <v>60594.598239123</v>
      </c>
      <c r="O329" s="25" t="n">
        <v>61202.2691842104</v>
      </c>
      <c r="P329" s="25" t="n">
        <v>61806.6422638878</v>
      </c>
      <c r="Q329" s="25" t="n">
        <v>62406.9727023801</v>
      </c>
      <c r="R329" s="25" t="n">
        <v>63002.4740054444</v>
      </c>
      <c r="S329" s="25" t="n">
        <v>63592.3161275604</v>
      </c>
      <c r="T329" s="25" t="n">
        <v>64009.2445997607</v>
      </c>
      <c r="U329" s="25" t="n">
        <v>64408.7327120782</v>
      </c>
      <c r="V329" s="25" t="n">
        <v>64789.3588072951</v>
      </c>
      <c r="W329" s="25" t="n">
        <v>65149.631625084</v>
      </c>
      <c r="X329" s="25" t="n">
        <v>65487.9874053137</v>
      </c>
    </row>
    <row r="330" customFormat="false" ht="12.75" hidden="false" customHeight="false" outlineLevel="0" collapsed="false">
      <c r="A330" s="26" t="s">
        <v>9</v>
      </c>
      <c r="B330" s="21" t="n">
        <f aca="false">NPV(0.1,D330:Y330)</f>
        <v>198321.000773274</v>
      </c>
      <c r="C330" s="21" t="n">
        <f aca="false">B330-B320</f>
        <v>3094.0240953746</v>
      </c>
      <c r="D330" s="22" t="n">
        <v>12508.5063252595</v>
      </c>
      <c r="E330" s="23" t="n">
        <v>22116.5446166078</v>
      </c>
      <c r="F330" s="23" t="n">
        <v>22590.7939349748</v>
      </c>
      <c r="G330" s="23" t="n">
        <v>23123.6606923834</v>
      </c>
      <c r="H330" s="23" t="n">
        <v>23513.7870748509</v>
      </c>
      <c r="I330" s="23" t="n">
        <v>23720.0155616063</v>
      </c>
      <c r="J330" s="23" t="n">
        <v>23925.5608764078</v>
      </c>
      <c r="K330" s="23" t="n">
        <v>24099.07772411</v>
      </c>
      <c r="L330" s="23" t="n">
        <v>24297.4647404141</v>
      </c>
      <c r="M330" s="23" t="n">
        <v>24555.5660520943</v>
      </c>
      <c r="N330" s="24" t="n">
        <v>24819.992278377</v>
      </c>
      <c r="O330" s="25" t="n">
        <v>25043.6623417704</v>
      </c>
      <c r="P330" s="25" t="n">
        <v>25274.0425070655</v>
      </c>
      <c r="Q330" s="25" t="n">
        <v>25511.3340773195</v>
      </c>
      <c r="R330" s="25" t="n">
        <v>25755.7443946812</v>
      </c>
      <c r="S330" s="25" t="n">
        <v>26007.4870215637</v>
      </c>
      <c r="T330" s="25" t="n">
        <v>26266.7819272527</v>
      </c>
      <c r="U330" s="25" t="n">
        <v>26533.8556801123</v>
      </c>
      <c r="V330" s="25" t="n">
        <v>26808.9416455577</v>
      </c>
      <c r="W330" s="25" t="n">
        <v>27092.2801899665</v>
      </c>
      <c r="X330" s="25" t="n">
        <v>27384.1188907076</v>
      </c>
    </row>
    <row r="331" customFormat="false" ht="12.75" hidden="false" customHeight="false" outlineLevel="0" collapsed="false">
      <c r="A331" s="26" t="s">
        <v>10</v>
      </c>
      <c r="B331" s="21" t="n">
        <f aca="false">NPV(0.1,D331:Y331)</f>
        <v>91272.1565552941</v>
      </c>
      <c r="C331" s="21" t="n">
        <f aca="false">B331-B321</f>
        <v>-1311.88052818523</v>
      </c>
      <c r="D331" s="22" t="n">
        <v>1170.33956152711</v>
      </c>
      <c r="E331" s="23" t="n">
        <v>2839.39491291826</v>
      </c>
      <c r="F331" s="23" t="n">
        <v>2819.19885898941</v>
      </c>
      <c r="G331" s="23" t="n">
        <v>6899.21957414742</v>
      </c>
      <c r="H331" s="23" t="n">
        <v>11371.4992016176</v>
      </c>
      <c r="I331" s="23" t="n">
        <v>12192.0991888066</v>
      </c>
      <c r="J331" s="23" t="n">
        <v>12749.6806420246</v>
      </c>
      <c r="K331" s="23" t="n">
        <v>13233.0373836407</v>
      </c>
      <c r="L331" s="23" t="n">
        <v>13725.5867106718</v>
      </c>
      <c r="M331" s="23" t="n">
        <v>14206.5681003453</v>
      </c>
      <c r="N331" s="24" t="n">
        <v>14710.0716778794</v>
      </c>
      <c r="O331" s="25" t="n">
        <v>15267.3221581128</v>
      </c>
      <c r="P331" s="25" t="n">
        <v>15851.1825166664</v>
      </c>
      <c r="Q331" s="25" t="n">
        <v>16463.4913342301</v>
      </c>
      <c r="R331" s="25" t="n">
        <v>17106.2330385184</v>
      </c>
      <c r="S331" s="25" t="n">
        <v>17781.5497588554</v>
      </c>
      <c r="T331" s="25" t="n">
        <v>18387.1834009276</v>
      </c>
      <c r="U331" s="25" t="n">
        <v>19020.6225255184</v>
      </c>
      <c r="V331" s="25" t="n">
        <v>19683.8184603044</v>
      </c>
      <c r="W331" s="25" t="n">
        <v>20378.8808332093</v>
      </c>
      <c r="X331" s="25" t="n">
        <v>21131.3687388648</v>
      </c>
    </row>
    <row r="332" customFormat="false" ht="12.75" hidden="false" customHeight="false" outlineLevel="0" collapsed="false">
      <c r="A332" s="26" t="s">
        <v>11</v>
      </c>
      <c r="B332" s="21" t="n">
        <f aca="false">NPV(0.1,D332:Y332)</f>
        <v>97972.9865949578</v>
      </c>
      <c r="C332" s="21" t="n">
        <f aca="false">B332-B322</f>
        <v>-1061.10161829003</v>
      </c>
      <c r="D332" s="27" t="n">
        <v>2230.8827516436</v>
      </c>
      <c r="E332" s="28" t="n">
        <v>4680.66344966764</v>
      </c>
      <c r="F332" s="28" t="n">
        <v>4838.57697110059</v>
      </c>
      <c r="G332" s="28" t="n">
        <v>15765.2102093257</v>
      </c>
      <c r="H332" s="28" t="n">
        <v>18717.0490346811</v>
      </c>
      <c r="I332" s="28" t="n">
        <v>14682.5988254155</v>
      </c>
      <c r="J332" s="28" t="n">
        <v>14378.3979447039</v>
      </c>
      <c r="K332" s="28" t="n">
        <v>14303.6653224288</v>
      </c>
      <c r="L332" s="28" t="n">
        <v>14252.6713928249</v>
      </c>
      <c r="M332" s="28" t="n">
        <v>14217.8329281415</v>
      </c>
      <c r="N332" s="29" t="n">
        <v>14098.4249990652</v>
      </c>
      <c r="O332" s="25" t="n">
        <v>13931.7507527703</v>
      </c>
      <c r="P332" s="25" t="n">
        <v>13777.6326474544</v>
      </c>
      <c r="Q332" s="25" t="n">
        <v>13609.7916623</v>
      </c>
      <c r="R332" s="25" t="n">
        <v>13403.5760038626</v>
      </c>
      <c r="S332" s="25" t="n">
        <v>11495.4797134933</v>
      </c>
      <c r="T332" s="25" t="n">
        <v>9521.90209488112</v>
      </c>
      <c r="U332" s="25" t="n">
        <v>9193.45165298991</v>
      </c>
      <c r="V332" s="25" t="n">
        <v>8829.30128384197</v>
      </c>
      <c r="W332" s="25" t="n">
        <v>8427.02637225528</v>
      </c>
      <c r="X332" s="25" t="n">
        <v>24324.7874848962</v>
      </c>
    </row>
    <row r="334" customFormat="false" ht="11.25" hidden="false" customHeight="false" outlineLevel="0" collapsed="false">
      <c r="A334" s="30" t="s">
        <v>44</v>
      </c>
    </row>
    <row r="335" customFormat="false" ht="11.25" hidden="false" customHeight="false" outlineLevel="0" collapsed="false">
      <c r="A335" s="34" t="n">
        <v>36284</v>
      </c>
    </row>
    <row r="336" customFormat="false" ht="12.75" hidden="false" customHeight="false" outlineLevel="0" collapsed="false">
      <c r="A336" s="11" t="s">
        <v>3</v>
      </c>
      <c r="B336" s="12" t="n">
        <v>66470.6716733381</v>
      </c>
      <c r="C336" s="6"/>
      <c r="D336" s="6"/>
      <c r="E336" s="6"/>
      <c r="F336" s="6"/>
      <c r="G336" s="6"/>
      <c r="H336" s="6"/>
      <c r="I336" s="6"/>
      <c r="J336" s="6"/>
      <c r="K336" s="6"/>
      <c r="L336" s="6"/>
      <c r="M336" s="6"/>
      <c r="N336" s="6"/>
      <c r="O336" s="6"/>
      <c r="P336" s="6"/>
      <c r="Q336" s="6"/>
      <c r="R336" s="6"/>
      <c r="S336" s="6"/>
      <c r="T336" s="6"/>
      <c r="U336" s="6"/>
      <c r="V336" s="6"/>
      <c r="W336" s="6"/>
      <c r="X336" s="6"/>
    </row>
    <row r="337" customFormat="false" ht="12.75" hidden="false" customHeight="false" outlineLevel="0" collapsed="false">
      <c r="A337" s="13" t="s">
        <v>4</v>
      </c>
      <c r="B337" s="14" t="n">
        <v>102517.282871255</v>
      </c>
      <c r="C337" s="6"/>
      <c r="D337" s="6"/>
      <c r="E337" s="6"/>
      <c r="F337" s="6"/>
      <c r="G337" s="6"/>
      <c r="H337" s="6"/>
      <c r="I337" s="6"/>
      <c r="J337" s="6"/>
      <c r="K337" s="6"/>
      <c r="L337" s="6"/>
      <c r="M337" s="6"/>
      <c r="N337" s="6"/>
      <c r="O337" s="6"/>
      <c r="P337" s="6"/>
      <c r="Q337" s="6"/>
      <c r="R337" s="6"/>
      <c r="S337" s="6"/>
      <c r="T337" s="6"/>
      <c r="U337" s="6"/>
      <c r="V337" s="6"/>
      <c r="W337" s="6"/>
      <c r="X337" s="6"/>
    </row>
    <row r="338" customFormat="false" ht="12.75" hidden="false" customHeight="false" outlineLevel="0" collapsed="false">
      <c r="A338" s="15" t="s">
        <v>5</v>
      </c>
      <c r="B338" s="16" t="s">
        <v>6</v>
      </c>
      <c r="C338" s="16" t="s">
        <v>7</v>
      </c>
      <c r="D338" s="17" t="n">
        <v>2000</v>
      </c>
      <c r="E338" s="18" t="n">
        <v>2001</v>
      </c>
      <c r="F338" s="18" t="n">
        <v>2002</v>
      </c>
      <c r="G338" s="18" t="n">
        <v>2003</v>
      </c>
      <c r="H338" s="18" t="n">
        <v>2004</v>
      </c>
      <c r="I338" s="18" t="n">
        <v>2005</v>
      </c>
      <c r="J338" s="18" t="n">
        <v>2006</v>
      </c>
      <c r="K338" s="18" t="n">
        <v>2007</v>
      </c>
      <c r="L338" s="18" t="n">
        <v>2008</v>
      </c>
      <c r="M338" s="18" t="n">
        <v>2009</v>
      </c>
      <c r="N338" s="19" t="n">
        <v>2010</v>
      </c>
      <c r="O338" s="20" t="n">
        <v>2011</v>
      </c>
      <c r="P338" s="20" t="n">
        <v>2012</v>
      </c>
      <c r="Q338" s="20" t="n">
        <v>2013</v>
      </c>
      <c r="R338" s="20" t="n">
        <v>2014</v>
      </c>
      <c r="S338" s="20" t="n">
        <v>2015</v>
      </c>
      <c r="T338" s="20" t="n">
        <v>2016</v>
      </c>
      <c r="U338" s="20" t="n">
        <v>2017</v>
      </c>
      <c r="V338" s="20" t="n">
        <v>2018</v>
      </c>
      <c r="W338" s="20" t="n">
        <v>2019</v>
      </c>
      <c r="X338" s="20" t="n">
        <v>2020</v>
      </c>
    </row>
    <row r="339" customFormat="false" ht="12.75" hidden="false" customHeight="false" outlineLevel="0" collapsed="false">
      <c r="A339" s="15" t="s">
        <v>8</v>
      </c>
      <c r="B339" s="21" t="n">
        <f aca="false">NPV(0.1,D339:Y339)</f>
        <v>443825.787031878</v>
      </c>
      <c r="C339" s="21" t="n">
        <f aca="false">B339-B329</f>
        <v>-6947.38295766607</v>
      </c>
      <c r="D339" s="22" t="n">
        <v>22235.354</v>
      </c>
      <c r="E339" s="23" t="n">
        <v>42210.97114</v>
      </c>
      <c r="F339" s="23" t="n">
        <v>42298.0052542</v>
      </c>
      <c r="G339" s="23" t="n">
        <v>48352.833673098</v>
      </c>
      <c r="H339" s="23" t="n">
        <v>55322.5752764114</v>
      </c>
      <c r="I339" s="23" t="n">
        <v>56489.6853247037</v>
      </c>
      <c r="J339" s="23" t="n">
        <v>57108.3343749577</v>
      </c>
      <c r="K339" s="23" t="n">
        <v>57728.0386677347</v>
      </c>
      <c r="L339" s="23" t="n">
        <v>58348.3047334408</v>
      </c>
      <c r="M339" s="23" t="n">
        <v>58968.6085445884</v>
      </c>
      <c r="N339" s="24" t="n">
        <v>59588.3941264447</v>
      </c>
      <c r="O339" s="25" t="n">
        <v>60207.0721118222</v>
      </c>
      <c r="P339" s="25" t="n">
        <v>60824.0182379086</v>
      </c>
      <c r="Q339" s="25" t="n">
        <v>60720.9719908733</v>
      </c>
      <c r="R339" s="25" t="n">
        <v>61310.9061547506</v>
      </c>
      <c r="S339" s="25" t="n">
        <v>61896.3645099687</v>
      </c>
      <c r="T339" s="25" t="n">
        <v>62476.5475672607</v>
      </c>
      <c r="U339" s="25" t="n">
        <v>63050.6118962312</v>
      </c>
      <c r="V339" s="25" t="n">
        <v>63617.6682084294</v>
      </c>
      <c r="W339" s="25" t="n">
        <v>63319.9276852235</v>
      </c>
      <c r="X339" s="25" t="n">
        <v>63844.4010756589</v>
      </c>
    </row>
    <row r="340" customFormat="false" ht="12.75" hidden="false" customHeight="false" outlineLevel="0" collapsed="false">
      <c r="A340" s="26" t="s">
        <v>9</v>
      </c>
      <c r="B340" s="21" t="n">
        <f aca="false">NPV(0.1,D340:Y340)</f>
        <v>198321.000773274</v>
      </c>
      <c r="C340" s="21" t="n">
        <f aca="false">B340-B330</f>
        <v>0</v>
      </c>
      <c r="D340" s="22" t="n">
        <v>12508.5063252595</v>
      </c>
      <c r="E340" s="23" t="n">
        <v>22116.5446166078</v>
      </c>
      <c r="F340" s="23" t="n">
        <v>22590.7939349748</v>
      </c>
      <c r="G340" s="23" t="n">
        <v>23123.6606923834</v>
      </c>
      <c r="H340" s="23" t="n">
        <v>23513.7870748509</v>
      </c>
      <c r="I340" s="23" t="n">
        <v>23720.0155616063</v>
      </c>
      <c r="J340" s="23" t="n">
        <v>23925.5608764078</v>
      </c>
      <c r="K340" s="23" t="n">
        <v>24099.07772411</v>
      </c>
      <c r="L340" s="23" t="n">
        <v>24297.4647404141</v>
      </c>
      <c r="M340" s="23" t="n">
        <v>24555.5660520943</v>
      </c>
      <c r="N340" s="24" t="n">
        <v>24819.992278377</v>
      </c>
      <c r="O340" s="25" t="n">
        <v>25043.6623417704</v>
      </c>
      <c r="P340" s="25" t="n">
        <v>25274.0425070655</v>
      </c>
      <c r="Q340" s="25" t="n">
        <v>25511.3340773195</v>
      </c>
      <c r="R340" s="25" t="n">
        <v>25755.7443946812</v>
      </c>
      <c r="S340" s="25" t="n">
        <v>26007.4870215637</v>
      </c>
      <c r="T340" s="25" t="n">
        <v>26266.7819272527</v>
      </c>
      <c r="U340" s="25" t="n">
        <v>26533.8556801123</v>
      </c>
      <c r="V340" s="25" t="n">
        <v>26808.9416455577</v>
      </c>
      <c r="W340" s="25" t="n">
        <v>27092.2801899665</v>
      </c>
      <c r="X340" s="25" t="n">
        <v>27384.1188907076</v>
      </c>
    </row>
    <row r="341" customFormat="false" ht="12.75" hidden="false" customHeight="false" outlineLevel="0" collapsed="false">
      <c r="A341" s="26" t="s">
        <v>10</v>
      </c>
      <c r="B341" s="21" t="n">
        <f aca="false">NPV(0.1,D341:Y341)</f>
        <v>88323.627652015</v>
      </c>
      <c r="C341" s="21" t="n">
        <f aca="false">B341-B331</f>
        <v>-2948.52890327909</v>
      </c>
      <c r="D341" s="22" t="n">
        <v>1255.65197744429</v>
      </c>
      <c r="E341" s="23" t="n">
        <v>3016.63145698619</v>
      </c>
      <c r="F341" s="23" t="n">
        <v>3010.17123522261</v>
      </c>
      <c r="G341" s="23" t="n">
        <v>6721.71507213336</v>
      </c>
      <c r="H341" s="23" t="n">
        <v>10873.3882705438</v>
      </c>
      <c r="I341" s="23" t="n">
        <v>11742.7114830547</v>
      </c>
      <c r="J341" s="23" t="n">
        <v>12298.7042832184</v>
      </c>
      <c r="K341" s="23" t="n">
        <v>12780.9653300072</v>
      </c>
      <c r="L341" s="23" t="n">
        <v>13272.9576339977</v>
      </c>
      <c r="M341" s="23" t="n">
        <v>13753.9698616299</v>
      </c>
      <c r="N341" s="24" t="n">
        <v>14258.1450645053</v>
      </c>
      <c r="O341" s="25" t="n">
        <v>14816.7649026264</v>
      </c>
      <c r="P341" s="25" t="n">
        <v>15402.7536188331</v>
      </c>
      <c r="Q341" s="25" t="n">
        <v>15566.9975129018</v>
      </c>
      <c r="R341" s="25" t="n">
        <v>16185.8033744546</v>
      </c>
      <c r="S341" s="25" t="n">
        <v>16836.1824794959</v>
      </c>
      <c r="T341" s="25" t="n">
        <v>17520.3791128256</v>
      </c>
      <c r="U341" s="25" t="n">
        <v>18240.8163456499</v>
      </c>
      <c r="V341" s="25" t="n">
        <v>19000.1105465279</v>
      </c>
      <c r="W341" s="25" t="n">
        <v>19262.5477526635</v>
      </c>
      <c r="X341" s="25" t="n">
        <v>20098.3593220549</v>
      </c>
    </row>
    <row r="342" customFormat="false" ht="12.75" hidden="false" customHeight="false" outlineLevel="0" collapsed="false">
      <c r="A342" s="26" t="s">
        <v>11</v>
      </c>
      <c r="B342" s="21" t="n">
        <f aca="false">NPV(0.1,D342:Y342)</f>
        <v>95587.7386856728</v>
      </c>
      <c r="C342" s="21" t="n">
        <f aca="false">B342-B332</f>
        <v>-2385.24790928498</v>
      </c>
      <c r="D342" s="27" t="n">
        <v>2230.8827516436</v>
      </c>
      <c r="E342" s="28" t="n">
        <v>4680.66344966764</v>
      </c>
      <c r="F342" s="28" t="n">
        <v>4838.57697110058</v>
      </c>
      <c r="G342" s="28" t="n">
        <v>15401.4181570132</v>
      </c>
      <c r="H342" s="28" t="n">
        <v>18176.877424512</v>
      </c>
      <c r="I342" s="28" t="n">
        <v>14335.8755531684</v>
      </c>
      <c r="J342" s="28" t="n">
        <v>14035.3478116882</v>
      </c>
      <c r="K342" s="28" t="n">
        <v>13964.7019124322</v>
      </c>
      <c r="L342" s="28" t="n">
        <v>13918.2202903963</v>
      </c>
      <c r="M342" s="28" t="n">
        <v>13888.331305736</v>
      </c>
      <c r="N342" s="29" t="n">
        <v>13774.3211077625</v>
      </c>
      <c r="O342" s="25" t="n">
        <v>13613.5033062861</v>
      </c>
      <c r="P342" s="25" t="n">
        <v>13465.7100882404</v>
      </c>
      <c r="Q342" s="25" t="n">
        <v>13156.7502098934</v>
      </c>
      <c r="R342" s="25" t="n">
        <v>12962.6005554368</v>
      </c>
      <c r="S342" s="25" t="n">
        <v>11067.9427872205</v>
      </c>
      <c r="T342" s="25" t="n">
        <v>9143.56318265971</v>
      </c>
      <c r="U342" s="25" t="n">
        <v>8865.79147372694</v>
      </c>
      <c r="V342" s="25" t="n">
        <v>8553.6966457527</v>
      </c>
      <c r="W342" s="25" t="n">
        <v>8028.10521312144</v>
      </c>
      <c r="X342" s="25" t="n">
        <v>23279.8795303011</v>
      </c>
    </row>
    <row r="344" customFormat="false" ht="11.25" hidden="false" customHeight="false" outlineLevel="0" collapsed="false">
      <c r="A344" s="30" t="s">
        <v>45</v>
      </c>
    </row>
    <row r="345" customFormat="false" ht="11.25" hidden="false" customHeight="false" outlineLevel="0" collapsed="false">
      <c r="A345" s="34" t="n">
        <v>36284</v>
      </c>
    </row>
    <row r="346" customFormat="false" ht="12.75" hidden="false" customHeight="false" outlineLevel="0" collapsed="false">
      <c r="A346" s="11" t="s">
        <v>3</v>
      </c>
      <c r="B346" s="12" t="n">
        <v>66470.6716733381</v>
      </c>
      <c r="C346" s="6"/>
      <c r="D346" s="6"/>
      <c r="E346" s="6"/>
      <c r="F346" s="6"/>
      <c r="G346" s="6"/>
      <c r="H346" s="6"/>
      <c r="I346" s="6"/>
      <c r="J346" s="6"/>
      <c r="K346" s="6"/>
      <c r="L346" s="6"/>
      <c r="M346" s="6"/>
      <c r="N346" s="6"/>
      <c r="O346" s="6"/>
      <c r="P346" s="6"/>
      <c r="Q346" s="6"/>
      <c r="R346" s="6"/>
      <c r="S346" s="6"/>
      <c r="T346" s="6"/>
      <c r="U346" s="6"/>
      <c r="V346" s="6"/>
      <c r="W346" s="6"/>
      <c r="X346" s="6"/>
    </row>
    <row r="347" customFormat="false" ht="12.75" hidden="false" customHeight="false" outlineLevel="0" collapsed="false">
      <c r="A347" s="13" t="s">
        <v>4</v>
      </c>
      <c r="B347" s="14" t="n">
        <v>102517.282871255</v>
      </c>
      <c r="C347" s="6"/>
      <c r="D347" s="6"/>
      <c r="E347" s="6"/>
      <c r="F347" s="6"/>
      <c r="G347" s="6"/>
      <c r="H347" s="6"/>
      <c r="I347" s="6"/>
      <c r="J347" s="6"/>
      <c r="K347" s="6"/>
      <c r="L347" s="6"/>
      <c r="M347" s="6"/>
      <c r="N347" s="6"/>
      <c r="O347" s="6"/>
      <c r="P347" s="6"/>
      <c r="Q347" s="6"/>
      <c r="R347" s="6"/>
      <c r="S347" s="6"/>
      <c r="T347" s="6"/>
      <c r="U347" s="6"/>
      <c r="V347" s="6"/>
      <c r="W347" s="6"/>
      <c r="X347" s="6"/>
    </row>
    <row r="348" customFormat="false" ht="12.75" hidden="false" customHeight="false" outlineLevel="0" collapsed="false">
      <c r="A348" s="15" t="s">
        <v>5</v>
      </c>
      <c r="B348" s="16" t="s">
        <v>6</v>
      </c>
      <c r="C348" s="16" t="s">
        <v>7</v>
      </c>
      <c r="D348" s="17" t="n">
        <v>2000</v>
      </c>
      <c r="E348" s="18" t="n">
        <v>2001</v>
      </c>
      <c r="F348" s="18" t="n">
        <v>2002</v>
      </c>
      <c r="G348" s="18" t="n">
        <v>2003</v>
      </c>
      <c r="H348" s="18" t="n">
        <v>2004</v>
      </c>
      <c r="I348" s="18" t="n">
        <v>2005</v>
      </c>
      <c r="J348" s="18" t="n">
        <v>2006</v>
      </c>
      <c r="K348" s="18" t="n">
        <v>2007</v>
      </c>
      <c r="L348" s="18" t="n">
        <v>2008</v>
      </c>
      <c r="M348" s="18" t="n">
        <v>2009</v>
      </c>
      <c r="N348" s="19" t="n">
        <v>2010</v>
      </c>
      <c r="O348" s="20" t="n">
        <v>2011</v>
      </c>
      <c r="P348" s="20" t="n">
        <v>2012</v>
      </c>
      <c r="Q348" s="20" t="n">
        <v>2013</v>
      </c>
      <c r="R348" s="20" t="n">
        <v>2014</v>
      </c>
      <c r="S348" s="20" t="n">
        <v>2015</v>
      </c>
      <c r="T348" s="20" t="n">
        <v>2016</v>
      </c>
      <c r="U348" s="20" t="n">
        <v>2017</v>
      </c>
      <c r="V348" s="20" t="n">
        <v>2018</v>
      </c>
      <c r="W348" s="20" t="n">
        <v>2019</v>
      </c>
      <c r="X348" s="20" t="n">
        <v>2020</v>
      </c>
    </row>
    <row r="349" customFormat="false" ht="12.75" hidden="false" customHeight="false" outlineLevel="0" collapsed="false">
      <c r="A349" s="15" t="s">
        <v>8</v>
      </c>
      <c r="B349" s="21" t="n">
        <f aca="false">NPV(0.1,D349:Y349)</f>
        <v>443898.228495256</v>
      </c>
      <c r="C349" s="21" t="n">
        <f aca="false">B349-B339</f>
        <v>72.4414633788401</v>
      </c>
      <c r="D349" s="22" t="n">
        <v>22243.73</v>
      </c>
      <c r="E349" s="23" t="n">
        <v>42219.34714</v>
      </c>
      <c r="F349" s="23" t="n">
        <v>42306.3812542</v>
      </c>
      <c r="G349" s="23" t="n">
        <v>48361.209673098</v>
      </c>
      <c r="H349" s="23" t="n">
        <v>55330.9512764114</v>
      </c>
      <c r="I349" s="23" t="n">
        <v>56498.0613247037</v>
      </c>
      <c r="J349" s="23" t="n">
        <v>57116.7103749577</v>
      </c>
      <c r="K349" s="23" t="n">
        <v>57736.4146677347</v>
      </c>
      <c r="L349" s="23" t="n">
        <v>58356.6807334408</v>
      </c>
      <c r="M349" s="23" t="n">
        <v>58976.9845445884</v>
      </c>
      <c r="N349" s="24" t="n">
        <v>59596.7701264447</v>
      </c>
      <c r="O349" s="25" t="n">
        <v>60215.4481118222</v>
      </c>
      <c r="P349" s="25" t="n">
        <v>60832.3942379086</v>
      </c>
      <c r="Q349" s="25" t="n">
        <v>60729.3479908733</v>
      </c>
      <c r="R349" s="25" t="n">
        <v>61319.2821547506</v>
      </c>
      <c r="S349" s="25" t="n">
        <v>61904.7405099687</v>
      </c>
      <c r="T349" s="25" t="n">
        <v>62484.9235672607</v>
      </c>
      <c r="U349" s="25" t="n">
        <v>63058.9878962312</v>
      </c>
      <c r="V349" s="25" t="n">
        <v>63626.0442084294</v>
      </c>
      <c r="W349" s="25" t="n">
        <v>63328.3036852235</v>
      </c>
      <c r="X349" s="25" t="n">
        <v>63852.7770756589</v>
      </c>
    </row>
    <row r="350" customFormat="false" ht="12.75" hidden="false" customHeight="false" outlineLevel="0" collapsed="false">
      <c r="A350" s="26" t="s">
        <v>9</v>
      </c>
      <c r="B350" s="21" t="n">
        <f aca="false">NPV(0.1,D350:Y350)</f>
        <v>198393.442236653</v>
      </c>
      <c r="C350" s="21" t="n">
        <f aca="false">B350-B340</f>
        <v>72.441463378811</v>
      </c>
      <c r="D350" s="22" t="n">
        <v>12516.8823252595</v>
      </c>
      <c r="E350" s="23" t="n">
        <v>22124.9206166078</v>
      </c>
      <c r="F350" s="23" t="n">
        <v>22599.1699349748</v>
      </c>
      <c r="G350" s="23" t="n">
        <v>23132.0366923834</v>
      </c>
      <c r="H350" s="23" t="n">
        <v>23522.1630748509</v>
      </c>
      <c r="I350" s="23" t="n">
        <v>23728.3915616063</v>
      </c>
      <c r="J350" s="23" t="n">
        <v>23933.9368764078</v>
      </c>
      <c r="K350" s="23" t="n">
        <v>24107.45372411</v>
      </c>
      <c r="L350" s="23" t="n">
        <v>24305.8407404141</v>
      </c>
      <c r="M350" s="23" t="n">
        <v>24563.9420520943</v>
      </c>
      <c r="N350" s="24" t="n">
        <v>24828.368278377</v>
      </c>
      <c r="O350" s="25" t="n">
        <v>25052.0383417703</v>
      </c>
      <c r="P350" s="25" t="n">
        <v>25282.4185070655</v>
      </c>
      <c r="Q350" s="25" t="n">
        <v>25519.7100773195</v>
      </c>
      <c r="R350" s="25" t="n">
        <v>25764.1203946812</v>
      </c>
      <c r="S350" s="25" t="n">
        <v>26015.8630215637</v>
      </c>
      <c r="T350" s="25" t="n">
        <v>26275.1579272527</v>
      </c>
      <c r="U350" s="25" t="n">
        <v>26542.2316801123</v>
      </c>
      <c r="V350" s="25" t="n">
        <v>26817.3176455577</v>
      </c>
      <c r="W350" s="25" t="n">
        <v>27100.6561899665</v>
      </c>
      <c r="X350" s="25" t="n">
        <v>27392.4948907076</v>
      </c>
    </row>
    <row r="351" customFormat="false" ht="12.75" hidden="false" customHeight="false" outlineLevel="0" collapsed="false">
      <c r="A351" s="26" t="s">
        <v>10</v>
      </c>
      <c r="B351" s="21" t="n">
        <f aca="false">NPV(0.1,D351:Y351)</f>
        <v>88323.627652015</v>
      </c>
      <c r="C351" s="21" t="n">
        <f aca="false">B351-B341</f>
        <v>0</v>
      </c>
      <c r="D351" s="22" t="n">
        <v>1255.65197744429</v>
      </c>
      <c r="E351" s="23" t="n">
        <v>3016.6314569862</v>
      </c>
      <c r="F351" s="23" t="n">
        <v>3010.17123522261</v>
      </c>
      <c r="G351" s="23" t="n">
        <v>6721.71507213336</v>
      </c>
      <c r="H351" s="23" t="n">
        <v>10873.3882705438</v>
      </c>
      <c r="I351" s="23" t="n">
        <v>11742.7114830547</v>
      </c>
      <c r="J351" s="23" t="n">
        <v>12298.7042832184</v>
      </c>
      <c r="K351" s="23" t="n">
        <v>12780.9653300073</v>
      </c>
      <c r="L351" s="23" t="n">
        <v>13272.9576339977</v>
      </c>
      <c r="M351" s="23" t="n">
        <v>13753.9698616299</v>
      </c>
      <c r="N351" s="24" t="n">
        <v>14258.1450645053</v>
      </c>
      <c r="O351" s="25" t="n">
        <v>14816.7649026264</v>
      </c>
      <c r="P351" s="25" t="n">
        <v>15402.7536188331</v>
      </c>
      <c r="Q351" s="25" t="n">
        <v>15566.9975129018</v>
      </c>
      <c r="R351" s="25" t="n">
        <v>16185.8033744546</v>
      </c>
      <c r="S351" s="25" t="n">
        <v>16836.1824794959</v>
      </c>
      <c r="T351" s="25" t="n">
        <v>17520.3791128256</v>
      </c>
      <c r="U351" s="25" t="n">
        <v>18240.8163456499</v>
      </c>
      <c r="V351" s="25" t="n">
        <v>19000.1105465279</v>
      </c>
      <c r="W351" s="25" t="n">
        <v>19262.5477526635</v>
      </c>
      <c r="X351" s="25" t="n">
        <v>20098.3593220549</v>
      </c>
    </row>
    <row r="352" customFormat="false" ht="12.75" hidden="false" customHeight="false" outlineLevel="0" collapsed="false">
      <c r="A352" s="26" t="s">
        <v>11</v>
      </c>
      <c r="B352" s="21" t="n">
        <f aca="false">NPV(0.1,D352:Y352)</f>
        <v>95587.7386856728</v>
      </c>
      <c r="C352" s="21" t="n">
        <f aca="false">B352-B342</f>
        <v>0</v>
      </c>
      <c r="D352" s="27" t="n">
        <v>2230.8827516436</v>
      </c>
      <c r="E352" s="28" t="n">
        <v>4680.66344966765</v>
      </c>
      <c r="F352" s="28" t="n">
        <v>4838.57697110058</v>
      </c>
      <c r="G352" s="28" t="n">
        <v>15401.4181570132</v>
      </c>
      <c r="H352" s="28" t="n">
        <v>18176.877424512</v>
      </c>
      <c r="I352" s="28" t="n">
        <v>14335.8755531684</v>
      </c>
      <c r="J352" s="28" t="n">
        <v>14035.3478116882</v>
      </c>
      <c r="K352" s="28" t="n">
        <v>13964.7019124322</v>
      </c>
      <c r="L352" s="28" t="n">
        <v>13918.2202903963</v>
      </c>
      <c r="M352" s="28" t="n">
        <v>13888.331305736</v>
      </c>
      <c r="N352" s="29" t="n">
        <v>13774.3211077625</v>
      </c>
      <c r="O352" s="25" t="n">
        <v>13613.5033062861</v>
      </c>
      <c r="P352" s="25" t="n">
        <v>13465.7100882404</v>
      </c>
      <c r="Q352" s="25" t="n">
        <v>13156.7502098934</v>
      </c>
      <c r="R352" s="25" t="n">
        <v>12962.6005554368</v>
      </c>
      <c r="S352" s="25" t="n">
        <v>11067.9427872205</v>
      </c>
      <c r="T352" s="25" t="n">
        <v>9143.56318265971</v>
      </c>
      <c r="U352" s="25" t="n">
        <v>8865.79147372694</v>
      </c>
      <c r="V352" s="25" t="n">
        <v>8553.6966457527</v>
      </c>
      <c r="W352" s="25" t="n">
        <v>8028.10521312144</v>
      </c>
      <c r="X352" s="25" t="n">
        <v>23279.8795303011</v>
      </c>
    </row>
    <row r="354" customFormat="false" ht="11.25" hidden="false" customHeight="false" outlineLevel="0" collapsed="false">
      <c r="A354" s="30" t="s">
        <v>46</v>
      </c>
    </row>
    <row r="355" customFormat="false" ht="11.25" hidden="false" customHeight="false" outlineLevel="0" collapsed="false">
      <c r="A355" s="34" t="n">
        <v>36285</v>
      </c>
    </row>
    <row r="356" customFormat="false" ht="12.75" hidden="false" customHeight="false" outlineLevel="0" collapsed="false">
      <c r="A356" s="11" t="s">
        <v>3</v>
      </c>
      <c r="B356" s="12" t="n">
        <v>66440.5433447771</v>
      </c>
      <c r="C356" s="6"/>
      <c r="D356" s="6"/>
      <c r="E356" s="6"/>
      <c r="F356" s="6"/>
      <c r="G356" s="6"/>
      <c r="H356" s="6"/>
      <c r="I356" s="6"/>
      <c r="J356" s="6"/>
      <c r="K356" s="6"/>
      <c r="L356" s="6"/>
      <c r="M356" s="6"/>
      <c r="N356" s="6"/>
      <c r="O356" s="6"/>
      <c r="P356" s="6"/>
      <c r="Q356" s="6"/>
      <c r="R356" s="6"/>
      <c r="S356" s="6"/>
      <c r="T356" s="6"/>
      <c r="U356" s="6"/>
      <c r="V356" s="6"/>
      <c r="W356" s="6"/>
      <c r="X356" s="6"/>
    </row>
    <row r="357" customFormat="false" ht="12.75" hidden="false" customHeight="false" outlineLevel="0" collapsed="false">
      <c r="A357" s="13" t="s">
        <v>4</v>
      </c>
      <c r="B357" s="14" t="n">
        <v>102481.073871255</v>
      </c>
      <c r="C357" s="6"/>
      <c r="D357" s="6"/>
      <c r="E357" s="6"/>
      <c r="F357" s="6"/>
      <c r="G357" s="6"/>
      <c r="H357" s="6"/>
      <c r="I357" s="6"/>
      <c r="J357" s="6"/>
      <c r="K357" s="6"/>
      <c r="L357" s="6"/>
      <c r="M357" s="6"/>
      <c r="N357" s="6"/>
      <c r="O357" s="6"/>
      <c r="P357" s="6"/>
      <c r="Q357" s="6"/>
      <c r="R357" s="6"/>
      <c r="S357" s="6"/>
      <c r="T357" s="6"/>
      <c r="U357" s="6"/>
      <c r="V357" s="6"/>
      <c r="W357" s="6"/>
      <c r="X357" s="6"/>
    </row>
    <row r="358" customFormat="false" ht="12.75" hidden="false" customHeight="false" outlineLevel="0" collapsed="false">
      <c r="A358" s="15" t="s">
        <v>5</v>
      </c>
      <c r="B358" s="16" t="s">
        <v>6</v>
      </c>
      <c r="C358" s="16" t="s">
        <v>7</v>
      </c>
      <c r="D358" s="17" t="n">
        <v>2000</v>
      </c>
      <c r="E358" s="18" t="n">
        <v>2001</v>
      </c>
      <c r="F358" s="18" t="n">
        <v>2002</v>
      </c>
      <c r="G358" s="18" t="n">
        <v>2003</v>
      </c>
      <c r="H358" s="18" t="n">
        <v>2004</v>
      </c>
      <c r="I358" s="18" t="n">
        <v>2005</v>
      </c>
      <c r="J358" s="18" t="n">
        <v>2006</v>
      </c>
      <c r="K358" s="18" t="n">
        <v>2007</v>
      </c>
      <c r="L358" s="18" t="n">
        <v>2008</v>
      </c>
      <c r="M358" s="18" t="n">
        <v>2009</v>
      </c>
      <c r="N358" s="19" t="n">
        <v>2010</v>
      </c>
      <c r="O358" s="20" t="n">
        <v>2011</v>
      </c>
      <c r="P358" s="20" t="n">
        <v>2012</v>
      </c>
      <c r="Q358" s="20" t="n">
        <v>2013</v>
      </c>
      <c r="R358" s="20" t="n">
        <v>2014</v>
      </c>
      <c r="S358" s="20" t="n">
        <v>2015</v>
      </c>
      <c r="T358" s="20" t="n">
        <v>2016</v>
      </c>
      <c r="U358" s="20" t="n">
        <v>2017</v>
      </c>
      <c r="V358" s="20" t="n">
        <v>2018</v>
      </c>
      <c r="W358" s="20" t="n">
        <v>2019</v>
      </c>
      <c r="X358" s="20" t="n">
        <v>2020</v>
      </c>
    </row>
    <row r="359" customFormat="false" ht="12.75" hidden="false" customHeight="false" outlineLevel="0" collapsed="false">
      <c r="A359" s="15" t="s">
        <v>8</v>
      </c>
      <c r="B359" s="21" t="n">
        <f aca="false">NPV(0.1,D359:Y359)</f>
        <v>443898.228495256</v>
      </c>
      <c r="C359" s="21" t="n">
        <f aca="false">B359-B349</f>
        <v>0</v>
      </c>
      <c r="D359" s="22" t="n">
        <v>22243.73</v>
      </c>
      <c r="E359" s="23" t="n">
        <v>42219.34714</v>
      </c>
      <c r="F359" s="23" t="n">
        <v>42306.3812542</v>
      </c>
      <c r="G359" s="23" t="n">
        <v>48361.209673098</v>
      </c>
      <c r="H359" s="23" t="n">
        <v>55330.9512764114</v>
      </c>
      <c r="I359" s="23" t="n">
        <v>56498.0613247037</v>
      </c>
      <c r="J359" s="23" t="n">
        <v>57116.7103749577</v>
      </c>
      <c r="K359" s="23" t="n">
        <v>57736.4146677347</v>
      </c>
      <c r="L359" s="23" t="n">
        <v>58356.6807334408</v>
      </c>
      <c r="M359" s="23" t="n">
        <v>58976.9845445884</v>
      </c>
      <c r="N359" s="24" t="n">
        <v>59596.7701264447</v>
      </c>
      <c r="O359" s="25" t="n">
        <v>60215.4481118222</v>
      </c>
      <c r="P359" s="25" t="n">
        <v>60832.3942379086</v>
      </c>
      <c r="Q359" s="25" t="n">
        <v>60729.3479908733</v>
      </c>
      <c r="R359" s="25" t="n">
        <v>61319.2821547506</v>
      </c>
      <c r="S359" s="25" t="n">
        <v>61904.7405099687</v>
      </c>
      <c r="T359" s="25" t="n">
        <v>62484.9235672607</v>
      </c>
      <c r="U359" s="25" t="n">
        <v>63058.9878962312</v>
      </c>
      <c r="V359" s="25" t="n">
        <v>63626.0442084294</v>
      </c>
      <c r="W359" s="25" t="n">
        <v>63328.3036852235</v>
      </c>
      <c r="X359" s="25" t="n">
        <v>63852.7770756589</v>
      </c>
    </row>
    <row r="360" customFormat="false" ht="12.75" hidden="false" customHeight="false" outlineLevel="0" collapsed="false">
      <c r="A360" s="26" t="s">
        <v>9</v>
      </c>
      <c r="B360" s="21" t="n">
        <f aca="false">NPV(0.1,D360:Y360)</f>
        <v>198393.442236653</v>
      </c>
      <c r="C360" s="21" t="n">
        <f aca="false">B360-B350</f>
        <v>0</v>
      </c>
      <c r="D360" s="22" t="n">
        <v>12516.8823252595</v>
      </c>
      <c r="E360" s="23" t="n">
        <v>22124.9206166078</v>
      </c>
      <c r="F360" s="23" t="n">
        <v>22599.1699349748</v>
      </c>
      <c r="G360" s="23" t="n">
        <v>23132.0366923834</v>
      </c>
      <c r="H360" s="23" t="n">
        <v>23522.1630748509</v>
      </c>
      <c r="I360" s="23" t="n">
        <v>23728.3915616063</v>
      </c>
      <c r="J360" s="23" t="n">
        <v>23933.9368764078</v>
      </c>
      <c r="K360" s="23" t="n">
        <v>24107.45372411</v>
      </c>
      <c r="L360" s="23" t="n">
        <v>24305.8407404141</v>
      </c>
      <c r="M360" s="23" t="n">
        <v>24563.9420520943</v>
      </c>
      <c r="N360" s="24" t="n">
        <v>24828.368278377</v>
      </c>
      <c r="O360" s="25" t="n">
        <v>25052.0383417703</v>
      </c>
      <c r="P360" s="25" t="n">
        <v>25282.4185070655</v>
      </c>
      <c r="Q360" s="25" t="n">
        <v>25519.7100773195</v>
      </c>
      <c r="R360" s="25" t="n">
        <v>25764.1203946812</v>
      </c>
      <c r="S360" s="25" t="n">
        <v>26015.8630215637</v>
      </c>
      <c r="T360" s="25" t="n">
        <v>26275.1579272527</v>
      </c>
      <c r="U360" s="25" t="n">
        <v>26542.2316801123</v>
      </c>
      <c r="V360" s="25" t="n">
        <v>26817.3176455577</v>
      </c>
      <c r="W360" s="25" t="n">
        <v>27100.6561899665</v>
      </c>
      <c r="X360" s="25" t="n">
        <v>27392.4948907076</v>
      </c>
    </row>
    <row r="361" customFormat="false" ht="12.75" hidden="false" customHeight="false" outlineLevel="0" collapsed="false">
      <c r="A361" s="26" t="s">
        <v>10</v>
      </c>
      <c r="B361" s="21" t="n">
        <f aca="false">NPV(0.1,D361:Y361)</f>
        <v>88318.1023202266</v>
      </c>
      <c r="C361" s="21" t="n">
        <f aca="false">B361-B351</f>
        <v>-5.52533178840531</v>
      </c>
      <c r="D361" s="22" t="n">
        <v>1255.31482639304</v>
      </c>
      <c r="E361" s="23" t="n">
        <v>3015.9571548837</v>
      </c>
      <c r="F361" s="23" t="n">
        <v>3009.49693312011</v>
      </c>
      <c r="G361" s="23" t="n">
        <v>6721.04077003086</v>
      </c>
      <c r="H361" s="23" t="n">
        <v>10872.7139684413</v>
      </c>
      <c r="I361" s="23" t="n">
        <v>11742.0371809522</v>
      </c>
      <c r="J361" s="23" t="n">
        <v>12298.0299811159</v>
      </c>
      <c r="K361" s="23" t="n">
        <v>12780.2910279047</v>
      </c>
      <c r="L361" s="23" t="n">
        <v>13272.2833318952</v>
      </c>
      <c r="M361" s="23" t="n">
        <v>13753.2955595274</v>
      </c>
      <c r="N361" s="24" t="n">
        <v>14257.4707624028</v>
      </c>
      <c r="O361" s="25" t="n">
        <v>14816.0906005239</v>
      </c>
      <c r="P361" s="25" t="n">
        <v>15402.0793167306</v>
      </c>
      <c r="Q361" s="25" t="n">
        <v>15566.3232107993</v>
      </c>
      <c r="R361" s="25" t="n">
        <v>16185.1290723521</v>
      </c>
      <c r="S361" s="25" t="n">
        <v>16835.5081773934</v>
      </c>
      <c r="T361" s="25" t="n">
        <v>17519.7048107231</v>
      </c>
      <c r="U361" s="25" t="n">
        <v>18240.1420435474</v>
      </c>
      <c r="V361" s="25" t="n">
        <v>18999.4362444254</v>
      </c>
      <c r="W361" s="25" t="n">
        <v>19261.8734505609</v>
      </c>
      <c r="X361" s="25" t="n">
        <v>20097.6850199524</v>
      </c>
    </row>
    <row r="362" customFormat="false" ht="12.75" hidden="false" customHeight="false" outlineLevel="0" collapsed="false">
      <c r="A362" s="26" t="s">
        <v>11</v>
      </c>
      <c r="B362" s="21" t="n">
        <f aca="false">NPV(0.1,D362:Y362)</f>
        <v>95594.3071314091</v>
      </c>
      <c r="C362" s="21" t="n">
        <f aca="false">B362-B352</f>
        <v>6.56844573632407</v>
      </c>
      <c r="D362" s="27" t="n">
        <v>2230.8827516436</v>
      </c>
      <c r="E362" s="28" t="n">
        <v>4680.66344966765</v>
      </c>
      <c r="F362" s="28" t="n">
        <v>4838.57697110058</v>
      </c>
      <c r="G362" s="28" t="n">
        <v>15401.4550901932</v>
      </c>
      <c r="H362" s="28" t="n">
        <v>18182.0628212586</v>
      </c>
      <c r="I362" s="28" t="n">
        <v>14336.7550797359</v>
      </c>
      <c r="J362" s="28" t="n">
        <v>14036.1820217869</v>
      </c>
      <c r="K362" s="28" t="n">
        <v>13965.5374957573</v>
      </c>
      <c r="L362" s="28" t="n">
        <v>13919.0545004951</v>
      </c>
      <c r="M362" s="28" t="n">
        <v>13889.166889061</v>
      </c>
      <c r="N362" s="29" t="n">
        <v>13775.1553178612</v>
      </c>
      <c r="O362" s="25" t="n">
        <v>13614.3388896112</v>
      </c>
      <c r="P362" s="25" t="n">
        <v>13466.5442983391</v>
      </c>
      <c r="Q362" s="25" t="n">
        <v>13157.5857932185</v>
      </c>
      <c r="R362" s="25" t="n">
        <v>12963.4347655355</v>
      </c>
      <c r="S362" s="25" t="n">
        <v>11068.3718955534</v>
      </c>
      <c r="T362" s="25" t="n">
        <v>9143.58718922671</v>
      </c>
      <c r="U362" s="25" t="n">
        <v>8865.81548029394</v>
      </c>
      <c r="V362" s="25" t="n">
        <v>8553.7206523197</v>
      </c>
      <c r="W362" s="25" t="n">
        <v>8028.12921968843</v>
      </c>
      <c r="X362" s="25" t="n">
        <v>23279.9035368681</v>
      </c>
    </row>
    <row r="365" customFormat="false" ht="11.25" hidden="false" customHeight="false" outlineLevel="0" collapsed="false">
      <c r="A365" s="30" t="s">
        <v>47</v>
      </c>
    </row>
    <row r="366" customFormat="false" ht="11.25" hidden="false" customHeight="false" outlineLevel="0" collapsed="false">
      <c r="A366" s="34" t="n">
        <v>36285</v>
      </c>
    </row>
    <row r="367" customFormat="false" ht="12.75" hidden="false" customHeight="false" outlineLevel="0" collapsed="false">
      <c r="A367" s="11" t="s">
        <v>3</v>
      </c>
      <c r="B367" s="12" t="n">
        <v>66670.3944408728</v>
      </c>
      <c r="C367" s="6"/>
      <c r="D367" s="6"/>
      <c r="E367" s="6"/>
      <c r="F367" s="6"/>
      <c r="G367" s="6"/>
      <c r="H367" s="6"/>
      <c r="I367" s="6"/>
      <c r="J367" s="6"/>
      <c r="K367" s="6"/>
      <c r="L367" s="6"/>
      <c r="M367" s="6"/>
      <c r="N367" s="6"/>
      <c r="O367" s="6"/>
      <c r="P367" s="6"/>
      <c r="Q367" s="6"/>
      <c r="R367" s="6"/>
      <c r="S367" s="6"/>
      <c r="T367" s="6"/>
      <c r="U367" s="6"/>
      <c r="V367" s="6"/>
      <c r="W367" s="6"/>
      <c r="X367" s="6"/>
    </row>
    <row r="368" customFormat="false" ht="12.75" hidden="false" customHeight="false" outlineLevel="0" collapsed="false">
      <c r="A368" s="13" t="s">
        <v>4</v>
      </c>
      <c r="B368" s="14" t="n">
        <v>102869.452394133</v>
      </c>
      <c r="C368" s="6"/>
      <c r="D368" s="6"/>
      <c r="E368" s="6"/>
      <c r="F368" s="6"/>
      <c r="G368" s="6"/>
      <c r="H368" s="6"/>
      <c r="I368" s="6"/>
      <c r="J368" s="6"/>
      <c r="K368" s="6"/>
      <c r="L368" s="6"/>
      <c r="M368" s="6"/>
      <c r="N368" s="6"/>
      <c r="O368" s="6"/>
      <c r="P368" s="6"/>
      <c r="Q368" s="6"/>
      <c r="R368" s="6"/>
      <c r="S368" s="6"/>
      <c r="T368" s="6"/>
      <c r="U368" s="6"/>
      <c r="V368" s="6"/>
      <c r="W368" s="6"/>
      <c r="X368" s="6"/>
    </row>
    <row r="369" customFormat="false" ht="12.75" hidden="false" customHeight="false" outlineLevel="0" collapsed="false">
      <c r="A369" s="15" t="s">
        <v>5</v>
      </c>
      <c r="B369" s="16" t="s">
        <v>6</v>
      </c>
      <c r="C369" s="16" t="s">
        <v>7</v>
      </c>
      <c r="D369" s="17" t="n">
        <v>2000</v>
      </c>
      <c r="E369" s="18" t="n">
        <v>2001</v>
      </c>
      <c r="F369" s="18" t="n">
        <v>2002</v>
      </c>
      <c r="G369" s="18" t="n">
        <v>2003</v>
      </c>
      <c r="H369" s="18" t="n">
        <v>2004</v>
      </c>
      <c r="I369" s="18" t="n">
        <v>2005</v>
      </c>
      <c r="J369" s="18" t="n">
        <v>2006</v>
      </c>
      <c r="K369" s="18" t="n">
        <v>2007</v>
      </c>
      <c r="L369" s="18" t="n">
        <v>2008</v>
      </c>
      <c r="M369" s="18" t="n">
        <v>2009</v>
      </c>
      <c r="N369" s="19" t="n">
        <v>2010</v>
      </c>
      <c r="O369" s="20" t="n">
        <v>2011</v>
      </c>
      <c r="P369" s="20" t="n">
        <v>2012</v>
      </c>
      <c r="Q369" s="20" t="n">
        <v>2013</v>
      </c>
      <c r="R369" s="20" t="n">
        <v>2014</v>
      </c>
      <c r="S369" s="20" t="n">
        <v>2015</v>
      </c>
      <c r="T369" s="20" t="n">
        <v>2016</v>
      </c>
      <c r="U369" s="20" t="n">
        <v>2017</v>
      </c>
      <c r="V369" s="20" t="n">
        <v>2018</v>
      </c>
      <c r="W369" s="20" t="n">
        <v>2019</v>
      </c>
      <c r="X369" s="20" t="n">
        <v>2020</v>
      </c>
    </row>
    <row r="370" customFormat="false" ht="12.75" hidden="false" customHeight="false" outlineLevel="0" collapsed="false">
      <c r="A370" s="15" t="s">
        <v>8</v>
      </c>
      <c r="B370" s="21" t="n">
        <f aca="false">NPV(0.1,D370:Y370)</f>
        <v>447582.547535237</v>
      </c>
      <c r="C370" s="21" t="n">
        <v>3684.31903998071</v>
      </c>
      <c r="D370" s="22" t="n">
        <v>25558.9163333333</v>
      </c>
      <c r="E370" s="23" t="n">
        <v>42219.34714</v>
      </c>
      <c r="F370" s="23" t="n">
        <v>42306.3812542</v>
      </c>
      <c r="G370" s="23" t="n">
        <v>49342.908169867</v>
      </c>
      <c r="H370" s="23" t="n">
        <v>55330.9512764114</v>
      </c>
      <c r="I370" s="23" t="n">
        <v>56498.0613247037</v>
      </c>
      <c r="J370" s="23" t="n">
        <v>57116.7103749577</v>
      </c>
      <c r="K370" s="23" t="n">
        <v>57736.4146677347</v>
      </c>
      <c r="L370" s="23" t="n">
        <v>58356.6807334408</v>
      </c>
      <c r="M370" s="23" t="n">
        <v>58976.9845445884</v>
      </c>
      <c r="N370" s="24" t="n">
        <v>59596.7701264447</v>
      </c>
      <c r="O370" s="25" t="n">
        <v>60215.4481118222</v>
      </c>
      <c r="P370" s="25" t="n">
        <v>60832.3942379086</v>
      </c>
      <c r="Q370" s="25" t="n">
        <v>60729.3479908733</v>
      </c>
      <c r="R370" s="25" t="n">
        <v>61319.2821547506</v>
      </c>
      <c r="S370" s="25" t="n">
        <v>61904.7405099687</v>
      </c>
      <c r="T370" s="25" t="n">
        <v>62484.9235672607</v>
      </c>
      <c r="U370" s="25" t="n">
        <v>63058.9878962312</v>
      </c>
      <c r="V370" s="25" t="n">
        <v>63626.0442084294</v>
      </c>
      <c r="W370" s="25" t="n">
        <v>63328.3036852235</v>
      </c>
      <c r="X370" s="25" t="n">
        <v>63852.7770756589</v>
      </c>
    </row>
    <row r="371" customFormat="false" ht="12.75" hidden="false" customHeight="false" outlineLevel="0" collapsed="false">
      <c r="A371" s="26" t="s">
        <v>9</v>
      </c>
      <c r="B371" s="21" t="n">
        <f aca="false">NPV(0.1,D371:Y371)</f>
        <v>199822.200474618</v>
      </c>
      <c r="C371" s="21" t="n">
        <v>1428.75823796558</v>
      </c>
      <c r="D371" s="22" t="n">
        <v>14081.9713794694</v>
      </c>
      <c r="E371" s="23" t="n">
        <v>22124.9206166078</v>
      </c>
      <c r="F371" s="23" t="n">
        <v>22599.1699349748</v>
      </c>
      <c r="G371" s="23" t="n">
        <v>23140.7480974354</v>
      </c>
      <c r="H371" s="23" t="n">
        <v>23522.1630748509</v>
      </c>
      <c r="I371" s="23" t="n">
        <v>23728.3915616063</v>
      </c>
      <c r="J371" s="23" t="n">
        <v>23933.9368764078</v>
      </c>
      <c r="K371" s="23" t="n">
        <v>24107.45372411</v>
      </c>
      <c r="L371" s="23" t="n">
        <v>24305.8407404141</v>
      </c>
      <c r="M371" s="23" t="n">
        <v>24563.9420520943</v>
      </c>
      <c r="N371" s="24" t="n">
        <v>24828.368278377</v>
      </c>
      <c r="O371" s="25" t="n">
        <v>25052.0383417703</v>
      </c>
      <c r="P371" s="25" t="n">
        <v>25282.4185070655</v>
      </c>
      <c r="Q371" s="25" t="n">
        <v>25519.7100773195</v>
      </c>
      <c r="R371" s="25" t="n">
        <v>25764.1203946812</v>
      </c>
      <c r="S371" s="25" t="n">
        <v>26015.8630215637</v>
      </c>
      <c r="T371" s="25" t="n">
        <v>26275.1579272527</v>
      </c>
      <c r="U371" s="25" t="n">
        <v>26542.2316801123</v>
      </c>
      <c r="V371" s="25" t="n">
        <v>26817.3176455577</v>
      </c>
      <c r="W371" s="25" t="n">
        <v>27100.6561899665</v>
      </c>
      <c r="X371" s="25" t="n">
        <v>27392.4948907076</v>
      </c>
    </row>
    <row r="372" customFormat="false" ht="12.75" hidden="false" customHeight="false" outlineLevel="0" collapsed="false">
      <c r="A372" s="26" t="s">
        <v>10</v>
      </c>
      <c r="B372" s="21" t="n">
        <f aca="false">NPV(0.1,D372:Y372)</f>
        <v>83757.0953355968</v>
      </c>
      <c r="C372" s="21" t="n">
        <v>603.459956927502</v>
      </c>
      <c r="D372" s="22" t="n">
        <v>1333.88992146914</v>
      </c>
      <c r="E372" s="23" t="n">
        <v>2692.46718503636</v>
      </c>
      <c r="F372" s="23" t="n">
        <v>2683.7679685794</v>
      </c>
      <c r="G372" s="23" t="n">
        <v>6914.0337499995</v>
      </c>
      <c r="H372" s="23" t="n">
        <v>10277.1887571211</v>
      </c>
      <c r="I372" s="23" t="n">
        <v>11117.3405134461</v>
      </c>
      <c r="J372" s="23" t="n">
        <v>11624.43671594</v>
      </c>
      <c r="K372" s="23" t="n">
        <v>12080.2831423651</v>
      </c>
      <c r="L372" s="23" t="n">
        <v>12545.3278211671</v>
      </c>
      <c r="M372" s="23" t="n">
        <v>12999.9938293237</v>
      </c>
      <c r="N372" s="24" t="n">
        <v>13476.5541197581</v>
      </c>
      <c r="O372" s="25" t="n">
        <v>14004.5769792306</v>
      </c>
      <c r="P372" s="25" t="n">
        <v>14558.4696562089</v>
      </c>
      <c r="Q372" s="25" t="n">
        <v>14713.717509362</v>
      </c>
      <c r="R372" s="25" t="n">
        <v>15298.6298561459</v>
      </c>
      <c r="S372" s="25" t="n">
        <v>15913.3861024335</v>
      </c>
      <c r="T372" s="25" t="n">
        <v>16560.1076080415</v>
      </c>
      <c r="U372" s="25" t="n">
        <v>17241.0847266233</v>
      </c>
      <c r="V372" s="25" t="n">
        <v>17958.790521815</v>
      </c>
      <c r="W372" s="25" t="n">
        <v>18206.8533984964</v>
      </c>
      <c r="X372" s="25" t="n">
        <v>19000.5527057554</v>
      </c>
    </row>
    <row r="373" customFormat="false" ht="12.75" hidden="false" customHeight="false" outlineLevel="0" collapsed="false">
      <c r="A373" s="26" t="s">
        <v>11</v>
      </c>
      <c r="B373" s="21" t="n">
        <f aca="false">NPV(0.1,D373:Y373)</f>
        <v>95880.8243379746</v>
      </c>
      <c r="C373" s="21" t="n">
        <v>359.393553620583</v>
      </c>
      <c r="D373" s="27" t="n">
        <v>2601.10502450728</v>
      </c>
      <c r="E373" s="28" t="n">
        <v>4643.30748398765</v>
      </c>
      <c r="F373" s="28" t="n">
        <v>4800.17659605018</v>
      </c>
      <c r="G373" s="28" t="n">
        <v>15964.894797641</v>
      </c>
      <c r="H373" s="28" t="n">
        <v>17589.3597241705</v>
      </c>
      <c r="I373" s="28" t="n">
        <v>14324.1393114026</v>
      </c>
      <c r="J373" s="28" t="n">
        <v>14036.1820217869</v>
      </c>
      <c r="K373" s="28" t="n">
        <v>13965.5374957573</v>
      </c>
      <c r="L373" s="28" t="n">
        <v>13919.0545004951</v>
      </c>
      <c r="M373" s="28" t="n">
        <v>13889.166889061</v>
      </c>
      <c r="N373" s="29" t="n">
        <v>13775.1553178612</v>
      </c>
      <c r="O373" s="25" t="n">
        <v>13614.3388896112</v>
      </c>
      <c r="P373" s="25" t="n">
        <v>13466.5442983391</v>
      </c>
      <c r="Q373" s="25" t="n">
        <v>13157.5857932185</v>
      </c>
      <c r="R373" s="25" t="n">
        <v>12963.4347655355</v>
      </c>
      <c r="S373" s="25" t="n">
        <v>11068.3718955534</v>
      </c>
      <c r="T373" s="25" t="n">
        <v>9143.58718922671</v>
      </c>
      <c r="U373" s="25" t="n">
        <v>8865.81548029394</v>
      </c>
      <c r="V373" s="25" t="n">
        <v>8553.7206523197</v>
      </c>
      <c r="W373" s="25" t="n">
        <v>8028.12921968843</v>
      </c>
      <c r="X373" s="25" t="n">
        <v>23279.7654118681</v>
      </c>
    </row>
    <row r="375" customFormat="false" ht="11.25" hidden="false" customHeight="false" outlineLevel="0" collapsed="false">
      <c r="A375" s="30" t="s">
        <v>48</v>
      </c>
    </row>
    <row r="376" customFormat="false" ht="11.25" hidden="false" customHeight="false" outlineLevel="0" collapsed="false">
      <c r="A376" s="34" t="n">
        <v>36287</v>
      </c>
    </row>
    <row r="377" customFormat="false" ht="12.75" hidden="false" customHeight="false" outlineLevel="0" collapsed="false">
      <c r="A377" s="11" t="s">
        <v>3</v>
      </c>
      <c r="B377" s="12" t="n">
        <v>63486.5423635204</v>
      </c>
      <c r="C377" s="6"/>
      <c r="D377" s="6"/>
      <c r="E377" s="6"/>
      <c r="F377" s="6"/>
      <c r="G377" s="6"/>
      <c r="H377" s="6"/>
      <c r="I377" s="6"/>
      <c r="J377" s="6"/>
      <c r="K377" s="6"/>
      <c r="L377" s="6"/>
      <c r="M377" s="6"/>
      <c r="N377" s="6"/>
      <c r="O377" s="6"/>
      <c r="P377" s="6"/>
      <c r="Q377" s="6"/>
      <c r="R377" s="6"/>
      <c r="S377" s="6"/>
      <c r="T377" s="6"/>
      <c r="U377" s="6"/>
      <c r="V377" s="6"/>
      <c r="W377" s="6"/>
      <c r="X377" s="6"/>
    </row>
    <row r="378" customFormat="false" ht="12.75" hidden="false" customHeight="false" outlineLevel="0" collapsed="false">
      <c r="A378" s="13" t="s">
        <v>4</v>
      </c>
      <c r="B378" s="14" t="n">
        <v>98691.808227285</v>
      </c>
      <c r="C378" s="6"/>
      <c r="D378" s="6"/>
      <c r="E378" s="6"/>
      <c r="F378" s="6"/>
      <c r="G378" s="6"/>
      <c r="H378" s="6"/>
      <c r="I378" s="6"/>
      <c r="J378" s="6"/>
      <c r="K378" s="6"/>
      <c r="L378" s="6"/>
      <c r="M378" s="6"/>
      <c r="N378" s="6"/>
      <c r="O378" s="6"/>
      <c r="P378" s="6"/>
      <c r="Q378" s="6"/>
      <c r="R378" s="6"/>
      <c r="S378" s="6"/>
      <c r="T378" s="6"/>
      <c r="U378" s="6"/>
      <c r="V378" s="6"/>
      <c r="W378" s="6"/>
      <c r="X378" s="6"/>
    </row>
    <row r="379" customFormat="false" ht="12.75" hidden="false" customHeight="false" outlineLevel="0" collapsed="false">
      <c r="A379" s="15" t="s">
        <v>5</v>
      </c>
      <c r="B379" s="16" t="s">
        <v>6</v>
      </c>
      <c r="C379" s="16" t="s">
        <v>7</v>
      </c>
      <c r="D379" s="17" t="n">
        <v>2000</v>
      </c>
      <c r="E379" s="18" t="n">
        <v>2001</v>
      </c>
      <c r="F379" s="18" t="n">
        <v>2002</v>
      </c>
      <c r="G379" s="18" t="n">
        <v>2003</v>
      </c>
      <c r="H379" s="18" t="n">
        <v>2004</v>
      </c>
      <c r="I379" s="18" t="n">
        <v>2005</v>
      </c>
      <c r="J379" s="18" t="n">
        <v>2006</v>
      </c>
      <c r="K379" s="18" t="n">
        <v>2007</v>
      </c>
      <c r="L379" s="18" t="n">
        <v>2008</v>
      </c>
      <c r="M379" s="18" t="n">
        <v>2009</v>
      </c>
      <c r="N379" s="19" t="n">
        <v>2010</v>
      </c>
      <c r="O379" s="20" t="n">
        <v>2011</v>
      </c>
      <c r="P379" s="20" t="n">
        <v>2012</v>
      </c>
      <c r="Q379" s="20" t="n">
        <v>2013</v>
      </c>
      <c r="R379" s="20" t="n">
        <v>2014</v>
      </c>
      <c r="S379" s="20" t="n">
        <v>2015</v>
      </c>
      <c r="T379" s="20" t="n">
        <v>2016</v>
      </c>
      <c r="U379" s="20" t="n">
        <v>2017</v>
      </c>
      <c r="V379" s="20" t="n">
        <v>2018</v>
      </c>
      <c r="W379" s="20" t="n">
        <v>2019</v>
      </c>
      <c r="X379" s="20" t="n">
        <v>2020</v>
      </c>
    </row>
    <row r="380" customFormat="false" ht="12.75" hidden="false" customHeight="false" outlineLevel="0" collapsed="false">
      <c r="A380" s="15" t="s">
        <v>8</v>
      </c>
      <c r="B380" s="21" t="n">
        <f aca="false">NPV(0.1,D380:Y380)</f>
        <v>441311.692510405</v>
      </c>
      <c r="C380" s="21" t="n">
        <f aca="false">B380-B370</f>
        <v>-6270.85502483201</v>
      </c>
      <c r="D380" s="22" t="n">
        <v>25347.0563333333</v>
      </c>
      <c r="E380" s="23" t="n">
        <v>42007.48714</v>
      </c>
      <c r="F380" s="23" t="n">
        <v>42094.5212542</v>
      </c>
      <c r="G380" s="23" t="n">
        <v>48788.2421004144</v>
      </c>
      <c r="H380" s="23" t="n">
        <v>54415.1710422958</v>
      </c>
      <c r="I380" s="23" t="n">
        <v>55560.8318515646</v>
      </c>
      <c r="J380" s="23" t="n">
        <v>56169.0576716142</v>
      </c>
      <c r="K380" s="23" t="n">
        <v>56778.3761218603</v>
      </c>
      <c r="L380" s="23" t="n">
        <v>57388.3053568767</v>
      </c>
      <c r="M380" s="23" t="n">
        <v>57998.3336371445</v>
      </c>
      <c r="N380" s="24" t="n">
        <v>58607.9179690671</v>
      </c>
      <c r="O380" s="25" t="n">
        <v>59216.4826902916</v>
      </c>
      <c r="P380" s="25" t="n">
        <v>59823.4179982774</v>
      </c>
      <c r="Q380" s="25" t="n">
        <v>59724.8306237366</v>
      </c>
      <c r="R380" s="25" t="n">
        <v>60305.4359903168</v>
      </c>
      <c r="S380" s="25" t="n">
        <v>60881.7291609904</v>
      </c>
      <c r="T380" s="25" t="n">
        <v>61452.9288591731</v>
      </c>
      <c r="U380" s="25" t="n">
        <v>62018.210812662</v>
      </c>
      <c r="V380" s="25" t="n">
        <v>62576.7058770469</v>
      </c>
      <c r="W380" s="25" t="n">
        <v>62287.7834390887</v>
      </c>
      <c r="X380" s="25" t="n">
        <v>62804.7165347425</v>
      </c>
    </row>
    <row r="381" customFormat="false" ht="12.75" hidden="false" customHeight="false" outlineLevel="0" collapsed="false">
      <c r="A381" s="26" t="s">
        <v>9</v>
      </c>
      <c r="B381" s="21" t="n">
        <f aca="false">NPV(0.1,D381:Y381)</f>
        <v>197628.078907995</v>
      </c>
      <c r="C381" s="21" t="n">
        <f aca="false">B381-B371</f>
        <v>-2194.12156662333</v>
      </c>
      <c r="D381" s="22" t="n">
        <v>13588.4922128028</v>
      </c>
      <c r="E381" s="23" t="n">
        <v>21913.0606166078</v>
      </c>
      <c r="F381" s="23" t="n">
        <v>22387.3099349748</v>
      </c>
      <c r="G381" s="23" t="n">
        <v>22920.2715771556</v>
      </c>
      <c r="H381" s="23" t="n">
        <v>23295.0887618998</v>
      </c>
      <c r="I381" s="23" t="n">
        <v>23500.8608192666</v>
      </c>
      <c r="J381" s="23" t="n">
        <v>23705.936011798</v>
      </c>
      <c r="K381" s="23" t="n">
        <v>23878.9686335619</v>
      </c>
      <c r="L381" s="23" t="n">
        <v>24076.8568971495</v>
      </c>
      <c r="M381" s="23" t="n">
        <v>24334.4444935318</v>
      </c>
      <c r="N381" s="24" t="n">
        <v>24598.3415930576</v>
      </c>
      <c r="O381" s="25" t="n">
        <v>24821.4666558914</v>
      </c>
      <c r="P381" s="25" t="n">
        <v>25051.2854706102</v>
      </c>
      <c r="Q381" s="25" t="n">
        <v>25287.9988497705</v>
      </c>
      <c r="R381" s="25" t="n">
        <v>25531.8136303057</v>
      </c>
      <c r="S381" s="25" t="n">
        <v>25782.9428542569</v>
      </c>
      <c r="T381" s="25" t="n">
        <v>26041.6059549267</v>
      </c>
      <c r="U381" s="25" t="n">
        <v>26308.0289486166</v>
      </c>
      <c r="V381" s="25" t="n">
        <v>26582.4446321171</v>
      </c>
      <c r="W381" s="25" t="n">
        <v>26865.0927861227</v>
      </c>
      <c r="X381" s="25" t="n">
        <v>27156.2203847485</v>
      </c>
    </row>
    <row r="382" customFormat="false" ht="12.75" hidden="false" customHeight="false" outlineLevel="0" collapsed="false">
      <c r="A382" s="26" t="s">
        <v>10</v>
      </c>
      <c r="B382" s="21" t="n">
        <f aca="false">NPV(0.1,D382:Y382)</f>
        <v>82173.9114188336</v>
      </c>
      <c r="C382" s="21" t="n">
        <f aca="false">B382-B372</f>
        <v>-1583.18391676318</v>
      </c>
      <c r="D382" s="22" t="n">
        <v>1569.30280902902</v>
      </c>
      <c r="E382" s="23" t="n">
        <v>2805.53874590502</v>
      </c>
      <c r="F382" s="23" t="n">
        <v>2805.40554561538</v>
      </c>
      <c r="G382" s="23" t="n">
        <v>6836.79341737558</v>
      </c>
      <c r="H382" s="23" t="n">
        <v>9992.76476078623</v>
      </c>
      <c r="I382" s="23" t="n">
        <v>10817.4919089758</v>
      </c>
      <c r="J382" s="23" t="n">
        <v>11315.0916079903</v>
      </c>
      <c r="K382" s="23" t="n">
        <v>11760.9985601769</v>
      </c>
      <c r="L382" s="23" t="n">
        <v>12215.6310330057</v>
      </c>
      <c r="M382" s="23" t="n">
        <v>12659.3800171266</v>
      </c>
      <c r="N382" s="24" t="n">
        <v>13124.4838659781</v>
      </c>
      <c r="O382" s="25" t="n">
        <v>13640.4735506923</v>
      </c>
      <c r="P382" s="25" t="n">
        <v>14181.7160685746</v>
      </c>
      <c r="Q382" s="25" t="n">
        <v>14332.1796509643</v>
      </c>
      <c r="R382" s="25" t="n">
        <v>14903.5994316058</v>
      </c>
      <c r="S382" s="25" t="n">
        <v>15504.1426080014</v>
      </c>
      <c r="T382" s="25" t="n">
        <v>16135.8788203045</v>
      </c>
      <c r="U382" s="25" t="n">
        <v>16801.0425971582</v>
      </c>
      <c r="V382" s="25" t="n">
        <v>17502.0467400194</v>
      </c>
      <c r="W382" s="25" t="n">
        <v>17742.6354397113</v>
      </c>
      <c r="X382" s="25" t="n">
        <v>18518.2833065441</v>
      </c>
    </row>
    <row r="383" customFormat="false" ht="12.75" hidden="false" customHeight="false" outlineLevel="0" collapsed="false">
      <c r="A383" s="26" t="s">
        <v>11</v>
      </c>
      <c r="B383" s="21" t="n">
        <f aca="false">NPV(0.1,D383:Y383)</f>
        <v>94424.1338556477</v>
      </c>
      <c r="C383" s="21" t="n">
        <f aca="false">B383-B373</f>
        <v>-1456.6904823269</v>
      </c>
      <c r="D383" s="27" t="n">
        <v>2672.15662255215</v>
      </c>
      <c r="E383" s="28" t="n">
        <v>4645.84980398765</v>
      </c>
      <c r="F383" s="28" t="n">
        <v>4802.71891605019</v>
      </c>
      <c r="G383" s="28" t="n">
        <v>15764.6794913746</v>
      </c>
      <c r="H383" s="28" t="n">
        <v>17125.2050957815</v>
      </c>
      <c r="I383" s="28" t="n">
        <v>14094.5519276743</v>
      </c>
      <c r="J383" s="28" t="n">
        <v>13806.9941782329</v>
      </c>
      <c r="K383" s="28" t="n">
        <v>13737.0837326379</v>
      </c>
      <c r="L383" s="28" t="n">
        <v>13691.697094195</v>
      </c>
      <c r="M383" s="28" t="n">
        <v>13663.2978570345</v>
      </c>
      <c r="N383" s="29" t="n">
        <v>13551.1985702598</v>
      </c>
      <c r="O383" s="25" t="n">
        <v>13392.7525386998</v>
      </c>
      <c r="P383" s="25" t="n">
        <v>13247.8231376671</v>
      </c>
      <c r="Q383" s="25" t="n">
        <v>12945.2223811964</v>
      </c>
      <c r="R383" s="25" t="n">
        <v>12754.9514456571</v>
      </c>
      <c r="S383" s="25" t="n">
        <v>10864.3726641469</v>
      </c>
      <c r="T383" s="25" t="n">
        <v>8944.722903574</v>
      </c>
      <c r="U383" s="25" t="n">
        <v>8672.78725575176</v>
      </c>
      <c r="V383" s="25" t="n">
        <v>8367.28351141799</v>
      </c>
      <c r="W383" s="25" t="n">
        <v>7852.6285227812</v>
      </c>
      <c r="X383" s="25" t="n">
        <v>22763.6734548765</v>
      </c>
    </row>
    <row r="385" customFormat="false" ht="11.25" hidden="false" customHeight="false" outlineLevel="0" collapsed="false">
      <c r="A385" s="30" t="s">
        <v>49</v>
      </c>
    </row>
    <row r="386" customFormat="false" ht="11.25" hidden="false" customHeight="false" outlineLevel="0" collapsed="false">
      <c r="A386" s="34" t="n">
        <v>36287</v>
      </c>
    </row>
    <row r="387" customFormat="false" ht="12.75" hidden="false" customHeight="false" outlineLevel="0" collapsed="false">
      <c r="A387" s="11" t="s">
        <v>3</v>
      </c>
      <c r="B387" s="12" t="n">
        <v>54682.4102240398</v>
      </c>
      <c r="C387" s="6"/>
      <c r="D387" s="6"/>
      <c r="E387" s="6"/>
      <c r="F387" s="6"/>
      <c r="G387" s="6"/>
      <c r="H387" s="6"/>
      <c r="I387" s="6"/>
      <c r="J387" s="6"/>
      <c r="K387" s="6"/>
      <c r="L387" s="6"/>
      <c r="M387" s="6"/>
      <c r="N387" s="6"/>
      <c r="O387" s="6"/>
      <c r="P387" s="6"/>
      <c r="Q387" s="6"/>
      <c r="R387" s="6"/>
      <c r="S387" s="6"/>
      <c r="T387" s="6"/>
      <c r="U387" s="6"/>
      <c r="V387" s="6"/>
      <c r="W387" s="6"/>
      <c r="X387" s="6"/>
    </row>
    <row r="388" customFormat="false" ht="12.75" hidden="false" customHeight="false" outlineLevel="0" collapsed="false">
      <c r="A388" s="13" t="s">
        <v>4</v>
      </c>
      <c r="B388" s="14" t="n">
        <v>87242.3717720793</v>
      </c>
      <c r="C388" s="6"/>
      <c r="D388" s="6"/>
      <c r="E388" s="6"/>
      <c r="F388" s="6"/>
      <c r="G388" s="6"/>
      <c r="H388" s="6"/>
      <c r="I388" s="6"/>
      <c r="J388" s="6"/>
      <c r="K388" s="6"/>
      <c r="L388" s="6"/>
      <c r="M388" s="6"/>
      <c r="N388" s="6"/>
      <c r="O388" s="6"/>
      <c r="P388" s="6"/>
      <c r="Q388" s="6"/>
      <c r="R388" s="6"/>
      <c r="S388" s="6"/>
      <c r="T388" s="6"/>
      <c r="U388" s="6"/>
      <c r="V388" s="6"/>
      <c r="W388" s="6"/>
      <c r="X388" s="6"/>
    </row>
    <row r="389" customFormat="false" ht="12.75" hidden="false" customHeight="false" outlineLevel="0" collapsed="false">
      <c r="A389" s="15" t="s">
        <v>5</v>
      </c>
      <c r="B389" s="16" t="s">
        <v>6</v>
      </c>
      <c r="C389" s="16" t="s">
        <v>7</v>
      </c>
      <c r="D389" s="17" t="n">
        <v>2000</v>
      </c>
      <c r="E389" s="18" t="n">
        <v>2001</v>
      </c>
      <c r="F389" s="18" t="n">
        <v>2002</v>
      </c>
      <c r="G389" s="18" t="n">
        <v>2003</v>
      </c>
      <c r="H389" s="18" t="n">
        <v>2004</v>
      </c>
      <c r="I389" s="18" t="n">
        <v>2005</v>
      </c>
      <c r="J389" s="18" t="n">
        <v>2006</v>
      </c>
      <c r="K389" s="18" t="n">
        <v>2007</v>
      </c>
      <c r="L389" s="18" t="n">
        <v>2008</v>
      </c>
      <c r="M389" s="18" t="n">
        <v>2009</v>
      </c>
      <c r="N389" s="19" t="n">
        <v>2010</v>
      </c>
      <c r="O389" s="20" t="n">
        <v>2011</v>
      </c>
      <c r="P389" s="20" t="n">
        <v>2012</v>
      </c>
      <c r="Q389" s="20" t="n">
        <v>2013</v>
      </c>
      <c r="R389" s="20" t="n">
        <v>2014</v>
      </c>
      <c r="S389" s="20" t="n">
        <v>2015</v>
      </c>
      <c r="T389" s="20" t="n">
        <v>2016</v>
      </c>
      <c r="U389" s="20" t="n">
        <v>2017</v>
      </c>
      <c r="V389" s="20" t="n">
        <v>2018</v>
      </c>
      <c r="W389" s="20" t="n">
        <v>2019</v>
      </c>
      <c r="X389" s="20" t="n">
        <v>2020</v>
      </c>
    </row>
    <row r="390" customFormat="false" ht="12.75" hidden="false" customHeight="false" outlineLevel="0" collapsed="false">
      <c r="A390" s="15" t="s">
        <v>8</v>
      </c>
      <c r="B390" s="21" t="n">
        <f aca="false">NPV(0.1,D390:Y390)</f>
        <v>430142.454743702</v>
      </c>
      <c r="C390" s="21" t="n">
        <f aca="false">B390-B380</f>
        <v>-11169.2377667027</v>
      </c>
      <c r="D390" s="22" t="n">
        <v>25347.0563333333</v>
      </c>
      <c r="E390" s="23" t="n">
        <v>42007.48714</v>
      </c>
      <c r="F390" s="23" t="n">
        <v>42094.5212542</v>
      </c>
      <c r="G390" s="23" t="n">
        <v>47878.5308462517</v>
      </c>
      <c r="H390" s="23" t="n">
        <v>52808.8808849457</v>
      </c>
      <c r="I390" s="23" t="n">
        <v>53906.3529894941</v>
      </c>
      <c r="J390" s="23" t="n">
        <v>54464.9444436815</v>
      </c>
      <c r="K390" s="23" t="n">
        <v>55023.1394970896</v>
      </c>
      <c r="L390" s="23" t="n">
        <v>55580.4116333629</v>
      </c>
      <c r="M390" s="23" t="n">
        <v>56136.2031019252</v>
      </c>
      <c r="N390" s="24" t="n">
        <v>56689.9235177913</v>
      </c>
      <c r="O390" s="25" t="n">
        <v>57240.9484054775</v>
      </c>
      <c r="P390" s="25" t="n">
        <v>57788.617684919</v>
      </c>
      <c r="Q390" s="25" t="n">
        <v>57628.9863009774</v>
      </c>
      <c r="R390" s="25" t="n">
        <v>58146.7163378748</v>
      </c>
      <c r="S390" s="25" t="n">
        <v>58658.2479189751</v>
      </c>
      <c r="T390" s="25" t="n">
        <v>59162.7431798974</v>
      </c>
      <c r="U390" s="25" t="n">
        <v>59659.319563008</v>
      </c>
      <c r="V390" s="25" t="n">
        <v>60147.0478899032</v>
      </c>
      <c r="W390" s="25" t="n">
        <v>59785.2357123307</v>
      </c>
      <c r="X390" s="25" t="n">
        <v>60227.0923761818</v>
      </c>
    </row>
    <row r="391" customFormat="false" ht="12.75" hidden="false" customHeight="false" outlineLevel="0" collapsed="false">
      <c r="A391" s="26" t="s">
        <v>9</v>
      </c>
      <c r="B391" s="21" t="n">
        <f aca="false">NPV(0.1,D391:Y391)</f>
        <v>197628.078907995</v>
      </c>
      <c r="C391" s="21" t="n">
        <f aca="false">B391-B381</f>
        <v>0</v>
      </c>
      <c r="D391" s="22" t="n">
        <v>13588.4922128028</v>
      </c>
      <c r="E391" s="23" t="n">
        <v>21913.0606166078</v>
      </c>
      <c r="F391" s="23" t="n">
        <v>22387.3099349748</v>
      </c>
      <c r="G391" s="23" t="n">
        <v>22920.2715771556</v>
      </c>
      <c r="H391" s="23" t="n">
        <v>23295.0887618998</v>
      </c>
      <c r="I391" s="23" t="n">
        <v>23500.8608192666</v>
      </c>
      <c r="J391" s="23" t="n">
        <v>23705.936011798</v>
      </c>
      <c r="K391" s="23" t="n">
        <v>23878.9686335619</v>
      </c>
      <c r="L391" s="23" t="n">
        <v>24076.8568971495</v>
      </c>
      <c r="M391" s="23" t="n">
        <v>24334.4444935318</v>
      </c>
      <c r="N391" s="24" t="n">
        <v>24598.3415930576</v>
      </c>
      <c r="O391" s="25" t="n">
        <v>24821.4666558914</v>
      </c>
      <c r="P391" s="25" t="n">
        <v>25051.2854706102</v>
      </c>
      <c r="Q391" s="25" t="n">
        <v>25287.9988497705</v>
      </c>
      <c r="R391" s="25" t="n">
        <v>25531.8136303057</v>
      </c>
      <c r="S391" s="25" t="n">
        <v>25782.9428542569</v>
      </c>
      <c r="T391" s="25" t="n">
        <v>26041.6059549267</v>
      </c>
      <c r="U391" s="25" t="n">
        <v>26308.0289486166</v>
      </c>
      <c r="V391" s="25" t="n">
        <v>26582.4446321171</v>
      </c>
      <c r="W391" s="25" t="n">
        <v>26865.0927861227</v>
      </c>
      <c r="X391" s="25" t="n">
        <v>27156.2203847485</v>
      </c>
    </row>
    <row r="392" customFormat="false" ht="12.75" hidden="false" customHeight="false" outlineLevel="0" collapsed="false">
      <c r="A392" s="26" t="s">
        <v>10</v>
      </c>
      <c r="B392" s="21" t="n">
        <f aca="false">NPV(0.1,D392:Y392)</f>
        <v>77738.1632555135</v>
      </c>
      <c r="C392" s="21" t="n">
        <f aca="false">B392-B382</f>
        <v>-4435.74816332005</v>
      </c>
      <c r="D392" s="22" t="n">
        <v>1728.34093247285</v>
      </c>
      <c r="E392" s="23" t="n">
        <v>3090.50098351848</v>
      </c>
      <c r="F392" s="23" t="n">
        <v>3112.45235664389</v>
      </c>
      <c r="G392" s="23" t="n">
        <v>6609.0700351852</v>
      </c>
      <c r="H392" s="23" t="n">
        <v>9359.15174652296</v>
      </c>
      <c r="I392" s="23" t="n">
        <v>10150.743743787</v>
      </c>
      <c r="J392" s="23" t="n">
        <v>10613.0840965083</v>
      </c>
      <c r="K392" s="23" t="n">
        <v>11021.453369906</v>
      </c>
      <c r="L392" s="23" t="n">
        <v>11436.1038373066</v>
      </c>
      <c r="M392" s="23" t="n">
        <v>11837.2477038589</v>
      </c>
      <c r="N392" s="24" t="n">
        <v>12256.9307374789</v>
      </c>
      <c r="O392" s="25" t="n">
        <v>12724.476434838</v>
      </c>
      <c r="P392" s="25" t="n">
        <v>13214.0282542645</v>
      </c>
      <c r="Q392" s="25" t="n">
        <v>13309.3135544464</v>
      </c>
      <c r="R392" s="25" t="n">
        <v>13821.8078925914</v>
      </c>
      <c r="S392" s="25" t="n">
        <v>14359.3987064478</v>
      </c>
      <c r="T392" s="25" t="n">
        <v>14923.8540960259</v>
      </c>
      <c r="U392" s="25" t="n">
        <v>15517.0835450184</v>
      </c>
      <c r="V392" s="25" t="n">
        <v>16141.1494432922</v>
      </c>
      <c r="W392" s="25" t="n">
        <v>16299.4181932171</v>
      </c>
      <c r="X392" s="25" t="n">
        <v>16986.9570693207</v>
      </c>
    </row>
    <row r="393" customFormat="false" ht="12.75" hidden="false" customHeight="false" outlineLevel="0" collapsed="false">
      <c r="A393" s="26" t="s">
        <v>11</v>
      </c>
      <c r="B393" s="21" t="n">
        <f aca="false">NPV(0.1,D393:Y393)</f>
        <v>90591.501535132</v>
      </c>
      <c r="C393" s="21" t="n">
        <f aca="false">B393-B383</f>
        <v>-3832.63232051568</v>
      </c>
      <c r="D393" s="27" t="n">
        <v>2672.15662255215</v>
      </c>
      <c r="E393" s="28" t="n">
        <v>4645.84980398765</v>
      </c>
      <c r="F393" s="28" t="n">
        <v>4802.71891605018</v>
      </c>
      <c r="G393" s="28" t="n">
        <v>15220.6770789106</v>
      </c>
      <c r="H393" s="28" t="n">
        <v>16258.4741801991</v>
      </c>
      <c r="I393" s="28" t="n">
        <v>13537.2541420801</v>
      </c>
      <c r="J393" s="28" t="n">
        <v>13243.4135176168</v>
      </c>
      <c r="K393" s="28" t="n">
        <v>13167.8665954328</v>
      </c>
      <c r="L393" s="28" t="n">
        <v>13117.5760615617</v>
      </c>
      <c r="M393" s="28" t="n">
        <v>13085.0996216051</v>
      </c>
      <c r="N393" s="29" t="n">
        <v>12969.8525302051</v>
      </c>
      <c r="O393" s="25" t="n">
        <v>12809.3001112761</v>
      </c>
      <c r="P393" s="25" t="n">
        <v>12663.4278507599</v>
      </c>
      <c r="Q393" s="25" t="n">
        <v>12361.1808060883</v>
      </c>
      <c r="R393" s="25" t="n">
        <v>12172.7050393347</v>
      </c>
      <c r="S393" s="25" t="n">
        <v>10285.5205949567</v>
      </c>
      <c r="T393" s="25" t="n">
        <v>8371.03593997584</v>
      </c>
      <c r="U393" s="25" t="n">
        <v>8106.22280432679</v>
      </c>
      <c r="V393" s="25" t="n">
        <v>7810.0018972179</v>
      </c>
      <c r="W393" s="25" t="n">
        <v>7307.01061258415</v>
      </c>
      <c r="X393" s="25" t="n">
        <v>21124.9521181018</v>
      </c>
    </row>
    <row r="395" customFormat="false" ht="11.25" hidden="false" customHeight="false" outlineLevel="0" collapsed="false">
      <c r="A395" s="30" t="s">
        <v>50</v>
      </c>
    </row>
    <row r="396" customFormat="false" ht="11.25" hidden="false" customHeight="false" outlineLevel="0" collapsed="false">
      <c r="A396" s="34" t="n">
        <v>36293</v>
      </c>
    </row>
    <row r="397" customFormat="false" ht="12.75" hidden="false" customHeight="false" outlineLevel="0" collapsed="false">
      <c r="A397" s="11" t="s">
        <v>3</v>
      </c>
      <c r="B397" s="12" t="n">
        <v>53237.6506022233</v>
      </c>
      <c r="C397" s="6"/>
      <c r="D397" s="6"/>
      <c r="E397" s="6"/>
      <c r="F397" s="6"/>
      <c r="G397" s="6"/>
      <c r="H397" s="6"/>
      <c r="I397" s="6"/>
      <c r="J397" s="6"/>
      <c r="K397" s="6"/>
      <c r="L397" s="6"/>
      <c r="M397" s="6"/>
      <c r="N397" s="6"/>
      <c r="O397" s="6"/>
      <c r="P397" s="6"/>
      <c r="Q397" s="6"/>
      <c r="R397" s="6"/>
      <c r="S397" s="6"/>
      <c r="T397" s="6"/>
      <c r="U397" s="6"/>
      <c r="V397" s="6"/>
      <c r="W397" s="6"/>
      <c r="X397" s="6"/>
    </row>
    <row r="398" customFormat="false" ht="12.75" hidden="false" customHeight="false" outlineLevel="0" collapsed="false">
      <c r="A398" s="13" t="s">
        <v>4</v>
      </c>
      <c r="B398" s="14" t="n">
        <v>84956.7553334573</v>
      </c>
      <c r="C398" s="6"/>
      <c r="D398" s="6"/>
      <c r="E398" s="6"/>
      <c r="F398" s="6"/>
      <c r="G398" s="6"/>
      <c r="H398" s="6"/>
      <c r="I398" s="6"/>
      <c r="J398" s="6"/>
      <c r="K398" s="6"/>
      <c r="L398" s="6"/>
      <c r="M398" s="6"/>
      <c r="N398" s="6"/>
      <c r="O398" s="6"/>
      <c r="P398" s="6"/>
      <c r="Q398" s="6"/>
      <c r="R398" s="6"/>
      <c r="S398" s="6"/>
      <c r="T398" s="6"/>
      <c r="U398" s="6"/>
      <c r="V398" s="6"/>
      <c r="W398" s="6"/>
      <c r="X398" s="6"/>
    </row>
    <row r="399" customFormat="false" ht="12.75" hidden="false" customHeight="false" outlineLevel="0" collapsed="false">
      <c r="A399" s="15" t="s">
        <v>5</v>
      </c>
      <c r="B399" s="16" t="s">
        <v>6</v>
      </c>
      <c r="C399" s="16" t="s">
        <v>7</v>
      </c>
      <c r="D399" s="17" t="n">
        <v>2000</v>
      </c>
      <c r="E399" s="18" t="n">
        <v>2001</v>
      </c>
      <c r="F399" s="18" t="n">
        <v>2002</v>
      </c>
      <c r="G399" s="18" t="n">
        <v>2003</v>
      </c>
      <c r="H399" s="18" t="n">
        <v>2004</v>
      </c>
      <c r="I399" s="18" t="n">
        <v>2005</v>
      </c>
      <c r="J399" s="18" t="n">
        <v>2006</v>
      </c>
      <c r="K399" s="18" t="n">
        <v>2007</v>
      </c>
      <c r="L399" s="18" t="n">
        <v>2008</v>
      </c>
      <c r="M399" s="18" t="n">
        <v>2009</v>
      </c>
      <c r="N399" s="19" t="n">
        <v>2010</v>
      </c>
      <c r="O399" s="20" t="n">
        <v>2011</v>
      </c>
      <c r="P399" s="20" t="n">
        <v>2012</v>
      </c>
      <c r="Q399" s="20" t="n">
        <v>2013</v>
      </c>
      <c r="R399" s="20" t="n">
        <v>2014</v>
      </c>
      <c r="S399" s="20" t="n">
        <v>2015</v>
      </c>
      <c r="T399" s="20" t="n">
        <v>2016</v>
      </c>
      <c r="U399" s="20" t="n">
        <v>2017</v>
      </c>
      <c r="V399" s="20" t="n">
        <v>2018</v>
      </c>
      <c r="W399" s="20" t="n">
        <v>2019</v>
      </c>
      <c r="X399" s="20" t="n">
        <v>2020</v>
      </c>
    </row>
    <row r="400" customFormat="false" ht="12.75" hidden="false" customHeight="false" outlineLevel="0" collapsed="false">
      <c r="A400" s="15" t="s">
        <v>8</v>
      </c>
      <c r="B400" s="21" t="n">
        <f aca="false">NPV(0.1,D400:Y400)</f>
        <v>421965.696984305</v>
      </c>
      <c r="C400" s="21" t="n">
        <f aca="false">B400-B390</f>
        <v>-8176.75775939785</v>
      </c>
      <c r="D400" s="22" t="n">
        <v>25347.0563333333</v>
      </c>
      <c r="E400" s="23" t="n">
        <v>42007.48714</v>
      </c>
      <c r="F400" s="23" t="n">
        <v>42094.5212542</v>
      </c>
      <c r="G400" s="23" t="n">
        <v>43688.5483624517</v>
      </c>
      <c r="H400" s="23" t="n">
        <v>52808.8808849457</v>
      </c>
      <c r="I400" s="23" t="n">
        <v>53906.3529894941</v>
      </c>
      <c r="J400" s="23" t="n">
        <v>54464.9444436815</v>
      </c>
      <c r="K400" s="23" t="n">
        <v>55023.1394970896</v>
      </c>
      <c r="L400" s="23" t="n">
        <v>55580.4116333629</v>
      </c>
      <c r="M400" s="23" t="n">
        <v>56136.2031019252</v>
      </c>
      <c r="N400" s="24" t="n">
        <v>56689.9235177913</v>
      </c>
      <c r="O400" s="25" t="n">
        <v>57240.9484054775</v>
      </c>
      <c r="P400" s="25" t="n">
        <v>57788.617684919</v>
      </c>
      <c r="Q400" s="25" t="n">
        <v>57628.9863009774</v>
      </c>
      <c r="R400" s="25" t="n">
        <v>58146.7163378748</v>
      </c>
      <c r="S400" s="25" t="n">
        <v>58658.2479189751</v>
      </c>
      <c r="T400" s="25" t="n">
        <v>59162.7431798974</v>
      </c>
      <c r="U400" s="25" t="n">
        <v>59659.319563008</v>
      </c>
      <c r="V400" s="25" t="n">
        <v>60147.0478899032</v>
      </c>
      <c r="W400" s="25" t="n">
        <v>59785.2357123307</v>
      </c>
      <c r="X400" s="25" t="n">
        <v>20895.1831819932</v>
      </c>
    </row>
    <row r="401" customFormat="false" ht="12.75" hidden="false" customHeight="false" outlineLevel="0" collapsed="false">
      <c r="A401" s="26" t="s">
        <v>9</v>
      </c>
      <c r="B401" s="21" t="n">
        <f aca="false">NPV(0.1,D401:Y401)</f>
        <v>192534.305003011</v>
      </c>
      <c r="C401" s="21" t="n">
        <f aca="false">B401-B391</f>
        <v>-5093.77390498435</v>
      </c>
      <c r="D401" s="22" t="n">
        <v>13588.4922128028</v>
      </c>
      <c r="E401" s="23" t="n">
        <v>21913.0606166078</v>
      </c>
      <c r="F401" s="23" t="n">
        <v>22387.3099349748</v>
      </c>
      <c r="G401" s="23" t="n">
        <v>18851.1359504064</v>
      </c>
      <c r="H401" s="23" t="n">
        <v>23295.0887618998</v>
      </c>
      <c r="I401" s="23" t="n">
        <v>23500.8608192666</v>
      </c>
      <c r="J401" s="23" t="n">
        <v>23705.936011798</v>
      </c>
      <c r="K401" s="23" t="n">
        <v>23878.9686335619</v>
      </c>
      <c r="L401" s="23" t="n">
        <v>24076.8568971495</v>
      </c>
      <c r="M401" s="23" t="n">
        <v>24334.4444935318</v>
      </c>
      <c r="N401" s="24" t="n">
        <v>24598.3415930576</v>
      </c>
      <c r="O401" s="25" t="n">
        <v>24821.4666558914</v>
      </c>
      <c r="P401" s="25" t="n">
        <v>25051.2854706102</v>
      </c>
      <c r="Q401" s="25" t="n">
        <v>25287.9988497705</v>
      </c>
      <c r="R401" s="25" t="n">
        <v>25531.8136303057</v>
      </c>
      <c r="S401" s="25" t="n">
        <v>25782.9428542569</v>
      </c>
      <c r="T401" s="25" t="n">
        <v>26041.6059549267</v>
      </c>
      <c r="U401" s="25" t="n">
        <v>26308.0289486166</v>
      </c>
      <c r="V401" s="25" t="n">
        <v>26582.4446321171</v>
      </c>
      <c r="W401" s="25" t="n">
        <v>26865.0927861227</v>
      </c>
      <c r="X401" s="25" t="n">
        <v>10028.3454393343</v>
      </c>
    </row>
    <row r="402" customFormat="false" ht="12.75" hidden="false" customHeight="false" outlineLevel="0" collapsed="false">
      <c r="A402" s="26" t="s">
        <v>10</v>
      </c>
      <c r="B402" s="21" t="n">
        <f aca="false">NPV(0.1,D402:Y402)</f>
        <v>75908.9567778165</v>
      </c>
      <c r="C402" s="21" t="n">
        <f aca="false">B402-B392</f>
        <v>-1829.20647769704</v>
      </c>
      <c r="D402" s="22" t="n">
        <v>1729.1746389036</v>
      </c>
      <c r="E402" s="23" t="n">
        <v>3092.01300008119</v>
      </c>
      <c r="F402" s="23" t="n">
        <v>3114.11274298764</v>
      </c>
      <c r="G402" s="23" t="n">
        <v>6538.99736060735</v>
      </c>
      <c r="H402" s="23" t="n">
        <v>9358.77135649796</v>
      </c>
      <c r="I402" s="23" t="n">
        <v>10150.363353762</v>
      </c>
      <c r="J402" s="23" t="n">
        <v>10612.7037064833</v>
      </c>
      <c r="K402" s="23" t="n">
        <v>11021.072979881</v>
      </c>
      <c r="L402" s="23" t="n">
        <v>11435.7234472816</v>
      </c>
      <c r="M402" s="23" t="n">
        <v>11836.8673138339</v>
      </c>
      <c r="N402" s="24" t="n">
        <v>12256.5503474539</v>
      </c>
      <c r="O402" s="25" t="n">
        <v>12724.096044813</v>
      </c>
      <c r="P402" s="25" t="n">
        <v>13213.6478642395</v>
      </c>
      <c r="Q402" s="25" t="n">
        <v>13308.9331644214</v>
      </c>
      <c r="R402" s="25" t="n">
        <v>13821.4275025664</v>
      </c>
      <c r="S402" s="25" t="n">
        <v>14359.0183164228</v>
      </c>
      <c r="T402" s="25" t="n">
        <v>14923.4737060009</v>
      </c>
      <c r="U402" s="25" t="n">
        <v>15516.7031549934</v>
      </c>
      <c r="V402" s="25" t="n">
        <v>16140.7690532671</v>
      </c>
      <c r="W402" s="25" t="n">
        <v>16299.0378031921</v>
      </c>
      <c r="X402" s="25" t="n">
        <v>3795.50687013392</v>
      </c>
    </row>
    <row r="403" customFormat="false" ht="12.75" hidden="false" customHeight="false" outlineLevel="0" collapsed="false">
      <c r="A403" s="26" t="s">
        <v>11</v>
      </c>
      <c r="B403" s="21" t="n">
        <f aca="false">NPV(0.1,D403:Y403)</f>
        <v>88665.2741050704</v>
      </c>
      <c r="C403" s="21" t="n">
        <f aca="false">B403-B393</f>
        <v>-1926.22743006168</v>
      </c>
      <c r="D403" s="27" t="n">
        <v>2672.15662255215</v>
      </c>
      <c r="E403" s="28" t="n">
        <v>4645.84980398765</v>
      </c>
      <c r="F403" s="28" t="n">
        <v>4802.71891605018</v>
      </c>
      <c r="G403" s="28" t="n">
        <v>15150.718832202</v>
      </c>
      <c r="H403" s="28" t="n">
        <v>16302.1188389027</v>
      </c>
      <c r="I403" s="28" t="n">
        <v>13537.7790549229</v>
      </c>
      <c r="J403" s="28" t="n">
        <v>13243.9113850043</v>
      </c>
      <c r="K403" s="28" t="n">
        <v>13168.3652823796</v>
      </c>
      <c r="L403" s="28" t="n">
        <v>13118.0739289492</v>
      </c>
      <c r="M403" s="28" t="n">
        <v>13085.5983085518</v>
      </c>
      <c r="N403" s="29" t="n">
        <v>12970.3503975926</v>
      </c>
      <c r="O403" s="25" t="n">
        <v>12809.7987982229</v>
      </c>
      <c r="P403" s="25" t="n">
        <v>12663.9257181474</v>
      </c>
      <c r="Q403" s="25" t="n">
        <v>12361.6794930351</v>
      </c>
      <c r="R403" s="25" t="n">
        <v>12173.2029067222</v>
      </c>
      <c r="S403" s="25" t="n">
        <v>10285.7766923655</v>
      </c>
      <c r="T403" s="25" t="n">
        <v>8371.05026740584</v>
      </c>
      <c r="U403" s="25" t="n">
        <v>8106.2371317568</v>
      </c>
      <c r="V403" s="25" t="n">
        <v>7810.0162246479</v>
      </c>
      <c r="W403" s="25" t="n">
        <v>7307.02494001416</v>
      </c>
      <c r="X403" s="25" t="n">
        <v>7008.77942691622</v>
      </c>
    </row>
    <row r="405" customFormat="false" ht="11.25" hidden="false" customHeight="false" outlineLevel="0" collapsed="false">
      <c r="A405" s="30" t="s">
        <v>51</v>
      </c>
    </row>
    <row r="406" customFormat="false" ht="11.25" hidden="false" customHeight="false" outlineLevel="0" collapsed="false">
      <c r="A406" s="34" t="n">
        <v>36298</v>
      </c>
    </row>
    <row r="407" customFormat="false" ht="12.75" hidden="false" customHeight="false" outlineLevel="0" collapsed="false">
      <c r="A407" s="11" t="s">
        <v>3</v>
      </c>
      <c r="B407" s="12" t="n">
        <v>53481.1902768339</v>
      </c>
      <c r="C407" s="6"/>
      <c r="D407" s="6"/>
      <c r="E407" s="6"/>
      <c r="F407" s="6"/>
      <c r="G407" s="6"/>
      <c r="H407" s="6"/>
      <c r="I407" s="6"/>
      <c r="J407" s="6"/>
      <c r="K407" s="6"/>
      <c r="L407" s="6"/>
      <c r="M407" s="6"/>
      <c r="N407" s="6"/>
      <c r="O407" s="6"/>
      <c r="P407" s="6"/>
      <c r="Q407" s="6"/>
      <c r="R407" s="6"/>
      <c r="S407" s="6"/>
      <c r="T407" s="6"/>
      <c r="U407" s="6"/>
      <c r="V407" s="6"/>
      <c r="W407" s="6"/>
      <c r="X407" s="6"/>
    </row>
    <row r="408" customFormat="false" ht="12.75" hidden="false" customHeight="false" outlineLevel="0" collapsed="false">
      <c r="A408" s="13" t="s">
        <v>4</v>
      </c>
      <c r="B408" s="14" t="n">
        <v>85252.6438074096</v>
      </c>
      <c r="C408" s="6"/>
      <c r="D408" s="6"/>
      <c r="E408" s="6"/>
      <c r="F408" s="6"/>
      <c r="G408" s="6"/>
      <c r="H408" s="6"/>
      <c r="I408" s="6"/>
      <c r="J408" s="6"/>
      <c r="K408" s="6"/>
      <c r="L408" s="6"/>
      <c r="M408" s="6"/>
      <c r="N408" s="6"/>
      <c r="O408" s="6"/>
      <c r="P408" s="6"/>
      <c r="Q408" s="6"/>
      <c r="R408" s="6"/>
      <c r="S408" s="6"/>
      <c r="T408" s="6"/>
      <c r="U408" s="6"/>
      <c r="V408" s="6"/>
      <c r="W408" s="6"/>
      <c r="X408" s="6"/>
    </row>
    <row r="409" customFormat="false" ht="12.75" hidden="false" customHeight="false" outlineLevel="0" collapsed="false">
      <c r="A409" s="15" t="s">
        <v>5</v>
      </c>
      <c r="B409" s="16" t="s">
        <v>6</v>
      </c>
      <c r="C409" s="16" t="s">
        <v>7</v>
      </c>
      <c r="D409" s="17" t="n">
        <v>2000</v>
      </c>
      <c r="E409" s="18" t="n">
        <v>2001</v>
      </c>
      <c r="F409" s="18" t="n">
        <v>2002</v>
      </c>
      <c r="G409" s="18" t="n">
        <v>2003</v>
      </c>
      <c r="H409" s="18" t="n">
        <v>2004</v>
      </c>
      <c r="I409" s="18" t="n">
        <v>2005</v>
      </c>
      <c r="J409" s="18" t="n">
        <v>2006</v>
      </c>
      <c r="K409" s="18" t="n">
        <v>2007</v>
      </c>
      <c r="L409" s="18" t="n">
        <v>2008</v>
      </c>
      <c r="M409" s="18" t="n">
        <v>2009</v>
      </c>
      <c r="N409" s="19" t="n">
        <v>2010</v>
      </c>
      <c r="O409" s="20" t="n">
        <v>2011</v>
      </c>
      <c r="P409" s="20" t="n">
        <v>2012</v>
      </c>
      <c r="Q409" s="20" t="n">
        <v>2013</v>
      </c>
      <c r="R409" s="20" t="n">
        <v>2014</v>
      </c>
      <c r="S409" s="20" t="n">
        <v>2015</v>
      </c>
      <c r="T409" s="20" t="n">
        <v>2016</v>
      </c>
      <c r="U409" s="20" t="n">
        <v>2017</v>
      </c>
      <c r="V409" s="20" t="n">
        <v>2018</v>
      </c>
      <c r="W409" s="20" t="n">
        <v>2019</v>
      </c>
      <c r="X409" s="20" t="n">
        <v>2020</v>
      </c>
    </row>
    <row r="410" customFormat="false" ht="12.75" hidden="false" customHeight="false" outlineLevel="0" collapsed="false">
      <c r="A410" s="15" t="s">
        <v>8</v>
      </c>
      <c r="B410" s="21" t="n">
        <f aca="false">NPV(0.1,D410:Y410)</f>
        <v>421965.696984305</v>
      </c>
      <c r="C410" s="21" t="n">
        <f aca="false">B410-B400</f>
        <v>0</v>
      </c>
      <c r="D410" s="22" t="n">
        <v>25347.0563333333</v>
      </c>
      <c r="E410" s="23" t="n">
        <v>42007.48714</v>
      </c>
      <c r="F410" s="23" t="n">
        <v>42094.5212542</v>
      </c>
      <c r="G410" s="23" t="n">
        <v>43688.5483624517</v>
      </c>
      <c r="H410" s="23" t="n">
        <v>52808.8808849457</v>
      </c>
      <c r="I410" s="23" t="n">
        <v>53906.3529894941</v>
      </c>
      <c r="J410" s="23" t="n">
        <v>54464.9444436815</v>
      </c>
      <c r="K410" s="23" t="n">
        <v>55023.1394970896</v>
      </c>
      <c r="L410" s="23" t="n">
        <v>55580.4116333629</v>
      </c>
      <c r="M410" s="23" t="n">
        <v>56136.2031019252</v>
      </c>
      <c r="N410" s="24" t="n">
        <v>56689.9235177913</v>
      </c>
      <c r="O410" s="25" t="n">
        <v>57240.9484054775</v>
      </c>
      <c r="P410" s="25" t="n">
        <v>57788.617684919</v>
      </c>
      <c r="Q410" s="25" t="n">
        <v>57628.9863009774</v>
      </c>
      <c r="R410" s="25" t="n">
        <v>58146.7163378748</v>
      </c>
      <c r="S410" s="25" t="n">
        <v>58658.2479189751</v>
      </c>
      <c r="T410" s="25" t="n">
        <v>59162.7431798974</v>
      </c>
      <c r="U410" s="25" t="n">
        <v>59659.319563008</v>
      </c>
      <c r="V410" s="25" t="n">
        <v>60147.0478899032</v>
      </c>
      <c r="W410" s="25" t="n">
        <v>59785.2357123307</v>
      </c>
      <c r="X410" s="25" t="n">
        <v>20895.1831819932</v>
      </c>
    </row>
    <row r="411" customFormat="false" ht="12.75" hidden="false" customHeight="false" outlineLevel="0" collapsed="false">
      <c r="A411" s="26" t="s">
        <v>9</v>
      </c>
      <c r="B411" s="21" t="n">
        <f aca="false">NPV(0.1,D411:Y411)</f>
        <v>192201.821045914</v>
      </c>
      <c r="C411" s="21" t="n">
        <f aca="false">B411-B401</f>
        <v>-332.483957096702</v>
      </c>
      <c r="D411" s="22" t="n">
        <v>13588.4922128028</v>
      </c>
      <c r="E411" s="23" t="n">
        <v>21903.130907123</v>
      </c>
      <c r="F411" s="23" t="n">
        <v>22417.7328848311</v>
      </c>
      <c r="G411" s="23" t="n">
        <v>18799.7369032772</v>
      </c>
      <c r="H411" s="23" t="n">
        <v>23271.4816425993</v>
      </c>
      <c r="I411" s="23" t="n">
        <v>23524.5586471834</v>
      </c>
      <c r="J411" s="23" t="n">
        <v>23756.294299617</v>
      </c>
      <c r="K411" s="23" t="n">
        <v>23962.2637953165</v>
      </c>
      <c r="L411" s="23" t="n">
        <v>24143.0385923855</v>
      </c>
      <c r="M411" s="23" t="n">
        <v>24255.2434288527</v>
      </c>
      <c r="N411" s="24" t="n">
        <v>24449.395950786</v>
      </c>
      <c r="O411" s="25" t="n">
        <v>24672.5210136198</v>
      </c>
      <c r="P411" s="25" t="n">
        <v>24902.3398283386</v>
      </c>
      <c r="Q411" s="25" t="n">
        <v>25139.0532074989</v>
      </c>
      <c r="R411" s="25" t="n">
        <v>25382.8679880341</v>
      </c>
      <c r="S411" s="25" t="n">
        <v>25633.9972119853</v>
      </c>
      <c r="T411" s="25" t="n">
        <v>25892.6603126551</v>
      </c>
      <c r="U411" s="25" t="n">
        <v>26159.083306345</v>
      </c>
      <c r="V411" s="25" t="n">
        <v>26433.4989898455</v>
      </c>
      <c r="W411" s="25" t="n">
        <v>26716.1471438511</v>
      </c>
      <c r="X411" s="25" t="n">
        <v>9879.3997970627</v>
      </c>
    </row>
    <row r="412" customFormat="false" ht="12.75" hidden="false" customHeight="false" outlineLevel="0" collapsed="false">
      <c r="A412" s="26" t="s">
        <v>10</v>
      </c>
      <c r="B412" s="21" t="n">
        <f aca="false">NPV(0.1,D412:Y412)</f>
        <v>76011.6969576594</v>
      </c>
      <c r="C412" s="21" t="n">
        <f aca="false">B412-B402</f>
        <v>102.740179842891</v>
      </c>
      <c r="D412" s="22" t="n">
        <v>1724.34069030574</v>
      </c>
      <c r="E412" s="23" t="n">
        <v>3089.59251554216</v>
      </c>
      <c r="F412" s="23" t="n">
        <v>3086.02643655503</v>
      </c>
      <c r="G412" s="23" t="n">
        <v>6559.33765896321</v>
      </c>
      <c r="H412" s="23" t="n">
        <v>9362.75036749393</v>
      </c>
      <c r="I412" s="23" t="n">
        <v>10125.8788332504</v>
      </c>
      <c r="J412" s="23" t="n">
        <v>10571.1031919985</v>
      </c>
      <c r="K412" s="23" t="n">
        <v>10958.0249806144</v>
      </c>
      <c r="L412" s="23" t="n">
        <v>11380.1932495064</v>
      </c>
      <c r="M412" s="23" t="n">
        <v>11865.1670996708</v>
      </c>
      <c r="N412" s="24" t="n">
        <v>12326.2711899362</v>
      </c>
      <c r="O412" s="25" t="n">
        <v>12795.1122557693</v>
      </c>
      <c r="P412" s="25" t="n">
        <v>13286.0630731478</v>
      </c>
      <c r="Q412" s="25" t="n">
        <v>13382.8592911178</v>
      </c>
      <c r="R412" s="25" t="n">
        <v>13896.9854204741</v>
      </c>
      <c r="S412" s="25" t="n">
        <v>14436.3385688385</v>
      </c>
      <c r="T412" s="25" t="n">
        <v>15002.6972796853</v>
      </c>
      <c r="U412" s="25" t="n">
        <v>15597.9823156481</v>
      </c>
      <c r="V412" s="25" t="n">
        <v>16224.2682478496</v>
      </c>
      <c r="W412" s="25" t="n">
        <v>16384.9346344166</v>
      </c>
      <c r="X412" s="25" t="n">
        <v>3883.99314893183</v>
      </c>
    </row>
    <row r="413" customFormat="false" ht="12.75" hidden="false" customHeight="false" outlineLevel="0" collapsed="false">
      <c r="A413" s="26" t="s">
        <v>11</v>
      </c>
      <c r="B413" s="21" t="n">
        <f aca="false">NPV(0.1,D413:Y413)</f>
        <v>88759.5663819257</v>
      </c>
      <c r="C413" s="21" t="n">
        <f aca="false">B413-B403</f>
        <v>94.2922768553108</v>
      </c>
      <c r="D413" s="27" t="n">
        <v>2672.15662255215</v>
      </c>
      <c r="E413" s="28" t="n">
        <v>4638.335687291</v>
      </c>
      <c r="F413" s="28" t="n">
        <v>4835.67060778193</v>
      </c>
      <c r="G413" s="28" t="n">
        <v>15099.2001062588</v>
      </c>
      <c r="H413" s="28" t="n">
        <v>16350.5054097522</v>
      </c>
      <c r="I413" s="28" t="n">
        <v>13587.3170370487</v>
      </c>
      <c r="J413" s="28" t="n">
        <v>13268.1830672236</v>
      </c>
      <c r="K413" s="28" t="n">
        <v>13193.4100981267</v>
      </c>
      <c r="L413" s="28" t="n">
        <v>13098.4080597007</v>
      </c>
      <c r="M413" s="28" t="n">
        <v>12969.3685202318</v>
      </c>
      <c r="N413" s="29" t="n">
        <v>12944.1444249025</v>
      </c>
      <c r="O413" s="25" t="n">
        <v>12852.4513423889</v>
      </c>
      <c r="P413" s="25" t="n">
        <v>12705.6213167182</v>
      </c>
      <c r="Q413" s="25" t="n">
        <v>12402.341590363</v>
      </c>
      <c r="R413" s="25" t="n">
        <v>12212.7488227078</v>
      </c>
      <c r="S413" s="25" t="n">
        <v>10324.1171325013</v>
      </c>
      <c r="T413" s="25" t="n">
        <v>8408.08879362403</v>
      </c>
      <c r="U413" s="25" t="n">
        <v>8141.86959094389</v>
      </c>
      <c r="V413" s="25" t="n">
        <v>7844.13013144142</v>
      </c>
      <c r="W413" s="25" t="n">
        <v>7339.4988102226</v>
      </c>
      <c r="X413" s="25" t="n">
        <v>7103.47143280835</v>
      </c>
    </row>
    <row r="415" customFormat="false" ht="11.25" hidden="false" customHeight="false" outlineLevel="0" collapsed="false">
      <c r="A415" s="30" t="s">
        <v>52</v>
      </c>
    </row>
    <row r="416" customFormat="false" ht="11.25" hidden="false" customHeight="false" outlineLevel="0" collapsed="false">
      <c r="A416" s="34" t="n">
        <v>36300</v>
      </c>
    </row>
    <row r="417" customFormat="false" ht="12.75" hidden="false" customHeight="false" outlineLevel="0" collapsed="false">
      <c r="A417" s="11" t="s">
        <v>3</v>
      </c>
      <c r="B417" s="12" t="n">
        <v>53752.4495676566</v>
      </c>
      <c r="C417" s="6"/>
      <c r="D417" s="6"/>
      <c r="E417" s="6"/>
      <c r="F417" s="6"/>
      <c r="G417" s="6"/>
      <c r="H417" s="6"/>
      <c r="I417" s="6"/>
      <c r="J417" s="6"/>
      <c r="K417" s="6"/>
      <c r="L417" s="6"/>
      <c r="M417" s="6"/>
      <c r="N417" s="6"/>
      <c r="O417" s="6"/>
      <c r="P417" s="6"/>
      <c r="Q417" s="6"/>
      <c r="R417" s="6"/>
      <c r="S417" s="6"/>
      <c r="T417" s="6"/>
      <c r="U417" s="6"/>
      <c r="V417" s="6"/>
      <c r="W417" s="6"/>
      <c r="X417" s="6"/>
    </row>
    <row r="418" customFormat="false" ht="12.75" hidden="false" customHeight="false" outlineLevel="0" collapsed="false">
      <c r="A418" s="13" t="s">
        <v>4</v>
      </c>
      <c r="B418" s="14" t="n">
        <v>85604.5636392157</v>
      </c>
      <c r="C418" s="6"/>
      <c r="D418" s="6"/>
      <c r="E418" s="6"/>
      <c r="F418" s="6"/>
      <c r="G418" s="6"/>
      <c r="H418" s="6"/>
      <c r="I418" s="6"/>
      <c r="J418" s="6"/>
      <c r="K418" s="6"/>
      <c r="L418" s="6"/>
      <c r="M418" s="6"/>
      <c r="N418" s="6"/>
      <c r="O418" s="6"/>
      <c r="P418" s="6"/>
      <c r="Q418" s="6"/>
      <c r="R418" s="6"/>
      <c r="S418" s="6"/>
      <c r="T418" s="6"/>
      <c r="U418" s="6"/>
      <c r="V418" s="6"/>
      <c r="W418" s="6"/>
      <c r="X418" s="6"/>
    </row>
    <row r="419" customFormat="false" ht="12.75" hidden="false" customHeight="false" outlineLevel="0" collapsed="false">
      <c r="A419" s="15" t="s">
        <v>5</v>
      </c>
      <c r="B419" s="16" t="s">
        <v>6</v>
      </c>
      <c r="C419" s="16" t="s">
        <v>7</v>
      </c>
      <c r="D419" s="17" t="n">
        <v>2000</v>
      </c>
      <c r="E419" s="18" t="n">
        <v>2001</v>
      </c>
      <c r="F419" s="18" t="n">
        <v>2002</v>
      </c>
      <c r="G419" s="18" t="n">
        <v>2003</v>
      </c>
      <c r="H419" s="18" t="n">
        <v>2004</v>
      </c>
      <c r="I419" s="18" t="n">
        <v>2005</v>
      </c>
      <c r="J419" s="18" t="n">
        <v>2006</v>
      </c>
      <c r="K419" s="18" t="n">
        <v>2007</v>
      </c>
      <c r="L419" s="18" t="n">
        <v>2008</v>
      </c>
      <c r="M419" s="18" t="n">
        <v>2009</v>
      </c>
      <c r="N419" s="19" t="n">
        <v>2010</v>
      </c>
      <c r="O419" s="20" t="n">
        <v>2011</v>
      </c>
      <c r="P419" s="20" t="n">
        <v>2012</v>
      </c>
      <c r="Q419" s="20" t="n">
        <v>2013</v>
      </c>
      <c r="R419" s="20" t="n">
        <v>2014</v>
      </c>
      <c r="S419" s="20" t="n">
        <v>2015</v>
      </c>
      <c r="T419" s="20" t="n">
        <v>2016</v>
      </c>
      <c r="U419" s="20" t="n">
        <v>2017</v>
      </c>
      <c r="V419" s="20" t="n">
        <v>2018</v>
      </c>
      <c r="W419" s="20" t="n">
        <v>2019</v>
      </c>
      <c r="X419" s="20" t="n">
        <v>2020</v>
      </c>
    </row>
    <row r="420" customFormat="false" ht="12.75" hidden="false" customHeight="false" outlineLevel="0" collapsed="false">
      <c r="A420" s="15" t="s">
        <v>8</v>
      </c>
      <c r="B420" s="21" t="n">
        <f aca="false">NPV(0.1,D420:Y420)</f>
        <v>421965.696984305</v>
      </c>
      <c r="C420" s="21" t="n">
        <f aca="false">B420-B410</f>
        <v>0</v>
      </c>
      <c r="D420" s="22" t="n">
        <v>25347.0563333333</v>
      </c>
      <c r="E420" s="23" t="n">
        <v>42007.48714</v>
      </c>
      <c r="F420" s="23" t="n">
        <v>42094.5212542</v>
      </c>
      <c r="G420" s="23" t="n">
        <v>43688.5483624517</v>
      </c>
      <c r="H420" s="23" t="n">
        <v>52808.8808849457</v>
      </c>
      <c r="I420" s="23" t="n">
        <v>53906.3529894941</v>
      </c>
      <c r="J420" s="23" t="n">
        <v>54464.9444436815</v>
      </c>
      <c r="K420" s="23" t="n">
        <v>55023.1394970896</v>
      </c>
      <c r="L420" s="23" t="n">
        <v>55580.4116333629</v>
      </c>
      <c r="M420" s="23" t="n">
        <v>56136.2031019252</v>
      </c>
      <c r="N420" s="24" t="n">
        <v>56689.9235177913</v>
      </c>
      <c r="O420" s="25" t="n">
        <v>57240.9484054775</v>
      </c>
      <c r="P420" s="25" t="n">
        <v>57788.617684919</v>
      </c>
      <c r="Q420" s="25" t="n">
        <v>57628.9863009774</v>
      </c>
      <c r="R420" s="25" t="n">
        <v>58146.7163378748</v>
      </c>
      <c r="S420" s="25" t="n">
        <v>58658.2479189751</v>
      </c>
      <c r="T420" s="25" t="n">
        <v>59162.7431798974</v>
      </c>
      <c r="U420" s="25" t="n">
        <v>59659.319563008</v>
      </c>
      <c r="V420" s="25" t="n">
        <v>60147.0478899032</v>
      </c>
      <c r="W420" s="25" t="n">
        <v>59785.2357123307</v>
      </c>
      <c r="X420" s="25" t="n">
        <v>20895.1831819932</v>
      </c>
    </row>
    <row r="421" customFormat="false" ht="12.75" hidden="false" customHeight="false" outlineLevel="0" collapsed="false">
      <c r="A421" s="26" t="s">
        <v>9</v>
      </c>
      <c r="B421" s="21" t="n">
        <f aca="false">NPV(0.1,D421:Y421)</f>
        <v>191860.360115128</v>
      </c>
      <c r="C421" s="21" t="n">
        <f aca="false">B421-B411</f>
        <v>-341.460930786212</v>
      </c>
      <c r="D421" s="22" t="n">
        <v>13588.4922128028</v>
      </c>
      <c r="E421" s="23" t="n">
        <v>21903.130907123</v>
      </c>
      <c r="F421" s="23" t="n">
        <v>22417.7328848311</v>
      </c>
      <c r="G421" s="23" t="n">
        <v>18771.4103179131</v>
      </c>
      <c r="H421" s="23" t="n">
        <v>23221.4649861563</v>
      </c>
      <c r="I421" s="23" t="n">
        <v>23473.0414910471</v>
      </c>
      <c r="J421" s="23" t="n">
        <v>23703.2316287966</v>
      </c>
      <c r="K421" s="23" t="n">
        <v>23907.6092443716</v>
      </c>
      <c r="L421" s="23" t="n">
        <v>24086.7444049122</v>
      </c>
      <c r="M421" s="23" t="n">
        <v>24197.2604157552</v>
      </c>
      <c r="N421" s="24" t="n">
        <v>24389.6734472955</v>
      </c>
      <c r="O421" s="25" t="n">
        <v>24611.0068350246</v>
      </c>
      <c r="P421" s="25" t="n">
        <v>24838.9802243856</v>
      </c>
      <c r="Q421" s="25" t="n">
        <v>25073.7928154273</v>
      </c>
      <c r="R421" s="25" t="n">
        <v>25315.6497842004</v>
      </c>
      <c r="S421" s="25" t="n">
        <v>25564.7624620366</v>
      </c>
      <c r="T421" s="25" t="n">
        <v>25821.3485202079</v>
      </c>
      <c r="U421" s="25" t="n">
        <v>26085.6321601243</v>
      </c>
      <c r="V421" s="25" t="n">
        <v>26357.8443092383</v>
      </c>
      <c r="W421" s="25" t="n">
        <v>26638.2228228256</v>
      </c>
      <c r="X421" s="25" t="n">
        <v>9845.95727595594</v>
      </c>
    </row>
    <row r="422" customFormat="false" ht="12.75" hidden="false" customHeight="false" outlineLevel="0" collapsed="false">
      <c r="A422" s="26" t="s">
        <v>10</v>
      </c>
      <c r="B422" s="21" t="n">
        <f aca="false">NPV(0.1,D422:Y422)</f>
        <v>76146.0586429076</v>
      </c>
      <c r="C422" s="21" t="n">
        <f aca="false">B422-B412</f>
        <v>134.361685248223</v>
      </c>
      <c r="D422" s="22" t="n">
        <v>1719.38856185919</v>
      </c>
      <c r="E422" s="23" t="n">
        <v>3080.71936253632</v>
      </c>
      <c r="F422" s="23" t="n">
        <v>3076.46561419124</v>
      </c>
      <c r="G422" s="23" t="n">
        <v>6566.42850871967</v>
      </c>
      <c r="H422" s="23" t="n">
        <v>9382.47980697731</v>
      </c>
      <c r="I422" s="23" t="n">
        <v>10146.6400349297</v>
      </c>
      <c r="J422" s="23" t="n">
        <v>10592.9622990605</v>
      </c>
      <c r="K422" s="23" t="n">
        <v>10981.0529357672</v>
      </c>
      <c r="L422" s="23" t="n">
        <v>11404.466164183</v>
      </c>
      <c r="M422" s="23" t="n">
        <v>11890.7666523265</v>
      </c>
      <c r="N422" s="24" t="n">
        <v>12353.2850557534</v>
      </c>
      <c r="O422" s="25" t="n">
        <v>12823.6345702695</v>
      </c>
      <c r="P422" s="25" t="n">
        <v>13316.1949324081</v>
      </c>
      <c r="Q422" s="25" t="n">
        <v>13414.709291507</v>
      </c>
      <c r="R422" s="25" t="n">
        <v>13930.6702410541</v>
      </c>
      <c r="S422" s="25" t="n">
        <v>14471.9835998294</v>
      </c>
      <c r="T422" s="25" t="n">
        <v>15040.4373006629</v>
      </c>
      <c r="U422" s="25" t="n">
        <v>15637.9622274366</v>
      </c>
      <c r="V422" s="25" t="n">
        <v>16266.6438623879</v>
      </c>
      <c r="W422" s="25" t="n">
        <v>16429.8735272188</v>
      </c>
      <c r="X422" s="25" t="n">
        <v>3903.86082818196</v>
      </c>
    </row>
    <row r="423" customFormat="false" ht="12.75" hidden="false" customHeight="false" outlineLevel="0" collapsed="false">
      <c r="A423" s="26" t="s">
        <v>11</v>
      </c>
      <c r="B423" s="21" t="n">
        <f aca="false">NPV(0.1,D423:Y423)</f>
        <v>88874.8846484179</v>
      </c>
      <c r="C423" s="21" t="n">
        <f aca="false">B423-B413</f>
        <v>115.318266492264</v>
      </c>
      <c r="D423" s="27" t="n">
        <v>2672.15662255215</v>
      </c>
      <c r="E423" s="28" t="n">
        <v>4638.335687291</v>
      </c>
      <c r="F423" s="28" t="n">
        <v>4835.67060778193</v>
      </c>
      <c r="G423" s="28" t="n">
        <v>15116.1392511847</v>
      </c>
      <c r="H423" s="28" t="n">
        <v>16377.4936735069</v>
      </c>
      <c r="I423" s="28" t="n">
        <v>13604.6701732495</v>
      </c>
      <c r="J423" s="28" t="n">
        <v>13285.7318395615</v>
      </c>
      <c r="K423" s="28" t="n">
        <v>13211.1343790499</v>
      </c>
      <c r="L423" s="28" t="n">
        <v>13116.2850380999</v>
      </c>
      <c r="M423" s="28" t="n">
        <v>12987.3724545553</v>
      </c>
      <c r="N423" s="29" t="n">
        <v>12962.2463755537</v>
      </c>
      <c r="O423" s="25" t="n">
        <v>12870.6188817216</v>
      </c>
      <c r="P423" s="25" t="n">
        <v>12723.8182148056</v>
      </c>
      <c r="Q423" s="25" t="n">
        <v>12420.5274745738</v>
      </c>
      <c r="R423" s="25" t="n">
        <v>12230.8788089602</v>
      </c>
      <c r="S423" s="25" t="n">
        <v>10342.1414258978</v>
      </c>
      <c r="T423" s="25" t="n">
        <v>8425.95225598344</v>
      </c>
      <c r="U423" s="25" t="n">
        <v>8159.51127254797</v>
      </c>
      <c r="V423" s="25" t="n">
        <v>7861.48276409741</v>
      </c>
      <c r="W423" s="25" t="n">
        <v>7356.48825851038</v>
      </c>
      <c r="X423" s="25" t="n">
        <v>7124.73247379882</v>
      </c>
    </row>
    <row r="425" customFormat="false" ht="11.25" hidden="false" customHeight="false" outlineLevel="0" collapsed="false">
      <c r="A425" s="30" t="s">
        <v>53</v>
      </c>
    </row>
    <row r="426" customFormat="false" ht="11.25" hidden="false" customHeight="false" outlineLevel="0" collapsed="false">
      <c r="A426" s="34" t="n">
        <v>36306</v>
      </c>
    </row>
    <row r="427" customFormat="false" ht="12.75" hidden="false" customHeight="false" outlineLevel="0" collapsed="false">
      <c r="A427" s="11" t="s">
        <v>3</v>
      </c>
      <c r="B427" s="12" t="n">
        <v>53751.834352865</v>
      </c>
      <c r="C427" s="6"/>
      <c r="D427" s="6"/>
      <c r="E427" s="6"/>
      <c r="F427" s="6"/>
      <c r="G427" s="6"/>
      <c r="H427" s="6"/>
      <c r="I427" s="6"/>
      <c r="J427" s="6"/>
      <c r="K427" s="6"/>
      <c r="L427" s="6"/>
      <c r="M427" s="6"/>
      <c r="N427" s="6"/>
      <c r="O427" s="6"/>
      <c r="P427" s="6"/>
      <c r="Q427" s="6"/>
      <c r="R427" s="6"/>
      <c r="S427" s="6"/>
      <c r="T427" s="6"/>
      <c r="U427" s="6"/>
      <c r="V427" s="6"/>
      <c r="W427" s="6"/>
      <c r="X427" s="6"/>
    </row>
    <row r="428" customFormat="false" ht="12.75" hidden="false" customHeight="false" outlineLevel="0" collapsed="false">
      <c r="A428" s="13" t="s">
        <v>4</v>
      </c>
      <c r="B428" s="14" t="n">
        <v>85603.8256392157</v>
      </c>
      <c r="C428" s="6"/>
      <c r="D428" s="6"/>
      <c r="E428" s="6"/>
      <c r="F428" s="6"/>
      <c r="G428" s="6"/>
      <c r="H428" s="6"/>
      <c r="I428" s="6"/>
      <c r="J428" s="6"/>
      <c r="K428" s="6"/>
      <c r="L428" s="6"/>
      <c r="M428" s="6"/>
      <c r="N428" s="6"/>
      <c r="O428" s="6"/>
      <c r="P428" s="6"/>
      <c r="Q428" s="6"/>
      <c r="R428" s="6"/>
      <c r="S428" s="6"/>
      <c r="T428" s="6"/>
      <c r="U428" s="6"/>
      <c r="V428" s="6"/>
      <c r="W428" s="6"/>
      <c r="X428" s="6"/>
    </row>
    <row r="429" customFormat="false" ht="12.75" hidden="false" customHeight="false" outlineLevel="0" collapsed="false">
      <c r="A429" s="15" t="s">
        <v>5</v>
      </c>
      <c r="B429" s="16" t="s">
        <v>6</v>
      </c>
      <c r="C429" s="16" t="s">
        <v>7</v>
      </c>
      <c r="D429" s="17" t="n">
        <v>2000</v>
      </c>
      <c r="E429" s="18" t="n">
        <v>2001</v>
      </c>
      <c r="F429" s="18" t="n">
        <v>2002</v>
      </c>
      <c r="G429" s="18" t="n">
        <v>2003</v>
      </c>
      <c r="H429" s="18" t="n">
        <v>2004</v>
      </c>
      <c r="I429" s="18" t="n">
        <v>2005</v>
      </c>
      <c r="J429" s="18" t="n">
        <v>2006</v>
      </c>
      <c r="K429" s="18" t="n">
        <v>2007</v>
      </c>
      <c r="L429" s="18" t="n">
        <v>2008</v>
      </c>
      <c r="M429" s="18" t="n">
        <v>2009</v>
      </c>
      <c r="N429" s="19" t="n">
        <v>2010</v>
      </c>
      <c r="O429" s="20" t="n">
        <v>2011</v>
      </c>
      <c r="P429" s="20" t="n">
        <v>2012</v>
      </c>
      <c r="Q429" s="20" t="n">
        <v>2013</v>
      </c>
      <c r="R429" s="20" t="n">
        <v>2014</v>
      </c>
      <c r="S429" s="20" t="n">
        <v>2015</v>
      </c>
      <c r="T429" s="20" t="n">
        <v>2016</v>
      </c>
      <c r="U429" s="20" t="n">
        <v>2017</v>
      </c>
      <c r="V429" s="20" t="n">
        <v>2018</v>
      </c>
      <c r="W429" s="20" t="n">
        <v>2019</v>
      </c>
      <c r="X429" s="20" t="n">
        <v>2020</v>
      </c>
    </row>
    <row r="430" customFormat="false" ht="12.75" hidden="false" customHeight="false" outlineLevel="0" collapsed="false">
      <c r="A430" s="15" t="s">
        <v>8</v>
      </c>
      <c r="B430" s="21" t="n">
        <f aca="false">NPV(0.1,D430:Y430)</f>
        <v>421965.696984305</v>
      </c>
      <c r="C430" s="21" t="n">
        <f aca="false">B430-B420</f>
        <v>0</v>
      </c>
      <c r="D430" s="22" t="n">
        <v>25347.0563333333</v>
      </c>
      <c r="E430" s="23" t="n">
        <v>42007.48714</v>
      </c>
      <c r="F430" s="23" t="n">
        <v>42094.5212542</v>
      </c>
      <c r="G430" s="23" t="n">
        <v>43688.5483624517</v>
      </c>
      <c r="H430" s="23" t="n">
        <v>52808.8808849457</v>
      </c>
      <c r="I430" s="23" t="n">
        <v>53906.3529894941</v>
      </c>
      <c r="J430" s="23" t="n">
        <v>54464.9444436815</v>
      </c>
      <c r="K430" s="23" t="n">
        <v>55023.1394970896</v>
      </c>
      <c r="L430" s="23" t="n">
        <v>55580.4116333629</v>
      </c>
      <c r="M430" s="23" t="n">
        <v>56136.2031019252</v>
      </c>
      <c r="N430" s="24" t="n">
        <v>56689.9235177913</v>
      </c>
      <c r="O430" s="25" t="n">
        <v>57240.9484054775</v>
      </c>
      <c r="P430" s="25" t="n">
        <v>57788.617684919</v>
      </c>
      <c r="Q430" s="25" t="n">
        <v>57628.9863009774</v>
      </c>
      <c r="R430" s="25" t="n">
        <v>58146.7163378748</v>
      </c>
      <c r="S430" s="25" t="n">
        <v>58658.2479189751</v>
      </c>
      <c r="T430" s="25" t="n">
        <v>59162.7431798974</v>
      </c>
      <c r="U430" s="25" t="n">
        <v>59659.319563008</v>
      </c>
      <c r="V430" s="25" t="n">
        <v>60147.0478899032</v>
      </c>
      <c r="W430" s="25" t="n">
        <v>59785.2357123307</v>
      </c>
      <c r="X430" s="25" t="n">
        <v>20895.1831819932</v>
      </c>
    </row>
    <row r="431" customFormat="false" ht="12.75" hidden="false" customHeight="false" outlineLevel="0" collapsed="false">
      <c r="A431" s="26" t="s">
        <v>9</v>
      </c>
      <c r="B431" s="21" t="n">
        <f aca="false">NPV(0.1,D431:Y431)</f>
        <v>191860.360115128</v>
      </c>
      <c r="C431" s="21" t="n">
        <f aca="false">B431-B421</f>
        <v>0</v>
      </c>
      <c r="D431" s="22" t="n">
        <v>13588.4922128028</v>
      </c>
      <c r="E431" s="23" t="n">
        <v>21903.130907123</v>
      </c>
      <c r="F431" s="23" t="n">
        <v>22417.7328848311</v>
      </c>
      <c r="G431" s="23" t="n">
        <v>18771.4103179131</v>
      </c>
      <c r="H431" s="23" t="n">
        <v>23221.4649861563</v>
      </c>
      <c r="I431" s="23" t="n">
        <v>23473.0414910471</v>
      </c>
      <c r="J431" s="23" t="n">
        <v>23703.2316287966</v>
      </c>
      <c r="K431" s="23" t="n">
        <v>23907.6092443716</v>
      </c>
      <c r="L431" s="23" t="n">
        <v>24086.7444049122</v>
      </c>
      <c r="M431" s="23" t="n">
        <v>24197.2604157552</v>
      </c>
      <c r="N431" s="24" t="n">
        <v>24389.6734472955</v>
      </c>
      <c r="O431" s="25" t="n">
        <v>24611.0068350246</v>
      </c>
      <c r="P431" s="25" t="n">
        <v>24838.9802243856</v>
      </c>
      <c r="Q431" s="25" t="n">
        <v>25073.7928154273</v>
      </c>
      <c r="R431" s="25" t="n">
        <v>25315.6497842004</v>
      </c>
      <c r="S431" s="25" t="n">
        <v>25564.7624620366</v>
      </c>
      <c r="T431" s="25" t="n">
        <v>25821.3485202079</v>
      </c>
      <c r="U431" s="25" t="n">
        <v>26085.6321601243</v>
      </c>
      <c r="V431" s="25" t="n">
        <v>26357.8443092383</v>
      </c>
      <c r="W431" s="25" t="n">
        <v>26638.2228228256</v>
      </c>
      <c r="X431" s="25" t="n">
        <v>9845.95727595594</v>
      </c>
    </row>
    <row r="432" customFormat="false" ht="12.75" hidden="false" customHeight="false" outlineLevel="0" collapsed="false">
      <c r="A432" s="26" t="s">
        <v>10</v>
      </c>
      <c r="B432" s="21" t="n">
        <f aca="false">NPV(0.1,D432:Y432)</f>
        <v>76145.9496246229</v>
      </c>
      <c r="C432" s="21" t="n">
        <f aca="false">B432-B422</f>
        <v>-0.109018284725607</v>
      </c>
      <c r="D432" s="22" t="n">
        <v>1719.38054487294</v>
      </c>
      <c r="E432" s="23" t="n">
        <v>3080.70561913132</v>
      </c>
      <c r="F432" s="23" t="n">
        <v>3076.45187078625</v>
      </c>
      <c r="G432" s="23" t="n">
        <v>6566.41551807467</v>
      </c>
      <c r="H432" s="23" t="n">
        <v>9382.46681633231</v>
      </c>
      <c r="I432" s="23" t="n">
        <v>10146.6270442847</v>
      </c>
      <c r="J432" s="23" t="n">
        <v>10592.9493084155</v>
      </c>
      <c r="K432" s="23" t="n">
        <v>10981.0399451222</v>
      </c>
      <c r="L432" s="23" t="n">
        <v>11404.453173538</v>
      </c>
      <c r="M432" s="23" t="n">
        <v>11890.7536616815</v>
      </c>
      <c r="N432" s="24" t="n">
        <v>12353.2720651084</v>
      </c>
      <c r="O432" s="25" t="n">
        <v>12823.6215796245</v>
      </c>
      <c r="P432" s="25" t="n">
        <v>13316.1819417631</v>
      </c>
      <c r="Q432" s="25" t="n">
        <v>13414.696300862</v>
      </c>
      <c r="R432" s="25" t="n">
        <v>13930.6572504091</v>
      </c>
      <c r="S432" s="25" t="n">
        <v>14471.9706091844</v>
      </c>
      <c r="T432" s="25" t="n">
        <v>15040.4243100179</v>
      </c>
      <c r="U432" s="25" t="n">
        <v>15637.9492367916</v>
      </c>
      <c r="V432" s="25" t="n">
        <v>16266.6308717429</v>
      </c>
      <c r="W432" s="25" t="n">
        <v>16429.8605365738</v>
      </c>
      <c r="X432" s="25" t="n">
        <v>3903.84783753697</v>
      </c>
    </row>
    <row r="433" customFormat="false" ht="12.75" hidden="false" customHeight="false" outlineLevel="0" collapsed="false">
      <c r="A433" s="26" t="s">
        <v>11</v>
      </c>
      <c r="B433" s="21" t="n">
        <f aca="false">NPV(0.1,D433:Y433)</f>
        <v>88875.0185243315</v>
      </c>
      <c r="C433" s="21" t="n">
        <f aca="false">B433-B423</f>
        <v>0.133875913539669</v>
      </c>
      <c r="D433" s="27" t="n">
        <v>2672.15662255215</v>
      </c>
      <c r="E433" s="28" t="n">
        <v>4638.335687291</v>
      </c>
      <c r="F433" s="28" t="n">
        <v>4835.67060778193</v>
      </c>
      <c r="G433" s="28" t="n">
        <v>15116.1400039447</v>
      </c>
      <c r="H433" s="28" t="n">
        <v>16377.5993605681</v>
      </c>
      <c r="I433" s="28" t="n">
        <v>13604.6880994725</v>
      </c>
      <c r="J433" s="28" t="n">
        <v>13285.748842159</v>
      </c>
      <c r="K433" s="28" t="n">
        <v>13211.1514096361</v>
      </c>
      <c r="L433" s="28" t="n">
        <v>13116.3020406974</v>
      </c>
      <c r="M433" s="28" t="n">
        <v>12987.3894851414</v>
      </c>
      <c r="N433" s="29" t="n">
        <v>12962.2633781512</v>
      </c>
      <c r="O433" s="25" t="n">
        <v>12870.6359123077</v>
      </c>
      <c r="P433" s="25" t="n">
        <v>12723.8352174031</v>
      </c>
      <c r="Q433" s="25" t="n">
        <v>12420.54450516</v>
      </c>
      <c r="R433" s="25" t="n">
        <v>12230.8958115577</v>
      </c>
      <c r="S433" s="25" t="n">
        <v>10342.1501718436</v>
      </c>
      <c r="T433" s="25" t="n">
        <v>8425.95274527744</v>
      </c>
      <c r="U433" s="25" t="n">
        <v>8159.51176184197</v>
      </c>
      <c r="V433" s="25" t="n">
        <v>7861.48325339141</v>
      </c>
      <c r="W433" s="25" t="n">
        <v>7356.48874780438</v>
      </c>
      <c r="X433" s="25" t="n">
        <v>7124.73296309282</v>
      </c>
    </row>
    <row r="435" customFormat="false" ht="11.25" hidden="false" customHeight="false" outlineLevel="0" collapsed="false">
      <c r="A435" s="30" t="s">
        <v>54</v>
      </c>
    </row>
    <row r="436" customFormat="false" ht="11.25" hidden="false" customHeight="false" outlineLevel="0" collapsed="false">
      <c r="A436" s="34" t="n">
        <v>36314</v>
      </c>
    </row>
    <row r="437" customFormat="false" ht="12.75" hidden="false" customHeight="false" outlineLevel="0" collapsed="false">
      <c r="A437" s="11" t="s">
        <v>3</v>
      </c>
      <c r="B437" s="12" t="n">
        <v>53623.758804161</v>
      </c>
      <c r="C437" s="6"/>
      <c r="D437" s="6"/>
      <c r="E437" s="6"/>
      <c r="F437" s="6"/>
      <c r="G437" s="6"/>
      <c r="H437" s="6"/>
      <c r="I437" s="6"/>
      <c r="J437" s="6"/>
      <c r="K437" s="6"/>
      <c r="L437" s="6"/>
      <c r="M437" s="6"/>
      <c r="N437" s="6"/>
      <c r="O437" s="6"/>
      <c r="P437" s="6"/>
      <c r="Q437" s="6"/>
      <c r="R437" s="6"/>
      <c r="S437" s="6"/>
      <c r="T437" s="6"/>
      <c r="U437" s="6"/>
      <c r="V437" s="6"/>
      <c r="W437" s="6"/>
      <c r="X437" s="6"/>
    </row>
    <row r="438" customFormat="false" ht="12.75" hidden="false" customHeight="false" outlineLevel="0" collapsed="false">
      <c r="A438" s="13" t="s">
        <v>4</v>
      </c>
      <c r="B438" s="14" t="n">
        <v>85450.1886392158</v>
      </c>
      <c r="C438" s="6"/>
      <c r="D438" s="6"/>
      <c r="E438" s="6"/>
      <c r="F438" s="6"/>
      <c r="G438" s="6"/>
      <c r="H438" s="6"/>
      <c r="I438" s="6"/>
      <c r="J438" s="6"/>
      <c r="K438" s="6"/>
      <c r="L438" s="6"/>
      <c r="M438" s="6"/>
      <c r="N438" s="6"/>
      <c r="O438" s="6"/>
      <c r="P438" s="6"/>
      <c r="Q438" s="6"/>
      <c r="R438" s="6"/>
      <c r="S438" s="6"/>
      <c r="T438" s="6"/>
      <c r="U438" s="6"/>
      <c r="V438" s="6"/>
      <c r="W438" s="6"/>
      <c r="X438" s="6"/>
    </row>
    <row r="439" customFormat="false" ht="12.75" hidden="false" customHeight="false" outlineLevel="0" collapsed="false">
      <c r="A439" s="15" t="s">
        <v>5</v>
      </c>
      <c r="B439" s="16" t="s">
        <v>6</v>
      </c>
      <c r="C439" s="16" t="s">
        <v>7</v>
      </c>
      <c r="D439" s="17" t="n">
        <v>2000</v>
      </c>
      <c r="E439" s="18" t="n">
        <v>2001</v>
      </c>
      <c r="F439" s="18" t="n">
        <v>2002</v>
      </c>
      <c r="G439" s="18" t="n">
        <v>2003</v>
      </c>
      <c r="H439" s="18" t="n">
        <v>2004</v>
      </c>
      <c r="I439" s="18" t="n">
        <v>2005</v>
      </c>
      <c r="J439" s="18" t="n">
        <v>2006</v>
      </c>
      <c r="K439" s="18" t="n">
        <v>2007</v>
      </c>
      <c r="L439" s="18" t="n">
        <v>2008</v>
      </c>
      <c r="M439" s="18" t="n">
        <v>2009</v>
      </c>
      <c r="N439" s="19" t="n">
        <v>2010</v>
      </c>
      <c r="O439" s="20" t="n">
        <v>2011</v>
      </c>
      <c r="P439" s="20" t="n">
        <v>2012</v>
      </c>
      <c r="Q439" s="20" t="n">
        <v>2013</v>
      </c>
      <c r="R439" s="20" t="n">
        <v>2014</v>
      </c>
      <c r="S439" s="20" t="n">
        <v>2015</v>
      </c>
      <c r="T439" s="20" t="n">
        <v>2016</v>
      </c>
      <c r="U439" s="20" t="n">
        <v>2017</v>
      </c>
      <c r="V439" s="20" t="n">
        <v>2018</v>
      </c>
      <c r="W439" s="20" t="n">
        <v>2019</v>
      </c>
      <c r="X439" s="20" t="n">
        <v>2020</v>
      </c>
    </row>
    <row r="440" customFormat="false" ht="12.75" hidden="false" customHeight="false" outlineLevel="0" collapsed="false">
      <c r="A440" s="15" t="s">
        <v>8</v>
      </c>
      <c r="B440" s="21" t="n">
        <f aca="false">NPV(0.1,D440:Y440)</f>
        <v>421965.696984305</v>
      </c>
      <c r="C440" s="21" t="n">
        <f aca="false">B440-B430</f>
        <v>0</v>
      </c>
      <c r="D440" s="22" t="n">
        <v>25347.0563333333</v>
      </c>
      <c r="E440" s="23" t="n">
        <v>42007.48714</v>
      </c>
      <c r="F440" s="23" t="n">
        <v>42094.5212542</v>
      </c>
      <c r="G440" s="23" t="n">
        <v>43688.5483624517</v>
      </c>
      <c r="H440" s="23" t="n">
        <v>52808.8808849457</v>
      </c>
      <c r="I440" s="23" t="n">
        <v>53906.3529894941</v>
      </c>
      <c r="J440" s="23" t="n">
        <v>54464.9444436815</v>
      </c>
      <c r="K440" s="23" t="n">
        <v>55023.1394970896</v>
      </c>
      <c r="L440" s="23" t="n">
        <v>55580.4116333629</v>
      </c>
      <c r="M440" s="23" t="n">
        <v>56136.2031019252</v>
      </c>
      <c r="N440" s="24" t="n">
        <v>56689.9235177913</v>
      </c>
      <c r="O440" s="25" t="n">
        <v>57240.9484054775</v>
      </c>
      <c r="P440" s="25" t="n">
        <v>57788.617684919</v>
      </c>
      <c r="Q440" s="25" t="n">
        <v>57628.9863009774</v>
      </c>
      <c r="R440" s="25" t="n">
        <v>58146.7163378748</v>
      </c>
      <c r="S440" s="25" t="n">
        <v>58658.2479189751</v>
      </c>
      <c r="T440" s="25" t="n">
        <v>59162.7431798974</v>
      </c>
      <c r="U440" s="25" t="n">
        <v>59659.319563008</v>
      </c>
      <c r="V440" s="25" t="n">
        <v>60147.0478899032</v>
      </c>
      <c r="W440" s="25" t="n">
        <v>59785.2357123307</v>
      </c>
      <c r="X440" s="25" t="n">
        <v>20895.1831819932</v>
      </c>
    </row>
    <row r="441" customFormat="false" ht="12.75" hidden="false" customHeight="false" outlineLevel="0" collapsed="false">
      <c r="A441" s="26" t="s">
        <v>9</v>
      </c>
      <c r="B441" s="21" t="n">
        <f aca="false">NPV(0.1,D441:Y441)</f>
        <v>191860.360115128</v>
      </c>
      <c r="C441" s="21" t="n">
        <f aca="false">B441-B431</f>
        <v>0</v>
      </c>
      <c r="D441" s="22" t="n">
        <v>13588.4922128028</v>
      </c>
      <c r="E441" s="23" t="n">
        <v>21903.130907123</v>
      </c>
      <c r="F441" s="23" t="n">
        <v>22417.7328848311</v>
      </c>
      <c r="G441" s="23" t="n">
        <v>18771.4103179131</v>
      </c>
      <c r="H441" s="23" t="n">
        <v>23221.4649861563</v>
      </c>
      <c r="I441" s="23" t="n">
        <v>23473.0414910471</v>
      </c>
      <c r="J441" s="23" t="n">
        <v>23703.2316287966</v>
      </c>
      <c r="K441" s="23" t="n">
        <v>23907.6092443716</v>
      </c>
      <c r="L441" s="23" t="n">
        <v>24086.7444049122</v>
      </c>
      <c r="M441" s="23" t="n">
        <v>24197.2604157552</v>
      </c>
      <c r="N441" s="24" t="n">
        <v>24389.6734472955</v>
      </c>
      <c r="O441" s="25" t="n">
        <v>24611.0068350246</v>
      </c>
      <c r="P441" s="25" t="n">
        <v>24838.9802243856</v>
      </c>
      <c r="Q441" s="25" t="n">
        <v>25073.7928154273</v>
      </c>
      <c r="R441" s="25" t="n">
        <v>25315.6497842004</v>
      </c>
      <c r="S441" s="25" t="n">
        <v>25564.7624620366</v>
      </c>
      <c r="T441" s="25" t="n">
        <v>25821.3485202079</v>
      </c>
      <c r="U441" s="25" t="n">
        <v>26085.6321601243</v>
      </c>
      <c r="V441" s="25" t="n">
        <v>26357.8443092383</v>
      </c>
      <c r="W441" s="25" t="n">
        <v>26638.2228228256</v>
      </c>
      <c r="X441" s="25" t="n">
        <v>9845.95727595594</v>
      </c>
    </row>
    <row r="442" customFormat="false" ht="12.75" hidden="false" customHeight="false" outlineLevel="0" collapsed="false">
      <c r="A442" s="26" t="s">
        <v>10</v>
      </c>
      <c r="B442" s="21" t="n">
        <f aca="false">NPV(0.1,D442:Y442)</f>
        <v>76123.2541744742</v>
      </c>
      <c r="C442" s="21" t="n">
        <f aca="false">B442-B432</f>
        <v>-22.6954501486907</v>
      </c>
      <c r="D442" s="22" t="n">
        <v>1717.71156693732</v>
      </c>
      <c r="E442" s="23" t="n">
        <v>3077.84451409882</v>
      </c>
      <c r="F442" s="23" t="n">
        <v>3073.59076575374</v>
      </c>
      <c r="G442" s="23" t="n">
        <v>6563.71112278217</v>
      </c>
      <c r="H442" s="23" t="n">
        <v>9379.76242103981</v>
      </c>
      <c r="I442" s="23" t="n">
        <v>10143.9226489922</v>
      </c>
      <c r="J442" s="23" t="n">
        <v>10590.244913123</v>
      </c>
      <c r="K442" s="23" t="n">
        <v>10978.3355498297</v>
      </c>
      <c r="L442" s="23" t="n">
        <v>11401.7487782455</v>
      </c>
      <c r="M442" s="23" t="n">
        <v>11888.049266389</v>
      </c>
      <c r="N442" s="24" t="n">
        <v>12350.5676698159</v>
      </c>
      <c r="O442" s="25" t="n">
        <v>12820.917184332</v>
      </c>
      <c r="P442" s="25" t="n">
        <v>13313.4775464706</v>
      </c>
      <c r="Q442" s="25" t="n">
        <v>13411.9919055695</v>
      </c>
      <c r="R442" s="25" t="n">
        <v>13927.9528551166</v>
      </c>
      <c r="S442" s="25" t="n">
        <v>14469.2662138919</v>
      </c>
      <c r="T442" s="25" t="n">
        <v>15037.7199147254</v>
      </c>
      <c r="U442" s="25" t="n">
        <v>15635.2448414991</v>
      </c>
      <c r="V442" s="25" t="n">
        <v>16263.9264764504</v>
      </c>
      <c r="W442" s="25" t="n">
        <v>16427.1561412813</v>
      </c>
      <c r="X442" s="25" t="n">
        <v>3901.14344224446</v>
      </c>
    </row>
    <row r="443" customFormat="false" ht="12.75" hidden="false" customHeight="false" outlineLevel="0" collapsed="false">
      <c r="A443" s="26" t="s">
        <v>11</v>
      </c>
      <c r="B443" s="21" t="n">
        <f aca="false">NPV(0.1,D443:Y443)</f>
        <v>88902.888841037</v>
      </c>
      <c r="C443" s="21" t="n">
        <f aca="false">B443-B433</f>
        <v>27.8703167055646</v>
      </c>
      <c r="D443" s="27" t="n">
        <v>2672.15662255215</v>
      </c>
      <c r="E443" s="28" t="n">
        <v>4638.335687291</v>
      </c>
      <c r="F443" s="28" t="n">
        <v>4835.67060778193</v>
      </c>
      <c r="G443" s="28" t="n">
        <v>15116.2967136847</v>
      </c>
      <c r="H443" s="28" t="n">
        <v>16399.6013158819</v>
      </c>
      <c r="I443" s="28" t="n">
        <v>13608.4199844527</v>
      </c>
      <c r="J443" s="28" t="n">
        <v>13289.2884465928</v>
      </c>
      <c r="K443" s="28" t="n">
        <v>13214.696840753</v>
      </c>
      <c r="L443" s="28" t="n">
        <v>13119.8416451312</v>
      </c>
      <c r="M443" s="28" t="n">
        <v>12990.9349162584</v>
      </c>
      <c r="N443" s="29" t="n">
        <v>12965.8029825849</v>
      </c>
      <c r="O443" s="25" t="n">
        <v>12874.1813434247</v>
      </c>
      <c r="P443" s="25" t="n">
        <v>12727.3748218368</v>
      </c>
      <c r="Q443" s="25" t="n">
        <v>12424.0899362769</v>
      </c>
      <c r="R443" s="25" t="n">
        <v>12234.4354159915</v>
      </c>
      <c r="S443" s="25" t="n">
        <v>10343.970904726</v>
      </c>
      <c r="T443" s="25" t="n">
        <v>8426.05460660844</v>
      </c>
      <c r="U443" s="25" t="n">
        <v>8159.61362317297</v>
      </c>
      <c r="V443" s="25" t="n">
        <v>7861.58511472241</v>
      </c>
      <c r="W443" s="25" t="n">
        <v>7356.59060913538</v>
      </c>
      <c r="X443" s="25" t="n">
        <v>7124.83482442382</v>
      </c>
    </row>
    <row r="445" customFormat="false" ht="11.25" hidden="false" customHeight="false" outlineLevel="0" collapsed="false">
      <c r="A445" s="30" t="s">
        <v>55</v>
      </c>
    </row>
    <row r="446" customFormat="false" ht="11.25" hidden="false" customHeight="false" outlineLevel="0" collapsed="false">
      <c r="A446" s="34" t="n">
        <v>36314</v>
      </c>
    </row>
    <row r="447" customFormat="false" ht="12.75" hidden="false" customHeight="false" outlineLevel="0" collapsed="false">
      <c r="A447" s="11" t="s">
        <v>3</v>
      </c>
      <c r="B447" s="12" t="n">
        <v>53670.0646139651</v>
      </c>
      <c r="C447" s="6"/>
      <c r="D447" s="6"/>
      <c r="E447" s="6"/>
      <c r="F447" s="6"/>
      <c r="G447" s="6"/>
      <c r="H447" s="6"/>
      <c r="I447" s="6"/>
      <c r="J447" s="6"/>
      <c r="K447" s="6"/>
      <c r="L447" s="6"/>
      <c r="M447" s="6"/>
      <c r="N447" s="6"/>
      <c r="O447" s="6"/>
      <c r="P447" s="6"/>
      <c r="Q447" s="6"/>
      <c r="R447" s="6"/>
      <c r="S447" s="6"/>
      <c r="T447" s="6"/>
      <c r="U447" s="6"/>
      <c r="V447" s="6"/>
      <c r="W447" s="6"/>
      <c r="X447" s="6"/>
    </row>
    <row r="448" customFormat="false" ht="12.75" hidden="false" customHeight="false" outlineLevel="0" collapsed="false">
      <c r="A448" s="13" t="s">
        <v>4</v>
      </c>
      <c r="B448" s="14" t="n">
        <v>85523.935748316</v>
      </c>
      <c r="C448" s="6"/>
      <c r="D448" s="6"/>
      <c r="E448" s="6"/>
      <c r="F448" s="6"/>
      <c r="G448" s="6"/>
      <c r="H448" s="6"/>
      <c r="I448" s="6"/>
      <c r="J448" s="6"/>
      <c r="K448" s="6"/>
      <c r="L448" s="6"/>
      <c r="M448" s="6"/>
      <c r="N448" s="6"/>
      <c r="O448" s="6"/>
      <c r="P448" s="6"/>
      <c r="Q448" s="6"/>
      <c r="R448" s="6"/>
      <c r="S448" s="6"/>
      <c r="T448" s="6"/>
      <c r="U448" s="6"/>
      <c r="V448" s="6"/>
      <c r="W448" s="6"/>
      <c r="X448" s="6"/>
    </row>
    <row r="449" customFormat="false" ht="12.75" hidden="false" customHeight="false" outlineLevel="0" collapsed="false">
      <c r="A449" s="15" t="s">
        <v>5</v>
      </c>
      <c r="B449" s="16" t="s">
        <v>6</v>
      </c>
      <c r="C449" s="16" t="s">
        <v>7</v>
      </c>
      <c r="D449" s="17" t="n">
        <v>2000</v>
      </c>
      <c r="E449" s="18" t="n">
        <v>2001</v>
      </c>
      <c r="F449" s="18" t="n">
        <v>2002</v>
      </c>
      <c r="G449" s="18" t="n">
        <v>2003</v>
      </c>
      <c r="H449" s="18" t="n">
        <v>2004</v>
      </c>
      <c r="I449" s="18" t="n">
        <v>2005</v>
      </c>
      <c r="J449" s="18" t="n">
        <v>2006</v>
      </c>
      <c r="K449" s="18" t="n">
        <v>2007</v>
      </c>
      <c r="L449" s="18" t="n">
        <v>2008</v>
      </c>
      <c r="M449" s="18" t="n">
        <v>2009</v>
      </c>
      <c r="N449" s="19" t="n">
        <v>2010</v>
      </c>
      <c r="O449" s="20" t="n">
        <v>2011</v>
      </c>
      <c r="P449" s="20" t="n">
        <v>2012</v>
      </c>
      <c r="Q449" s="20" t="n">
        <v>2013</v>
      </c>
      <c r="R449" s="20" t="n">
        <v>2014</v>
      </c>
      <c r="S449" s="20" t="n">
        <v>2015</v>
      </c>
      <c r="T449" s="20" t="n">
        <v>2016</v>
      </c>
      <c r="U449" s="20" t="n">
        <v>2017</v>
      </c>
      <c r="V449" s="20" t="n">
        <v>2018</v>
      </c>
      <c r="W449" s="20" t="n">
        <v>2019</v>
      </c>
      <c r="X449" s="20" t="n">
        <v>2020</v>
      </c>
    </row>
    <row r="450" customFormat="false" ht="12.75" hidden="false" customHeight="false" outlineLevel="0" collapsed="false">
      <c r="A450" s="15" t="s">
        <v>8</v>
      </c>
      <c r="B450" s="21" t="n">
        <f aca="false">NPV(0.1,D450:Y450)</f>
        <v>422067.289099694</v>
      </c>
      <c r="C450" s="21" t="n">
        <f aca="false">B450-B440</f>
        <v>101.5921153893</v>
      </c>
      <c r="D450" s="22" t="n">
        <v>25347.0563333333</v>
      </c>
      <c r="E450" s="23" t="n">
        <v>42007.48714</v>
      </c>
      <c r="F450" s="23" t="n">
        <v>42094.5212542</v>
      </c>
      <c r="G450" s="23" t="n">
        <v>43688.5483624517</v>
      </c>
      <c r="H450" s="23" t="n">
        <v>52808.8808849457</v>
      </c>
      <c r="I450" s="23" t="n">
        <v>53906.3529894941</v>
      </c>
      <c r="J450" s="23" t="n">
        <v>54464.9444436815</v>
      </c>
      <c r="K450" s="23" t="n">
        <v>55023.1394970896</v>
      </c>
      <c r="L450" s="23" t="n">
        <v>55580.4116333629</v>
      </c>
      <c r="M450" s="23" t="n">
        <v>56136.2031019252</v>
      </c>
      <c r="N450" s="24" t="n">
        <v>56689.9235177913</v>
      </c>
      <c r="O450" s="25" t="n">
        <v>57240.9484054775</v>
      </c>
      <c r="P450" s="25" t="n">
        <v>57788.617684919</v>
      </c>
      <c r="Q450" s="25" t="n">
        <v>57628.9863009774</v>
      </c>
      <c r="R450" s="25" t="n">
        <v>58146.7163378748</v>
      </c>
      <c r="S450" s="25" t="n">
        <v>58658.2479189751</v>
      </c>
      <c r="T450" s="25" t="n">
        <v>59162.7431798974</v>
      </c>
      <c r="U450" s="25" t="n">
        <v>59659.319563008</v>
      </c>
      <c r="V450" s="25" t="n">
        <v>60147.0478899032</v>
      </c>
      <c r="W450" s="25" t="n">
        <v>59785.2357123307</v>
      </c>
      <c r="X450" s="25" t="n">
        <v>21646.9902282401</v>
      </c>
    </row>
    <row r="451" customFormat="false" ht="12.75" hidden="false" customHeight="false" outlineLevel="0" collapsed="false">
      <c r="A451" s="26" t="s">
        <v>9</v>
      </c>
      <c r="B451" s="21" t="n">
        <f aca="false">NPV(0.1,D451:Y451)</f>
        <v>191860.360115128</v>
      </c>
      <c r="C451" s="21" t="n">
        <f aca="false">B451-B441</f>
        <v>0</v>
      </c>
      <c r="D451" s="22" t="n">
        <v>13588.4922128028</v>
      </c>
      <c r="E451" s="23" t="n">
        <v>21903.130907123</v>
      </c>
      <c r="F451" s="23" t="n">
        <v>22417.7328848311</v>
      </c>
      <c r="G451" s="23" t="n">
        <v>18771.4103179131</v>
      </c>
      <c r="H451" s="23" t="n">
        <v>23221.4649861563</v>
      </c>
      <c r="I451" s="23" t="n">
        <v>23473.0414910471</v>
      </c>
      <c r="J451" s="23" t="n">
        <v>23703.2316287966</v>
      </c>
      <c r="K451" s="23" t="n">
        <v>23907.6092443716</v>
      </c>
      <c r="L451" s="23" t="n">
        <v>24086.7444049122</v>
      </c>
      <c r="M451" s="23" t="n">
        <v>24197.2604157552</v>
      </c>
      <c r="N451" s="24" t="n">
        <v>24389.6734472955</v>
      </c>
      <c r="O451" s="25" t="n">
        <v>24611.0068350246</v>
      </c>
      <c r="P451" s="25" t="n">
        <v>24838.9802243856</v>
      </c>
      <c r="Q451" s="25" t="n">
        <v>25073.7928154273</v>
      </c>
      <c r="R451" s="25" t="n">
        <v>25315.6497842004</v>
      </c>
      <c r="S451" s="25" t="n">
        <v>25564.7624620366</v>
      </c>
      <c r="T451" s="25" t="n">
        <v>25821.3485202079</v>
      </c>
      <c r="U451" s="25" t="n">
        <v>26085.6321601243</v>
      </c>
      <c r="V451" s="25" t="n">
        <v>26357.8443092383</v>
      </c>
      <c r="W451" s="25" t="n">
        <v>26638.2228228256</v>
      </c>
      <c r="X451" s="25" t="n">
        <v>9845.95727595594</v>
      </c>
    </row>
    <row r="452" customFormat="false" ht="12.75" hidden="false" customHeight="false" outlineLevel="0" collapsed="false">
      <c r="A452" s="26" t="s">
        <v>10</v>
      </c>
      <c r="B452" s="21" t="n">
        <f aca="false">NPV(0.1,D452:Y452)</f>
        <v>76183.6084628502</v>
      </c>
      <c r="C452" s="21" t="n">
        <f aca="false">B452-B442</f>
        <v>60.3542883759947</v>
      </c>
      <c r="D452" s="22" t="n">
        <v>1717.71156693732</v>
      </c>
      <c r="E452" s="23" t="n">
        <v>3077.84451409882</v>
      </c>
      <c r="F452" s="23" t="n">
        <v>3073.59076575374</v>
      </c>
      <c r="G452" s="23" t="n">
        <v>6563.71112278217</v>
      </c>
      <c r="H452" s="23" t="n">
        <v>9379.76242103981</v>
      </c>
      <c r="I452" s="23" t="n">
        <v>10143.9226489922</v>
      </c>
      <c r="J452" s="23" t="n">
        <v>10590.244913123</v>
      </c>
      <c r="K452" s="23" t="n">
        <v>10978.3355498297</v>
      </c>
      <c r="L452" s="23" t="n">
        <v>11401.7487782455</v>
      </c>
      <c r="M452" s="23" t="n">
        <v>11888.049266389</v>
      </c>
      <c r="N452" s="24" t="n">
        <v>12350.5676698159</v>
      </c>
      <c r="O452" s="25" t="n">
        <v>12820.917184332</v>
      </c>
      <c r="P452" s="25" t="n">
        <v>13313.4775464706</v>
      </c>
      <c r="Q452" s="25" t="n">
        <v>13411.9919055695</v>
      </c>
      <c r="R452" s="25" t="n">
        <v>13927.9528551166</v>
      </c>
      <c r="S452" s="25" t="n">
        <v>14469.2662138919</v>
      </c>
      <c r="T452" s="25" t="n">
        <v>15037.7199147254</v>
      </c>
      <c r="U452" s="25" t="n">
        <v>15635.2448414991</v>
      </c>
      <c r="V452" s="25" t="n">
        <v>16263.9264764504</v>
      </c>
      <c r="W452" s="25" t="n">
        <v>16427.1561412813</v>
      </c>
      <c r="X452" s="25" t="n">
        <v>4347.78026143463</v>
      </c>
    </row>
    <row r="453" customFormat="false" ht="12.75" hidden="false" customHeight="false" outlineLevel="0" collapsed="false">
      <c r="A453" s="26" t="s">
        <v>11</v>
      </c>
      <c r="B453" s="21" t="n">
        <f aca="false">NPV(0.1,D453:Y453)</f>
        <v>88967.4759014056</v>
      </c>
      <c r="C453" s="21" t="n">
        <f aca="false">B453-B443</f>
        <v>64.5870603686053</v>
      </c>
      <c r="D453" s="27" t="n">
        <v>2672.15662255215</v>
      </c>
      <c r="E453" s="28" t="n">
        <v>4638.335687291</v>
      </c>
      <c r="F453" s="28" t="n">
        <v>4835.67060778193</v>
      </c>
      <c r="G453" s="28" t="n">
        <v>15116.2967136847</v>
      </c>
      <c r="H453" s="28" t="n">
        <v>16399.6013158819</v>
      </c>
      <c r="I453" s="28" t="n">
        <v>13608.4199844527</v>
      </c>
      <c r="J453" s="28" t="n">
        <v>13289.2884465928</v>
      </c>
      <c r="K453" s="28" t="n">
        <v>13214.696840753</v>
      </c>
      <c r="L453" s="28" t="n">
        <v>13119.8416451312</v>
      </c>
      <c r="M453" s="28" t="n">
        <v>12990.9349162584</v>
      </c>
      <c r="N453" s="29" t="n">
        <v>12965.8029825849</v>
      </c>
      <c r="O453" s="25" t="n">
        <v>12874.1813434247</v>
      </c>
      <c r="P453" s="25" t="n">
        <v>12727.3748218368</v>
      </c>
      <c r="Q453" s="25" t="n">
        <v>12424.0899362769</v>
      </c>
      <c r="R453" s="25" t="n">
        <v>12234.4354159915</v>
      </c>
      <c r="S453" s="25" t="n">
        <v>10343.970904726</v>
      </c>
      <c r="T453" s="25" t="n">
        <v>8426.05460660844</v>
      </c>
      <c r="U453" s="25" t="n">
        <v>8159.61362317297</v>
      </c>
      <c r="V453" s="25" t="n">
        <v>7861.58511472241</v>
      </c>
      <c r="W453" s="25" t="n">
        <v>7356.59060913538</v>
      </c>
      <c r="X453" s="25" t="n">
        <v>7602.79521431645</v>
      </c>
    </row>
    <row r="455" customFormat="false" ht="11.25" hidden="false" customHeight="false" outlineLevel="0" collapsed="false">
      <c r="A455" s="30" t="s">
        <v>56</v>
      </c>
    </row>
    <row r="456" customFormat="false" ht="11.25" hidden="false" customHeight="false" outlineLevel="0" collapsed="false">
      <c r="A456" s="34" t="n">
        <v>36314</v>
      </c>
    </row>
    <row r="457" customFormat="false" ht="12.75" hidden="false" customHeight="false" outlineLevel="0" collapsed="false">
      <c r="A457" s="11" t="s">
        <v>3</v>
      </c>
      <c r="B457" s="12" t="n">
        <v>53665.250718451</v>
      </c>
      <c r="C457" s="6"/>
      <c r="D457" s="6"/>
      <c r="E457" s="6"/>
      <c r="F457" s="6"/>
      <c r="G457" s="6"/>
      <c r="H457" s="6"/>
      <c r="I457" s="6"/>
      <c r="J457" s="6"/>
      <c r="K457" s="6"/>
      <c r="L457" s="6"/>
      <c r="M457" s="6"/>
      <c r="N457" s="6"/>
      <c r="O457" s="6"/>
      <c r="P457" s="6"/>
      <c r="Q457" s="6"/>
      <c r="R457" s="6"/>
      <c r="S457" s="6"/>
      <c r="T457" s="6"/>
      <c r="U457" s="6"/>
      <c r="V457" s="6"/>
      <c r="W457" s="6"/>
      <c r="X457" s="6"/>
    </row>
    <row r="458" customFormat="false" ht="12.75" hidden="false" customHeight="false" outlineLevel="0" collapsed="false">
      <c r="A458" s="13" t="s">
        <v>4</v>
      </c>
      <c r="B458" s="14" t="n">
        <v>85523.935748316</v>
      </c>
      <c r="C458" s="6"/>
      <c r="D458" s="6"/>
      <c r="E458" s="6"/>
      <c r="F458" s="6"/>
      <c r="G458" s="6"/>
      <c r="H458" s="6"/>
      <c r="I458" s="6"/>
      <c r="J458" s="6"/>
      <c r="K458" s="6"/>
      <c r="L458" s="6"/>
      <c r="M458" s="6"/>
      <c r="N458" s="6"/>
      <c r="O458" s="6"/>
      <c r="P458" s="6"/>
      <c r="Q458" s="6"/>
      <c r="R458" s="6"/>
      <c r="S458" s="6"/>
      <c r="T458" s="6"/>
      <c r="U458" s="6"/>
      <c r="V458" s="6"/>
      <c r="W458" s="6"/>
      <c r="X458" s="6"/>
    </row>
    <row r="459" customFormat="false" ht="12.75" hidden="false" customHeight="false" outlineLevel="0" collapsed="false">
      <c r="A459" s="15" t="s">
        <v>5</v>
      </c>
      <c r="B459" s="16" t="s">
        <v>6</v>
      </c>
      <c r="C459" s="16" t="s">
        <v>7</v>
      </c>
      <c r="D459" s="17" t="n">
        <v>2000</v>
      </c>
      <c r="E459" s="18" t="n">
        <v>2001</v>
      </c>
      <c r="F459" s="18" t="n">
        <v>2002</v>
      </c>
      <c r="G459" s="18" t="n">
        <v>2003</v>
      </c>
      <c r="H459" s="18" t="n">
        <v>2004</v>
      </c>
      <c r="I459" s="18" t="n">
        <v>2005</v>
      </c>
      <c r="J459" s="18" t="n">
        <v>2006</v>
      </c>
      <c r="K459" s="18" t="n">
        <v>2007</v>
      </c>
      <c r="L459" s="18" t="n">
        <v>2008</v>
      </c>
      <c r="M459" s="18" t="n">
        <v>2009</v>
      </c>
      <c r="N459" s="19" t="n">
        <v>2010</v>
      </c>
      <c r="O459" s="20" t="n">
        <v>2011</v>
      </c>
      <c r="P459" s="20" t="n">
        <v>2012</v>
      </c>
      <c r="Q459" s="20" t="n">
        <v>2013</v>
      </c>
      <c r="R459" s="20" t="n">
        <v>2014</v>
      </c>
      <c r="S459" s="20" t="n">
        <v>2015</v>
      </c>
      <c r="T459" s="20" t="n">
        <v>2016</v>
      </c>
      <c r="U459" s="20" t="n">
        <v>2017</v>
      </c>
      <c r="V459" s="20" t="n">
        <v>2018</v>
      </c>
      <c r="W459" s="20" t="n">
        <v>2019</v>
      </c>
      <c r="X459" s="20" t="n">
        <v>2020</v>
      </c>
    </row>
    <row r="460" customFormat="false" ht="12.75" hidden="false" customHeight="false" outlineLevel="0" collapsed="false">
      <c r="A460" s="15" t="s">
        <v>8</v>
      </c>
      <c r="B460" s="21" t="n">
        <f aca="false">NPV(0.1,D460:Y460)</f>
        <v>423899.601472119</v>
      </c>
      <c r="C460" s="21" t="n">
        <f aca="false">B460-B450</f>
        <v>1832.31237242551</v>
      </c>
      <c r="D460" s="22" t="n">
        <v>25558.9163333333</v>
      </c>
      <c r="E460" s="23" t="n">
        <v>42219.34714</v>
      </c>
      <c r="F460" s="23" t="n">
        <v>42306.3812542</v>
      </c>
      <c r="G460" s="23" t="n">
        <v>43900.4083624517</v>
      </c>
      <c r="H460" s="23" t="n">
        <v>53020.7408849457</v>
      </c>
      <c r="I460" s="23" t="n">
        <v>54118.2129894941</v>
      </c>
      <c r="J460" s="23" t="n">
        <v>54676.8044436815</v>
      </c>
      <c r="K460" s="23" t="n">
        <v>55234.9994970896</v>
      </c>
      <c r="L460" s="23" t="n">
        <v>55792.2716333629</v>
      </c>
      <c r="M460" s="23" t="n">
        <v>56348.0631019252</v>
      </c>
      <c r="N460" s="24" t="n">
        <v>56901.7835177913</v>
      </c>
      <c r="O460" s="25" t="n">
        <v>57452.8084054775</v>
      </c>
      <c r="P460" s="25" t="n">
        <v>58000.477684919</v>
      </c>
      <c r="Q460" s="25" t="n">
        <v>57840.8463009774</v>
      </c>
      <c r="R460" s="25" t="n">
        <v>58358.5763378748</v>
      </c>
      <c r="S460" s="25" t="n">
        <v>58870.1079189751</v>
      </c>
      <c r="T460" s="25" t="n">
        <v>59374.6031798974</v>
      </c>
      <c r="U460" s="25" t="n">
        <v>59871.179563008</v>
      </c>
      <c r="V460" s="25" t="n">
        <v>60358.9078899032</v>
      </c>
      <c r="W460" s="25" t="n">
        <v>59997.0957123307</v>
      </c>
      <c r="X460" s="25" t="n">
        <v>21858.8502282401</v>
      </c>
    </row>
    <row r="461" customFormat="false" ht="12.75" hidden="false" customHeight="false" outlineLevel="0" collapsed="false">
      <c r="A461" s="26" t="s">
        <v>9</v>
      </c>
      <c r="B461" s="21" t="n">
        <f aca="false">NPV(0.1,D461:Y461)</f>
        <v>193692.672487553</v>
      </c>
      <c r="C461" s="21" t="n">
        <f aca="false">B461-B451</f>
        <v>1832.31237242548</v>
      </c>
      <c r="D461" s="22" t="n">
        <v>13800.3522128028</v>
      </c>
      <c r="E461" s="23" t="n">
        <v>22114.990907123</v>
      </c>
      <c r="F461" s="23" t="n">
        <v>22629.5928848311</v>
      </c>
      <c r="G461" s="23" t="n">
        <v>18983.2703179131</v>
      </c>
      <c r="H461" s="23" t="n">
        <v>23433.3249861563</v>
      </c>
      <c r="I461" s="23" t="n">
        <v>23684.9014910471</v>
      </c>
      <c r="J461" s="23" t="n">
        <v>23915.0916287966</v>
      </c>
      <c r="K461" s="23" t="n">
        <v>24119.4692443716</v>
      </c>
      <c r="L461" s="23" t="n">
        <v>24298.6044049122</v>
      </c>
      <c r="M461" s="23" t="n">
        <v>24409.1204157552</v>
      </c>
      <c r="N461" s="24" t="n">
        <v>24601.5334472955</v>
      </c>
      <c r="O461" s="25" t="n">
        <v>24822.8668350246</v>
      </c>
      <c r="P461" s="25" t="n">
        <v>25050.8402243856</v>
      </c>
      <c r="Q461" s="25" t="n">
        <v>25285.6528154273</v>
      </c>
      <c r="R461" s="25" t="n">
        <v>25527.5097842004</v>
      </c>
      <c r="S461" s="25" t="n">
        <v>25776.6224620366</v>
      </c>
      <c r="T461" s="25" t="n">
        <v>26033.2085202079</v>
      </c>
      <c r="U461" s="25" t="n">
        <v>26297.4921601243</v>
      </c>
      <c r="V461" s="25" t="n">
        <v>26569.7043092383</v>
      </c>
      <c r="W461" s="25" t="n">
        <v>26850.0828228256</v>
      </c>
      <c r="X461" s="25" t="n">
        <v>10057.8172759559</v>
      </c>
    </row>
    <row r="462" customFormat="false" ht="12.75" hidden="false" customHeight="false" outlineLevel="0" collapsed="false">
      <c r="A462" s="26" t="s">
        <v>10</v>
      </c>
      <c r="B462" s="21" t="n">
        <f aca="false">NPV(0.1,D462:Y462)</f>
        <v>76177.2860892965</v>
      </c>
      <c r="C462" s="21" t="n">
        <f aca="false">B462-B452</f>
        <v>-6.32237355371763</v>
      </c>
      <c r="D462" s="22" t="n">
        <v>1715.16924693732</v>
      </c>
      <c r="E462" s="23" t="n">
        <v>3075.30219409882</v>
      </c>
      <c r="F462" s="23" t="n">
        <v>3071.04844575374</v>
      </c>
      <c r="G462" s="23" t="n">
        <v>6563.71112278217</v>
      </c>
      <c r="H462" s="23" t="n">
        <v>9379.76242103982</v>
      </c>
      <c r="I462" s="23" t="n">
        <v>10143.9226489922</v>
      </c>
      <c r="J462" s="23" t="n">
        <v>10590.244913123</v>
      </c>
      <c r="K462" s="23" t="n">
        <v>10978.3355498297</v>
      </c>
      <c r="L462" s="23" t="n">
        <v>11401.7487782455</v>
      </c>
      <c r="M462" s="23" t="n">
        <v>11888.049266389</v>
      </c>
      <c r="N462" s="24" t="n">
        <v>12350.5676698159</v>
      </c>
      <c r="O462" s="25" t="n">
        <v>12820.917184332</v>
      </c>
      <c r="P462" s="25" t="n">
        <v>13313.4775464706</v>
      </c>
      <c r="Q462" s="25" t="n">
        <v>13411.9919055695</v>
      </c>
      <c r="R462" s="25" t="n">
        <v>13927.9528551166</v>
      </c>
      <c r="S462" s="25" t="n">
        <v>14469.2662138919</v>
      </c>
      <c r="T462" s="25" t="n">
        <v>15037.7199147255</v>
      </c>
      <c r="U462" s="25" t="n">
        <v>15635.2448414991</v>
      </c>
      <c r="V462" s="25" t="n">
        <v>16263.9264764504</v>
      </c>
      <c r="W462" s="25" t="n">
        <v>16427.1561412813</v>
      </c>
      <c r="X462" s="25" t="n">
        <v>4347.78026143463</v>
      </c>
    </row>
    <row r="463" customFormat="false" ht="12.75" hidden="false" customHeight="false" outlineLevel="0" collapsed="false">
      <c r="A463" s="26" t="s">
        <v>11</v>
      </c>
      <c r="B463" s="21" t="n">
        <f aca="false">NPV(0.1,D463:Y463)</f>
        <v>88962.8110375849</v>
      </c>
      <c r="C463" s="21" t="n">
        <f aca="false">B463-B453</f>
        <v>-4.66486382078438</v>
      </c>
      <c r="D463" s="27" t="n">
        <v>2669.61430255215</v>
      </c>
      <c r="E463" s="28" t="n">
        <v>4635.793367291</v>
      </c>
      <c r="F463" s="28" t="n">
        <v>4833.12828778193</v>
      </c>
      <c r="G463" s="28" t="n">
        <v>15116.2967136847</v>
      </c>
      <c r="H463" s="28" t="n">
        <v>16402.270751882</v>
      </c>
      <c r="I463" s="28" t="n">
        <v>13608.4199844527</v>
      </c>
      <c r="J463" s="28" t="n">
        <v>13289.2884465928</v>
      </c>
      <c r="K463" s="28" t="n">
        <v>13214.696840753</v>
      </c>
      <c r="L463" s="28" t="n">
        <v>13119.8416451312</v>
      </c>
      <c r="M463" s="28" t="n">
        <v>12990.9349162584</v>
      </c>
      <c r="N463" s="29" t="n">
        <v>12965.8029825849</v>
      </c>
      <c r="O463" s="25" t="n">
        <v>12874.1813434247</v>
      </c>
      <c r="P463" s="25" t="n">
        <v>12727.3748218368</v>
      </c>
      <c r="Q463" s="25" t="n">
        <v>12424.0899362769</v>
      </c>
      <c r="R463" s="25" t="n">
        <v>12234.4354159915</v>
      </c>
      <c r="S463" s="25" t="n">
        <v>10343.970904726</v>
      </c>
      <c r="T463" s="25" t="n">
        <v>8426.05460660844</v>
      </c>
      <c r="U463" s="25" t="n">
        <v>8159.61362317297</v>
      </c>
      <c r="V463" s="25" t="n">
        <v>7861.58511472241</v>
      </c>
      <c r="W463" s="25" t="n">
        <v>7356.59060913538</v>
      </c>
      <c r="X463" s="25" t="n">
        <v>7602.79521431645</v>
      </c>
    </row>
    <row r="465" customFormat="false" ht="11.25" hidden="false" customHeight="false" outlineLevel="0" collapsed="false">
      <c r="A465" s="30" t="s">
        <v>57</v>
      </c>
    </row>
    <row r="466" customFormat="false" ht="11.25" hidden="false" customHeight="false" outlineLevel="0" collapsed="false">
      <c r="A466" s="34" t="n">
        <v>36321</v>
      </c>
    </row>
    <row r="467" customFormat="false" ht="12.75" hidden="false" customHeight="false" outlineLevel="0" collapsed="false">
      <c r="A467" s="11" t="s">
        <v>3</v>
      </c>
      <c r="B467" s="12" t="n">
        <v>55274.4191394245</v>
      </c>
      <c r="C467" s="6"/>
      <c r="D467" s="6"/>
      <c r="E467" s="6"/>
      <c r="F467" s="6"/>
      <c r="G467" s="6"/>
      <c r="H467" s="6"/>
      <c r="I467" s="6"/>
      <c r="J467" s="6"/>
      <c r="K467" s="6"/>
      <c r="L467" s="6"/>
      <c r="M467" s="6"/>
      <c r="N467" s="6"/>
      <c r="O467" s="6"/>
      <c r="P467" s="6"/>
      <c r="Q467" s="6"/>
      <c r="R467" s="6"/>
      <c r="S467" s="6"/>
      <c r="T467" s="6"/>
      <c r="U467" s="6"/>
      <c r="V467" s="6"/>
      <c r="W467" s="6"/>
      <c r="X467" s="6"/>
    </row>
    <row r="468" customFormat="false" ht="12.75" hidden="false" customHeight="false" outlineLevel="0" collapsed="false">
      <c r="A468" s="13" t="s">
        <v>4</v>
      </c>
      <c r="B468" s="14" t="n">
        <v>87848.7538044319</v>
      </c>
      <c r="C468" s="6"/>
      <c r="D468" s="6"/>
      <c r="E468" s="6"/>
      <c r="F468" s="6"/>
      <c r="G468" s="6"/>
      <c r="H468" s="6"/>
      <c r="I468" s="6"/>
      <c r="J468" s="6"/>
      <c r="K468" s="6"/>
      <c r="L468" s="6"/>
      <c r="M468" s="6"/>
      <c r="N468" s="6"/>
      <c r="O468" s="6"/>
      <c r="P468" s="6"/>
      <c r="Q468" s="6"/>
      <c r="R468" s="6"/>
      <c r="S468" s="6"/>
      <c r="T468" s="6"/>
      <c r="U468" s="6"/>
      <c r="V468" s="6"/>
      <c r="W468" s="6"/>
      <c r="X468" s="6"/>
    </row>
    <row r="469" customFormat="false" ht="12.75" hidden="false" customHeight="false" outlineLevel="0" collapsed="false">
      <c r="A469" s="15" t="s">
        <v>5</v>
      </c>
      <c r="B469" s="16" t="s">
        <v>6</v>
      </c>
      <c r="C469" s="16" t="s">
        <v>7</v>
      </c>
      <c r="D469" s="17" t="n">
        <v>2000</v>
      </c>
      <c r="E469" s="18" t="n">
        <v>2001</v>
      </c>
      <c r="F469" s="18" t="n">
        <v>2002</v>
      </c>
      <c r="G469" s="18" t="n">
        <v>2003</v>
      </c>
      <c r="H469" s="18" t="n">
        <v>2004</v>
      </c>
      <c r="I469" s="18" t="n">
        <v>2005</v>
      </c>
      <c r="J469" s="18" t="n">
        <v>2006</v>
      </c>
      <c r="K469" s="18" t="n">
        <v>2007</v>
      </c>
      <c r="L469" s="18" t="n">
        <v>2008</v>
      </c>
      <c r="M469" s="18" t="n">
        <v>2009</v>
      </c>
      <c r="N469" s="19" t="n">
        <v>2010</v>
      </c>
      <c r="O469" s="20" t="n">
        <v>2011</v>
      </c>
      <c r="P469" s="20" t="n">
        <v>2012</v>
      </c>
      <c r="Q469" s="20" t="n">
        <v>2013</v>
      </c>
      <c r="R469" s="20" t="n">
        <v>2014</v>
      </c>
      <c r="S469" s="20" t="n">
        <v>2015</v>
      </c>
      <c r="T469" s="20" t="n">
        <v>2016</v>
      </c>
      <c r="U469" s="20" t="n">
        <v>2017</v>
      </c>
      <c r="V469" s="20" t="n">
        <v>2018</v>
      </c>
      <c r="W469" s="20" t="n">
        <v>2019</v>
      </c>
      <c r="X469" s="20" t="n">
        <v>2020</v>
      </c>
    </row>
    <row r="470" customFormat="false" ht="12.75" hidden="false" customHeight="false" outlineLevel="0" collapsed="false">
      <c r="A470" s="15" t="s">
        <v>8</v>
      </c>
      <c r="B470" s="21" t="n">
        <f aca="false">NPV(0.1,D470:Y470)</f>
        <v>428674.727189731</v>
      </c>
      <c r="C470" s="21" t="n">
        <f aca="false">B470-B460</f>
        <v>4775.12571761146</v>
      </c>
      <c r="D470" s="22" t="n">
        <v>25558.9163333333</v>
      </c>
      <c r="E470" s="23" t="n">
        <v>42219.34714</v>
      </c>
      <c r="F470" s="23" t="n">
        <v>42306.3812542</v>
      </c>
      <c r="G470" s="23" t="n">
        <v>48051.8873745652</v>
      </c>
      <c r="H470" s="23" t="n">
        <v>53020.7408849457</v>
      </c>
      <c r="I470" s="23" t="n">
        <v>54118.2129894941</v>
      </c>
      <c r="J470" s="23" t="n">
        <v>54676.8044436815</v>
      </c>
      <c r="K470" s="23" t="n">
        <v>55234.9994970896</v>
      </c>
      <c r="L470" s="23" t="n">
        <v>55792.2716333629</v>
      </c>
      <c r="M470" s="23" t="n">
        <v>56348.0631019252</v>
      </c>
      <c r="N470" s="24" t="n">
        <v>56901.7835177913</v>
      </c>
      <c r="O470" s="25" t="n">
        <v>57452.8084054775</v>
      </c>
      <c r="P470" s="25" t="n">
        <v>58000.477684919</v>
      </c>
      <c r="Q470" s="25" t="n">
        <v>57840.8463009774</v>
      </c>
      <c r="R470" s="25" t="n">
        <v>58358.5763378748</v>
      </c>
      <c r="S470" s="25" t="n">
        <v>58870.1079189751</v>
      </c>
      <c r="T470" s="25" t="n">
        <v>59374.6031798974</v>
      </c>
      <c r="U470" s="25" t="n">
        <v>59871.179563008</v>
      </c>
      <c r="V470" s="25" t="n">
        <v>60358.9078899032</v>
      </c>
      <c r="W470" s="25" t="n">
        <v>59997.0957123307</v>
      </c>
      <c r="X470" s="25" t="n">
        <v>36212.4467483207</v>
      </c>
    </row>
    <row r="471" customFormat="false" ht="12.75" hidden="false" customHeight="false" outlineLevel="0" collapsed="false">
      <c r="A471" s="26" t="s">
        <v>9</v>
      </c>
      <c r="B471" s="21" t="n">
        <f aca="false">NPV(0.1,D471:Y471)</f>
        <v>195984.987483643</v>
      </c>
      <c r="C471" s="21" t="n">
        <f aca="false">B471-B461</f>
        <v>2292.31499609008</v>
      </c>
      <c r="D471" s="22" t="n">
        <v>13800.3522128028</v>
      </c>
      <c r="E471" s="23" t="n">
        <v>22061.8928500346</v>
      </c>
      <c r="F471" s="23" t="n">
        <v>22308.3925215937</v>
      </c>
      <c r="G471" s="23" t="n">
        <v>22653.524478808</v>
      </c>
      <c r="H471" s="23" t="n">
        <v>22827.4449324716</v>
      </c>
      <c r="I471" s="23" t="n">
        <v>23058.6383731889</v>
      </c>
      <c r="J471" s="23" t="n">
        <v>23335.8028907355</v>
      </c>
      <c r="K471" s="23" t="n">
        <v>23640.5869319577</v>
      </c>
      <c r="L471" s="23" t="n">
        <v>23911.6160330268</v>
      </c>
      <c r="M471" s="23" t="n">
        <v>24113.0972291324</v>
      </c>
      <c r="N471" s="24" t="n">
        <v>24322.672485975</v>
      </c>
      <c r="O471" s="25" t="n">
        <v>24710.2428193344</v>
      </c>
      <c r="P471" s="25" t="n">
        <v>24938.2162086954</v>
      </c>
      <c r="Q471" s="25" t="n">
        <v>25173.0287997371</v>
      </c>
      <c r="R471" s="25" t="n">
        <v>25414.8857685102</v>
      </c>
      <c r="S471" s="25" t="n">
        <v>25663.9984463464</v>
      </c>
      <c r="T471" s="25" t="n">
        <v>25920.5845045177</v>
      </c>
      <c r="U471" s="25" t="n">
        <v>26184.8681444341</v>
      </c>
      <c r="V471" s="25" t="n">
        <v>26457.0802935481</v>
      </c>
      <c r="W471" s="25" t="n">
        <v>26737.4588071354</v>
      </c>
      <c r="X471" s="25" t="n">
        <v>24298.7897803463</v>
      </c>
    </row>
    <row r="472" customFormat="false" ht="12.75" hidden="false" customHeight="false" outlineLevel="0" collapsed="false">
      <c r="A472" s="26" t="s">
        <v>10</v>
      </c>
      <c r="B472" s="21" t="n">
        <f aca="false">NPV(0.1,D472:Y472)</f>
        <v>77340.8897388991</v>
      </c>
      <c r="C472" s="21" t="n">
        <f aca="false">B472-B462</f>
        <v>1163.60364960261</v>
      </c>
      <c r="D472" s="22" t="n">
        <v>1678.25169108754</v>
      </c>
      <c r="E472" s="23" t="n">
        <v>3042.52647159521</v>
      </c>
      <c r="F472" s="23" t="n">
        <v>3203.61599903771</v>
      </c>
      <c r="G472" s="23" t="n">
        <v>6790.24374139829</v>
      </c>
      <c r="H472" s="23" t="n">
        <v>9684.63778180168</v>
      </c>
      <c r="I472" s="23" t="n">
        <v>10467.8777926017</v>
      </c>
      <c r="J472" s="23" t="n">
        <v>10894.2041888227</v>
      </c>
      <c r="K472" s="23" t="n">
        <v>11230.306693273</v>
      </c>
      <c r="L472" s="23" t="n">
        <v>11605.5166332954</v>
      </c>
      <c r="M472" s="23" t="n">
        <v>12042.9513486764</v>
      </c>
      <c r="N472" s="24" t="n">
        <v>12499.1552201613</v>
      </c>
      <c r="O472" s="25" t="n">
        <v>12874.6155049745</v>
      </c>
      <c r="P472" s="25" t="n">
        <v>13368.2337078454</v>
      </c>
      <c r="Q472" s="25" t="n">
        <v>13467.8905349352</v>
      </c>
      <c r="R472" s="25" t="n">
        <v>13985.0853499124</v>
      </c>
      <c r="S472" s="25" t="n">
        <v>14527.7312833523</v>
      </c>
      <c r="T472" s="25" t="n">
        <v>15097.6241648236</v>
      </c>
      <c r="U472" s="25" t="n">
        <v>15696.703406686</v>
      </c>
      <c r="V472" s="25" t="n">
        <v>16327.0637019331</v>
      </c>
      <c r="W472" s="25" t="n">
        <v>16492.1063198836</v>
      </c>
      <c r="X472" s="25" t="n">
        <v>4414.68842940594</v>
      </c>
    </row>
    <row r="473" customFormat="false" ht="12.75" hidden="false" customHeight="false" outlineLevel="0" collapsed="false">
      <c r="A473" s="26" t="s">
        <v>11</v>
      </c>
      <c r="B473" s="21" t="n">
        <f aca="false">NPV(0.1,D473:Y473)</f>
        <v>89360.8863220839</v>
      </c>
      <c r="C473" s="21" t="n">
        <f aca="false">B473-B463</f>
        <v>398.075284499064</v>
      </c>
      <c r="D473" s="27" t="n">
        <v>2669.61430255215</v>
      </c>
      <c r="E473" s="28" t="n">
        <v>4595.61243370582</v>
      </c>
      <c r="F473" s="28" t="n">
        <v>4643.16414692054</v>
      </c>
      <c r="G473" s="28" t="n">
        <v>15237.8957167248</v>
      </c>
      <c r="H473" s="28" t="n">
        <v>16259.9356602999</v>
      </c>
      <c r="I473" s="28" t="n">
        <v>13750.0305842065</v>
      </c>
      <c r="J473" s="28" t="n">
        <v>13483.1622993692</v>
      </c>
      <c r="K473" s="28" t="n">
        <v>13436.0648379801</v>
      </c>
      <c r="L473" s="28" t="n">
        <v>13309.3842359162</v>
      </c>
      <c r="M473" s="28" t="n">
        <v>13157.2578470411</v>
      </c>
      <c r="N473" s="29" t="n">
        <v>13052.1303701624</v>
      </c>
      <c r="O473" s="25" t="n">
        <v>13072.6696576089</v>
      </c>
      <c r="P473" s="25" t="n">
        <v>12758.9026038923</v>
      </c>
      <c r="Q473" s="25" t="n">
        <v>12454.8362449142</v>
      </c>
      <c r="R473" s="25" t="n">
        <v>12264.337733337</v>
      </c>
      <c r="S473" s="25" t="n">
        <v>10372.9617114765</v>
      </c>
      <c r="T473" s="25" t="n">
        <v>8454.06098191637</v>
      </c>
      <c r="U473" s="25" t="n">
        <v>8186.55681252288</v>
      </c>
      <c r="V473" s="25" t="n">
        <v>7887.38006323766</v>
      </c>
      <c r="W473" s="25" t="n">
        <v>7381.14545754919</v>
      </c>
      <c r="X473" s="25" t="n">
        <v>7674.39579151149</v>
      </c>
    </row>
    <row r="475" customFormat="false" ht="11.25" hidden="false" customHeight="false" outlineLevel="0" collapsed="false">
      <c r="A475" s="30" t="s">
        <v>58</v>
      </c>
    </row>
    <row r="476" customFormat="false" ht="11.25" hidden="false" customHeight="false" outlineLevel="0" collapsed="false">
      <c r="A476" s="34" t="n">
        <v>36321</v>
      </c>
    </row>
    <row r="477" customFormat="false" ht="12.75" hidden="false" customHeight="false" outlineLevel="0" collapsed="false">
      <c r="A477" s="11" t="s">
        <v>3</v>
      </c>
      <c r="B477" s="12" t="n">
        <v>59998.874138202</v>
      </c>
      <c r="C477" s="6"/>
      <c r="D477" s="6"/>
      <c r="E477" s="6"/>
      <c r="F477" s="6"/>
      <c r="G477" s="6"/>
      <c r="H477" s="6"/>
      <c r="I477" s="6"/>
      <c r="J477" s="6"/>
      <c r="K477" s="6"/>
      <c r="L477" s="6"/>
      <c r="M477" s="6"/>
      <c r="N477" s="6"/>
      <c r="O477" s="6"/>
      <c r="P477" s="6"/>
      <c r="Q477" s="6"/>
      <c r="R477" s="6"/>
      <c r="S477" s="6"/>
      <c r="T477" s="6"/>
      <c r="U477" s="6"/>
      <c r="V477" s="6"/>
      <c r="W477" s="6"/>
      <c r="X477" s="6"/>
    </row>
    <row r="478" customFormat="false" ht="12.75" hidden="false" customHeight="false" outlineLevel="0" collapsed="false">
      <c r="A478" s="13" t="s">
        <v>4</v>
      </c>
      <c r="B478" s="14" t="n">
        <v>93506.899804432</v>
      </c>
      <c r="C478" s="6"/>
      <c r="D478" s="6"/>
      <c r="E478" s="6"/>
      <c r="F478" s="6"/>
      <c r="G478" s="6"/>
      <c r="H478" s="6"/>
      <c r="I478" s="6"/>
      <c r="J478" s="6"/>
      <c r="K478" s="6"/>
      <c r="L478" s="6"/>
      <c r="M478" s="6"/>
      <c r="N478" s="6"/>
      <c r="O478" s="6"/>
      <c r="P478" s="6"/>
      <c r="Q478" s="6"/>
      <c r="R478" s="6"/>
      <c r="S478" s="6"/>
      <c r="T478" s="6"/>
      <c r="U478" s="6"/>
      <c r="V478" s="6"/>
      <c r="W478" s="6"/>
      <c r="X478" s="6"/>
    </row>
    <row r="479" customFormat="false" ht="12.75" hidden="false" customHeight="false" outlineLevel="0" collapsed="false">
      <c r="A479" s="15" t="s">
        <v>5</v>
      </c>
      <c r="B479" s="16" t="s">
        <v>6</v>
      </c>
      <c r="C479" s="16" t="s">
        <v>7</v>
      </c>
      <c r="D479" s="17" t="n">
        <v>2000</v>
      </c>
      <c r="E479" s="18" t="n">
        <v>2001</v>
      </c>
      <c r="F479" s="18" t="n">
        <v>2002</v>
      </c>
      <c r="G479" s="18" t="n">
        <v>2003</v>
      </c>
      <c r="H479" s="18" t="n">
        <v>2004</v>
      </c>
      <c r="I479" s="18" t="n">
        <v>2005</v>
      </c>
      <c r="J479" s="18" t="n">
        <v>2006</v>
      </c>
      <c r="K479" s="18" t="n">
        <v>2007</v>
      </c>
      <c r="L479" s="18" t="n">
        <v>2008</v>
      </c>
      <c r="M479" s="18" t="n">
        <v>2009</v>
      </c>
      <c r="N479" s="19" t="n">
        <v>2010</v>
      </c>
      <c r="O479" s="20" t="n">
        <v>2011</v>
      </c>
      <c r="P479" s="20" t="n">
        <v>2012</v>
      </c>
      <c r="Q479" s="20" t="n">
        <v>2013</v>
      </c>
      <c r="R479" s="20" t="n">
        <v>2014</v>
      </c>
      <c r="S479" s="20" t="n">
        <v>2015</v>
      </c>
      <c r="T479" s="20" t="n">
        <v>2016</v>
      </c>
      <c r="U479" s="20" t="n">
        <v>2017</v>
      </c>
      <c r="V479" s="20" t="n">
        <v>2018</v>
      </c>
      <c r="W479" s="20" t="n">
        <v>2019</v>
      </c>
      <c r="X479" s="20" t="n">
        <v>2020</v>
      </c>
    </row>
    <row r="480" customFormat="false" ht="12.75" hidden="false" customHeight="false" outlineLevel="0" collapsed="false">
      <c r="A480" s="15" t="s">
        <v>8</v>
      </c>
      <c r="B480" s="21" t="n">
        <f aca="false">NPV(0.1,D480:Y480)</f>
        <v>428674.727189731</v>
      </c>
      <c r="C480" s="21" t="n">
        <f aca="false">B480-B470</f>
        <v>0</v>
      </c>
      <c r="D480" s="22" t="n">
        <v>25558.9163333333</v>
      </c>
      <c r="E480" s="23" t="n">
        <v>42219.34714</v>
      </c>
      <c r="F480" s="23" t="n">
        <v>42306.3812542</v>
      </c>
      <c r="G480" s="23" t="n">
        <v>48051.8873745652</v>
      </c>
      <c r="H480" s="23" t="n">
        <v>53020.7408849457</v>
      </c>
      <c r="I480" s="23" t="n">
        <v>54118.2129894941</v>
      </c>
      <c r="J480" s="23" t="n">
        <v>54676.8044436815</v>
      </c>
      <c r="K480" s="23" t="n">
        <v>55234.9994970896</v>
      </c>
      <c r="L480" s="23" t="n">
        <v>55792.2716333629</v>
      </c>
      <c r="M480" s="23" t="n">
        <v>56348.0631019252</v>
      </c>
      <c r="N480" s="24" t="n">
        <v>56901.7835177913</v>
      </c>
      <c r="O480" s="25" t="n">
        <v>57452.8084054775</v>
      </c>
      <c r="P480" s="25" t="n">
        <v>58000.477684919</v>
      </c>
      <c r="Q480" s="25" t="n">
        <v>57840.8463009774</v>
      </c>
      <c r="R480" s="25" t="n">
        <v>58358.5763378748</v>
      </c>
      <c r="S480" s="25" t="n">
        <v>58870.1079189751</v>
      </c>
      <c r="T480" s="25" t="n">
        <v>59374.6031798974</v>
      </c>
      <c r="U480" s="25" t="n">
        <v>59871.179563008</v>
      </c>
      <c r="V480" s="25" t="n">
        <v>60358.9078899032</v>
      </c>
      <c r="W480" s="25" t="n">
        <v>59997.0957123307</v>
      </c>
      <c r="X480" s="25" t="n">
        <v>36212.4467483207</v>
      </c>
    </row>
    <row r="481" customFormat="false" ht="12.75" hidden="false" customHeight="false" outlineLevel="0" collapsed="false">
      <c r="A481" s="26" t="s">
        <v>9</v>
      </c>
      <c r="B481" s="21" t="n">
        <f aca="false">NPV(0.1,D481:Y481)</f>
        <v>195984.987483643</v>
      </c>
      <c r="C481" s="21" t="n">
        <f aca="false">B481-B471</f>
        <v>0</v>
      </c>
      <c r="D481" s="22" t="n">
        <v>13800.3522128028</v>
      </c>
      <c r="E481" s="23" t="n">
        <v>22061.8928500346</v>
      </c>
      <c r="F481" s="23" t="n">
        <v>22308.3925215937</v>
      </c>
      <c r="G481" s="23" t="n">
        <v>22653.524478808</v>
      </c>
      <c r="H481" s="23" t="n">
        <v>22827.4449324716</v>
      </c>
      <c r="I481" s="23" t="n">
        <v>23058.6383731889</v>
      </c>
      <c r="J481" s="23" t="n">
        <v>23335.8028907355</v>
      </c>
      <c r="K481" s="23" t="n">
        <v>23640.5869319577</v>
      </c>
      <c r="L481" s="23" t="n">
        <v>23911.6160330268</v>
      </c>
      <c r="M481" s="23" t="n">
        <v>24113.0972291324</v>
      </c>
      <c r="N481" s="24" t="n">
        <v>24322.672485975</v>
      </c>
      <c r="O481" s="25" t="n">
        <v>24710.2428193344</v>
      </c>
      <c r="P481" s="25" t="n">
        <v>24938.2162086954</v>
      </c>
      <c r="Q481" s="25" t="n">
        <v>25173.0287997371</v>
      </c>
      <c r="R481" s="25" t="n">
        <v>25414.8857685102</v>
      </c>
      <c r="S481" s="25" t="n">
        <v>25663.9984463464</v>
      </c>
      <c r="T481" s="25" t="n">
        <v>25920.5845045177</v>
      </c>
      <c r="U481" s="25" t="n">
        <v>26184.8681444341</v>
      </c>
      <c r="V481" s="25" t="n">
        <v>26457.0802935481</v>
      </c>
      <c r="W481" s="25" t="n">
        <v>26737.4588071354</v>
      </c>
      <c r="X481" s="25" t="n">
        <v>24298.7897803463</v>
      </c>
    </row>
    <row r="482" customFormat="false" ht="12.75" hidden="false" customHeight="false" outlineLevel="0" collapsed="false">
      <c r="A482" s="26" t="s">
        <v>10</v>
      </c>
      <c r="B482" s="21" t="n">
        <f aca="false">NPV(0.1,D482:Y482)</f>
        <v>78169.8934338432</v>
      </c>
      <c r="C482" s="21" t="n">
        <f aca="false">B482-B472</f>
        <v>829.003694944127</v>
      </c>
      <c r="D482" s="22" t="n">
        <v>1739.21496197879</v>
      </c>
      <c r="E482" s="23" t="n">
        <v>3147.03493598021</v>
      </c>
      <c r="F482" s="23" t="n">
        <v>3308.12446342271</v>
      </c>
      <c r="G482" s="23" t="n">
        <v>6889.02802086329</v>
      </c>
      <c r="H482" s="23" t="n">
        <v>9783.42206126669</v>
      </c>
      <c r="I482" s="23" t="n">
        <v>10566.6620720667</v>
      </c>
      <c r="J482" s="23" t="n">
        <v>10992.9884682877</v>
      </c>
      <c r="K482" s="23" t="n">
        <v>11329.090972738</v>
      </c>
      <c r="L482" s="23" t="n">
        <v>11704.3009127604</v>
      </c>
      <c r="M482" s="23" t="n">
        <v>12141.7356281414</v>
      </c>
      <c r="N482" s="24" t="n">
        <v>12597.9394996263</v>
      </c>
      <c r="O482" s="25" t="n">
        <v>12973.3997844395</v>
      </c>
      <c r="P482" s="25" t="n">
        <v>13467.0179873104</v>
      </c>
      <c r="Q482" s="25" t="n">
        <v>13566.6748144002</v>
      </c>
      <c r="R482" s="25" t="n">
        <v>14083.8696293774</v>
      </c>
      <c r="S482" s="25" t="n">
        <v>14626.5155628173</v>
      </c>
      <c r="T482" s="25" t="n">
        <v>15196.4084442886</v>
      </c>
      <c r="U482" s="25" t="n">
        <v>15795.487686151</v>
      </c>
      <c r="V482" s="25" t="n">
        <v>16425.8479813981</v>
      </c>
      <c r="W482" s="25" t="n">
        <v>16590.8905993486</v>
      </c>
      <c r="X482" s="25" t="n">
        <v>4513.47270887094</v>
      </c>
    </row>
    <row r="483" customFormat="false" ht="12.75" hidden="false" customHeight="false" outlineLevel="0" collapsed="false">
      <c r="A483" s="26" t="s">
        <v>11</v>
      </c>
      <c r="B483" s="21" t="n">
        <f aca="false">NPV(0.1,D483:Y483)</f>
        <v>88342.8586832053</v>
      </c>
      <c r="C483" s="21" t="n">
        <f aca="false">B483-B473</f>
        <v>-1018.02763887866</v>
      </c>
      <c r="D483" s="27" t="n">
        <v>2669.61430255215</v>
      </c>
      <c r="E483" s="28" t="n">
        <v>4595.61243370582</v>
      </c>
      <c r="F483" s="28" t="n">
        <v>4643.16414692054</v>
      </c>
      <c r="G483" s="28" t="n">
        <v>15232.1715318048</v>
      </c>
      <c r="H483" s="28" t="n">
        <v>15456.2634646995</v>
      </c>
      <c r="I483" s="28" t="n">
        <v>13613.7148725813</v>
      </c>
      <c r="J483" s="28" t="n">
        <v>13353.8700784617</v>
      </c>
      <c r="K483" s="28" t="n">
        <v>13306.5597840206</v>
      </c>
      <c r="L483" s="28" t="n">
        <v>13180.0920150087</v>
      </c>
      <c r="M483" s="28" t="n">
        <v>13027.7527930816</v>
      </c>
      <c r="N483" s="29" t="n">
        <v>12922.8381492549</v>
      </c>
      <c r="O483" s="25" t="n">
        <v>12943.1646036493</v>
      </c>
      <c r="P483" s="25" t="n">
        <v>12629.6103829848</v>
      </c>
      <c r="Q483" s="25" t="n">
        <v>12325.3311909546</v>
      </c>
      <c r="R483" s="25" t="n">
        <v>12135.0455124295</v>
      </c>
      <c r="S483" s="25" t="n">
        <v>10306.4552409237</v>
      </c>
      <c r="T483" s="25" t="n">
        <v>8450.34026171837</v>
      </c>
      <c r="U483" s="25" t="n">
        <v>8182.83609232488</v>
      </c>
      <c r="V483" s="25" t="n">
        <v>7883.65934303966</v>
      </c>
      <c r="W483" s="25" t="n">
        <v>7377.42473735119</v>
      </c>
      <c r="X483" s="25" t="n">
        <v>7670.67507131349</v>
      </c>
    </row>
    <row r="485" customFormat="false" ht="11.25" hidden="false" customHeight="false" outlineLevel="0" collapsed="false">
      <c r="A485" s="30" t="s">
        <v>59</v>
      </c>
    </row>
    <row r="486" customFormat="false" ht="11.25" hidden="false" customHeight="false" outlineLevel="0" collapsed="false">
      <c r="A486" s="34" t="n">
        <v>36340</v>
      </c>
    </row>
    <row r="487" customFormat="false" ht="12.75" hidden="false" customHeight="false" outlineLevel="0" collapsed="false">
      <c r="A487" s="11" t="s">
        <v>3</v>
      </c>
      <c r="B487" s="12" t="n">
        <v>46934.4468714158</v>
      </c>
      <c r="C487" s="6"/>
      <c r="D487" s="6"/>
      <c r="E487" s="6"/>
      <c r="F487" s="6"/>
      <c r="G487" s="6"/>
      <c r="H487" s="6"/>
      <c r="I487" s="6"/>
      <c r="J487" s="6"/>
      <c r="K487" s="6"/>
      <c r="L487" s="6"/>
      <c r="M487" s="6"/>
      <c r="N487" s="6"/>
      <c r="O487" s="6"/>
      <c r="P487" s="6"/>
      <c r="Q487" s="6"/>
      <c r="R487" s="6"/>
      <c r="S487" s="6"/>
      <c r="T487" s="6"/>
      <c r="U487" s="6"/>
      <c r="V487" s="6"/>
      <c r="W487" s="6"/>
      <c r="X487" s="6"/>
    </row>
    <row r="488" customFormat="false" ht="12.75" hidden="false" customHeight="false" outlineLevel="0" collapsed="false">
      <c r="A488" s="13" t="s">
        <v>4</v>
      </c>
      <c r="B488" s="14" t="n">
        <v>84219.3692079594</v>
      </c>
      <c r="C488" s="6"/>
      <c r="D488" s="6"/>
      <c r="E488" s="6"/>
      <c r="F488" s="6"/>
      <c r="G488" s="6"/>
      <c r="H488" s="6"/>
      <c r="I488" s="6"/>
      <c r="J488" s="6"/>
      <c r="K488" s="6"/>
      <c r="L488" s="6"/>
      <c r="M488" s="6"/>
      <c r="N488" s="6"/>
      <c r="O488" s="6"/>
      <c r="P488" s="6"/>
      <c r="Q488" s="6"/>
      <c r="R488" s="6"/>
      <c r="S488" s="6"/>
      <c r="T488" s="6"/>
      <c r="U488" s="6"/>
      <c r="V488" s="6"/>
      <c r="W488" s="6"/>
      <c r="X488" s="6"/>
    </row>
    <row r="489" customFormat="false" ht="12.75" hidden="false" customHeight="false" outlineLevel="0" collapsed="false">
      <c r="A489" s="15" t="s">
        <v>5</v>
      </c>
      <c r="B489" s="16" t="s">
        <v>6</v>
      </c>
      <c r="C489" s="16" t="s">
        <v>7</v>
      </c>
      <c r="D489" s="17" t="n">
        <v>2000</v>
      </c>
      <c r="E489" s="18" t="n">
        <v>2001</v>
      </c>
      <c r="F489" s="18" t="n">
        <v>2002</v>
      </c>
      <c r="G489" s="18" t="n">
        <v>2003</v>
      </c>
      <c r="H489" s="18" t="n">
        <v>2004</v>
      </c>
      <c r="I489" s="18" t="n">
        <v>2005</v>
      </c>
      <c r="J489" s="18" t="n">
        <v>2006</v>
      </c>
      <c r="K489" s="18" t="n">
        <v>2007</v>
      </c>
      <c r="L489" s="18" t="n">
        <v>2008</v>
      </c>
      <c r="M489" s="18" t="n">
        <v>2009</v>
      </c>
      <c r="N489" s="19" t="n">
        <v>2010</v>
      </c>
      <c r="O489" s="20" t="n">
        <v>2011</v>
      </c>
      <c r="P489" s="20" t="n">
        <v>2012</v>
      </c>
      <c r="Q489" s="20" t="n">
        <v>2013</v>
      </c>
      <c r="R489" s="20" t="n">
        <v>2014</v>
      </c>
      <c r="S489" s="20" t="n">
        <v>2015</v>
      </c>
      <c r="T489" s="20" t="n">
        <v>2016</v>
      </c>
      <c r="U489" s="20" t="n">
        <v>2017</v>
      </c>
      <c r="V489" s="20" t="n">
        <v>2018</v>
      </c>
      <c r="W489" s="20" t="n">
        <v>2019</v>
      </c>
      <c r="X489" s="20" t="n">
        <v>2020</v>
      </c>
    </row>
    <row r="490" customFormat="false" ht="12.75" hidden="false" customHeight="false" outlineLevel="0" collapsed="false">
      <c r="A490" s="15" t="s">
        <v>8</v>
      </c>
      <c r="B490" s="21" t="n">
        <f aca="false">NPV(0.1,D490:Y490)</f>
        <v>428674.727189731</v>
      </c>
      <c r="C490" s="21" t="n">
        <f aca="false">B490-B480</f>
        <v>0</v>
      </c>
      <c r="D490" s="22" t="n">
        <v>25558.9163333333</v>
      </c>
      <c r="E490" s="23" t="n">
        <v>42219.34714</v>
      </c>
      <c r="F490" s="23" t="n">
        <v>42306.3812542</v>
      </c>
      <c r="G490" s="23" t="n">
        <v>48051.8873745652</v>
      </c>
      <c r="H490" s="23" t="n">
        <v>53020.7408849457</v>
      </c>
      <c r="I490" s="23" t="n">
        <v>54118.2129894941</v>
      </c>
      <c r="J490" s="23" t="n">
        <v>54676.8044436815</v>
      </c>
      <c r="K490" s="23" t="n">
        <v>55234.9994970896</v>
      </c>
      <c r="L490" s="23" t="n">
        <v>55792.2716333629</v>
      </c>
      <c r="M490" s="23" t="n">
        <v>56348.0631019252</v>
      </c>
      <c r="N490" s="24" t="n">
        <v>56901.7835177913</v>
      </c>
      <c r="O490" s="25" t="n">
        <v>57452.8084054775</v>
      </c>
      <c r="P490" s="25" t="n">
        <v>58000.477684919</v>
      </c>
      <c r="Q490" s="25" t="n">
        <v>57840.8463009774</v>
      </c>
      <c r="R490" s="25" t="n">
        <v>58358.5763378748</v>
      </c>
      <c r="S490" s="25" t="n">
        <v>58870.1079189751</v>
      </c>
      <c r="T490" s="25" t="n">
        <v>59374.6031798974</v>
      </c>
      <c r="U490" s="25" t="n">
        <v>59871.179563008</v>
      </c>
      <c r="V490" s="25" t="n">
        <v>60358.9078899032</v>
      </c>
      <c r="W490" s="25" t="n">
        <v>59997.0957123307</v>
      </c>
      <c r="X490" s="25" t="n">
        <v>36212.4467483207</v>
      </c>
    </row>
    <row r="491" customFormat="false" ht="12.75" hidden="false" customHeight="false" outlineLevel="0" collapsed="false">
      <c r="A491" s="26" t="s">
        <v>9</v>
      </c>
      <c r="B491" s="21" t="n">
        <f aca="false">NPV(0.1,D491:Y491)</f>
        <v>195984.987483643</v>
      </c>
      <c r="C491" s="21" t="n">
        <f aca="false">B491-B481</f>
        <v>0</v>
      </c>
      <c r="D491" s="22" t="n">
        <v>13800.3522128028</v>
      </c>
      <c r="E491" s="23" t="n">
        <v>22061.8928500346</v>
      </c>
      <c r="F491" s="23" t="n">
        <v>22308.3925215937</v>
      </c>
      <c r="G491" s="23" t="n">
        <v>22653.524478808</v>
      </c>
      <c r="H491" s="23" t="n">
        <v>22827.4449324716</v>
      </c>
      <c r="I491" s="23" t="n">
        <v>23058.6383731889</v>
      </c>
      <c r="J491" s="23" t="n">
        <v>23335.8028907355</v>
      </c>
      <c r="K491" s="23" t="n">
        <v>23640.5869319577</v>
      </c>
      <c r="L491" s="23" t="n">
        <v>23911.6160330268</v>
      </c>
      <c r="M491" s="23" t="n">
        <v>24113.0972291324</v>
      </c>
      <c r="N491" s="24" t="n">
        <v>24322.672485975</v>
      </c>
      <c r="O491" s="25" t="n">
        <v>24710.2428193344</v>
      </c>
      <c r="P491" s="25" t="n">
        <v>24938.2162086954</v>
      </c>
      <c r="Q491" s="25" t="n">
        <v>25173.0287997371</v>
      </c>
      <c r="R491" s="25" t="n">
        <v>25414.8857685102</v>
      </c>
      <c r="S491" s="25" t="n">
        <v>25663.9984463464</v>
      </c>
      <c r="T491" s="25" t="n">
        <v>25920.5845045177</v>
      </c>
      <c r="U491" s="25" t="n">
        <v>26184.8681444341</v>
      </c>
      <c r="V491" s="25" t="n">
        <v>26457.0802935481</v>
      </c>
      <c r="W491" s="25" t="n">
        <v>26737.4588071354</v>
      </c>
      <c r="X491" s="25" t="n">
        <v>24298.7897803463</v>
      </c>
    </row>
    <row r="492" customFormat="false" ht="12.75" hidden="false" customHeight="false" outlineLevel="0" collapsed="false">
      <c r="A492" s="26" t="s">
        <v>10</v>
      </c>
      <c r="B492" s="21" t="n">
        <f aca="false">NPV(0.1,D492:Y492)</f>
        <v>84163.599905478</v>
      </c>
      <c r="C492" s="21" t="n">
        <f aca="false">B492-B482</f>
        <v>5993.70647163474</v>
      </c>
      <c r="D492" s="22" t="n">
        <v>-147.086615315202</v>
      </c>
      <c r="E492" s="23" t="n">
        <v>3976.74406439722</v>
      </c>
      <c r="F492" s="23" t="n">
        <v>4076.94110792454</v>
      </c>
      <c r="G492" s="23" t="n">
        <v>7623.35639661034</v>
      </c>
      <c r="H492" s="23" t="n">
        <v>10820.0236969369</v>
      </c>
      <c r="I492" s="23" t="n">
        <v>11680.7344012206</v>
      </c>
      <c r="J492" s="23" t="n">
        <v>12157.1068160222</v>
      </c>
      <c r="K492" s="23" t="n">
        <v>12554.2794868873</v>
      </c>
      <c r="L492" s="23" t="n">
        <v>12970.9571496272</v>
      </c>
      <c r="M492" s="23" t="n">
        <v>13585.7127804407</v>
      </c>
      <c r="N492" s="24" t="n">
        <v>14302.9112398797</v>
      </c>
      <c r="O492" s="25" t="n">
        <v>14518.6635194278</v>
      </c>
      <c r="P492" s="25" t="n">
        <v>14856.8979559764</v>
      </c>
      <c r="Q492" s="25" t="n">
        <v>14770.8730571259</v>
      </c>
      <c r="R492" s="25" t="n">
        <v>15083.0730398819</v>
      </c>
      <c r="S492" s="25" t="n">
        <v>15387.2801135157</v>
      </c>
      <c r="T492" s="25" t="n">
        <v>15682.8672007888</v>
      </c>
      <c r="U492" s="25" t="n">
        <v>16117.4848969463</v>
      </c>
      <c r="V492" s="25" t="n">
        <v>16601.4591391259</v>
      </c>
      <c r="W492" s="25" t="n">
        <v>16664.8679942374</v>
      </c>
      <c r="X492" s="25" t="n">
        <v>4513.47270887094</v>
      </c>
    </row>
    <row r="493" customFormat="false" ht="12.75" hidden="false" customHeight="false" outlineLevel="0" collapsed="false">
      <c r="A493" s="26" t="s">
        <v>11</v>
      </c>
      <c r="B493" s="21" t="n">
        <f aca="false">NPV(0.1,D493:Y493)</f>
        <v>89562.3721951475</v>
      </c>
      <c r="C493" s="21" t="n">
        <f aca="false">B493-B483</f>
        <v>1219.51351194223</v>
      </c>
      <c r="D493" s="27" t="n">
        <v>-2147.9620739628</v>
      </c>
      <c r="E493" s="28" t="n">
        <v>6563.27505290997</v>
      </c>
      <c r="F493" s="28" t="n">
        <v>5038.16520277154</v>
      </c>
      <c r="G493" s="28" t="n">
        <v>9045.23555214146</v>
      </c>
      <c r="H493" s="28" t="n">
        <v>14416.5876291708</v>
      </c>
      <c r="I493" s="28" t="n">
        <v>13521.2578376382</v>
      </c>
      <c r="J493" s="28" t="n">
        <v>13091.522902649</v>
      </c>
      <c r="K493" s="28" t="n">
        <v>13524.1277361874</v>
      </c>
      <c r="L493" s="28" t="n">
        <v>10355.016410162</v>
      </c>
      <c r="M493" s="28" t="n">
        <v>8519.55080234938</v>
      </c>
      <c r="N493" s="29" t="n">
        <v>18120.3949163901</v>
      </c>
      <c r="O493" s="25" t="n">
        <v>17899.5566065981</v>
      </c>
      <c r="P493" s="25" t="n">
        <v>18072.9286808043</v>
      </c>
      <c r="Q493" s="25" t="n">
        <v>17990.6443132778</v>
      </c>
      <c r="R493" s="25" t="n">
        <v>18303.6908690957</v>
      </c>
      <c r="S493" s="25" t="n">
        <v>16995.9276218409</v>
      </c>
      <c r="T493" s="25" t="n">
        <v>12589.3695644713</v>
      </c>
      <c r="U493" s="25" t="n">
        <v>11796.8018334183</v>
      </c>
      <c r="V493" s="25" t="n">
        <v>10436.591658865</v>
      </c>
      <c r="W493" s="25" t="n">
        <v>9265.28652228635</v>
      </c>
      <c r="X493" s="25" t="n">
        <v>7670.67507131349</v>
      </c>
    </row>
    <row r="495" customFormat="false" ht="11.25" hidden="false" customHeight="false" outlineLevel="0" collapsed="false">
      <c r="A495" s="30" t="s">
        <v>60</v>
      </c>
    </row>
    <row r="496" customFormat="false" ht="11.25" hidden="false" customHeight="false" outlineLevel="0" collapsed="false">
      <c r="A496" s="34" t="n">
        <v>36343</v>
      </c>
    </row>
    <row r="497" customFormat="false" ht="12.75" hidden="false" customHeight="false" outlineLevel="0" collapsed="false">
      <c r="A497" s="11" t="s">
        <v>3</v>
      </c>
      <c r="B497" s="12" t="n">
        <v>44229.2653063143</v>
      </c>
      <c r="C497" s="6"/>
      <c r="D497" s="6"/>
      <c r="E497" s="6"/>
      <c r="F497" s="6"/>
      <c r="G497" s="6"/>
      <c r="H497" s="6"/>
      <c r="I497" s="6"/>
      <c r="J497" s="6"/>
      <c r="K497" s="6"/>
      <c r="L497" s="6"/>
      <c r="M497" s="6"/>
      <c r="N497" s="6"/>
      <c r="O497" s="6"/>
      <c r="P497" s="6"/>
      <c r="Q497" s="6"/>
      <c r="R497" s="6"/>
      <c r="S497" s="6"/>
      <c r="T497" s="6"/>
      <c r="U497" s="6"/>
      <c r="V497" s="6"/>
      <c r="W497" s="6"/>
      <c r="X497" s="6"/>
    </row>
    <row r="498" customFormat="false" ht="12.75" hidden="false" customHeight="false" outlineLevel="0" collapsed="false">
      <c r="A498" s="13" t="s">
        <v>4</v>
      </c>
      <c r="B498" s="14" t="n">
        <v>80971.4882079594</v>
      </c>
      <c r="C498" s="6"/>
      <c r="D498" s="6"/>
      <c r="E498" s="6"/>
      <c r="F498" s="6"/>
      <c r="G498" s="6"/>
      <c r="H498" s="6"/>
      <c r="I498" s="6"/>
      <c r="J498" s="6"/>
      <c r="K498" s="6"/>
      <c r="L498" s="6"/>
      <c r="M498" s="6"/>
      <c r="N498" s="6"/>
      <c r="O498" s="6"/>
      <c r="P498" s="6"/>
      <c r="Q498" s="6"/>
      <c r="R498" s="6"/>
      <c r="S498" s="6"/>
      <c r="T498" s="6"/>
      <c r="U498" s="6"/>
      <c r="V498" s="6"/>
      <c r="W498" s="6"/>
      <c r="X498" s="6"/>
    </row>
    <row r="499" customFormat="false" ht="12.75" hidden="false" customHeight="false" outlineLevel="0" collapsed="false">
      <c r="A499" s="15" t="s">
        <v>5</v>
      </c>
      <c r="B499" s="16" t="s">
        <v>6</v>
      </c>
      <c r="C499" s="16" t="s">
        <v>7</v>
      </c>
      <c r="D499" s="17" t="n">
        <v>2000</v>
      </c>
      <c r="E499" s="18" t="n">
        <v>2001</v>
      </c>
      <c r="F499" s="18" t="n">
        <v>2002</v>
      </c>
      <c r="G499" s="18" t="n">
        <v>2003</v>
      </c>
      <c r="H499" s="18" t="n">
        <v>2004</v>
      </c>
      <c r="I499" s="18" t="n">
        <v>2005</v>
      </c>
      <c r="J499" s="18" t="n">
        <v>2006</v>
      </c>
      <c r="K499" s="18" t="n">
        <v>2007</v>
      </c>
      <c r="L499" s="18" t="n">
        <v>2008</v>
      </c>
      <c r="M499" s="18" t="n">
        <v>2009</v>
      </c>
      <c r="N499" s="19" t="n">
        <v>2010</v>
      </c>
      <c r="O499" s="20" t="n">
        <v>2011</v>
      </c>
      <c r="P499" s="20" t="n">
        <v>2012</v>
      </c>
      <c r="Q499" s="20" t="n">
        <v>2013</v>
      </c>
      <c r="R499" s="20" t="n">
        <v>2014</v>
      </c>
      <c r="S499" s="20" t="n">
        <v>2015</v>
      </c>
      <c r="T499" s="20" t="n">
        <v>2016</v>
      </c>
      <c r="U499" s="20" t="n">
        <v>2017</v>
      </c>
      <c r="V499" s="20" t="n">
        <v>2018</v>
      </c>
      <c r="W499" s="20" t="n">
        <v>2019</v>
      </c>
      <c r="X499" s="20" t="n">
        <v>2020</v>
      </c>
    </row>
    <row r="500" customFormat="false" ht="12.75" hidden="false" customHeight="false" outlineLevel="0" collapsed="false">
      <c r="A500" s="15" t="s">
        <v>8</v>
      </c>
      <c r="B500" s="21" t="n">
        <f aca="false">NPV(0.1,D500:Y500)</f>
        <v>428674.727189731</v>
      </c>
      <c r="C500" s="21" t="n">
        <f aca="false">B500-B490</f>
        <v>0</v>
      </c>
      <c r="D500" s="22" t="n">
        <v>25558.9163333333</v>
      </c>
      <c r="E500" s="23" t="n">
        <v>42219.34714</v>
      </c>
      <c r="F500" s="23" t="n">
        <v>42306.3812542</v>
      </c>
      <c r="G500" s="23" t="n">
        <v>48051.8873745652</v>
      </c>
      <c r="H500" s="23" t="n">
        <v>53020.7408849457</v>
      </c>
      <c r="I500" s="23" t="n">
        <v>54118.2129894941</v>
      </c>
      <c r="J500" s="23" t="n">
        <v>54676.8044436815</v>
      </c>
      <c r="K500" s="23" t="n">
        <v>55234.9994970896</v>
      </c>
      <c r="L500" s="23" t="n">
        <v>55792.2716333629</v>
      </c>
      <c r="M500" s="23" t="n">
        <v>56348.0631019252</v>
      </c>
      <c r="N500" s="24" t="n">
        <v>56901.7835177913</v>
      </c>
      <c r="O500" s="25" t="n">
        <v>57452.8084054775</v>
      </c>
      <c r="P500" s="25" t="n">
        <v>58000.477684919</v>
      </c>
      <c r="Q500" s="25" t="n">
        <v>57840.8463009774</v>
      </c>
      <c r="R500" s="25" t="n">
        <v>58358.5763378748</v>
      </c>
      <c r="S500" s="25" t="n">
        <v>58870.1079189751</v>
      </c>
      <c r="T500" s="25" t="n">
        <v>59374.6031798974</v>
      </c>
      <c r="U500" s="25" t="n">
        <v>59871.179563008</v>
      </c>
      <c r="V500" s="25" t="n">
        <v>60358.9078899032</v>
      </c>
      <c r="W500" s="25" t="n">
        <v>59997.0957123307</v>
      </c>
      <c r="X500" s="25" t="n">
        <v>36212.4467483207</v>
      </c>
    </row>
    <row r="501" customFormat="false" ht="12.75" hidden="false" customHeight="false" outlineLevel="0" collapsed="false">
      <c r="A501" s="26" t="s">
        <v>9</v>
      </c>
      <c r="B501" s="21" t="n">
        <f aca="false">NPV(0.1,D501:Y501)</f>
        <v>195984.987483643</v>
      </c>
      <c r="C501" s="21" t="n">
        <f aca="false">B501-B491</f>
        <v>0</v>
      </c>
      <c r="D501" s="22" t="n">
        <v>13800.3522128028</v>
      </c>
      <c r="E501" s="23" t="n">
        <v>22061.8928500346</v>
      </c>
      <c r="F501" s="23" t="n">
        <v>22308.3925215937</v>
      </c>
      <c r="G501" s="23" t="n">
        <v>22653.524478808</v>
      </c>
      <c r="H501" s="23" t="n">
        <v>22827.4449324716</v>
      </c>
      <c r="I501" s="23" t="n">
        <v>23058.6383731889</v>
      </c>
      <c r="J501" s="23" t="n">
        <v>23335.8028907355</v>
      </c>
      <c r="K501" s="23" t="n">
        <v>23640.5869319577</v>
      </c>
      <c r="L501" s="23" t="n">
        <v>23911.6160330268</v>
      </c>
      <c r="M501" s="23" t="n">
        <v>24113.0972291324</v>
      </c>
      <c r="N501" s="24" t="n">
        <v>24322.672485975</v>
      </c>
      <c r="O501" s="25" t="n">
        <v>24710.2428193344</v>
      </c>
      <c r="P501" s="25" t="n">
        <v>24938.2162086954</v>
      </c>
      <c r="Q501" s="25" t="n">
        <v>25173.0287997371</v>
      </c>
      <c r="R501" s="25" t="n">
        <v>25414.8857685102</v>
      </c>
      <c r="S501" s="25" t="n">
        <v>25663.9984463464</v>
      </c>
      <c r="T501" s="25" t="n">
        <v>25920.5845045177</v>
      </c>
      <c r="U501" s="25" t="n">
        <v>26184.8681444341</v>
      </c>
      <c r="V501" s="25" t="n">
        <v>26457.0802935481</v>
      </c>
      <c r="W501" s="25" t="n">
        <v>26737.4588071354</v>
      </c>
      <c r="X501" s="25" t="n">
        <v>24298.7897803463</v>
      </c>
    </row>
    <row r="502" customFormat="false" ht="12.75" hidden="false" customHeight="false" outlineLevel="0" collapsed="false">
      <c r="A502" s="26" t="s">
        <v>10</v>
      </c>
      <c r="B502" s="21" t="n">
        <f aca="false">NPV(0.1,D502:Y502)</f>
        <v>83663.7658303394</v>
      </c>
      <c r="C502" s="21" t="n">
        <f aca="false">B502-B492</f>
        <v>-499.83407513854</v>
      </c>
      <c r="D502" s="22" t="n">
        <v>-186.858768228119</v>
      </c>
      <c r="E502" s="23" t="n">
        <v>3908.56323083222</v>
      </c>
      <c r="F502" s="23" t="n">
        <v>4008.76027435954</v>
      </c>
      <c r="G502" s="23" t="n">
        <v>7558.90999452533</v>
      </c>
      <c r="H502" s="23" t="n">
        <v>10755.5772948519</v>
      </c>
      <c r="I502" s="23" t="n">
        <v>11621.4622442314</v>
      </c>
      <c r="J502" s="23" t="n">
        <v>12101.5305483872</v>
      </c>
      <c r="K502" s="23" t="n">
        <v>12498.7032192523</v>
      </c>
      <c r="L502" s="23" t="n">
        <v>12915.3808819922</v>
      </c>
      <c r="M502" s="23" t="n">
        <v>13530.1365128057</v>
      </c>
      <c r="N502" s="24" t="n">
        <v>14247.3349722447</v>
      </c>
      <c r="O502" s="25" t="n">
        <v>14463.0872517928</v>
      </c>
      <c r="P502" s="25" t="n">
        <v>14801.3216883414</v>
      </c>
      <c r="Q502" s="25" t="n">
        <v>14715.2967894909</v>
      </c>
      <c r="R502" s="25" t="n">
        <v>15027.4967722469</v>
      </c>
      <c r="S502" s="25" t="n">
        <v>15331.7038458807</v>
      </c>
      <c r="T502" s="25" t="n">
        <v>15627.2909331538</v>
      </c>
      <c r="U502" s="25" t="n">
        <v>16061.9086293113</v>
      </c>
      <c r="V502" s="25" t="n">
        <v>16545.8828714909</v>
      </c>
      <c r="W502" s="25" t="n">
        <v>16609.2917266024</v>
      </c>
      <c r="X502" s="25" t="n">
        <v>4457.89644123594</v>
      </c>
    </row>
    <row r="503" customFormat="false" ht="12.75" hidden="false" customHeight="false" outlineLevel="0" collapsed="false">
      <c r="A503" s="26" t="s">
        <v>11</v>
      </c>
      <c r="B503" s="21" t="n">
        <f aca="false">NPV(0.1,D503:Y503)</f>
        <v>90153.3070367057</v>
      </c>
      <c r="C503" s="21" t="n">
        <f aca="false">B503-B493</f>
        <v>590.934841558221</v>
      </c>
      <c r="D503" s="27" t="n">
        <v>-2147.9620739628</v>
      </c>
      <c r="E503" s="28" t="n">
        <v>6563.27505290997</v>
      </c>
      <c r="F503" s="28" t="n">
        <v>5038.16520277154</v>
      </c>
      <c r="G503" s="28" t="n">
        <v>9048.96998362146</v>
      </c>
      <c r="H503" s="28" t="n">
        <v>14895.1671970305</v>
      </c>
      <c r="I503" s="28" t="n">
        <v>13600.4774473583</v>
      </c>
      <c r="J503" s="28" t="n">
        <v>13164.2630097915</v>
      </c>
      <c r="K503" s="28" t="n">
        <v>13596.9875837048</v>
      </c>
      <c r="L503" s="28" t="n">
        <v>10427.7565173045</v>
      </c>
      <c r="M503" s="28" t="n">
        <v>8592.41064986683</v>
      </c>
      <c r="N503" s="29" t="n">
        <v>18193.1350235326</v>
      </c>
      <c r="O503" s="25" t="n">
        <v>17972.4164541156</v>
      </c>
      <c r="P503" s="25" t="n">
        <v>18145.6687879468</v>
      </c>
      <c r="Q503" s="25" t="n">
        <v>18063.5041607953</v>
      </c>
      <c r="R503" s="25" t="n">
        <v>18376.4309762382</v>
      </c>
      <c r="S503" s="25" t="n">
        <v>17033.3443183732</v>
      </c>
      <c r="T503" s="25" t="n">
        <v>12591.4628503933</v>
      </c>
      <c r="U503" s="25" t="n">
        <v>11798.8951193403</v>
      </c>
      <c r="V503" s="25" t="n">
        <v>10438.684944787</v>
      </c>
      <c r="W503" s="25" t="n">
        <v>9267.37980820835</v>
      </c>
      <c r="X503" s="25" t="n">
        <v>7672.76835723549</v>
      </c>
    </row>
    <row r="505" customFormat="false" ht="11.25" hidden="false" customHeight="false" outlineLevel="0" collapsed="false">
      <c r="A505" s="30" t="s">
        <v>61</v>
      </c>
    </row>
    <row r="506" customFormat="false" ht="11.25" hidden="false" customHeight="false" outlineLevel="0" collapsed="false">
      <c r="A506" s="34" t="n">
        <v>36349</v>
      </c>
    </row>
    <row r="507" customFormat="false" ht="12.75" hidden="false" customHeight="false" outlineLevel="0" collapsed="false">
      <c r="A507" s="11" t="s">
        <v>3</v>
      </c>
      <c r="B507" s="12" t="n">
        <v>48825.9359475048</v>
      </c>
      <c r="C507" s="6"/>
      <c r="D507" s="6"/>
      <c r="E507" s="6"/>
      <c r="F507" s="6"/>
      <c r="G507" s="6"/>
      <c r="H507" s="6"/>
      <c r="I507" s="6"/>
      <c r="J507" s="6"/>
      <c r="K507" s="6"/>
      <c r="L507" s="6"/>
      <c r="M507" s="6"/>
      <c r="N507" s="6"/>
      <c r="O507" s="6"/>
      <c r="P507" s="6"/>
      <c r="Q507" s="6"/>
      <c r="R507" s="6"/>
      <c r="S507" s="6"/>
      <c r="T507" s="6"/>
      <c r="U507" s="6"/>
      <c r="V507" s="6"/>
      <c r="W507" s="6"/>
      <c r="X507" s="6"/>
    </row>
    <row r="508" customFormat="false" ht="12.75" hidden="false" customHeight="false" outlineLevel="0" collapsed="false">
      <c r="A508" s="13" t="s">
        <v>4</v>
      </c>
      <c r="B508" s="14" t="n">
        <v>85534.6424141896</v>
      </c>
      <c r="C508" s="6"/>
      <c r="D508" s="6"/>
      <c r="E508" s="6"/>
      <c r="F508" s="6"/>
      <c r="G508" s="6"/>
      <c r="H508" s="6"/>
      <c r="I508" s="6"/>
      <c r="J508" s="6"/>
      <c r="K508" s="6"/>
      <c r="L508" s="6"/>
      <c r="M508" s="6"/>
      <c r="N508" s="6"/>
      <c r="O508" s="6"/>
      <c r="P508" s="6"/>
      <c r="Q508" s="6"/>
      <c r="R508" s="6"/>
      <c r="S508" s="6"/>
      <c r="T508" s="6"/>
      <c r="U508" s="6"/>
      <c r="V508" s="6"/>
      <c r="W508" s="6"/>
      <c r="X508" s="6"/>
    </row>
    <row r="509" customFormat="false" ht="12.75" hidden="false" customHeight="false" outlineLevel="0" collapsed="false">
      <c r="A509" s="15" t="s">
        <v>5</v>
      </c>
      <c r="B509" s="16" t="s">
        <v>6</v>
      </c>
      <c r="C509" s="16" t="s">
        <v>7</v>
      </c>
      <c r="D509" s="17" t="n">
        <v>2000</v>
      </c>
      <c r="E509" s="18" t="n">
        <v>2001</v>
      </c>
      <c r="F509" s="18" t="n">
        <v>2002</v>
      </c>
      <c r="G509" s="18" t="n">
        <v>2003</v>
      </c>
      <c r="H509" s="18" t="n">
        <v>2004</v>
      </c>
      <c r="I509" s="18" t="n">
        <v>2005</v>
      </c>
      <c r="J509" s="18" t="n">
        <v>2006</v>
      </c>
      <c r="K509" s="18" t="n">
        <v>2007</v>
      </c>
      <c r="L509" s="18" t="n">
        <v>2008</v>
      </c>
      <c r="M509" s="18" t="n">
        <v>2009</v>
      </c>
      <c r="N509" s="19" t="n">
        <v>2010</v>
      </c>
      <c r="O509" s="20" t="n">
        <v>2011</v>
      </c>
      <c r="P509" s="20" t="n">
        <v>2012</v>
      </c>
      <c r="Q509" s="20" t="n">
        <v>2013</v>
      </c>
      <c r="R509" s="20" t="n">
        <v>2014</v>
      </c>
      <c r="S509" s="20" t="n">
        <v>2015</v>
      </c>
      <c r="T509" s="20" t="n">
        <v>2016</v>
      </c>
      <c r="U509" s="20" t="n">
        <v>2017</v>
      </c>
      <c r="V509" s="20" t="n">
        <v>2018</v>
      </c>
      <c r="W509" s="20" t="n">
        <v>2019</v>
      </c>
      <c r="X509" s="20" t="n">
        <v>2020</v>
      </c>
    </row>
    <row r="510" customFormat="false" ht="12.75" hidden="false" customHeight="false" outlineLevel="0" collapsed="false">
      <c r="A510" s="15" t="s">
        <v>8</v>
      </c>
      <c r="B510" s="21" t="n">
        <f aca="false">NPV(0.1,D510:Y510)</f>
        <v>428674.727189731</v>
      </c>
      <c r="C510" s="21" t="n">
        <f aca="false">B510-B500</f>
        <v>0</v>
      </c>
      <c r="D510" s="22" t="n">
        <v>25558.9163333333</v>
      </c>
      <c r="E510" s="23" t="n">
        <v>42219.34714</v>
      </c>
      <c r="F510" s="23" t="n">
        <v>42306.3812542</v>
      </c>
      <c r="G510" s="23" t="n">
        <v>48051.8873745652</v>
      </c>
      <c r="H510" s="23" t="n">
        <v>53020.7408849457</v>
      </c>
      <c r="I510" s="23" t="n">
        <v>54118.2129894941</v>
      </c>
      <c r="J510" s="23" t="n">
        <v>54676.8044436815</v>
      </c>
      <c r="K510" s="23" t="n">
        <v>55234.9994970896</v>
      </c>
      <c r="L510" s="23" t="n">
        <v>55792.2716333629</v>
      </c>
      <c r="M510" s="23" t="n">
        <v>56348.0631019252</v>
      </c>
      <c r="N510" s="24" t="n">
        <v>56901.7835177913</v>
      </c>
      <c r="O510" s="25" t="n">
        <v>57452.8084054775</v>
      </c>
      <c r="P510" s="25" t="n">
        <v>58000.477684919</v>
      </c>
      <c r="Q510" s="25" t="n">
        <v>57840.8463009774</v>
      </c>
      <c r="R510" s="25" t="n">
        <v>58358.5763378748</v>
      </c>
      <c r="S510" s="25" t="n">
        <v>58870.1079189751</v>
      </c>
      <c r="T510" s="25" t="n">
        <v>59374.6031798974</v>
      </c>
      <c r="U510" s="25" t="n">
        <v>59871.179563008</v>
      </c>
      <c r="V510" s="25" t="n">
        <v>60358.9078899032</v>
      </c>
      <c r="W510" s="25" t="n">
        <v>59997.0957123307</v>
      </c>
      <c r="X510" s="25" t="n">
        <v>36212.4467483207</v>
      </c>
    </row>
    <row r="511" customFormat="false" ht="12.75" hidden="false" customHeight="false" outlineLevel="0" collapsed="false">
      <c r="A511" s="26" t="s">
        <v>9</v>
      </c>
      <c r="B511" s="21" t="n">
        <f aca="false">NPV(0.1,D511:Y511)</f>
        <v>196118.423539397</v>
      </c>
      <c r="C511" s="21" t="n">
        <f aca="false">B511-B501</f>
        <v>133.436055754253</v>
      </c>
      <c r="D511" s="22" t="n">
        <v>13947.1318741324</v>
      </c>
      <c r="E511" s="23" t="n">
        <v>22061.8928500346</v>
      </c>
      <c r="F511" s="23" t="n">
        <v>22308.3925215937</v>
      </c>
      <c r="G511" s="23" t="n">
        <v>22653.524478808</v>
      </c>
      <c r="H511" s="23" t="n">
        <v>22827.4449324716</v>
      </c>
      <c r="I511" s="23" t="n">
        <v>23058.6383731889</v>
      </c>
      <c r="J511" s="23" t="n">
        <v>23335.8028907355</v>
      </c>
      <c r="K511" s="23" t="n">
        <v>23640.5869319577</v>
      </c>
      <c r="L511" s="23" t="n">
        <v>23911.6160330268</v>
      </c>
      <c r="M511" s="23" t="n">
        <v>24113.0972291324</v>
      </c>
      <c r="N511" s="24" t="n">
        <v>24322.672485975</v>
      </c>
      <c r="O511" s="25" t="n">
        <v>24710.2428193344</v>
      </c>
      <c r="P511" s="25" t="n">
        <v>24938.2162086954</v>
      </c>
      <c r="Q511" s="25" t="n">
        <v>25173.0287997371</v>
      </c>
      <c r="R511" s="25" t="n">
        <v>25414.8857685102</v>
      </c>
      <c r="S511" s="25" t="n">
        <v>25663.9984463464</v>
      </c>
      <c r="T511" s="25" t="n">
        <v>25920.5845045177</v>
      </c>
      <c r="U511" s="25" t="n">
        <v>26184.8681444341</v>
      </c>
      <c r="V511" s="25" t="n">
        <v>26457.0802935481</v>
      </c>
      <c r="W511" s="25" t="n">
        <v>26737.4588071354</v>
      </c>
      <c r="X511" s="25" t="n">
        <v>24298.7897803463</v>
      </c>
    </row>
    <row r="512" customFormat="false" ht="12.75" hidden="false" customHeight="false" outlineLevel="0" collapsed="false">
      <c r="A512" s="26" t="s">
        <v>10</v>
      </c>
      <c r="B512" s="21" t="n">
        <f aca="false">NPV(0.1,D512:Y512)</f>
        <v>85384.6857175815</v>
      </c>
      <c r="C512" s="21" t="n">
        <f aca="false">B512-B502</f>
        <v>1720.91988724208</v>
      </c>
      <c r="D512" s="22" t="n">
        <v>-212.302270333147</v>
      </c>
      <c r="E512" s="23" t="n">
        <v>4016.38981882022</v>
      </c>
      <c r="F512" s="23" t="n">
        <v>4116.95240562718</v>
      </c>
      <c r="G512" s="23" t="n">
        <v>7712.21383591409</v>
      </c>
      <c r="H512" s="23" t="n">
        <v>10973.7134172357</v>
      </c>
      <c r="I512" s="23" t="n">
        <v>11857.1595611575</v>
      </c>
      <c r="J512" s="23" t="n">
        <v>12346.9642314307</v>
      </c>
      <c r="K512" s="23" t="n">
        <v>12752.1920446619</v>
      </c>
      <c r="L512" s="23" t="n">
        <v>13177.3204346052</v>
      </c>
      <c r="M512" s="23" t="n">
        <v>13804.5440535</v>
      </c>
      <c r="N512" s="24" t="n">
        <v>14536.2881655463</v>
      </c>
      <c r="O512" s="25" t="n">
        <v>14756.4161623959</v>
      </c>
      <c r="P512" s="25" t="n">
        <v>15101.5104026</v>
      </c>
      <c r="Q512" s="25" t="n">
        <v>15013.7408147059</v>
      </c>
      <c r="R512" s="25" t="n">
        <v>15332.2725908915</v>
      </c>
      <c r="S512" s="25" t="n">
        <v>15642.6493520861</v>
      </c>
      <c r="T512" s="25" t="n">
        <v>15944.2313031658</v>
      </c>
      <c r="U512" s="25" t="n">
        <v>16387.6635721128</v>
      </c>
      <c r="V512" s="25" t="n">
        <v>16881.4533975595</v>
      </c>
      <c r="W512" s="25" t="n">
        <v>16946.1482609809</v>
      </c>
      <c r="X512" s="25" t="n">
        <v>4548.30797536582</v>
      </c>
    </row>
    <row r="513" customFormat="false" ht="12.75" hidden="false" customHeight="false" outlineLevel="0" collapsed="false">
      <c r="A513" s="26" t="s">
        <v>11</v>
      </c>
      <c r="B513" s="21" t="n">
        <f aca="false">NPV(0.1,D513:Y513)</f>
        <v>95343.1660315206</v>
      </c>
      <c r="C513" s="21" t="n">
        <f aca="false">B513-B503</f>
        <v>5189.85899481487</v>
      </c>
      <c r="D513" s="27" t="n">
        <v>-1958.91427372942</v>
      </c>
      <c r="E513" s="28" t="n">
        <v>6871.35101858997</v>
      </c>
      <c r="F513" s="28" t="n">
        <v>5347.28557782194</v>
      </c>
      <c r="G513" s="28" t="n">
        <v>9486.9809590179</v>
      </c>
      <c r="H513" s="28" t="n">
        <v>15574.7752748757</v>
      </c>
      <c r="I513" s="28" t="n">
        <v>14273.8983528612</v>
      </c>
      <c r="J513" s="28" t="n">
        <v>13865.5021042017</v>
      </c>
      <c r="K513" s="28" t="n">
        <v>14321.2413705895</v>
      </c>
      <c r="L513" s="28" t="n">
        <v>11176.155239056</v>
      </c>
      <c r="M513" s="28" t="n">
        <v>9376.43219470772</v>
      </c>
      <c r="N513" s="29" t="n">
        <v>19018.7155758229</v>
      </c>
      <c r="O513" s="25" t="n">
        <v>18810.4990558386</v>
      </c>
      <c r="P513" s="25" t="n">
        <v>19003.3508286858</v>
      </c>
      <c r="Q513" s="25" t="n">
        <v>18916.2013756955</v>
      </c>
      <c r="R513" s="25" t="n">
        <v>19247.2190295086</v>
      </c>
      <c r="S513" s="25" t="n">
        <v>17921.7600503884</v>
      </c>
      <c r="T513" s="25" t="n">
        <v>13497.0067647132</v>
      </c>
      <c r="U513" s="25" t="n">
        <v>12729.6235273448</v>
      </c>
      <c r="V513" s="25" t="n">
        <v>11397.4578764115</v>
      </c>
      <c r="W513" s="25" t="n">
        <v>10229.8270492897</v>
      </c>
      <c r="X513" s="25" t="n">
        <v>7931.087026178</v>
      </c>
    </row>
    <row r="515" customFormat="false" ht="11.25" hidden="false" customHeight="false" outlineLevel="0" collapsed="false">
      <c r="A515" s="30" t="s">
        <v>62</v>
      </c>
    </row>
    <row r="516" customFormat="false" ht="11.25" hidden="false" customHeight="false" outlineLevel="0" collapsed="false">
      <c r="A516" s="34" t="n">
        <v>36362</v>
      </c>
    </row>
    <row r="517" customFormat="false" ht="12.75" hidden="false" customHeight="false" outlineLevel="0" collapsed="false">
      <c r="A517" s="11" t="s">
        <v>3</v>
      </c>
      <c r="B517" s="12" t="n">
        <v>48755.2430809017</v>
      </c>
      <c r="C517" s="6"/>
      <c r="D517" s="6"/>
      <c r="E517" s="6"/>
      <c r="F517" s="6"/>
      <c r="G517" s="6"/>
      <c r="H517" s="6"/>
      <c r="I517" s="6"/>
      <c r="J517" s="6"/>
      <c r="K517" s="6"/>
      <c r="L517" s="6"/>
      <c r="M517" s="6"/>
      <c r="N517" s="6"/>
      <c r="O517" s="6"/>
      <c r="P517" s="6"/>
      <c r="Q517" s="6"/>
      <c r="R517" s="6"/>
      <c r="S517" s="6"/>
      <c r="T517" s="6"/>
      <c r="U517" s="6"/>
      <c r="V517" s="6"/>
      <c r="W517" s="6"/>
      <c r="X517" s="6"/>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c r="IW517" s="0"/>
    </row>
    <row r="518" customFormat="false" ht="12.75" hidden="false" customHeight="false" outlineLevel="0" collapsed="false">
      <c r="A518" s="13" t="s">
        <v>4</v>
      </c>
      <c r="B518" s="14" t="n">
        <v>85511.2716108868</v>
      </c>
      <c r="C518" s="6"/>
      <c r="D518" s="6"/>
      <c r="E518" s="6"/>
      <c r="F518" s="6"/>
      <c r="G518" s="6"/>
      <c r="H518" s="6"/>
      <c r="I518" s="6"/>
      <c r="J518" s="6"/>
      <c r="K518" s="6"/>
      <c r="L518" s="6"/>
      <c r="M518" s="6"/>
      <c r="N518" s="6"/>
      <c r="O518" s="6"/>
      <c r="P518" s="6"/>
      <c r="Q518" s="6"/>
      <c r="R518" s="6"/>
      <c r="S518" s="6"/>
      <c r="T518" s="6"/>
      <c r="U518" s="6"/>
      <c r="V518" s="6"/>
      <c r="W518" s="6"/>
      <c r="X518" s="6"/>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c r="IW518" s="0"/>
    </row>
    <row r="519" customFormat="false" ht="12.75" hidden="false" customHeight="false" outlineLevel="0" collapsed="false">
      <c r="A519" s="15" t="s">
        <v>5</v>
      </c>
      <c r="B519" s="16" t="s">
        <v>6</v>
      </c>
      <c r="C519" s="16" t="s">
        <v>7</v>
      </c>
      <c r="D519" s="17" t="n">
        <v>2000</v>
      </c>
      <c r="E519" s="18" t="n">
        <v>2001</v>
      </c>
      <c r="F519" s="18" t="n">
        <v>2002</v>
      </c>
      <c r="G519" s="18" t="n">
        <v>2003</v>
      </c>
      <c r="H519" s="18" t="n">
        <v>2004</v>
      </c>
      <c r="I519" s="18" t="n">
        <v>2005</v>
      </c>
      <c r="J519" s="18" t="n">
        <v>2006</v>
      </c>
      <c r="K519" s="18" t="n">
        <v>2007</v>
      </c>
      <c r="L519" s="18" t="n">
        <v>2008</v>
      </c>
      <c r="M519" s="18" t="n">
        <v>2009</v>
      </c>
      <c r="N519" s="19" t="n">
        <v>2010</v>
      </c>
      <c r="O519" s="20" t="n">
        <v>2011</v>
      </c>
      <c r="P519" s="20" t="n">
        <v>2012</v>
      </c>
      <c r="Q519" s="20" t="n">
        <v>2013</v>
      </c>
      <c r="R519" s="20" t="n">
        <v>2014</v>
      </c>
      <c r="S519" s="20" t="n">
        <v>2015</v>
      </c>
      <c r="T519" s="20" t="n">
        <v>2016</v>
      </c>
      <c r="U519" s="20" t="n">
        <v>2017</v>
      </c>
      <c r="V519" s="20" t="n">
        <v>2018</v>
      </c>
      <c r="W519" s="20" t="n">
        <v>2019</v>
      </c>
      <c r="X519" s="20" t="n">
        <v>2020</v>
      </c>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c r="IW519" s="0"/>
    </row>
    <row r="520" customFormat="false" ht="12.75" hidden="false" customHeight="false" outlineLevel="0" collapsed="false">
      <c r="A520" s="15" t="s">
        <v>8</v>
      </c>
      <c r="B520" s="21" t="n">
        <f aca="false">NPV(0.1,D520:Y520)</f>
        <v>428674.727189731</v>
      </c>
      <c r="C520" s="21" t="n">
        <f aca="false">B520-B510</f>
        <v>0</v>
      </c>
      <c r="D520" s="22" t="n">
        <v>25558.9163333333</v>
      </c>
      <c r="E520" s="23" t="n">
        <v>42219.34714</v>
      </c>
      <c r="F520" s="23" t="n">
        <v>42306.3812542</v>
      </c>
      <c r="G520" s="23" t="n">
        <v>48051.8873745652</v>
      </c>
      <c r="H520" s="23" t="n">
        <v>53020.7408849457</v>
      </c>
      <c r="I520" s="23" t="n">
        <v>54118.2129894941</v>
      </c>
      <c r="J520" s="23" t="n">
        <v>54676.8044436815</v>
      </c>
      <c r="K520" s="23" t="n">
        <v>55234.9994970896</v>
      </c>
      <c r="L520" s="23" t="n">
        <v>55792.2716333629</v>
      </c>
      <c r="M520" s="23" t="n">
        <v>56348.0631019252</v>
      </c>
      <c r="N520" s="24" t="n">
        <v>56901.7835177913</v>
      </c>
      <c r="O520" s="25" t="n">
        <v>57452.8084054775</v>
      </c>
      <c r="P520" s="25" t="n">
        <v>58000.477684919</v>
      </c>
      <c r="Q520" s="25" t="n">
        <v>57840.8463009774</v>
      </c>
      <c r="R520" s="25" t="n">
        <v>58358.5763378748</v>
      </c>
      <c r="S520" s="25" t="n">
        <v>58870.1079189751</v>
      </c>
      <c r="T520" s="25" t="n">
        <v>59374.6031798974</v>
      </c>
      <c r="U520" s="25" t="n">
        <v>59871.179563008</v>
      </c>
      <c r="V520" s="25" t="n">
        <v>60358.9078899032</v>
      </c>
      <c r="W520" s="25" t="n">
        <v>59997.0957123307</v>
      </c>
      <c r="X520" s="25" t="n">
        <v>36212.4467483207</v>
      </c>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c r="IW520" s="0"/>
    </row>
    <row r="521" customFormat="false" ht="12.75" hidden="false" customHeight="false" outlineLevel="0" collapsed="false">
      <c r="A521" s="26" t="s">
        <v>9</v>
      </c>
      <c r="B521" s="21" t="n">
        <f aca="false">NPV(0.1,D521:Y521)</f>
        <v>196118.423539397</v>
      </c>
      <c r="C521" s="21" t="n">
        <f aca="false">B521-B511</f>
        <v>0</v>
      </c>
      <c r="D521" s="22" t="n">
        <v>13947.1318741324</v>
      </c>
      <c r="E521" s="23" t="n">
        <v>22061.8928500346</v>
      </c>
      <c r="F521" s="23" t="n">
        <v>22308.3925215937</v>
      </c>
      <c r="G521" s="23" t="n">
        <v>22653.524478808</v>
      </c>
      <c r="H521" s="23" t="n">
        <v>22827.4449324716</v>
      </c>
      <c r="I521" s="23" t="n">
        <v>23058.6383731889</v>
      </c>
      <c r="J521" s="23" t="n">
        <v>23335.8028907355</v>
      </c>
      <c r="K521" s="23" t="n">
        <v>23640.5869319577</v>
      </c>
      <c r="L521" s="23" t="n">
        <v>23911.6160330268</v>
      </c>
      <c r="M521" s="23" t="n">
        <v>24113.0972291324</v>
      </c>
      <c r="N521" s="24" t="n">
        <v>24322.672485975</v>
      </c>
      <c r="O521" s="25" t="n">
        <v>24710.2428193344</v>
      </c>
      <c r="P521" s="25" t="n">
        <v>24938.2162086954</v>
      </c>
      <c r="Q521" s="25" t="n">
        <v>25173.0287997371</v>
      </c>
      <c r="R521" s="25" t="n">
        <v>25414.8857685102</v>
      </c>
      <c r="S521" s="25" t="n">
        <v>25663.9984463464</v>
      </c>
      <c r="T521" s="25" t="n">
        <v>25920.5845045177</v>
      </c>
      <c r="U521" s="25" t="n">
        <v>26184.8681444341</v>
      </c>
      <c r="V521" s="25" t="n">
        <v>26457.0802935481</v>
      </c>
      <c r="W521" s="25" t="n">
        <v>26737.4588071354</v>
      </c>
      <c r="X521" s="25" t="n">
        <v>24298.7897803463</v>
      </c>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c r="IW521" s="0"/>
    </row>
    <row r="522" customFormat="false" ht="12.75" hidden="false" customHeight="false" outlineLevel="0" collapsed="false">
      <c r="A522" s="26" t="s">
        <v>10</v>
      </c>
      <c r="B522" s="21" t="n">
        <f aca="false">NPV(0.1,D522:Y522)</f>
        <v>85483.5378747531</v>
      </c>
      <c r="C522" s="21" t="n">
        <f aca="false">B522-B512</f>
        <v>98.8521571715974</v>
      </c>
      <c r="D522" s="22" t="n">
        <v>-195.688945650647</v>
      </c>
      <c r="E522" s="23" t="n">
        <v>4044.86980399022</v>
      </c>
      <c r="F522" s="23" t="n">
        <v>4145.43239079717</v>
      </c>
      <c r="G522" s="23" t="n">
        <v>7739.67987396809</v>
      </c>
      <c r="H522" s="23" t="n">
        <v>11001.1794552897</v>
      </c>
      <c r="I522" s="23" t="n">
        <v>11868.1672140865</v>
      </c>
      <c r="J522" s="23" t="n">
        <v>12346.2158949847</v>
      </c>
      <c r="K522" s="23" t="n">
        <v>12751.4437082159</v>
      </c>
      <c r="L522" s="23" t="n">
        <v>13176.5720981592</v>
      </c>
      <c r="M522" s="23" t="n">
        <v>13803.795717054</v>
      </c>
      <c r="N522" s="24" t="n">
        <v>14535.5398291003</v>
      </c>
      <c r="O522" s="25" t="n">
        <v>14755.6678259499</v>
      </c>
      <c r="P522" s="25" t="n">
        <v>15100.762066154</v>
      </c>
      <c r="Q522" s="25" t="n">
        <v>15012.9924782599</v>
      </c>
      <c r="R522" s="25" t="n">
        <v>15331.5242544455</v>
      </c>
      <c r="S522" s="25" t="n">
        <v>15641.9010156401</v>
      </c>
      <c r="T522" s="25" t="n">
        <v>15943.4829667198</v>
      </c>
      <c r="U522" s="25" t="n">
        <v>16386.9152356668</v>
      </c>
      <c r="V522" s="25" t="n">
        <v>16880.7050611135</v>
      </c>
      <c r="W522" s="25" t="n">
        <v>16945.3999245349</v>
      </c>
      <c r="X522" s="25" t="n">
        <v>4547.55963891982</v>
      </c>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c r="IW522" s="0"/>
    </row>
    <row r="523" customFormat="false" ht="12.75" hidden="false" customHeight="false" outlineLevel="0" collapsed="false">
      <c r="A523" s="26" t="s">
        <v>11</v>
      </c>
      <c r="B523" s="21" t="n">
        <f aca="false">NPV(0.1,D523:Y523)</f>
        <v>95296.2197583302</v>
      </c>
      <c r="C523" s="21" t="n">
        <f aca="false">B523-B513</f>
        <v>-46.9462731903623</v>
      </c>
      <c r="D523" s="27" t="n">
        <v>-1958.91427372942</v>
      </c>
      <c r="E523" s="28" t="n">
        <v>6871.35101858997</v>
      </c>
      <c r="F523" s="28" t="n">
        <v>5347.28557782194</v>
      </c>
      <c r="G523" s="28" t="n">
        <v>9486.9809590179</v>
      </c>
      <c r="H523" s="28" t="n">
        <v>15499.8988928339</v>
      </c>
      <c r="I523" s="28" t="n">
        <v>14267.6541430549</v>
      </c>
      <c r="J523" s="28" t="n">
        <v>13866.4195814767</v>
      </c>
      <c r="K523" s="28" t="n">
        <v>14322.1604281234</v>
      </c>
      <c r="L523" s="28" t="n">
        <v>11177.0727163311</v>
      </c>
      <c r="M523" s="28" t="n">
        <v>9377.35125224163</v>
      </c>
      <c r="N523" s="29" t="n">
        <v>19019.6330530979</v>
      </c>
      <c r="O523" s="25" t="n">
        <v>18811.4181133725</v>
      </c>
      <c r="P523" s="25" t="n">
        <v>19004.2683059608</v>
      </c>
      <c r="Q523" s="25" t="n">
        <v>18917.1204332294</v>
      </c>
      <c r="R523" s="25" t="n">
        <v>19248.1365067836</v>
      </c>
      <c r="S523" s="25" t="n">
        <v>17922.2113512879</v>
      </c>
      <c r="T523" s="25" t="n">
        <v>13496.9918892372</v>
      </c>
      <c r="U523" s="25" t="n">
        <v>12729.6086518688</v>
      </c>
      <c r="V523" s="25" t="n">
        <v>11397.4430009355</v>
      </c>
      <c r="W523" s="25" t="n">
        <v>10229.8121738137</v>
      </c>
      <c r="X523" s="25" t="n">
        <v>7931.072150702</v>
      </c>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c r="IW523" s="0"/>
    </row>
    <row r="524" customFormat="false" ht="12.75" hidden="false" customHeight="false" outlineLevel="0" collapsed="false">
      <c r="A524" s="0"/>
      <c r="B524" s="0"/>
      <c r="C524" s="0"/>
      <c r="D524" s="0"/>
      <c r="E524" s="0"/>
      <c r="F524" s="0"/>
      <c r="G524" s="0"/>
      <c r="H524" s="0"/>
      <c r="I524" s="0"/>
      <c r="J524" s="0"/>
      <c r="K524" s="0"/>
      <c r="L524" s="0"/>
      <c r="M524" s="0"/>
      <c r="N524" s="0"/>
      <c r="O524" s="0"/>
      <c r="P524" s="0"/>
      <c r="Q524" s="0"/>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c r="IW524" s="0"/>
    </row>
    <row r="525" customFormat="false" ht="11.25" hidden="false" customHeight="false" outlineLevel="0" collapsed="false">
      <c r="A525" s="30" t="s">
        <v>63</v>
      </c>
    </row>
    <row r="526" customFormat="false" ht="11.25" hidden="false" customHeight="false" outlineLevel="0" collapsed="false">
      <c r="A526" s="34" t="n">
        <v>36367</v>
      </c>
    </row>
    <row r="527" customFormat="false" ht="12.75" hidden="false" customHeight="false" outlineLevel="0" collapsed="false">
      <c r="A527" s="11" t="s">
        <v>3</v>
      </c>
      <c r="B527" s="12" t="n">
        <v>60240.6096103444</v>
      </c>
      <c r="C527" s="6"/>
      <c r="D527" s="6"/>
      <c r="E527" s="6"/>
      <c r="F527" s="6"/>
      <c r="G527" s="6"/>
      <c r="H527" s="6"/>
      <c r="I527" s="6"/>
      <c r="J527" s="6"/>
      <c r="K527" s="6"/>
      <c r="L527" s="6"/>
      <c r="M527" s="6"/>
      <c r="N527" s="6"/>
      <c r="O527" s="6"/>
      <c r="P527" s="6"/>
      <c r="Q527" s="6"/>
      <c r="R527" s="6"/>
      <c r="S527" s="6"/>
      <c r="T527" s="6"/>
      <c r="U527" s="6"/>
      <c r="V527" s="6"/>
      <c r="W527" s="6"/>
      <c r="X527" s="6"/>
    </row>
    <row r="528" customFormat="false" ht="12.75" hidden="false" customHeight="false" outlineLevel="0" collapsed="false">
      <c r="A528" s="13" t="s">
        <v>4</v>
      </c>
      <c r="B528" s="14" t="n">
        <v>104190.762575491</v>
      </c>
      <c r="C528" s="6"/>
      <c r="D528" s="6"/>
      <c r="E528" s="6"/>
      <c r="F528" s="6"/>
      <c r="G528" s="6"/>
      <c r="H528" s="6"/>
      <c r="I528" s="6"/>
      <c r="J528" s="6"/>
      <c r="K528" s="6"/>
      <c r="L528" s="6"/>
      <c r="M528" s="6"/>
      <c r="N528" s="6"/>
      <c r="O528" s="6"/>
      <c r="P528" s="6"/>
      <c r="Q528" s="6"/>
      <c r="R528" s="6"/>
      <c r="S528" s="6"/>
      <c r="T528" s="6"/>
      <c r="U528" s="6"/>
      <c r="V528" s="6"/>
      <c r="W528" s="6"/>
      <c r="X528" s="6"/>
    </row>
    <row r="529" customFormat="false" ht="12.75" hidden="false" customHeight="false" outlineLevel="0" collapsed="false">
      <c r="A529" s="15" t="s">
        <v>5</v>
      </c>
      <c r="B529" s="16" t="s">
        <v>6</v>
      </c>
      <c r="C529" s="16" t="s">
        <v>7</v>
      </c>
      <c r="D529" s="17" t="n">
        <v>2000</v>
      </c>
      <c r="E529" s="18" t="n">
        <v>2001</v>
      </c>
      <c r="F529" s="18" t="n">
        <v>2002</v>
      </c>
      <c r="G529" s="18" t="n">
        <v>2003</v>
      </c>
      <c r="H529" s="18" t="n">
        <v>2004</v>
      </c>
      <c r="I529" s="18" t="n">
        <v>2005</v>
      </c>
      <c r="J529" s="18" t="n">
        <v>2006</v>
      </c>
      <c r="K529" s="18" t="n">
        <v>2007</v>
      </c>
      <c r="L529" s="18" t="n">
        <v>2008</v>
      </c>
      <c r="M529" s="18" t="n">
        <v>2009</v>
      </c>
      <c r="N529" s="19" t="n">
        <v>2010</v>
      </c>
      <c r="O529" s="20" t="n">
        <v>2011</v>
      </c>
      <c r="P529" s="20" t="n">
        <v>2012</v>
      </c>
      <c r="Q529" s="20" t="n">
        <v>2013</v>
      </c>
      <c r="R529" s="20" t="n">
        <v>2014</v>
      </c>
      <c r="S529" s="20" t="n">
        <v>2015</v>
      </c>
      <c r="T529" s="20" t="n">
        <v>2016</v>
      </c>
      <c r="U529" s="20" t="n">
        <v>2017</v>
      </c>
      <c r="V529" s="20" t="n">
        <v>2018</v>
      </c>
      <c r="W529" s="20" t="n">
        <v>2019</v>
      </c>
      <c r="X529" s="20" t="n">
        <v>2020</v>
      </c>
    </row>
    <row r="530" customFormat="false" ht="12.75" hidden="false" customHeight="false" outlineLevel="0" collapsed="false">
      <c r="A530" s="15" t="s">
        <v>8</v>
      </c>
      <c r="B530" s="21" t="n">
        <f aca="false">NPV(0.1,D530:Y530)</f>
        <v>457195.723123956</v>
      </c>
      <c r="C530" s="21" t="n">
        <f aca="false">B530-B520</f>
        <v>28520.9959342247</v>
      </c>
      <c r="D530" s="22" t="n">
        <v>25347.0563333333</v>
      </c>
      <c r="E530" s="23" t="n">
        <v>42007.48714</v>
      </c>
      <c r="F530" s="23" t="n">
        <v>42094.5212542</v>
      </c>
      <c r="G530" s="23" t="n">
        <v>50668.6576607134</v>
      </c>
      <c r="H530" s="23" t="n">
        <v>57743.8932614556</v>
      </c>
      <c r="I530" s="23" t="n">
        <v>58943.2220633393</v>
      </c>
      <c r="J530" s="23" t="n">
        <v>59552.4652887991</v>
      </c>
      <c r="K530" s="23" t="n">
        <v>60161.2038478084</v>
      </c>
      <c r="L530" s="23" t="n">
        <v>60768.859141477</v>
      </c>
      <c r="M530" s="23" t="n">
        <v>61374.8183091816</v>
      </c>
      <c r="N530" s="24" t="n">
        <v>61978.4326935999</v>
      </c>
      <c r="O530" s="25" t="n">
        <v>62579.0162444838</v>
      </c>
      <c r="P530" s="25" t="n">
        <v>63175.8438588753</v>
      </c>
      <c r="Q530" s="25" t="n">
        <v>62998.1681320966</v>
      </c>
      <c r="R530" s="25" t="n">
        <v>63562.0442111083</v>
      </c>
      <c r="S530" s="25" t="n">
        <v>64119.0441434205</v>
      </c>
      <c r="T530" s="25" t="n">
        <v>64668.2478717603</v>
      </c>
      <c r="U530" s="25" t="n">
        <v>65208.6863239502</v>
      </c>
      <c r="V530" s="25" t="n">
        <v>65739.3393000658</v>
      </c>
      <c r="W530" s="25" t="n">
        <v>65339.7350707632</v>
      </c>
      <c r="X530" s="25" t="n">
        <v>39294.5125998934</v>
      </c>
    </row>
    <row r="531" customFormat="false" ht="12.75" hidden="false" customHeight="false" outlineLevel="0" collapsed="false">
      <c r="A531" s="26" t="s">
        <v>9</v>
      </c>
      <c r="B531" s="21" t="n">
        <f aca="false">NPV(0.1,D531:Y531)</f>
        <v>204145.883321195</v>
      </c>
      <c r="C531" s="21" t="n">
        <f aca="false">B531-B521</f>
        <v>8027.45978179775</v>
      </c>
      <c r="D531" s="22" t="n">
        <v>13735.2718741324</v>
      </c>
      <c r="E531" s="23" t="n">
        <v>21850.0328500346</v>
      </c>
      <c r="F531" s="23" t="n">
        <v>22096.5325215937</v>
      </c>
      <c r="G531" s="23" t="n">
        <v>23413.6017414817</v>
      </c>
      <c r="H531" s="23" t="n">
        <v>24271.7891906064</v>
      </c>
      <c r="I531" s="23" t="n">
        <v>24506.5065548677</v>
      </c>
      <c r="J531" s="23" t="n">
        <v>24787.3007136647</v>
      </c>
      <c r="K531" s="23" t="n">
        <v>25095.8232853748</v>
      </c>
      <c r="L531" s="23" t="n">
        <v>25370.7030728464</v>
      </c>
      <c r="M531" s="23" t="n">
        <v>25576.1504759466</v>
      </c>
      <c r="N531" s="24" t="n">
        <v>25789.8109259936</v>
      </c>
      <c r="O531" s="25" t="n">
        <v>26181.5890083536</v>
      </c>
      <c r="P531" s="25" t="n">
        <v>26413.8963791851</v>
      </c>
      <c r="Q531" s="25" t="n">
        <v>26653.1729711416</v>
      </c>
      <c r="R531" s="25" t="n">
        <v>26899.6278608567</v>
      </c>
      <c r="S531" s="25" t="n">
        <v>27153.4763972634</v>
      </c>
      <c r="T531" s="25" t="n">
        <v>27414.9403897622</v>
      </c>
      <c r="U531" s="25" t="n">
        <v>27684.248302036</v>
      </c>
      <c r="V531" s="25" t="n">
        <v>27961.635451678</v>
      </c>
      <c r="W531" s="25" t="n">
        <v>28247.3442158092</v>
      </c>
      <c r="X531" s="25" t="n">
        <v>25770.4309987304</v>
      </c>
    </row>
    <row r="532" customFormat="false" ht="12.75" hidden="false" customHeight="false" outlineLevel="0" collapsed="false">
      <c r="A532" s="26" t="s">
        <v>10</v>
      </c>
      <c r="B532" s="21" t="n">
        <f aca="false">NPV(0.1,D532:Y532)</f>
        <v>97909.458527934</v>
      </c>
      <c r="C532" s="21" t="n">
        <f aca="false">B532-B522</f>
        <v>12425.9206531809</v>
      </c>
      <c r="D532" s="22" t="n">
        <v>-194.036437650647</v>
      </c>
      <c r="E532" s="23" t="n">
        <v>4046.52231199022</v>
      </c>
      <c r="F532" s="23" t="n">
        <v>4147.08489879717</v>
      </c>
      <c r="G532" s="23" t="n">
        <v>8865.08301845244</v>
      </c>
      <c r="H532" s="23" t="n">
        <v>12988.5736663558</v>
      </c>
      <c r="I532" s="23" t="n">
        <v>13915.1641766206</v>
      </c>
      <c r="J532" s="23" t="n">
        <v>14421.7145281332</v>
      </c>
      <c r="K532" s="23" t="n">
        <v>14855.3123871954</v>
      </c>
      <c r="L532" s="23" t="n">
        <v>15308.6456491955</v>
      </c>
      <c r="M532" s="23" t="n">
        <v>15963.8735229054</v>
      </c>
      <c r="N532" s="24" t="n">
        <v>16723.3838511057</v>
      </c>
      <c r="O532" s="25" t="n">
        <v>16971.0005392992</v>
      </c>
      <c r="P532" s="25" t="n">
        <v>17343.264304954</v>
      </c>
      <c r="Q532" s="25" t="n">
        <v>17241.8516643231</v>
      </c>
      <c r="R532" s="25" t="n">
        <v>17585.5671330326</v>
      </c>
      <c r="S532" s="25" t="n">
        <v>17920.633207281</v>
      </c>
      <c r="T532" s="25" t="n">
        <v>18246.3577638529</v>
      </c>
      <c r="U532" s="25" t="n">
        <v>18713.3309078952</v>
      </c>
      <c r="V532" s="25" t="n">
        <v>19230.0020458713</v>
      </c>
      <c r="W532" s="25" t="n">
        <v>19268.5590534582</v>
      </c>
      <c r="X532" s="25" t="n">
        <v>5523.69135441145</v>
      </c>
    </row>
    <row r="533" customFormat="false" ht="12.75" hidden="false" customHeight="false" outlineLevel="0" collapsed="false">
      <c r="A533" s="26" t="s">
        <v>11</v>
      </c>
      <c r="B533" s="21" t="n">
        <f aca="false">NPV(0.1,D533:Y533)</f>
        <v>108471.187923992</v>
      </c>
      <c r="C533" s="21" t="n">
        <f aca="false">B533-B523</f>
        <v>13174.9681656614</v>
      </c>
      <c r="D533" s="27" t="n">
        <v>-1958.91427372942</v>
      </c>
      <c r="E533" s="28" t="n">
        <v>6871.35101858997</v>
      </c>
      <c r="F533" s="28" t="n">
        <v>5347.28557782194</v>
      </c>
      <c r="G533" s="28" t="n">
        <v>11366.8826452859</v>
      </c>
      <c r="H533" s="28" t="n">
        <v>16906.9147529245</v>
      </c>
      <c r="I533" s="28" t="n">
        <v>16430.9091808019</v>
      </c>
      <c r="J533" s="28" t="n">
        <v>16059.795026664</v>
      </c>
      <c r="K533" s="28" t="n">
        <v>16545.5171804099</v>
      </c>
      <c r="L533" s="28" t="n">
        <v>13430.2362209884</v>
      </c>
      <c r="M533" s="28" t="n">
        <v>11660.1094980813</v>
      </c>
      <c r="N533" s="29" t="n">
        <v>21331.7344821829</v>
      </c>
      <c r="O533" s="25" t="n">
        <v>21152.5694390226</v>
      </c>
      <c r="P533" s="25" t="n">
        <v>21374.1322354301</v>
      </c>
      <c r="Q533" s="25" t="n">
        <v>21272.5664602282</v>
      </c>
      <c r="R533" s="25" t="n">
        <v>21630.1965203777</v>
      </c>
      <c r="S533" s="25" t="n">
        <v>20330.362893995</v>
      </c>
      <c r="T533" s="25" t="n">
        <v>15930.6572035382</v>
      </c>
      <c r="U533" s="25" t="n">
        <v>15188.1518324171</v>
      </c>
      <c r="V533" s="25" t="n">
        <v>13880.1670256696</v>
      </c>
      <c r="W533" s="25" t="n">
        <v>12684.9138574575</v>
      </c>
      <c r="X533" s="25" t="n">
        <v>9010.33646621843</v>
      </c>
    </row>
    <row r="535" customFormat="false" ht="11.25" hidden="false" customHeight="false" outlineLevel="0" collapsed="false">
      <c r="A535" s="30" t="s">
        <v>64</v>
      </c>
    </row>
    <row r="536" customFormat="false" ht="11.25" hidden="false" customHeight="false" outlineLevel="0" collapsed="false">
      <c r="A536" s="34" t="n">
        <v>36374</v>
      </c>
    </row>
    <row r="537" customFormat="false" ht="12.75" hidden="false" customHeight="false" outlineLevel="0" collapsed="false">
      <c r="A537" s="11" t="s">
        <v>3</v>
      </c>
      <c r="B537" s="12" t="n">
        <v>51217.9539008999</v>
      </c>
      <c r="C537" s="6"/>
      <c r="D537" s="6"/>
      <c r="E537" s="6"/>
      <c r="F537" s="6"/>
      <c r="G537" s="6"/>
      <c r="H537" s="6"/>
      <c r="I537" s="6"/>
      <c r="J537" s="6"/>
      <c r="K537" s="6"/>
      <c r="L537" s="6"/>
      <c r="M537" s="6"/>
      <c r="N537" s="6"/>
      <c r="O537" s="6"/>
      <c r="P537" s="6"/>
      <c r="Q537" s="6"/>
      <c r="R537" s="6"/>
      <c r="S537" s="6"/>
      <c r="T537" s="6"/>
      <c r="U537" s="6"/>
      <c r="V537" s="6"/>
      <c r="W537" s="6"/>
      <c r="X537" s="6"/>
    </row>
    <row r="538" customFormat="false" ht="12.75" hidden="false" customHeight="false" outlineLevel="0" collapsed="false">
      <c r="A538" s="13" t="s">
        <v>4</v>
      </c>
      <c r="B538" s="14" t="n">
        <v>93379.1901021376</v>
      </c>
      <c r="C538" s="6"/>
      <c r="D538" s="6"/>
      <c r="E538" s="6"/>
      <c r="F538" s="6"/>
      <c r="G538" s="6"/>
      <c r="H538" s="6"/>
      <c r="I538" s="6"/>
      <c r="J538" s="6"/>
      <c r="K538" s="6"/>
      <c r="L538" s="6"/>
      <c r="M538" s="6"/>
      <c r="N538" s="6"/>
      <c r="O538" s="6"/>
      <c r="P538" s="6"/>
      <c r="Q538" s="6"/>
      <c r="R538" s="6"/>
      <c r="S538" s="6"/>
      <c r="T538" s="6"/>
      <c r="U538" s="6"/>
      <c r="V538" s="6"/>
      <c r="W538" s="6"/>
      <c r="X538" s="6"/>
    </row>
    <row r="539" customFormat="false" ht="12.75" hidden="false" customHeight="false" outlineLevel="0" collapsed="false">
      <c r="A539" s="15" t="s">
        <v>5</v>
      </c>
      <c r="B539" s="16" t="s">
        <v>6</v>
      </c>
      <c r="C539" s="16" t="s">
        <v>7</v>
      </c>
      <c r="D539" s="17" t="n">
        <v>2000</v>
      </c>
      <c r="E539" s="18" t="n">
        <v>2001</v>
      </c>
      <c r="F539" s="18" t="n">
        <v>2002</v>
      </c>
      <c r="G539" s="18" t="n">
        <v>2003</v>
      </c>
      <c r="H539" s="18" t="n">
        <v>2004</v>
      </c>
      <c r="I539" s="18" t="n">
        <v>2005</v>
      </c>
      <c r="J539" s="18" t="n">
        <v>2006</v>
      </c>
      <c r="K539" s="18" t="n">
        <v>2007</v>
      </c>
      <c r="L539" s="18" t="n">
        <v>2008</v>
      </c>
      <c r="M539" s="18" t="n">
        <v>2009</v>
      </c>
      <c r="N539" s="19" t="n">
        <v>2010</v>
      </c>
      <c r="O539" s="20" t="n">
        <v>2011</v>
      </c>
      <c r="P539" s="20" t="n">
        <v>2012</v>
      </c>
      <c r="Q539" s="20" t="n">
        <v>2013</v>
      </c>
      <c r="R539" s="20" t="n">
        <v>2014</v>
      </c>
      <c r="S539" s="20" t="n">
        <v>2015</v>
      </c>
      <c r="T539" s="20" t="n">
        <v>2016</v>
      </c>
      <c r="U539" s="20" t="n">
        <v>2017</v>
      </c>
      <c r="V539" s="20" t="n">
        <v>2018</v>
      </c>
      <c r="W539" s="20" t="n">
        <v>2019</v>
      </c>
      <c r="X539" s="20" t="n">
        <v>2020</v>
      </c>
    </row>
    <row r="540" customFormat="false" ht="12.75" hidden="false" customHeight="false" outlineLevel="0" collapsed="false">
      <c r="A540" s="15" t="s">
        <v>8</v>
      </c>
      <c r="B540" s="21" t="n">
        <f aca="false">NPV(0.1,D540:Y540)</f>
        <v>457195.723123956</v>
      </c>
      <c r="C540" s="21" t="n">
        <f aca="false">B540-B530</f>
        <v>0</v>
      </c>
      <c r="D540" s="22" t="n">
        <v>25347.0563333333</v>
      </c>
      <c r="E540" s="23" t="n">
        <v>42007.48714</v>
      </c>
      <c r="F540" s="23" t="n">
        <v>42094.5212542</v>
      </c>
      <c r="G540" s="23" t="n">
        <v>50668.6576607134</v>
      </c>
      <c r="H540" s="23" t="n">
        <v>57743.8932614556</v>
      </c>
      <c r="I540" s="23" t="n">
        <v>58943.2220633393</v>
      </c>
      <c r="J540" s="23" t="n">
        <v>59552.4652887991</v>
      </c>
      <c r="K540" s="23" t="n">
        <v>60161.2038478084</v>
      </c>
      <c r="L540" s="23" t="n">
        <v>60768.859141477</v>
      </c>
      <c r="M540" s="23" t="n">
        <v>61374.8183091816</v>
      </c>
      <c r="N540" s="24" t="n">
        <v>61978.4326935999</v>
      </c>
      <c r="O540" s="25" t="n">
        <v>62579.0162444838</v>
      </c>
      <c r="P540" s="25" t="n">
        <v>63175.8438588753</v>
      </c>
      <c r="Q540" s="25" t="n">
        <v>62998.1681320966</v>
      </c>
      <c r="R540" s="25" t="n">
        <v>63562.0442111083</v>
      </c>
      <c r="S540" s="25" t="n">
        <v>64119.0441434205</v>
      </c>
      <c r="T540" s="25" t="n">
        <v>64668.2478717603</v>
      </c>
      <c r="U540" s="25" t="n">
        <v>65208.6863239502</v>
      </c>
      <c r="V540" s="25" t="n">
        <v>65739.3393000658</v>
      </c>
      <c r="W540" s="25" t="n">
        <v>65339.7350707632</v>
      </c>
      <c r="X540" s="25" t="n">
        <v>39294.5125998934</v>
      </c>
    </row>
    <row r="541" customFormat="false" ht="12.75" hidden="false" customHeight="false" outlineLevel="0" collapsed="false">
      <c r="A541" s="26" t="s">
        <v>9</v>
      </c>
      <c r="B541" s="21" t="n">
        <f aca="false">NPV(0.1,D541:Y541)</f>
        <v>204145.883321195</v>
      </c>
      <c r="C541" s="21" t="n">
        <f aca="false">B541-B531</f>
        <v>0</v>
      </c>
      <c r="D541" s="22" t="n">
        <v>13735.2718741324</v>
      </c>
      <c r="E541" s="23" t="n">
        <v>21850.0328500346</v>
      </c>
      <c r="F541" s="23" t="n">
        <v>22096.5325215937</v>
      </c>
      <c r="G541" s="23" t="n">
        <v>23413.6017414817</v>
      </c>
      <c r="H541" s="23" t="n">
        <v>24271.7891906064</v>
      </c>
      <c r="I541" s="23" t="n">
        <v>24506.5065548677</v>
      </c>
      <c r="J541" s="23" t="n">
        <v>24787.3007136647</v>
      </c>
      <c r="K541" s="23" t="n">
        <v>25095.8232853748</v>
      </c>
      <c r="L541" s="23" t="n">
        <v>25370.7030728464</v>
      </c>
      <c r="M541" s="23" t="n">
        <v>25576.1504759466</v>
      </c>
      <c r="N541" s="24" t="n">
        <v>25789.8109259936</v>
      </c>
      <c r="O541" s="25" t="n">
        <v>26181.5890083536</v>
      </c>
      <c r="P541" s="25" t="n">
        <v>26413.8963791851</v>
      </c>
      <c r="Q541" s="25" t="n">
        <v>26653.1729711416</v>
      </c>
      <c r="R541" s="25" t="n">
        <v>26899.6278608567</v>
      </c>
      <c r="S541" s="25" t="n">
        <v>27153.4763972634</v>
      </c>
      <c r="T541" s="25" t="n">
        <v>27414.9403897622</v>
      </c>
      <c r="U541" s="25" t="n">
        <v>27684.248302036</v>
      </c>
      <c r="V541" s="25" t="n">
        <v>27961.635451678</v>
      </c>
      <c r="W541" s="25" t="n">
        <v>28247.3442158092</v>
      </c>
      <c r="X541" s="25" t="n">
        <v>25770.4309987304</v>
      </c>
    </row>
    <row r="542" customFormat="false" ht="12.75" hidden="false" customHeight="false" outlineLevel="0" collapsed="false">
      <c r="A542" s="26" t="s">
        <v>10</v>
      </c>
      <c r="B542" s="21" t="n">
        <f aca="false">NPV(0.1,D542:Y542)</f>
        <v>96297.4660776046</v>
      </c>
      <c r="C542" s="21" t="n">
        <f aca="false">B542-B532</f>
        <v>-1611.99245032946</v>
      </c>
      <c r="D542" s="22" t="n">
        <v>-310.839766736272</v>
      </c>
      <c r="E542" s="23" t="n">
        <v>3846.28803355772</v>
      </c>
      <c r="F542" s="23" t="n">
        <v>3946.85062036468</v>
      </c>
      <c r="G542" s="23" t="n">
        <v>8671.97749967094</v>
      </c>
      <c r="H542" s="23" t="n">
        <v>12795.4681475743</v>
      </c>
      <c r="I542" s="23" t="n">
        <v>13722.0586578391</v>
      </c>
      <c r="J542" s="23" t="n">
        <v>14228.6090093517</v>
      </c>
      <c r="K542" s="23" t="n">
        <v>14662.2068684139</v>
      </c>
      <c r="L542" s="23" t="n">
        <v>15115.540130414</v>
      </c>
      <c r="M542" s="23" t="n">
        <v>15770.7680041239</v>
      </c>
      <c r="N542" s="24" t="n">
        <v>16530.2783323242</v>
      </c>
      <c r="O542" s="25" t="n">
        <v>16777.8950205177</v>
      </c>
      <c r="P542" s="25" t="n">
        <v>17150.1587861725</v>
      </c>
      <c r="Q542" s="25" t="n">
        <v>17048.7461455416</v>
      </c>
      <c r="R542" s="25" t="n">
        <v>17392.4616142511</v>
      </c>
      <c r="S542" s="25" t="n">
        <v>17727.5276884995</v>
      </c>
      <c r="T542" s="25" t="n">
        <v>18053.2522450714</v>
      </c>
      <c r="U542" s="25" t="n">
        <v>18520.2253891137</v>
      </c>
      <c r="V542" s="25" t="n">
        <v>19036.8965270898</v>
      </c>
      <c r="W542" s="25" t="n">
        <v>19075.4535346767</v>
      </c>
      <c r="X542" s="25" t="n">
        <v>5330.58583562995</v>
      </c>
    </row>
    <row r="543" customFormat="false" ht="12.75" hidden="false" customHeight="false" outlineLevel="0" collapsed="false">
      <c r="A543" s="26" t="s">
        <v>11</v>
      </c>
      <c r="B543" s="21" t="n">
        <f aca="false">NPV(0.1,D543:Y543)</f>
        <v>110354.111594733</v>
      </c>
      <c r="C543" s="21" t="n">
        <f aca="false">B543-B533</f>
        <v>1882.92367074182</v>
      </c>
      <c r="D543" s="27" t="n">
        <v>-1958.91427372942</v>
      </c>
      <c r="E543" s="28" t="n">
        <v>6871.35101858997</v>
      </c>
      <c r="F543" s="28" t="n">
        <v>5347.28557782194</v>
      </c>
      <c r="G543" s="28" t="n">
        <v>11366.8826452859</v>
      </c>
      <c r="H543" s="28" t="n">
        <v>18435.7530636343</v>
      </c>
      <c r="I543" s="28" t="n">
        <v>16681.117623468</v>
      </c>
      <c r="J543" s="28" t="n">
        <v>16296.5467258578</v>
      </c>
      <c r="K543" s="28" t="n">
        <v>16782.6766597089</v>
      </c>
      <c r="L543" s="28" t="n">
        <v>13666.9879201821</v>
      </c>
      <c r="M543" s="28" t="n">
        <v>11897.2689773802</v>
      </c>
      <c r="N543" s="29" t="n">
        <v>21568.4861813766</v>
      </c>
      <c r="O543" s="25" t="n">
        <v>21389.7289183216</v>
      </c>
      <c r="P543" s="25" t="n">
        <v>21610.8839346238</v>
      </c>
      <c r="Q543" s="25" t="n">
        <v>21509.7259395271</v>
      </c>
      <c r="R543" s="25" t="n">
        <v>21866.9482195715</v>
      </c>
      <c r="S543" s="25" t="n">
        <v>20446.8194621474</v>
      </c>
      <c r="T543" s="25" t="n">
        <v>15926.8186406492</v>
      </c>
      <c r="U543" s="25" t="n">
        <v>15184.3132695281</v>
      </c>
      <c r="V543" s="25" t="n">
        <v>13876.3284627806</v>
      </c>
      <c r="W543" s="25" t="n">
        <v>12681.0752945685</v>
      </c>
      <c r="X543" s="25" t="n">
        <v>9006.49790332943</v>
      </c>
    </row>
    <row r="545" customFormat="false" ht="11.25" hidden="false" customHeight="false" outlineLevel="0" collapsed="false">
      <c r="A545" s="30" t="s">
        <v>65</v>
      </c>
    </row>
    <row r="546" customFormat="false" ht="11.25" hidden="false" customHeight="false" outlineLevel="0" collapsed="false">
      <c r="A546" s="34" t="n">
        <v>36385</v>
      </c>
    </row>
    <row r="547" customFormat="false" ht="12.75" hidden="false" customHeight="false" outlineLevel="0" collapsed="false">
      <c r="A547" s="11" t="s">
        <v>3</v>
      </c>
      <c r="B547" s="12" t="n">
        <v>51217.9539008999</v>
      </c>
      <c r="C547" s="6"/>
      <c r="D547" s="6"/>
      <c r="E547" s="6"/>
      <c r="F547" s="6"/>
      <c r="G547" s="6"/>
      <c r="H547" s="6"/>
      <c r="I547" s="6"/>
      <c r="J547" s="6"/>
      <c r="K547" s="6"/>
      <c r="L547" s="6"/>
      <c r="M547" s="6"/>
      <c r="N547" s="6"/>
      <c r="O547" s="6"/>
      <c r="P547" s="6"/>
      <c r="Q547" s="6"/>
      <c r="R547" s="6"/>
      <c r="S547" s="6"/>
      <c r="T547" s="6"/>
      <c r="U547" s="6"/>
      <c r="V547" s="6"/>
      <c r="W547" s="6"/>
      <c r="X547" s="6"/>
    </row>
    <row r="548" customFormat="false" ht="12.75" hidden="false" customHeight="false" outlineLevel="0" collapsed="false">
      <c r="A548" s="13" t="s">
        <v>4</v>
      </c>
      <c r="B548" s="14" t="n">
        <v>93379.1901021376</v>
      </c>
      <c r="C548" s="6"/>
      <c r="D548" s="6"/>
      <c r="E548" s="6"/>
      <c r="F548" s="6"/>
      <c r="G548" s="6"/>
      <c r="H548" s="6"/>
      <c r="I548" s="6"/>
      <c r="J548" s="6"/>
      <c r="K548" s="6"/>
      <c r="L548" s="6"/>
      <c r="M548" s="6"/>
      <c r="N548" s="6"/>
      <c r="O548" s="6"/>
      <c r="P548" s="6"/>
      <c r="Q548" s="6"/>
      <c r="R548" s="6"/>
      <c r="S548" s="6"/>
      <c r="T548" s="6"/>
      <c r="U548" s="6"/>
      <c r="V548" s="6"/>
      <c r="W548" s="6"/>
      <c r="X548" s="6"/>
    </row>
    <row r="549" customFormat="false" ht="12.75" hidden="false" customHeight="false" outlineLevel="0" collapsed="false">
      <c r="A549" s="15" t="s">
        <v>5</v>
      </c>
      <c r="B549" s="16" t="s">
        <v>6</v>
      </c>
      <c r="C549" s="16" t="s">
        <v>7</v>
      </c>
      <c r="D549" s="17" t="n">
        <v>2000</v>
      </c>
      <c r="E549" s="18" t="n">
        <v>2001</v>
      </c>
      <c r="F549" s="18" t="n">
        <v>2002</v>
      </c>
      <c r="G549" s="18" t="n">
        <v>2003</v>
      </c>
      <c r="H549" s="18" t="n">
        <v>2004</v>
      </c>
      <c r="I549" s="18" t="n">
        <v>2005</v>
      </c>
      <c r="J549" s="18" t="n">
        <v>2006</v>
      </c>
      <c r="K549" s="18" t="n">
        <v>2007</v>
      </c>
      <c r="L549" s="18" t="n">
        <v>2008</v>
      </c>
      <c r="M549" s="18" t="n">
        <v>2009</v>
      </c>
      <c r="N549" s="19" t="n">
        <v>2010</v>
      </c>
      <c r="O549" s="20" t="n">
        <v>2011</v>
      </c>
      <c r="P549" s="20" t="n">
        <v>2012</v>
      </c>
      <c r="Q549" s="20" t="n">
        <v>2013</v>
      </c>
      <c r="R549" s="20" t="n">
        <v>2014</v>
      </c>
      <c r="S549" s="20" t="n">
        <v>2015</v>
      </c>
      <c r="T549" s="20" t="n">
        <v>2016</v>
      </c>
      <c r="U549" s="20" t="n">
        <v>2017</v>
      </c>
      <c r="V549" s="20" t="n">
        <v>2018</v>
      </c>
      <c r="W549" s="20" t="n">
        <v>2019</v>
      </c>
      <c r="X549" s="20" t="n">
        <v>2020</v>
      </c>
    </row>
    <row r="550" customFormat="false" ht="12.75" hidden="false" customHeight="false" outlineLevel="0" collapsed="false">
      <c r="A550" s="15" t="s">
        <v>8</v>
      </c>
      <c r="B550" s="21" t="n">
        <f aca="false">NPV(0.1,D550:Y550)</f>
        <v>457195.723123956</v>
      </c>
      <c r="C550" s="21" t="n">
        <f aca="false">B550-B540</f>
        <v>0</v>
      </c>
      <c r="D550" s="22" t="n">
        <v>25347.0563333333</v>
      </c>
      <c r="E550" s="23" t="n">
        <v>42007.48714</v>
      </c>
      <c r="F550" s="23" t="n">
        <v>42094.5212542</v>
      </c>
      <c r="G550" s="23" t="n">
        <v>50668.6576607134</v>
      </c>
      <c r="H550" s="23" t="n">
        <v>57743.8932614556</v>
      </c>
      <c r="I550" s="23" t="n">
        <v>58943.2220633393</v>
      </c>
      <c r="J550" s="23" t="n">
        <v>59552.4652887991</v>
      </c>
      <c r="K550" s="23" t="n">
        <v>60161.2038478084</v>
      </c>
      <c r="L550" s="23" t="n">
        <v>60768.859141477</v>
      </c>
      <c r="M550" s="23" t="n">
        <v>61374.8183091816</v>
      </c>
      <c r="N550" s="24" t="n">
        <v>61978.4326935999</v>
      </c>
      <c r="O550" s="25" t="n">
        <v>62579.0162444838</v>
      </c>
      <c r="P550" s="25" t="n">
        <v>63175.8438588753</v>
      </c>
      <c r="Q550" s="25" t="n">
        <v>62998.1681320966</v>
      </c>
      <c r="R550" s="25" t="n">
        <v>63562.0442111083</v>
      </c>
      <c r="S550" s="25" t="n">
        <v>64119.0441434205</v>
      </c>
      <c r="T550" s="25" t="n">
        <v>64668.2478717603</v>
      </c>
      <c r="U550" s="25" t="n">
        <v>65208.6863239502</v>
      </c>
      <c r="V550" s="25" t="n">
        <v>65739.3393000658</v>
      </c>
      <c r="W550" s="25" t="n">
        <v>65339.7350707632</v>
      </c>
      <c r="X550" s="25" t="n">
        <v>39294.5125998934</v>
      </c>
    </row>
    <row r="551" customFormat="false" ht="12.75" hidden="false" customHeight="false" outlineLevel="0" collapsed="false">
      <c r="A551" s="26" t="s">
        <v>9</v>
      </c>
      <c r="B551" s="21" t="n">
        <f aca="false">NPV(0.1,D551:Y551)</f>
        <v>204145.883321195</v>
      </c>
      <c r="C551" s="21" t="n">
        <f aca="false">B551-B541</f>
        <v>0</v>
      </c>
      <c r="D551" s="22" t="n">
        <v>13735.2718741324</v>
      </c>
      <c r="E551" s="23" t="n">
        <v>21850.0328500346</v>
      </c>
      <c r="F551" s="23" t="n">
        <v>22096.5325215937</v>
      </c>
      <c r="G551" s="23" t="n">
        <v>23413.6017414817</v>
      </c>
      <c r="H551" s="23" t="n">
        <v>24271.7891906064</v>
      </c>
      <c r="I551" s="23" t="n">
        <v>24506.5065548677</v>
      </c>
      <c r="J551" s="23" t="n">
        <v>24787.3007136647</v>
      </c>
      <c r="K551" s="23" t="n">
        <v>25095.8232853748</v>
      </c>
      <c r="L551" s="23" t="n">
        <v>25370.7030728464</v>
      </c>
      <c r="M551" s="23" t="n">
        <v>25576.1504759466</v>
      </c>
      <c r="N551" s="24" t="n">
        <v>25789.8109259936</v>
      </c>
      <c r="O551" s="25" t="n">
        <v>26181.5890083536</v>
      </c>
      <c r="P551" s="25" t="n">
        <v>26413.8963791851</v>
      </c>
      <c r="Q551" s="25" t="n">
        <v>26653.1729711416</v>
      </c>
      <c r="R551" s="25" t="n">
        <v>26899.6278608567</v>
      </c>
      <c r="S551" s="25" t="n">
        <v>27153.4763972634</v>
      </c>
      <c r="T551" s="25" t="n">
        <v>27414.9403897622</v>
      </c>
      <c r="U551" s="25" t="n">
        <v>27684.248302036</v>
      </c>
      <c r="V551" s="25" t="n">
        <v>27961.635451678</v>
      </c>
      <c r="W551" s="25" t="n">
        <v>28247.3442158092</v>
      </c>
      <c r="X551" s="25" t="n">
        <v>25770.4309987304</v>
      </c>
    </row>
    <row r="552" customFormat="false" ht="12.75" hidden="false" customHeight="false" outlineLevel="0" collapsed="false">
      <c r="A552" s="26" t="s">
        <v>10</v>
      </c>
      <c r="B552" s="21" t="n">
        <f aca="false">NPV(0.1,D552:Y552)</f>
        <v>96297.4660776046</v>
      </c>
      <c r="C552" s="21" t="n">
        <f aca="false">B552-B542</f>
        <v>0</v>
      </c>
      <c r="D552" s="22" t="n">
        <v>-310.839766736272</v>
      </c>
      <c r="E552" s="23" t="n">
        <v>3846.28803355772</v>
      </c>
      <c r="F552" s="23" t="n">
        <v>3946.85062036468</v>
      </c>
      <c r="G552" s="23" t="n">
        <v>8671.97749967094</v>
      </c>
      <c r="H552" s="23" t="n">
        <v>12795.4681475743</v>
      </c>
      <c r="I552" s="23" t="n">
        <v>13722.0586578391</v>
      </c>
      <c r="J552" s="23" t="n">
        <v>14228.6090093517</v>
      </c>
      <c r="K552" s="23" t="n">
        <v>14662.2068684139</v>
      </c>
      <c r="L552" s="23" t="n">
        <v>15115.540130414</v>
      </c>
      <c r="M552" s="23" t="n">
        <v>15770.7680041239</v>
      </c>
      <c r="N552" s="24" t="n">
        <v>16530.2783323242</v>
      </c>
      <c r="O552" s="25" t="n">
        <v>16777.8950205177</v>
      </c>
      <c r="P552" s="25" t="n">
        <v>17150.1587861725</v>
      </c>
      <c r="Q552" s="25" t="n">
        <v>17048.7461455416</v>
      </c>
      <c r="R552" s="25" t="n">
        <v>17392.4616142511</v>
      </c>
      <c r="S552" s="25" t="n">
        <v>17727.5276884995</v>
      </c>
      <c r="T552" s="25" t="n">
        <v>18053.2522450714</v>
      </c>
      <c r="U552" s="25" t="n">
        <v>18520.2253891137</v>
      </c>
      <c r="V552" s="25" t="n">
        <v>19036.8965270898</v>
      </c>
      <c r="W552" s="25" t="n">
        <v>19075.4535346767</v>
      </c>
      <c r="X552" s="25" t="n">
        <v>5330.58583562995</v>
      </c>
    </row>
    <row r="553" customFormat="false" ht="12.75" hidden="false" customHeight="false" outlineLevel="0" collapsed="false">
      <c r="A553" s="26" t="s">
        <v>11</v>
      </c>
      <c r="B553" s="21" t="n">
        <f aca="false">NPV(0.1,D553:Y553)</f>
        <v>110354.111594733</v>
      </c>
      <c r="C553" s="21" t="n">
        <f aca="false">B553-B543</f>
        <v>0</v>
      </c>
      <c r="D553" s="27" t="n">
        <v>-1958.91427372942</v>
      </c>
      <c r="E553" s="28" t="n">
        <v>6871.35101858997</v>
      </c>
      <c r="F553" s="28" t="n">
        <v>5347.28557782194</v>
      </c>
      <c r="G553" s="28" t="n">
        <v>11366.8826452859</v>
      </c>
      <c r="H553" s="28" t="n">
        <v>18435.7530636343</v>
      </c>
      <c r="I553" s="28" t="n">
        <v>16681.117623468</v>
      </c>
      <c r="J553" s="28" t="n">
        <v>16296.5467258578</v>
      </c>
      <c r="K553" s="28" t="n">
        <v>16782.6766597089</v>
      </c>
      <c r="L553" s="28" t="n">
        <v>13666.9879201821</v>
      </c>
      <c r="M553" s="28" t="n">
        <v>11897.2689773802</v>
      </c>
      <c r="N553" s="29" t="n">
        <v>21568.4861813766</v>
      </c>
      <c r="O553" s="25" t="n">
        <v>21389.7289183216</v>
      </c>
      <c r="P553" s="25" t="n">
        <v>21610.8839346238</v>
      </c>
      <c r="Q553" s="25" t="n">
        <v>21509.7259395271</v>
      </c>
      <c r="R553" s="25" t="n">
        <v>21866.9482195715</v>
      </c>
      <c r="S553" s="25" t="n">
        <v>20446.8194621474</v>
      </c>
      <c r="T553" s="25" t="n">
        <v>15926.8186406492</v>
      </c>
      <c r="U553" s="25" t="n">
        <v>15184.3132695281</v>
      </c>
      <c r="V553" s="25" t="n">
        <v>13876.3284627806</v>
      </c>
      <c r="W553" s="25" t="n">
        <v>12681.0752945685</v>
      </c>
      <c r="X553" s="25" t="n">
        <v>9006.49790332943</v>
      </c>
    </row>
    <row r="555" customFormat="false" ht="11.25" hidden="false" customHeight="false" outlineLevel="0" collapsed="false">
      <c r="A555" s="30" t="s">
        <v>66</v>
      </c>
    </row>
    <row r="556" customFormat="false" ht="11.25" hidden="false" customHeight="false" outlineLevel="0" collapsed="false">
      <c r="A556" s="34" t="n">
        <v>36388</v>
      </c>
    </row>
    <row r="557" customFormat="false" ht="12.75" hidden="false" customHeight="false" outlineLevel="0" collapsed="false">
      <c r="A557" s="11" t="s">
        <v>3</v>
      </c>
      <c r="B557" s="12" t="n">
        <v>53261.7571844616</v>
      </c>
      <c r="C557" s="6"/>
      <c r="D557" s="6"/>
      <c r="E557" s="6"/>
      <c r="F557" s="6"/>
      <c r="G557" s="6"/>
      <c r="H557" s="6"/>
      <c r="I557" s="6"/>
      <c r="J557" s="6"/>
      <c r="K557" s="6"/>
      <c r="L557" s="6"/>
      <c r="M557" s="6"/>
      <c r="N557" s="6"/>
      <c r="O557" s="6"/>
      <c r="P557" s="6"/>
      <c r="Q557" s="6"/>
      <c r="R557" s="6"/>
      <c r="S557" s="6"/>
      <c r="T557" s="6"/>
      <c r="U557" s="6"/>
      <c r="V557" s="6"/>
      <c r="W557" s="6"/>
      <c r="X557" s="6"/>
    </row>
    <row r="558" customFormat="false" ht="12.75" hidden="false" customHeight="false" outlineLevel="0" collapsed="false">
      <c r="A558" s="13" t="s">
        <v>4</v>
      </c>
      <c r="B558" s="14" t="n">
        <v>94484.9759125373</v>
      </c>
      <c r="C558" s="6"/>
      <c r="D558" s="6"/>
      <c r="E558" s="6"/>
      <c r="F558" s="6"/>
      <c r="G558" s="6"/>
      <c r="H558" s="6"/>
      <c r="I558" s="6"/>
      <c r="J558" s="6"/>
      <c r="K558" s="6"/>
      <c r="L558" s="6"/>
      <c r="M558" s="6"/>
      <c r="N558" s="6"/>
      <c r="O558" s="6"/>
      <c r="P558" s="6"/>
      <c r="Q558" s="6"/>
      <c r="R558" s="6"/>
      <c r="S558" s="6"/>
      <c r="T558" s="6"/>
      <c r="U558" s="6"/>
      <c r="V558" s="6"/>
      <c r="W558" s="6"/>
      <c r="X558" s="6"/>
    </row>
    <row r="559" customFormat="false" ht="12.75" hidden="false" customHeight="false" outlineLevel="0" collapsed="false">
      <c r="A559" s="15" t="s">
        <v>5</v>
      </c>
      <c r="B559" s="16" t="s">
        <v>6</v>
      </c>
      <c r="C559" s="16" t="s">
        <v>7</v>
      </c>
      <c r="D559" s="17" t="n">
        <v>2000</v>
      </c>
      <c r="E559" s="18" t="n">
        <v>2001</v>
      </c>
      <c r="F559" s="18" t="n">
        <v>2002</v>
      </c>
      <c r="G559" s="18" t="n">
        <v>2003</v>
      </c>
      <c r="H559" s="18" t="n">
        <v>2004</v>
      </c>
      <c r="I559" s="18" t="n">
        <v>2005</v>
      </c>
      <c r="J559" s="18" t="n">
        <v>2006</v>
      </c>
      <c r="K559" s="18" t="n">
        <v>2007</v>
      </c>
      <c r="L559" s="18" t="n">
        <v>2008</v>
      </c>
      <c r="M559" s="18" t="n">
        <v>2009</v>
      </c>
      <c r="N559" s="19" t="n">
        <v>2010</v>
      </c>
      <c r="O559" s="20" t="n">
        <v>2011</v>
      </c>
      <c r="P559" s="20" t="n">
        <v>2012</v>
      </c>
      <c r="Q559" s="20" t="n">
        <v>2013</v>
      </c>
      <c r="R559" s="20" t="n">
        <v>2014</v>
      </c>
      <c r="S559" s="20" t="n">
        <v>2015</v>
      </c>
      <c r="T559" s="20" t="n">
        <v>2016</v>
      </c>
      <c r="U559" s="20" t="n">
        <v>2017</v>
      </c>
      <c r="V559" s="20" t="n">
        <v>2018</v>
      </c>
      <c r="W559" s="20" t="n">
        <v>2019</v>
      </c>
      <c r="X559" s="20" t="n">
        <v>2020</v>
      </c>
    </row>
    <row r="560" customFormat="false" ht="12.75" hidden="false" customHeight="false" outlineLevel="0" collapsed="false">
      <c r="A560" s="15" t="s">
        <v>8</v>
      </c>
      <c r="B560" s="21" t="n">
        <f aca="false">NPV(0.1,D560:Y560)</f>
        <v>457195.723123956</v>
      </c>
      <c r="C560" s="21" t="n">
        <f aca="false">B560-B550</f>
        <v>0</v>
      </c>
      <c r="D560" s="22" t="n">
        <v>25347.0563333333</v>
      </c>
      <c r="E560" s="23" t="n">
        <v>42007.48714</v>
      </c>
      <c r="F560" s="23" t="n">
        <v>42094.5212542</v>
      </c>
      <c r="G560" s="23" t="n">
        <v>50668.6576607134</v>
      </c>
      <c r="H560" s="23" t="n">
        <v>57743.8932614556</v>
      </c>
      <c r="I560" s="23" t="n">
        <v>58943.2220633393</v>
      </c>
      <c r="J560" s="23" t="n">
        <v>59552.4652887991</v>
      </c>
      <c r="K560" s="23" t="n">
        <v>60161.2038478084</v>
      </c>
      <c r="L560" s="23" t="n">
        <v>60768.859141477</v>
      </c>
      <c r="M560" s="23" t="n">
        <v>61374.8183091816</v>
      </c>
      <c r="N560" s="24" t="n">
        <v>61978.4326935999</v>
      </c>
      <c r="O560" s="25" t="n">
        <v>62579.0162444838</v>
      </c>
      <c r="P560" s="25" t="n">
        <v>63175.8438588753</v>
      </c>
      <c r="Q560" s="25" t="n">
        <v>62998.1681320966</v>
      </c>
      <c r="R560" s="25" t="n">
        <v>63562.0442111083</v>
      </c>
      <c r="S560" s="25" t="n">
        <v>64119.0441434205</v>
      </c>
      <c r="T560" s="25" t="n">
        <v>64668.2478717603</v>
      </c>
      <c r="U560" s="25" t="n">
        <v>65208.6863239502</v>
      </c>
      <c r="V560" s="25" t="n">
        <v>65739.3393000658</v>
      </c>
      <c r="W560" s="25" t="n">
        <v>65339.7350707632</v>
      </c>
      <c r="X560" s="25" t="n">
        <v>39294.5125998934</v>
      </c>
    </row>
    <row r="561" customFormat="false" ht="12.75" hidden="false" customHeight="false" outlineLevel="0" collapsed="false">
      <c r="A561" s="26" t="s">
        <v>9</v>
      </c>
      <c r="B561" s="21" t="n">
        <f aca="false">NPV(0.1,D561:Y561)</f>
        <v>204145.883321195</v>
      </c>
      <c r="C561" s="21" t="n">
        <f aca="false">B561-B551</f>
        <v>0</v>
      </c>
      <c r="D561" s="22" t="n">
        <v>13735.2718741324</v>
      </c>
      <c r="E561" s="23" t="n">
        <v>21850.0328500346</v>
      </c>
      <c r="F561" s="23" t="n">
        <v>22096.5325215937</v>
      </c>
      <c r="G561" s="23" t="n">
        <v>23413.6017414817</v>
      </c>
      <c r="H561" s="23" t="n">
        <v>24271.7891906064</v>
      </c>
      <c r="I561" s="23" t="n">
        <v>24506.5065548677</v>
      </c>
      <c r="J561" s="23" t="n">
        <v>24787.3007136647</v>
      </c>
      <c r="K561" s="23" t="n">
        <v>25095.8232853748</v>
      </c>
      <c r="L561" s="23" t="n">
        <v>25370.7030728464</v>
      </c>
      <c r="M561" s="23" t="n">
        <v>25576.1504759466</v>
      </c>
      <c r="N561" s="24" t="n">
        <v>25789.8109259936</v>
      </c>
      <c r="O561" s="25" t="n">
        <v>26181.5890083536</v>
      </c>
      <c r="P561" s="25" t="n">
        <v>26413.8963791851</v>
      </c>
      <c r="Q561" s="25" t="n">
        <v>26653.1729711416</v>
      </c>
      <c r="R561" s="25" t="n">
        <v>26899.6278608567</v>
      </c>
      <c r="S561" s="25" t="n">
        <v>27153.4763972634</v>
      </c>
      <c r="T561" s="25" t="n">
        <v>27414.9403897622</v>
      </c>
      <c r="U561" s="25" t="n">
        <v>27684.248302036</v>
      </c>
      <c r="V561" s="25" t="n">
        <v>27961.635451678</v>
      </c>
      <c r="W561" s="25" t="n">
        <v>28247.3442158092</v>
      </c>
      <c r="X561" s="25" t="n">
        <v>25770.4309987304</v>
      </c>
    </row>
    <row r="562" customFormat="false" ht="12.75" hidden="false" customHeight="false" outlineLevel="0" collapsed="false">
      <c r="A562" s="26" t="s">
        <v>10</v>
      </c>
      <c r="B562" s="21" t="n">
        <f aca="false">NPV(0.1,D562:Y562)</f>
        <v>94588.8354664191</v>
      </c>
      <c r="C562" s="21" t="n">
        <f aca="false">B562-B552</f>
        <v>-1708.63061118549</v>
      </c>
      <c r="D562" s="22" t="n">
        <v>-443.135624315075</v>
      </c>
      <c r="E562" s="23" t="n">
        <v>3569.85758180521</v>
      </c>
      <c r="F562" s="23" t="n">
        <v>3673.07381740617</v>
      </c>
      <c r="G562" s="23" t="n">
        <v>8413.12207771292</v>
      </c>
      <c r="H562" s="23" t="n">
        <v>12544.4022591979</v>
      </c>
      <c r="I562" s="23" t="n">
        <v>13481.5976446611</v>
      </c>
      <c r="J562" s="23" t="n">
        <v>13998.3817283271</v>
      </c>
      <c r="K562" s="23" t="n">
        <v>14443.3232190795</v>
      </c>
      <c r="L562" s="23" t="n">
        <v>14908.00011277</v>
      </c>
      <c r="M562" s="23" t="n">
        <v>15579.8019784122</v>
      </c>
      <c r="N562" s="24" t="n">
        <v>16360.5392358153</v>
      </c>
      <c r="O562" s="25" t="n">
        <v>16616.3069526064</v>
      </c>
      <c r="P562" s="25" t="n">
        <v>16998.7595040081</v>
      </c>
      <c r="Q562" s="25" t="n">
        <v>16907.5356491241</v>
      </c>
      <c r="R562" s="25" t="n">
        <v>17261.4399035806</v>
      </c>
      <c r="S562" s="25" t="n">
        <v>17606.6947635759</v>
      </c>
      <c r="T562" s="25" t="n">
        <v>17942.6081058948</v>
      </c>
      <c r="U562" s="25" t="n">
        <v>18429.958821431</v>
      </c>
      <c r="V562" s="25" t="n">
        <v>18971.0830451998</v>
      </c>
      <c r="W562" s="25" t="n">
        <v>19040.2064100275</v>
      </c>
      <c r="X562" s="25" t="n">
        <v>5329.98058252045</v>
      </c>
    </row>
    <row r="563" customFormat="false" ht="12.75" hidden="false" customHeight="false" outlineLevel="0" collapsed="false">
      <c r="A563" s="26" t="s">
        <v>11</v>
      </c>
      <c r="B563" s="21" t="n">
        <f aca="false">NPV(0.1,D563:Y563)</f>
        <v>106559.130013172</v>
      </c>
      <c r="C563" s="21" t="n">
        <f aca="false">B563-B553</f>
        <v>-3794.98158156122</v>
      </c>
      <c r="D563" s="27" t="n">
        <v>-2232.79739874193</v>
      </c>
      <c r="E563" s="28" t="n">
        <v>6220.46513968878</v>
      </c>
      <c r="F563" s="28" t="n">
        <v>4789.74670394144</v>
      </c>
      <c r="G563" s="28" t="n">
        <v>10760.2795776723</v>
      </c>
      <c r="H563" s="28" t="n">
        <v>18555.396767019</v>
      </c>
      <c r="I563" s="28" t="n">
        <v>16231.3329612269</v>
      </c>
      <c r="J563" s="28" t="n">
        <v>15814.3721977413</v>
      </c>
      <c r="K563" s="28" t="n">
        <v>16312.4912967635</v>
      </c>
      <c r="L563" s="28" t="n">
        <v>13093.3740386869</v>
      </c>
      <c r="M563" s="28" t="n">
        <v>11241.8513900533</v>
      </c>
      <c r="N563" s="29" t="n">
        <v>21224.0376357503</v>
      </c>
      <c r="O563" s="25" t="n">
        <v>21012.2828896735</v>
      </c>
      <c r="P563" s="25" t="n">
        <v>21244.2040801376</v>
      </c>
      <c r="Q563" s="25" t="n">
        <v>21153.8148154236</v>
      </c>
      <c r="R563" s="25" t="n">
        <v>21521.8032696298</v>
      </c>
      <c r="S563" s="25" t="n">
        <v>20112.0649219027</v>
      </c>
      <c r="T563" s="25" t="n">
        <v>15394.3908953514</v>
      </c>
      <c r="U563" s="25" t="n">
        <v>14590.1949828749</v>
      </c>
      <c r="V563" s="25" t="n">
        <v>13183.2138927309</v>
      </c>
      <c r="W563" s="25" t="n">
        <v>11937.0376354356</v>
      </c>
      <c r="X563" s="25" t="n">
        <v>9006.48587207243</v>
      </c>
    </row>
    <row r="565" customFormat="false" ht="11.25" hidden="false" customHeight="false" outlineLevel="0" collapsed="false">
      <c r="A565" s="30" t="s">
        <v>67</v>
      </c>
    </row>
    <row r="566" customFormat="false" ht="11.25" hidden="false" customHeight="false" outlineLevel="0" collapsed="false">
      <c r="A566" s="34" t="n">
        <v>36388</v>
      </c>
    </row>
    <row r="567" customFormat="false" ht="12.75" hidden="false" customHeight="false" outlineLevel="0" collapsed="false">
      <c r="A567" s="11" t="s">
        <v>3</v>
      </c>
      <c r="B567" s="12" t="n">
        <v>48205.1864567405</v>
      </c>
      <c r="C567" s="6"/>
      <c r="D567" s="6"/>
      <c r="E567" s="6"/>
      <c r="F567" s="6"/>
      <c r="G567" s="6"/>
      <c r="H567" s="6"/>
      <c r="I567" s="6"/>
      <c r="J567" s="6"/>
      <c r="K567" s="6"/>
      <c r="L567" s="6"/>
      <c r="M567" s="6"/>
      <c r="N567" s="6"/>
      <c r="O567" s="6"/>
      <c r="P567" s="6"/>
      <c r="Q567" s="6"/>
      <c r="R567" s="6"/>
      <c r="S567" s="6"/>
      <c r="T567" s="6"/>
      <c r="U567" s="6"/>
      <c r="V567" s="6"/>
      <c r="W567" s="6"/>
      <c r="X567" s="6"/>
    </row>
    <row r="568" customFormat="false" ht="12.75" hidden="false" customHeight="false" outlineLevel="0" collapsed="false">
      <c r="A568" s="13" t="s">
        <v>4</v>
      </c>
      <c r="B568" s="14" t="n">
        <v>89428.4051848162</v>
      </c>
      <c r="C568" s="6"/>
      <c r="D568" s="6"/>
      <c r="E568" s="6"/>
      <c r="F568" s="6"/>
      <c r="G568" s="6"/>
      <c r="H568" s="6"/>
      <c r="I568" s="6"/>
      <c r="J568" s="6"/>
      <c r="K568" s="6"/>
      <c r="L568" s="6"/>
      <c r="M568" s="6"/>
      <c r="N568" s="6"/>
      <c r="O568" s="6"/>
      <c r="P568" s="6"/>
      <c r="Q568" s="6"/>
      <c r="R568" s="6"/>
      <c r="S568" s="6"/>
      <c r="T568" s="6"/>
      <c r="U568" s="6"/>
      <c r="V568" s="6"/>
      <c r="W568" s="6"/>
      <c r="X568" s="6"/>
    </row>
    <row r="569" customFormat="false" ht="12.75" hidden="false" customHeight="false" outlineLevel="0" collapsed="false">
      <c r="A569" s="15" t="s">
        <v>5</v>
      </c>
      <c r="B569" s="16" t="s">
        <v>6</v>
      </c>
      <c r="C569" s="16" t="s">
        <v>7</v>
      </c>
      <c r="D569" s="17" t="n">
        <v>2000</v>
      </c>
      <c r="E569" s="18" t="n">
        <v>2001</v>
      </c>
      <c r="F569" s="18" t="n">
        <v>2002</v>
      </c>
      <c r="G569" s="18" t="n">
        <v>2003</v>
      </c>
      <c r="H569" s="18" t="n">
        <v>2004</v>
      </c>
      <c r="I569" s="18" t="n">
        <v>2005</v>
      </c>
      <c r="J569" s="18" t="n">
        <v>2006</v>
      </c>
      <c r="K569" s="18" t="n">
        <v>2007</v>
      </c>
      <c r="L569" s="18" t="n">
        <v>2008</v>
      </c>
      <c r="M569" s="18" t="n">
        <v>2009</v>
      </c>
      <c r="N569" s="19" t="n">
        <v>2010</v>
      </c>
      <c r="O569" s="20" t="n">
        <v>2011</v>
      </c>
      <c r="P569" s="20" t="n">
        <v>2012</v>
      </c>
      <c r="Q569" s="20" t="n">
        <v>2013</v>
      </c>
      <c r="R569" s="20" t="n">
        <v>2014</v>
      </c>
      <c r="S569" s="20" t="n">
        <v>2015</v>
      </c>
      <c r="T569" s="20" t="n">
        <v>2016</v>
      </c>
      <c r="U569" s="20" t="n">
        <v>2017</v>
      </c>
      <c r="V569" s="20" t="n">
        <v>2018</v>
      </c>
      <c r="W569" s="20" t="n">
        <v>2019</v>
      </c>
      <c r="X569" s="20" t="n">
        <v>2020</v>
      </c>
    </row>
    <row r="570" customFormat="false" ht="12.75" hidden="false" customHeight="false" outlineLevel="0" collapsed="false">
      <c r="A570" s="15" t="s">
        <v>8</v>
      </c>
      <c r="B570" s="21" t="n">
        <f aca="false">NPV(0.1,D570:Y570)</f>
        <v>457195.723123956</v>
      </c>
      <c r="C570" s="21" t="n">
        <f aca="false">B570-B560</f>
        <v>0</v>
      </c>
      <c r="D570" s="22" t="n">
        <v>25347.0563333333</v>
      </c>
      <c r="E570" s="23" t="n">
        <v>42007.48714</v>
      </c>
      <c r="F570" s="23" t="n">
        <v>42094.5212542</v>
      </c>
      <c r="G570" s="23" t="n">
        <v>50668.6576607134</v>
      </c>
      <c r="H570" s="23" t="n">
        <v>57743.8932614556</v>
      </c>
      <c r="I570" s="23" t="n">
        <v>58943.2220633393</v>
      </c>
      <c r="J570" s="23" t="n">
        <v>59552.4652887991</v>
      </c>
      <c r="K570" s="23" t="n">
        <v>60161.2038478084</v>
      </c>
      <c r="L570" s="23" t="n">
        <v>60768.859141477</v>
      </c>
      <c r="M570" s="23" t="n">
        <v>61374.8183091816</v>
      </c>
      <c r="N570" s="24" t="n">
        <v>61978.4326935999</v>
      </c>
      <c r="O570" s="25" t="n">
        <v>62579.0162444838</v>
      </c>
      <c r="P570" s="25" t="n">
        <v>63175.8438588753</v>
      </c>
      <c r="Q570" s="25" t="n">
        <v>62998.1681320966</v>
      </c>
      <c r="R570" s="25" t="n">
        <v>63562.0442111083</v>
      </c>
      <c r="S570" s="25" t="n">
        <v>64119.0441434205</v>
      </c>
      <c r="T570" s="25" t="n">
        <v>64668.2478717603</v>
      </c>
      <c r="U570" s="25" t="n">
        <v>65208.6863239502</v>
      </c>
      <c r="V570" s="25" t="n">
        <v>65739.3393000658</v>
      </c>
      <c r="W570" s="25" t="n">
        <v>65339.7350707632</v>
      </c>
      <c r="X570" s="25" t="n">
        <v>39294.5125998934</v>
      </c>
    </row>
    <row r="571" customFormat="false" ht="12.75" hidden="false" customHeight="false" outlineLevel="0" collapsed="false">
      <c r="A571" s="26" t="s">
        <v>9</v>
      </c>
      <c r="B571" s="21" t="n">
        <f aca="false">NPV(0.1,D571:Y571)</f>
        <v>204145.883321195</v>
      </c>
      <c r="C571" s="21" t="n">
        <f aca="false">B571-B561</f>
        <v>0</v>
      </c>
      <c r="D571" s="22" t="n">
        <v>13735.2718741324</v>
      </c>
      <c r="E571" s="23" t="n">
        <v>21850.0328500346</v>
      </c>
      <c r="F571" s="23" t="n">
        <v>22096.5325215937</v>
      </c>
      <c r="G571" s="23" t="n">
        <v>23413.6017414817</v>
      </c>
      <c r="H571" s="23" t="n">
        <v>24271.7891906064</v>
      </c>
      <c r="I571" s="23" t="n">
        <v>24506.5065548677</v>
      </c>
      <c r="J571" s="23" t="n">
        <v>24787.3007136647</v>
      </c>
      <c r="K571" s="23" t="n">
        <v>25095.8232853748</v>
      </c>
      <c r="L571" s="23" t="n">
        <v>25370.7030728464</v>
      </c>
      <c r="M571" s="23" t="n">
        <v>25576.1504759466</v>
      </c>
      <c r="N571" s="24" t="n">
        <v>25789.8109259936</v>
      </c>
      <c r="O571" s="25" t="n">
        <v>26181.5890083536</v>
      </c>
      <c r="P571" s="25" t="n">
        <v>26413.8963791851</v>
      </c>
      <c r="Q571" s="25" t="n">
        <v>26653.1729711416</v>
      </c>
      <c r="R571" s="25" t="n">
        <v>26899.6278608567</v>
      </c>
      <c r="S571" s="25" t="n">
        <v>27153.4763972634</v>
      </c>
      <c r="T571" s="25" t="n">
        <v>27414.9403897622</v>
      </c>
      <c r="U571" s="25" t="n">
        <v>27684.248302036</v>
      </c>
      <c r="V571" s="25" t="n">
        <v>27961.635451678</v>
      </c>
      <c r="W571" s="25" t="n">
        <v>28247.3442158092</v>
      </c>
      <c r="X571" s="25" t="n">
        <v>25770.4309987304</v>
      </c>
    </row>
    <row r="572" customFormat="false" ht="12.75" hidden="false" customHeight="false" outlineLevel="0" collapsed="false">
      <c r="A572" s="26" t="s">
        <v>10</v>
      </c>
      <c r="B572" s="21" t="n">
        <f aca="false">NPV(0.1,D572:Y572)</f>
        <v>94588.8354664191</v>
      </c>
      <c r="C572" s="21" t="n">
        <f aca="false">B572-B562</f>
        <v>0</v>
      </c>
      <c r="D572" s="22" t="n">
        <v>-443.135624315075</v>
      </c>
      <c r="E572" s="23" t="n">
        <v>3569.85758180521</v>
      </c>
      <c r="F572" s="23" t="n">
        <v>3673.07381740617</v>
      </c>
      <c r="G572" s="23" t="n">
        <v>8413.12207771292</v>
      </c>
      <c r="H572" s="23" t="n">
        <v>12544.4022591979</v>
      </c>
      <c r="I572" s="23" t="n">
        <v>13481.5976446611</v>
      </c>
      <c r="J572" s="23" t="n">
        <v>13998.3817283271</v>
      </c>
      <c r="K572" s="23" t="n">
        <v>14443.3232190795</v>
      </c>
      <c r="L572" s="23" t="n">
        <v>14908.00011277</v>
      </c>
      <c r="M572" s="23" t="n">
        <v>15579.8019784122</v>
      </c>
      <c r="N572" s="24" t="n">
        <v>16360.5392358153</v>
      </c>
      <c r="O572" s="25" t="n">
        <v>16616.3069526064</v>
      </c>
      <c r="P572" s="25" t="n">
        <v>16998.7595040081</v>
      </c>
      <c r="Q572" s="25" t="n">
        <v>16907.5356491241</v>
      </c>
      <c r="R572" s="25" t="n">
        <v>17261.4399035806</v>
      </c>
      <c r="S572" s="25" t="n">
        <v>17606.6947635759</v>
      </c>
      <c r="T572" s="25" t="n">
        <v>17942.6081058948</v>
      </c>
      <c r="U572" s="25" t="n">
        <v>18429.958821431</v>
      </c>
      <c r="V572" s="25" t="n">
        <v>18971.0830451998</v>
      </c>
      <c r="W572" s="25" t="n">
        <v>19040.2064100275</v>
      </c>
      <c r="X572" s="25" t="n">
        <v>5329.98058252045</v>
      </c>
    </row>
    <row r="573" customFormat="false" ht="12.75" hidden="false" customHeight="false" outlineLevel="0" collapsed="false">
      <c r="A573" s="26" t="s">
        <v>11</v>
      </c>
      <c r="B573" s="21" t="n">
        <f aca="false">NPV(0.1,D573:Y573)</f>
        <v>100834.35926134</v>
      </c>
      <c r="C573" s="21" t="n">
        <f aca="false">B573-B563</f>
        <v>-5724.77075183255</v>
      </c>
      <c r="D573" s="27" t="n">
        <v>-2421.13762474193</v>
      </c>
      <c r="E573" s="28" t="n">
        <v>5914.93149400878</v>
      </c>
      <c r="F573" s="28" t="n">
        <v>4483.16864889104</v>
      </c>
      <c r="G573" s="28" t="n">
        <v>10282.4609012466</v>
      </c>
      <c r="H573" s="28" t="n">
        <v>17842.9442875857</v>
      </c>
      <c r="I573" s="28" t="n">
        <v>15465.6529814082</v>
      </c>
      <c r="J573" s="28" t="n">
        <v>15019.3417479574</v>
      </c>
      <c r="K573" s="28" t="n">
        <v>15492.1906378665</v>
      </c>
      <c r="L573" s="28" t="n">
        <v>12246.6823092387</v>
      </c>
      <c r="M573" s="28" t="n">
        <v>10357.0050403231</v>
      </c>
      <c r="N573" s="29" t="n">
        <v>20294.8497396211</v>
      </c>
      <c r="O573" s="25" t="n">
        <v>20068.5688056701</v>
      </c>
      <c r="P573" s="25" t="n">
        <v>20278.7688122243</v>
      </c>
      <c r="Q573" s="25" t="n">
        <v>20193.5605565575</v>
      </c>
      <c r="R573" s="25" t="n">
        <v>20541.4492117968</v>
      </c>
      <c r="S573" s="25" t="n">
        <v>19112.1023027403</v>
      </c>
      <c r="T573" s="25" t="n">
        <v>14375.3502612573</v>
      </c>
      <c r="U573" s="25" t="n">
        <v>13543.4755308935</v>
      </c>
      <c r="V573" s="25" t="n">
        <v>12105.7615858123</v>
      </c>
      <c r="W573" s="25" t="n">
        <v>10855.65950474</v>
      </c>
      <c r="X573" s="25" t="n">
        <v>8703.77253405239</v>
      </c>
    </row>
    <row r="576" customFormat="false" ht="11.25" hidden="false" customHeight="false" outlineLevel="0" collapsed="false">
      <c r="A576" s="39" t="n">
        <v>57</v>
      </c>
    </row>
    <row r="577" customFormat="false" ht="11.25" hidden="false" customHeight="false" outlineLevel="0" collapsed="false">
      <c r="A577" s="34" t="n">
        <v>36388</v>
      </c>
    </row>
    <row r="578" customFormat="false" ht="12.75" hidden="false" customHeight="false" outlineLevel="0" collapsed="false">
      <c r="A578" s="11" t="s">
        <v>3</v>
      </c>
      <c r="B578" s="12" t="n">
        <v>47953.3250483839</v>
      </c>
      <c r="C578" s="6"/>
      <c r="D578" s="6"/>
      <c r="E578" s="6"/>
      <c r="F578" s="6"/>
      <c r="G578" s="6"/>
      <c r="H578" s="6"/>
      <c r="I578" s="6"/>
      <c r="J578" s="6"/>
      <c r="K578" s="6"/>
      <c r="L578" s="6"/>
      <c r="M578" s="6"/>
      <c r="N578" s="6"/>
      <c r="O578" s="6"/>
      <c r="P578" s="6"/>
      <c r="Q578" s="6"/>
      <c r="R578" s="6"/>
      <c r="S578" s="6"/>
      <c r="T578" s="6"/>
      <c r="U578" s="6"/>
      <c r="V578" s="6"/>
      <c r="W578" s="6"/>
      <c r="X578" s="6"/>
    </row>
    <row r="579" customFormat="false" ht="12.75" hidden="false" customHeight="false" outlineLevel="0" collapsed="false">
      <c r="A579" s="13" t="s">
        <v>4</v>
      </c>
      <c r="B579" s="14" t="n">
        <v>89053.6634868952</v>
      </c>
      <c r="C579" s="6"/>
      <c r="D579" s="6"/>
      <c r="E579" s="6"/>
      <c r="F579" s="6"/>
      <c r="G579" s="6"/>
      <c r="H579" s="6"/>
      <c r="I579" s="6"/>
      <c r="J579" s="6"/>
      <c r="K579" s="6"/>
      <c r="L579" s="6"/>
      <c r="M579" s="6"/>
      <c r="N579" s="6"/>
      <c r="O579" s="6"/>
      <c r="P579" s="6"/>
      <c r="Q579" s="6"/>
      <c r="R579" s="6"/>
      <c r="S579" s="6"/>
      <c r="T579" s="6"/>
      <c r="U579" s="6"/>
      <c r="V579" s="6"/>
      <c r="W579" s="6"/>
      <c r="X579" s="6"/>
    </row>
    <row r="580" customFormat="false" ht="12.75" hidden="false" customHeight="false" outlineLevel="0" collapsed="false">
      <c r="A580" s="15" t="s">
        <v>5</v>
      </c>
      <c r="B580" s="16" t="s">
        <v>6</v>
      </c>
      <c r="C580" s="16" t="s">
        <v>7</v>
      </c>
      <c r="D580" s="17" t="n">
        <v>2000</v>
      </c>
      <c r="E580" s="18" t="n">
        <v>2001</v>
      </c>
      <c r="F580" s="18" t="n">
        <v>2002</v>
      </c>
      <c r="G580" s="18" t="n">
        <v>2003</v>
      </c>
      <c r="H580" s="18" t="n">
        <v>2004</v>
      </c>
      <c r="I580" s="18" t="n">
        <v>2005</v>
      </c>
      <c r="J580" s="18" t="n">
        <v>2006</v>
      </c>
      <c r="K580" s="18" t="n">
        <v>2007</v>
      </c>
      <c r="L580" s="18" t="n">
        <v>2008</v>
      </c>
      <c r="M580" s="18" t="n">
        <v>2009</v>
      </c>
      <c r="N580" s="19" t="n">
        <v>2010</v>
      </c>
      <c r="O580" s="20" t="n">
        <v>2011</v>
      </c>
      <c r="P580" s="20" t="n">
        <v>2012</v>
      </c>
      <c r="Q580" s="20" t="n">
        <v>2013</v>
      </c>
      <c r="R580" s="20" t="n">
        <v>2014</v>
      </c>
      <c r="S580" s="20" t="n">
        <v>2015</v>
      </c>
      <c r="T580" s="20" t="n">
        <v>2016</v>
      </c>
      <c r="U580" s="20" t="n">
        <v>2017</v>
      </c>
      <c r="V580" s="20" t="n">
        <v>2018</v>
      </c>
      <c r="W580" s="20" t="n">
        <v>2019</v>
      </c>
      <c r="X580" s="20" t="n">
        <v>2020</v>
      </c>
    </row>
    <row r="581" customFormat="false" ht="12.75" hidden="false" customHeight="false" outlineLevel="0" collapsed="false">
      <c r="A581" s="15" t="s">
        <v>8</v>
      </c>
      <c r="B581" s="21" t="n">
        <f aca="false">NPV(0.1,D581:Y581)</f>
        <v>457195.723123956</v>
      </c>
      <c r="C581" s="21" t="n">
        <f aca="false">B581-B570</f>
        <v>0</v>
      </c>
      <c r="D581" s="22" t="n">
        <v>25347.0563333333</v>
      </c>
      <c r="E581" s="23" t="n">
        <v>42007.48714</v>
      </c>
      <c r="F581" s="23" t="n">
        <v>42094.5212542</v>
      </c>
      <c r="G581" s="23" t="n">
        <v>50668.6576607134</v>
      </c>
      <c r="H581" s="23" t="n">
        <v>57743.8932614556</v>
      </c>
      <c r="I581" s="23" t="n">
        <v>58943.2220633393</v>
      </c>
      <c r="J581" s="23" t="n">
        <v>59552.4652887991</v>
      </c>
      <c r="K581" s="23" t="n">
        <v>60161.2038478084</v>
      </c>
      <c r="L581" s="23" t="n">
        <v>60768.859141477</v>
      </c>
      <c r="M581" s="23" t="n">
        <v>61374.8183091816</v>
      </c>
      <c r="N581" s="24" t="n">
        <v>61978.4326935999</v>
      </c>
      <c r="O581" s="25" t="n">
        <v>62579.0162444838</v>
      </c>
      <c r="P581" s="25" t="n">
        <v>63175.8438588753</v>
      </c>
      <c r="Q581" s="25" t="n">
        <v>62998.1681320966</v>
      </c>
      <c r="R581" s="25" t="n">
        <v>63562.0442111083</v>
      </c>
      <c r="S581" s="25" t="n">
        <v>64119.0441434205</v>
      </c>
      <c r="T581" s="25" t="n">
        <v>64668.2478717603</v>
      </c>
      <c r="U581" s="25" t="n">
        <v>65208.6863239502</v>
      </c>
      <c r="V581" s="25" t="n">
        <v>65739.3393000658</v>
      </c>
      <c r="W581" s="25" t="n">
        <v>65339.7350707632</v>
      </c>
      <c r="X581" s="25" t="n">
        <v>39294.5125998934</v>
      </c>
    </row>
    <row r="582" customFormat="false" ht="12.75" hidden="false" customHeight="false" outlineLevel="0" collapsed="false">
      <c r="A582" s="26" t="s">
        <v>9</v>
      </c>
      <c r="B582" s="21" t="n">
        <f aca="false">NPV(0.1,D582:Y582)</f>
        <v>204145.883321195</v>
      </c>
      <c r="C582" s="21" t="n">
        <f aca="false">B582-B571</f>
        <v>0</v>
      </c>
      <c r="D582" s="22" t="n">
        <v>13735.2718741324</v>
      </c>
      <c r="E582" s="23" t="n">
        <v>21850.0328500346</v>
      </c>
      <c r="F582" s="23" t="n">
        <v>22096.5325215937</v>
      </c>
      <c r="G582" s="23" t="n">
        <v>23413.6017414817</v>
      </c>
      <c r="H582" s="23" t="n">
        <v>24271.7891906064</v>
      </c>
      <c r="I582" s="23" t="n">
        <v>24506.5065548677</v>
      </c>
      <c r="J582" s="23" t="n">
        <v>24787.3007136647</v>
      </c>
      <c r="K582" s="23" t="n">
        <v>25095.8232853748</v>
      </c>
      <c r="L582" s="23" t="n">
        <v>25370.7030728464</v>
      </c>
      <c r="M582" s="23" t="n">
        <v>25576.1504759466</v>
      </c>
      <c r="N582" s="24" t="n">
        <v>25789.8109259936</v>
      </c>
      <c r="O582" s="25" t="n">
        <v>26181.5890083536</v>
      </c>
      <c r="P582" s="25" t="n">
        <v>26413.8963791851</v>
      </c>
      <c r="Q582" s="25" t="n">
        <v>26653.1729711416</v>
      </c>
      <c r="R582" s="25" t="n">
        <v>26899.6278608567</v>
      </c>
      <c r="S582" s="25" t="n">
        <v>27153.4763972634</v>
      </c>
      <c r="T582" s="25" t="n">
        <v>27414.9403897622</v>
      </c>
      <c r="U582" s="25" t="n">
        <v>27684.248302036</v>
      </c>
      <c r="V582" s="25" t="n">
        <v>27961.635451678</v>
      </c>
      <c r="W582" s="25" t="n">
        <v>28247.3442158092</v>
      </c>
      <c r="X582" s="25" t="n">
        <v>25770.4309987304</v>
      </c>
    </row>
    <row r="583" customFormat="false" ht="12.75" hidden="false" customHeight="false" outlineLevel="0" collapsed="false">
      <c r="A583" s="26" t="s">
        <v>10</v>
      </c>
      <c r="B583" s="21" t="n">
        <f aca="false">NPV(0.1,D583:Y583)</f>
        <v>94424.5526769311</v>
      </c>
      <c r="C583" s="21" t="n">
        <f aca="false">B583-B572</f>
        <v>-164.282789487945</v>
      </c>
      <c r="D583" s="22" t="n">
        <v>-477.382425659635</v>
      </c>
      <c r="E583" s="23" t="n">
        <v>3547.64251214946</v>
      </c>
      <c r="F583" s="23" t="n">
        <v>3651.36852142671</v>
      </c>
      <c r="G583" s="23" t="n">
        <v>8392.88853030613</v>
      </c>
      <c r="H583" s="23" t="n">
        <v>12525.0750762847</v>
      </c>
      <c r="I583" s="23" t="n">
        <v>13462.8465392036</v>
      </c>
      <c r="J583" s="23" t="n">
        <v>13980.2067003254</v>
      </c>
      <c r="K583" s="23" t="n">
        <v>14425.8049373476</v>
      </c>
      <c r="L583" s="23" t="n">
        <v>14891.1385773078</v>
      </c>
      <c r="M583" s="23" t="n">
        <v>15564.0119290476</v>
      </c>
      <c r="N583" s="24" t="n">
        <v>16346.108711276</v>
      </c>
      <c r="O583" s="25" t="n">
        <v>16602.1991033232</v>
      </c>
      <c r="P583" s="25" t="n">
        <v>16985.0549987952</v>
      </c>
      <c r="Q583" s="25" t="n">
        <v>16894.2344879814</v>
      </c>
      <c r="R583" s="25" t="n">
        <v>17248.542086508</v>
      </c>
      <c r="S583" s="25" t="n">
        <v>17594.2002905736</v>
      </c>
      <c r="T583" s="25" t="n">
        <v>17930.5169769627</v>
      </c>
      <c r="U583" s="25" t="n">
        <v>18418.6743806393</v>
      </c>
      <c r="V583" s="25" t="n">
        <v>18960.7666301766</v>
      </c>
      <c r="W583" s="25" t="n">
        <v>19031.1000272149</v>
      </c>
      <c r="X583" s="25" t="n">
        <v>5322.24556954645</v>
      </c>
    </row>
    <row r="584" customFormat="false" ht="12.75" hidden="false" customHeight="false" outlineLevel="0" collapsed="false">
      <c r="A584" s="26" t="s">
        <v>11</v>
      </c>
      <c r="B584" s="21" t="n">
        <f aca="false">NPV(0.1,D584:Y584)</f>
        <v>100677.800454655</v>
      </c>
      <c r="C584" s="21" t="n">
        <f aca="false">B584-B573</f>
        <v>-156.55880668477</v>
      </c>
      <c r="D584" s="27" t="n">
        <v>-2480.97296315443</v>
      </c>
      <c r="E584" s="28" t="n">
        <v>5879.86237778928</v>
      </c>
      <c r="F584" s="28" t="n">
        <v>4444.34485111454</v>
      </c>
      <c r="G584" s="28" t="n">
        <v>10241.3779711082</v>
      </c>
      <c r="H584" s="28" t="n">
        <v>17923.3511612641</v>
      </c>
      <c r="I584" s="28" t="n">
        <v>15452.652057845</v>
      </c>
      <c r="J584" s="28" t="n">
        <v>15004.7305546947</v>
      </c>
      <c r="K584" s="28" t="n">
        <v>15478.2525248676</v>
      </c>
      <c r="L584" s="28" t="n">
        <v>12224.2328010156</v>
      </c>
      <c r="M584" s="28" t="n">
        <v>10329.4201230915</v>
      </c>
      <c r="N584" s="29" t="n">
        <v>20291.4875319708</v>
      </c>
      <c r="O584" s="25" t="n">
        <v>20063.8982819201</v>
      </c>
      <c r="P584" s="25" t="n">
        <v>20274.4852985504</v>
      </c>
      <c r="Q584" s="25" t="n">
        <v>20189.6967209478</v>
      </c>
      <c r="R584" s="25" t="n">
        <v>20537.9723862633</v>
      </c>
      <c r="S584" s="25" t="n">
        <v>19104.2102930174</v>
      </c>
      <c r="T584" s="25" t="n">
        <v>14354.8064405952</v>
      </c>
      <c r="U584" s="25" t="n">
        <v>13520.4437476718</v>
      </c>
      <c r="V584" s="25" t="n">
        <v>12078.7558523091</v>
      </c>
      <c r="W584" s="25" t="n">
        <v>10826.5691527474</v>
      </c>
      <c r="X584" s="25" t="n">
        <v>8704.05808284839</v>
      </c>
    </row>
    <row r="587" customFormat="false" ht="11.25" hidden="false" customHeight="false" outlineLevel="0" collapsed="false">
      <c r="A587" s="39" t="s">
        <v>68</v>
      </c>
    </row>
    <row r="588" customFormat="false" ht="11.25" hidden="false" customHeight="false" outlineLevel="0" collapsed="false">
      <c r="A588" s="34" t="n">
        <v>36396</v>
      </c>
    </row>
    <row r="589" customFormat="false" ht="12.75" hidden="false" customHeight="false" outlineLevel="0" collapsed="false">
      <c r="A589" s="11" t="s">
        <v>3</v>
      </c>
      <c r="B589" s="12" t="n">
        <v>47969.871134639</v>
      </c>
      <c r="C589" s="6"/>
      <c r="D589" s="6"/>
      <c r="E589" s="6"/>
      <c r="F589" s="6"/>
      <c r="G589" s="6"/>
      <c r="H589" s="6"/>
      <c r="I589" s="6"/>
      <c r="J589" s="6"/>
      <c r="K589" s="6"/>
      <c r="L589" s="6"/>
      <c r="M589" s="6"/>
      <c r="N589" s="6"/>
      <c r="O589" s="6"/>
      <c r="P589" s="6"/>
      <c r="Q589" s="6"/>
      <c r="R589" s="6"/>
      <c r="S589" s="6"/>
      <c r="T589" s="6"/>
      <c r="U589" s="6"/>
      <c r="V589" s="6"/>
      <c r="W589" s="6"/>
      <c r="X589" s="6"/>
    </row>
    <row r="590" customFormat="false" ht="12.75" hidden="false" customHeight="false" outlineLevel="0" collapsed="false">
      <c r="A590" s="13" t="s">
        <v>4</v>
      </c>
      <c r="B590" s="14" t="n">
        <v>89078.0724694149</v>
      </c>
      <c r="C590" s="6"/>
      <c r="D590" s="6"/>
      <c r="E590" s="6"/>
      <c r="F590" s="6"/>
      <c r="G590" s="6"/>
      <c r="H590" s="6"/>
      <c r="I590" s="6"/>
      <c r="J590" s="6"/>
      <c r="K590" s="6"/>
      <c r="L590" s="6"/>
      <c r="M590" s="6"/>
      <c r="N590" s="6"/>
      <c r="O590" s="6"/>
      <c r="P590" s="6"/>
      <c r="Q590" s="6"/>
      <c r="R590" s="6"/>
      <c r="S590" s="6"/>
      <c r="T590" s="6"/>
      <c r="U590" s="6"/>
      <c r="V590" s="6"/>
      <c r="W590" s="6"/>
      <c r="X590" s="6"/>
    </row>
    <row r="591" customFormat="false" ht="12.75" hidden="false" customHeight="false" outlineLevel="0" collapsed="false">
      <c r="A591" s="15" t="s">
        <v>5</v>
      </c>
      <c r="B591" s="16" t="s">
        <v>6</v>
      </c>
      <c r="C591" s="16" t="s">
        <v>7</v>
      </c>
      <c r="D591" s="17" t="n">
        <v>2000</v>
      </c>
      <c r="E591" s="18" t="n">
        <v>2001</v>
      </c>
      <c r="F591" s="18" t="n">
        <v>2002</v>
      </c>
      <c r="G591" s="18" t="n">
        <v>2003</v>
      </c>
      <c r="H591" s="18" t="n">
        <v>2004</v>
      </c>
      <c r="I591" s="18" t="n">
        <v>2005</v>
      </c>
      <c r="J591" s="18" t="n">
        <v>2006</v>
      </c>
      <c r="K591" s="18" t="n">
        <v>2007</v>
      </c>
      <c r="L591" s="18" t="n">
        <v>2008</v>
      </c>
      <c r="M591" s="18" t="n">
        <v>2009</v>
      </c>
      <c r="N591" s="19" t="n">
        <v>2010</v>
      </c>
      <c r="O591" s="20" t="n">
        <v>2011</v>
      </c>
      <c r="P591" s="20" t="n">
        <v>2012</v>
      </c>
      <c r="Q591" s="20" t="n">
        <v>2013</v>
      </c>
      <c r="R591" s="20" t="n">
        <v>2014</v>
      </c>
      <c r="S591" s="20" t="n">
        <v>2015</v>
      </c>
      <c r="T591" s="20" t="n">
        <v>2016</v>
      </c>
      <c r="U591" s="20" t="n">
        <v>2017</v>
      </c>
      <c r="V591" s="20" t="n">
        <v>2018</v>
      </c>
      <c r="W591" s="20" t="n">
        <v>2019</v>
      </c>
      <c r="X591" s="20" t="n">
        <v>2020</v>
      </c>
    </row>
    <row r="592" customFormat="false" ht="12.75" hidden="false" customHeight="false" outlineLevel="0" collapsed="false">
      <c r="A592" s="15" t="s">
        <v>8</v>
      </c>
      <c r="B592" s="21" t="n">
        <f aca="false">NPV(0.1,D592:Y592)</f>
        <v>457195.723123956</v>
      </c>
      <c r="C592" s="21" t="n">
        <f aca="false">B592-B581</f>
        <v>0</v>
      </c>
      <c r="D592" s="22" t="n">
        <v>25347.0563333333</v>
      </c>
      <c r="E592" s="23" t="n">
        <v>42007.48714</v>
      </c>
      <c r="F592" s="23" t="n">
        <v>42094.5212542</v>
      </c>
      <c r="G592" s="23" t="n">
        <v>50668.6576607134</v>
      </c>
      <c r="H592" s="23" t="n">
        <v>57743.8932614556</v>
      </c>
      <c r="I592" s="23" t="n">
        <v>58943.2220633393</v>
      </c>
      <c r="J592" s="23" t="n">
        <v>59552.4652887991</v>
      </c>
      <c r="K592" s="23" t="n">
        <v>60161.2038478084</v>
      </c>
      <c r="L592" s="23" t="n">
        <v>60768.859141477</v>
      </c>
      <c r="M592" s="23" t="n">
        <v>61374.8183091816</v>
      </c>
      <c r="N592" s="24" t="n">
        <v>61978.4326935999</v>
      </c>
      <c r="O592" s="25" t="n">
        <v>62579.0162444838</v>
      </c>
      <c r="P592" s="25" t="n">
        <v>63175.8438588753</v>
      </c>
      <c r="Q592" s="25" t="n">
        <v>62998.1681320966</v>
      </c>
      <c r="R592" s="25" t="n">
        <v>63562.0442111083</v>
      </c>
      <c r="S592" s="25" t="n">
        <v>64119.0441434205</v>
      </c>
      <c r="T592" s="25" t="n">
        <v>64668.2478717603</v>
      </c>
      <c r="U592" s="25" t="n">
        <v>65208.6863239502</v>
      </c>
      <c r="V592" s="25" t="n">
        <v>65739.3393000658</v>
      </c>
      <c r="W592" s="25" t="n">
        <v>65339.7350707632</v>
      </c>
      <c r="X592" s="25" t="n">
        <v>39294.5125998934</v>
      </c>
    </row>
    <row r="593" customFormat="false" ht="12.75" hidden="false" customHeight="false" outlineLevel="0" collapsed="false">
      <c r="A593" s="26" t="s">
        <v>9</v>
      </c>
      <c r="B593" s="21" t="n">
        <f aca="false">NPV(0.1,D593:Y593)</f>
        <v>204145.883321195</v>
      </c>
      <c r="C593" s="21" t="n">
        <f aca="false">B593-B582</f>
        <v>0</v>
      </c>
      <c r="D593" s="22" t="n">
        <v>13735.2718741324</v>
      </c>
      <c r="E593" s="23" t="n">
        <v>21850.0328500346</v>
      </c>
      <c r="F593" s="23" t="n">
        <v>22096.5325215937</v>
      </c>
      <c r="G593" s="23" t="n">
        <v>23413.6017414817</v>
      </c>
      <c r="H593" s="23" t="n">
        <v>24271.7891906064</v>
      </c>
      <c r="I593" s="23" t="n">
        <v>24506.5065548677</v>
      </c>
      <c r="J593" s="23" t="n">
        <v>24787.3007136647</v>
      </c>
      <c r="K593" s="23" t="n">
        <v>25095.8232853748</v>
      </c>
      <c r="L593" s="23" t="n">
        <v>25370.7030728464</v>
      </c>
      <c r="M593" s="23" t="n">
        <v>25576.1504759466</v>
      </c>
      <c r="N593" s="24" t="n">
        <v>25789.8109259936</v>
      </c>
      <c r="O593" s="25" t="n">
        <v>26181.5890083536</v>
      </c>
      <c r="P593" s="25" t="n">
        <v>26413.8963791851</v>
      </c>
      <c r="Q593" s="25" t="n">
        <v>26653.1729711416</v>
      </c>
      <c r="R593" s="25" t="n">
        <v>26899.6278608567</v>
      </c>
      <c r="S593" s="25" t="n">
        <v>27153.4763972634</v>
      </c>
      <c r="T593" s="25" t="n">
        <v>27414.9403897622</v>
      </c>
      <c r="U593" s="25" t="n">
        <v>27684.248302036</v>
      </c>
      <c r="V593" s="25" t="n">
        <v>27961.635451678</v>
      </c>
      <c r="W593" s="25" t="n">
        <v>28247.3442158092</v>
      </c>
      <c r="X593" s="25" t="n">
        <v>25770.4309987304</v>
      </c>
    </row>
    <row r="594" customFormat="false" ht="12.75" hidden="false" customHeight="false" outlineLevel="0" collapsed="false">
      <c r="A594" s="26" t="s">
        <v>10</v>
      </c>
      <c r="B594" s="21" t="n">
        <f aca="false">NPV(0.1,D594:Y594)</f>
        <v>94434.7491739245</v>
      </c>
      <c r="C594" s="21" t="n">
        <f aca="false">B594-B583</f>
        <v>10.1964969933906</v>
      </c>
      <c r="D594" s="22" t="n">
        <v>-476.057616656626</v>
      </c>
      <c r="E594" s="23" t="n">
        <v>3549.15065600192</v>
      </c>
      <c r="F594" s="23" t="n">
        <v>3652.84134870051</v>
      </c>
      <c r="G594" s="23" t="n">
        <v>8394.26049624271</v>
      </c>
      <c r="H594" s="23" t="n">
        <v>12526.3842502521</v>
      </c>
      <c r="I594" s="23" t="n">
        <v>13464.115803137</v>
      </c>
      <c r="J594" s="23" t="n">
        <v>13981.4360542247</v>
      </c>
      <c r="K594" s="23" t="n">
        <v>14426.9887925631</v>
      </c>
      <c r="L594" s="23" t="n">
        <v>14892.2769338396</v>
      </c>
      <c r="M594" s="23" t="n">
        <v>15565.0760541609</v>
      </c>
      <c r="N594" s="24" t="n">
        <v>16347.0786499539</v>
      </c>
      <c r="O594" s="25" t="n">
        <v>16603.1466874022</v>
      </c>
      <c r="P594" s="25" t="n">
        <v>16985.9746396255</v>
      </c>
      <c r="Q594" s="25" t="n">
        <v>16895.1261855631</v>
      </c>
      <c r="R594" s="25" t="n">
        <v>17249.4058408411</v>
      </c>
      <c r="S594" s="25" t="n">
        <v>17595.036101658</v>
      </c>
      <c r="T594" s="25" t="n">
        <v>17931.3248447985</v>
      </c>
      <c r="U594" s="25" t="n">
        <v>18419.4263619778</v>
      </c>
      <c r="V594" s="25" t="n">
        <v>18961.4515477183</v>
      </c>
      <c r="W594" s="25" t="n">
        <v>19031.7011150107</v>
      </c>
      <c r="X594" s="25" t="n">
        <v>5322.75165029695</v>
      </c>
    </row>
    <row r="595" customFormat="false" ht="12.75" hidden="false" customHeight="false" outlineLevel="0" collapsed="false">
      <c r="A595" s="26" t="s">
        <v>11</v>
      </c>
      <c r="B595" s="21" t="n">
        <f aca="false">NPV(0.1,D595:Y595)</f>
        <v>100687.83017498</v>
      </c>
      <c r="C595" s="21" t="n">
        <f aca="false">B595-B584</f>
        <v>10.0297203249211</v>
      </c>
      <c r="D595" s="27" t="n">
        <v>-2478.48651864193</v>
      </c>
      <c r="E595" s="28" t="n">
        <v>5882.29192890078</v>
      </c>
      <c r="F595" s="28" t="n">
        <v>4447.03452257504</v>
      </c>
      <c r="G595" s="28" t="n">
        <v>10244.2258449203</v>
      </c>
      <c r="H595" s="28" t="n">
        <v>17918.6473547908</v>
      </c>
      <c r="I595" s="28" t="n">
        <v>15453.5930427686</v>
      </c>
      <c r="J595" s="28" t="n">
        <v>15005.7810212573</v>
      </c>
      <c r="K595" s="28" t="n">
        <v>15479.2564240578</v>
      </c>
      <c r="L595" s="28" t="n">
        <v>12225.8262977106</v>
      </c>
      <c r="M595" s="28" t="n">
        <v>10331.3694583795</v>
      </c>
      <c r="N595" s="29" t="n">
        <v>20291.758680762</v>
      </c>
      <c r="O595" s="25" t="n">
        <v>20064.2601323737</v>
      </c>
      <c r="P595" s="25" t="n">
        <v>20274.820274444</v>
      </c>
      <c r="Q595" s="25" t="n">
        <v>20190.0026849042</v>
      </c>
      <c r="R595" s="25" t="n">
        <v>20538.2514756596</v>
      </c>
      <c r="S595" s="25" t="n">
        <v>19104.7767022948</v>
      </c>
      <c r="T595" s="25" t="n">
        <v>14356.2307945035</v>
      </c>
      <c r="U595" s="25" t="n">
        <v>13522.0404649828</v>
      </c>
      <c r="V595" s="25" t="n">
        <v>12080.6278806733</v>
      </c>
      <c r="W595" s="25" t="n">
        <v>10828.5856012657</v>
      </c>
      <c r="X595" s="25" t="n">
        <v>8704.03940017139</v>
      </c>
    </row>
    <row r="598" customFormat="false" ht="11.25" hidden="false" customHeight="false" outlineLevel="0" collapsed="false">
      <c r="A598" s="39" t="s">
        <v>69</v>
      </c>
    </row>
    <row r="599" customFormat="false" ht="11.25" hidden="false" customHeight="false" outlineLevel="0" collapsed="false">
      <c r="A599" s="34" t="n">
        <v>36403</v>
      </c>
    </row>
    <row r="600" customFormat="false" ht="12.75" hidden="false" customHeight="false" outlineLevel="0" collapsed="false">
      <c r="A600" s="11" t="s">
        <v>3</v>
      </c>
      <c r="B600" s="12" t="n">
        <v>47969.871134639</v>
      </c>
      <c r="C600" s="6"/>
      <c r="D600" s="6"/>
      <c r="E600" s="6"/>
      <c r="F600" s="6"/>
      <c r="G600" s="6"/>
      <c r="H600" s="6"/>
      <c r="I600" s="6"/>
      <c r="J600" s="6"/>
      <c r="K600" s="6"/>
      <c r="L600" s="6"/>
      <c r="M600" s="6"/>
      <c r="N600" s="6"/>
      <c r="O600" s="6"/>
      <c r="P600" s="6"/>
      <c r="Q600" s="6"/>
      <c r="R600" s="6"/>
      <c r="S600" s="6"/>
      <c r="T600" s="6"/>
      <c r="U600" s="6"/>
      <c r="V600" s="6"/>
      <c r="W600" s="6"/>
      <c r="X600" s="6"/>
    </row>
    <row r="601" customFormat="false" ht="12.75" hidden="false" customHeight="false" outlineLevel="0" collapsed="false">
      <c r="A601" s="13" t="s">
        <v>4</v>
      </c>
      <c r="B601" s="14" t="n">
        <v>89078.0724694149</v>
      </c>
      <c r="C601" s="6"/>
      <c r="D601" s="6"/>
      <c r="E601" s="6"/>
      <c r="F601" s="6"/>
      <c r="G601" s="6"/>
      <c r="H601" s="6"/>
      <c r="I601" s="6"/>
      <c r="J601" s="6"/>
      <c r="K601" s="6"/>
      <c r="L601" s="6"/>
      <c r="M601" s="6"/>
      <c r="N601" s="6"/>
      <c r="O601" s="6"/>
      <c r="P601" s="6"/>
      <c r="Q601" s="6"/>
      <c r="R601" s="6"/>
      <c r="S601" s="6"/>
      <c r="T601" s="6"/>
      <c r="U601" s="6"/>
      <c r="V601" s="6"/>
      <c r="W601" s="6"/>
      <c r="X601" s="6"/>
    </row>
    <row r="602" customFormat="false" ht="12.75" hidden="false" customHeight="false" outlineLevel="0" collapsed="false">
      <c r="A602" s="15" t="s">
        <v>5</v>
      </c>
      <c r="B602" s="16" t="s">
        <v>6</v>
      </c>
      <c r="C602" s="16" t="s">
        <v>7</v>
      </c>
      <c r="D602" s="17" t="n">
        <v>2000</v>
      </c>
      <c r="E602" s="18" t="n">
        <v>2001</v>
      </c>
      <c r="F602" s="18" t="n">
        <v>2002</v>
      </c>
      <c r="G602" s="18" t="n">
        <v>2003</v>
      </c>
      <c r="H602" s="18" t="n">
        <v>2004</v>
      </c>
      <c r="I602" s="18" t="n">
        <v>2005</v>
      </c>
      <c r="J602" s="18" t="n">
        <v>2006</v>
      </c>
      <c r="K602" s="18" t="n">
        <v>2007</v>
      </c>
      <c r="L602" s="18" t="n">
        <v>2008</v>
      </c>
      <c r="M602" s="18" t="n">
        <v>2009</v>
      </c>
      <c r="N602" s="19" t="n">
        <v>2010</v>
      </c>
      <c r="O602" s="20" t="n">
        <v>2011</v>
      </c>
      <c r="P602" s="20" t="n">
        <v>2012</v>
      </c>
      <c r="Q602" s="20" t="n">
        <v>2013</v>
      </c>
      <c r="R602" s="20" t="n">
        <v>2014</v>
      </c>
      <c r="S602" s="20" t="n">
        <v>2015</v>
      </c>
      <c r="T602" s="20" t="n">
        <v>2016</v>
      </c>
      <c r="U602" s="20" t="n">
        <v>2017</v>
      </c>
      <c r="V602" s="20" t="n">
        <v>2018</v>
      </c>
      <c r="W602" s="20" t="n">
        <v>2019</v>
      </c>
      <c r="X602" s="20" t="n">
        <v>2020</v>
      </c>
    </row>
    <row r="603" customFormat="false" ht="12.75" hidden="false" customHeight="false" outlineLevel="0" collapsed="false">
      <c r="A603" s="15" t="s">
        <v>8</v>
      </c>
      <c r="B603" s="21" t="n">
        <f aca="false">NPV(0.1,D603:Y603)</f>
        <v>457195.723123956</v>
      </c>
      <c r="C603" s="21" t="n">
        <f aca="false">B603-B592</f>
        <v>0</v>
      </c>
      <c r="D603" s="22" t="n">
        <v>25347.0563333333</v>
      </c>
      <c r="E603" s="23" t="n">
        <v>42007.48714</v>
      </c>
      <c r="F603" s="23" t="n">
        <v>42094.5212542</v>
      </c>
      <c r="G603" s="23" t="n">
        <v>50668.6576607134</v>
      </c>
      <c r="H603" s="23" t="n">
        <v>57743.8932614556</v>
      </c>
      <c r="I603" s="23" t="n">
        <v>58943.2220633393</v>
      </c>
      <c r="J603" s="23" t="n">
        <v>59552.4652887991</v>
      </c>
      <c r="K603" s="23" t="n">
        <v>60161.2038478084</v>
      </c>
      <c r="L603" s="23" t="n">
        <v>60768.859141477</v>
      </c>
      <c r="M603" s="23" t="n">
        <v>61374.8183091816</v>
      </c>
      <c r="N603" s="24" t="n">
        <v>61978.4326935999</v>
      </c>
      <c r="O603" s="25" t="n">
        <v>62579.0162444838</v>
      </c>
      <c r="P603" s="25" t="n">
        <v>63175.8438588753</v>
      </c>
      <c r="Q603" s="25" t="n">
        <v>62998.1681320966</v>
      </c>
      <c r="R603" s="25" t="n">
        <v>63562.0442111083</v>
      </c>
      <c r="S603" s="25" t="n">
        <v>64119.0441434205</v>
      </c>
      <c r="T603" s="25" t="n">
        <v>64668.2478717603</v>
      </c>
      <c r="U603" s="25" t="n">
        <v>65208.6863239502</v>
      </c>
      <c r="V603" s="25" t="n">
        <v>65739.3393000658</v>
      </c>
      <c r="W603" s="25" t="n">
        <v>65339.7350707632</v>
      </c>
      <c r="X603" s="25" t="n">
        <v>39294.5125998934</v>
      </c>
    </row>
    <row r="604" customFormat="false" ht="12.75" hidden="false" customHeight="false" outlineLevel="0" collapsed="false">
      <c r="A604" s="26" t="s">
        <v>9</v>
      </c>
      <c r="B604" s="21" t="n">
        <f aca="false">NPV(0.1,D604:Y604)</f>
        <v>204145.883321195</v>
      </c>
      <c r="C604" s="21" t="n">
        <f aca="false">B604-B593</f>
        <v>0</v>
      </c>
      <c r="D604" s="22" t="n">
        <v>13735.2718741324</v>
      </c>
      <c r="E604" s="23" t="n">
        <v>21850.0328500346</v>
      </c>
      <c r="F604" s="23" t="n">
        <v>22096.5325215937</v>
      </c>
      <c r="G604" s="23" t="n">
        <v>23413.6017414817</v>
      </c>
      <c r="H604" s="23" t="n">
        <v>24271.7891906064</v>
      </c>
      <c r="I604" s="23" t="n">
        <v>24506.5065548677</v>
      </c>
      <c r="J604" s="23" t="n">
        <v>24787.3007136647</v>
      </c>
      <c r="K604" s="23" t="n">
        <v>25095.8232853748</v>
      </c>
      <c r="L604" s="23" t="n">
        <v>25370.7030728464</v>
      </c>
      <c r="M604" s="23" t="n">
        <v>25576.1504759466</v>
      </c>
      <c r="N604" s="24" t="n">
        <v>25789.8109259936</v>
      </c>
      <c r="O604" s="25" t="n">
        <v>26181.5890083536</v>
      </c>
      <c r="P604" s="25" t="n">
        <v>26413.8963791851</v>
      </c>
      <c r="Q604" s="25" t="n">
        <v>26653.1729711416</v>
      </c>
      <c r="R604" s="25" t="n">
        <v>26899.6278608567</v>
      </c>
      <c r="S604" s="25" t="n">
        <v>27153.4763972634</v>
      </c>
      <c r="T604" s="25" t="n">
        <v>27414.9403897622</v>
      </c>
      <c r="U604" s="25" t="n">
        <v>27684.248302036</v>
      </c>
      <c r="V604" s="25" t="n">
        <v>27961.635451678</v>
      </c>
      <c r="W604" s="25" t="n">
        <v>28247.3442158092</v>
      </c>
      <c r="X604" s="25" t="n">
        <v>25770.4309987304</v>
      </c>
    </row>
    <row r="605" customFormat="false" ht="12.75" hidden="false" customHeight="false" outlineLevel="0" collapsed="false">
      <c r="A605" s="26" t="s">
        <v>10</v>
      </c>
      <c r="B605" s="21" t="n">
        <f aca="false">NPV(0.1,D605:Y605)</f>
        <v>94434.7491739245</v>
      </c>
      <c r="C605" s="21" t="n">
        <f aca="false">B605-B594</f>
        <v>0</v>
      </c>
      <c r="D605" s="22" t="n">
        <v>-476.057616656626</v>
      </c>
      <c r="E605" s="23" t="n">
        <v>3549.15065600192</v>
      </c>
      <c r="F605" s="23" t="n">
        <v>3652.84134870051</v>
      </c>
      <c r="G605" s="23" t="n">
        <v>8394.26049624271</v>
      </c>
      <c r="H605" s="23" t="n">
        <v>12526.3842502521</v>
      </c>
      <c r="I605" s="23" t="n">
        <v>13464.115803137</v>
      </c>
      <c r="J605" s="23" t="n">
        <v>13981.4360542247</v>
      </c>
      <c r="K605" s="23" t="n">
        <v>14426.9887925631</v>
      </c>
      <c r="L605" s="23" t="n">
        <v>14892.2769338396</v>
      </c>
      <c r="M605" s="23" t="n">
        <v>15565.0760541609</v>
      </c>
      <c r="N605" s="24" t="n">
        <v>16347.0786499539</v>
      </c>
      <c r="O605" s="25" t="n">
        <v>16603.1466874022</v>
      </c>
      <c r="P605" s="25" t="n">
        <v>16985.9746396255</v>
      </c>
      <c r="Q605" s="25" t="n">
        <v>16895.1261855631</v>
      </c>
      <c r="R605" s="25" t="n">
        <v>17249.4058408411</v>
      </c>
      <c r="S605" s="25" t="n">
        <v>17595.036101658</v>
      </c>
      <c r="T605" s="25" t="n">
        <v>17931.3248447985</v>
      </c>
      <c r="U605" s="25" t="n">
        <v>18419.4263619778</v>
      </c>
      <c r="V605" s="25" t="n">
        <v>18961.4515477183</v>
      </c>
      <c r="W605" s="25" t="n">
        <v>19031.7011150107</v>
      </c>
      <c r="X605" s="25" t="n">
        <v>5322.75165029695</v>
      </c>
    </row>
    <row r="606" customFormat="false" ht="12.75" hidden="false" customHeight="false" outlineLevel="0" collapsed="false">
      <c r="A606" s="26" t="s">
        <v>11</v>
      </c>
      <c r="B606" s="21" t="n">
        <f aca="false">NPV(0.1,D606:Y606)</f>
        <v>100687.83017498</v>
      </c>
      <c r="C606" s="21" t="n">
        <f aca="false">B606-B595</f>
        <v>0</v>
      </c>
      <c r="D606" s="27" t="n">
        <v>-2478.48651864193</v>
      </c>
      <c r="E606" s="28" t="n">
        <v>5882.29192890078</v>
      </c>
      <c r="F606" s="28" t="n">
        <v>4447.03452257504</v>
      </c>
      <c r="G606" s="28" t="n">
        <v>10244.2258449203</v>
      </c>
      <c r="H606" s="28" t="n">
        <v>17918.6473547908</v>
      </c>
      <c r="I606" s="28" t="n">
        <v>15453.5930427686</v>
      </c>
      <c r="J606" s="28" t="n">
        <v>15005.7810212573</v>
      </c>
      <c r="K606" s="28" t="n">
        <v>15479.2564240578</v>
      </c>
      <c r="L606" s="28" t="n">
        <v>12225.8262977106</v>
      </c>
      <c r="M606" s="28" t="n">
        <v>10331.3694583795</v>
      </c>
      <c r="N606" s="29" t="n">
        <v>20291.758680762</v>
      </c>
      <c r="O606" s="25" t="n">
        <v>20064.2601323737</v>
      </c>
      <c r="P606" s="25" t="n">
        <v>20274.820274444</v>
      </c>
      <c r="Q606" s="25" t="n">
        <v>20190.0026849042</v>
      </c>
      <c r="R606" s="25" t="n">
        <v>20538.2514756596</v>
      </c>
      <c r="S606" s="25" t="n">
        <v>19104.7767022948</v>
      </c>
      <c r="T606" s="25" t="n">
        <v>14356.2307945035</v>
      </c>
      <c r="U606" s="25" t="n">
        <v>13522.0404649828</v>
      </c>
      <c r="V606" s="25" t="n">
        <v>12080.6278806733</v>
      </c>
      <c r="W606" s="25" t="n">
        <v>10828.5856012657</v>
      </c>
      <c r="X606" s="25" t="n">
        <v>8704.03940017139</v>
      </c>
    </row>
    <row r="609" customFormat="false" ht="11.25" hidden="false" customHeight="false" outlineLevel="0" collapsed="false">
      <c r="A609" s="39" t="s">
        <v>70</v>
      </c>
    </row>
    <row r="610" customFormat="false" ht="11.25" hidden="false" customHeight="false" outlineLevel="0" collapsed="false">
      <c r="A610" s="34" t="n">
        <v>36412</v>
      </c>
    </row>
    <row r="611" customFormat="false" ht="12.75" hidden="false" customHeight="false" outlineLevel="0" collapsed="false">
      <c r="A611" s="11" t="s">
        <v>3</v>
      </c>
      <c r="B611" s="12" t="n">
        <v>48003.2598319926</v>
      </c>
      <c r="C611" s="6"/>
      <c r="D611" s="6"/>
      <c r="E611" s="6"/>
      <c r="F611" s="6"/>
      <c r="G611" s="6"/>
      <c r="H611" s="6"/>
      <c r="I611" s="6"/>
      <c r="J611" s="6"/>
      <c r="K611" s="6"/>
      <c r="L611" s="6"/>
      <c r="M611" s="6"/>
      <c r="N611" s="6"/>
      <c r="O611" s="6"/>
      <c r="P611" s="6"/>
      <c r="Q611" s="6"/>
      <c r="R611" s="6"/>
      <c r="S611" s="6"/>
      <c r="T611" s="6"/>
      <c r="U611" s="6"/>
      <c r="V611" s="6"/>
      <c r="W611" s="6"/>
      <c r="X611" s="6"/>
    </row>
    <row r="612" customFormat="false" ht="12.75" hidden="false" customHeight="false" outlineLevel="0" collapsed="false">
      <c r="A612" s="13" t="s">
        <v>4</v>
      </c>
      <c r="B612" s="14" t="n">
        <v>89127.3278714172</v>
      </c>
      <c r="C612" s="6"/>
      <c r="D612" s="6"/>
      <c r="E612" s="6"/>
      <c r="F612" s="6"/>
      <c r="G612" s="6"/>
      <c r="H612" s="6"/>
      <c r="I612" s="6"/>
      <c r="J612" s="6"/>
      <c r="K612" s="6"/>
      <c r="L612" s="6"/>
      <c r="M612" s="6"/>
      <c r="N612" s="6"/>
      <c r="O612" s="6"/>
      <c r="P612" s="6"/>
      <c r="Q612" s="6"/>
      <c r="R612" s="6"/>
      <c r="S612" s="6"/>
      <c r="T612" s="6"/>
      <c r="U612" s="6"/>
      <c r="V612" s="6"/>
      <c r="W612" s="6"/>
      <c r="X612" s="6"/>
    </row>
    <row r="613" customFormat="false" ht="12.75" hidden="false" customHeight="false" outlineLevel="0" collapsed="false">
      <c r="A613" s="15" t="s">
        <v>5</v>
      </c>
      <c r="B613" s="16" t="s">
        <v>6</v>
      </c>
      <c r="C613" s="16" t="s">
        <v>7</v>
      </c>
      <c r="D613" s="17" t="n">
        <v>2000</v>
      </c>
      <c r="E613" s="18" t="n">
        <v>2001</v>
      </c>
      <c r="F613" s="18" t="n">
        <v>2002</v>
      </c>
      <c r="G613" s="18" t="n">
        <v>2003</v>
      </c>
      <c r="H613" s="18" t="n">
        <v>2004</v>
      </c>
      <c r="I613" s="18" t="n">
        <v>2005</v>
      </c>
      <c r="J613" s="18" t="n">
        <v>2006</v>
      </c>
      <c r="K613" s="18" t="n">
        <v>2007</v>
      </c>
      <c r="L613" s="18" t="n">
        <v>2008</v>
      </c>
      <c r="M613" s="18" t="n">
        <v>2009</v>
      </c>
      <c r="N613" s="19" t="n">
        <v>2010</v>
      </c>
      <c r="O613" s="20" t="n">
        <v>2011</v>
      </c>
      <c r="P613" s="20" t="n">
        <v>2012</v>
      </c>
      <c r="Q613" s="20" t="n">
        <v>2013</v>
      </c>
      <c r="R613" s="20" t="n">
        <v>2014</v>
      </c>
      <c r="S613" s="20" t="n">
        <v>2015</v>
      </c>
      <c r="T613" s="20" t="n">
        <v>2016</v>
      </c>
      <c r="U613" s="20" t="n">
        <v>2017</v>
      </c>
      <c r="V613" s="20" t="n">
        <v>2018</v>
      </c>
      <c r="W613" s="20" t="n">
        <v>2019</v>
      </c>
      <c r="X613" s="20" t="n">
        <v>2020</v>
      </c>
    </row>
    <row r="614" customFormat="false" ht="12.75" hidden="false" customHeight="false" outlineLevel="0" collapsed="false">
      <c r="A614" s="15" t="s">
        <v>8</v>
      </c>
      <c r="B614" s="21" t="n">
        <f aca="false">NPV(0.1,D614:Y614)</f>
        <v>457195.723123956</v>
      </c>
      <c r="C614" s="21" t="n">
        <f aca="false">B614-B603</f>
        <v>0</v>
      </c>
      <c r="D614" s="22" t="n">
        <v>25347.0563333333</v>
      </c>
      <c r="E614" s="23" t="n">
        <v>42007.48714</v>
      </c>
      <c r="F614" s="23" t="n">
        <v>42094.5212542</v>
      </c>
      <c r="G614" s="23" t="n">
        <v>50668.6576607134</v>
      </c>
      <c r="H614" s="23" t="n">
        <v>57743.8932614556</v>
      </c>
      <c r="I614" s="23" t="n">
        <v>58943.2220633393</v>
      </c>
      <c r="J614" s="23" t="n">
        <v>59552.4652887991</v>
      </c>
      <c r="K614" s="23" t="n">
        <v>60161.2038478084</v>
      </c>
      <c r="L614" s="23" t="n">
        <v>60768.859141477</v>
      </c>
      <c r="M614" s="23" t="n">
        <v>61374.8183091816</v>
      </c>
      <c r="N614" s="24" t="n">
        <v>61978.4326935999</v>
      </c>
      <c r="O614" s="25" t="n">
        <v>62579.0162444838</v>
      </c>
      <c r="P614" s="25" t="n">
        <v>63175.8438588753</v>
      </c>
      <c r="Q614" s="25" t="n">
        <v>62998.1681320966</v>
      </c>
      <c r="R614" s="25" t="n">
        <v>63562.0442111083</v>
      </c>
      <c r="S614" s="25" t="n">
        <v>64119.0441434205</v>
      </c>
      <c r="T614" s="25" t="n">
        <v>64668.2478717603</v>
      </c>
      <c r="U614" s="25" t="n">
        <v>65208.6863239502</v>
      </c>
      <c r="V614" s="25" t="n">
        <v>65739.3393000658</v>
      </c>
      <c r="W614" s="25" t="n">
        <v>65339.7350707632</v>
      </c>
      <c r="X614" s="25" t="n">
        <v>39294.5125998934</v>
      </c>
    </row>
    <row r="615" customFormat="false" ht="12.75" hidden="false" customHeight="false" outlineLevel="0" collapsed="false">
      <c r="A615" s="26" t="s">
        <v>9</v>
      </c>
      <c r="B615" s="21" t="n">
        <f aca="false">NPV(0.1,D615:Y615)</f>
        <v>204145.883321195</v>
      </c>
      <c r="C615" s="21" t="n">
        <f aca="false">B615-B604</f>
        <v>0</v>
      </c>
      <c r="D615" s="22" t="n">
        <v>13735.2718741324</v>
      </c>
      <c r="E615" s="23" t="n">
        <v>21850.0328500346</v>
      </c>
      <c r="F615" s="23" t="n">
        <v>22096.5325215937</v>
      </c>
      <c r="G615" s="23" t="n">
        <v>23413.6017414817</v>
      </c>
      <c r="H615" s="23" t="n">
        <v>24271.7891906064</v>
      </c>
      <c r="I615" s="23" t="n">
        <v>24506.5065548677</v>
      </c>
      <c r="J615" s="23" t="n">
        <v>24787.3007136647</v>
      </c>
      <c r="K615" s="23" t="n">
        <v>25095.8232853748</v>
      </c>
      <c r="L615" s="23" t="n">
        <v>25370.7030728464</v>
      </c>
      <c r="M615" s="23" t="n">
        <v>25576.1504759466</v>
      </c>
      <c r="N615" s="24" t="n">
        <v>25789.8109259936</v>
      </c>
      <c r="O615" s="25" t="n">
        <v>26181.5890083536</v>
      </c>
      <c r="P615" s="25" t="n">
        <v>26413.8963791851</v>
      </c>
      <c r="Q615" s="25" t="n">
        <v>26653.1729711416</v>
      </c>
      <c r="R615" s="25" t="n">
        <v>26899.6278608567</v>
      </c>
      <c r="S615" s="25" t="n">
        <v>27153.4763972634</v>
      </c>
      <c r="T615" s="25" t="n">
        <v>27414.9403897622</v>
      </c>
      <c r="U615" s="25" t="n">
        <v>27684.248302036</v>
      </c>
      <c r="V615" s="25" t="n">
        <v>27961.635451678</v>
      </c>
      <c r="W615" s="25" t="n">
        <v>28247.3442158092</v>
      </c>
      <c r="X615" s="25" t="n">
        <v>25770.4309987304</v>
      </c>
    </row>
    <row r="616" customFormat="false" ht="12.75" hidden="false" customHeight="false" outlineLevel="0" collapsed="false">
      <c r="A616" s="26" t="s">
        <v>10</v>
      </c>
      <c r="B616" s="21" t="n">
        <f aca="false">NPV(0.1,D616:Y616)</f>
        <v>94455.3249008324</v>
      </c>
      <c r="C616" s="21" t="n">
        <f aca="false">B616-B605</f>
        <v>20.5757269078458</v>
      </c>
      <c r="D616" s="22" t="n">
        <v>-473.384256553778</v>
      </c>
      <c r="E616" s="23" t="n">
        <v>3552.19397137445</v>
      </c>
      <c r="F616" s="23" t="n">
        <v>3655.8133980021</v>
      </c>
      <c r="G616" s="23" t="n">
        <v>8397.02901531903</v>
      </c>
      <c r="H616" s="23" t="n">
        <v>12529.0260600861</v>
      </c>
      <c r="I616" s="23" t="n">
        <v>13466.6770776692</v>
      </c>
      <c r="J616" s="23" t="n">
        <v>13983.9167934553</v>
      </c>
      <c r="K616" s="23" t="n">
        <v>14429.3777190375</v>
      </c>
      <c r="L616" s="23" t="n">
        <v>14894.5740475577</v>
      </c>
      <c r="M616" s="23" t="n">
        <v>15567.2233747301</v>
      </c>
      <c r="N616" s="24" t="n">
        <v>16349.0359097233</v>
      </c>
      <c r="O616" s="25" t="n">
        <v>16605.0588373537</v>
      </c>
      <c r="P616" s="25" t="n">
        <v>16987.8304023047</v>
      </c>
      <c r="Q616" s="25" t="n">
        <v>16896.9255609699</v>
      </c>
      <c r="R616" s="25" t="n">
        <v>17251.1488289756</v>
      </c>
      <c r="S616" s="25" t="n">
        <v>17596.7227025202</v>
      </c>
      <c r="T616" s="25" t="n">
        <v>17932.9550583883</v>
      </c>
      <c r="U616" s="25" t="n">
        <v>18420.9438010229</v>
      </c>
      <c r="V616" s="25" t="n">
        <v>18962.8336573098</v>
      </c>
      <c r="W616" s="25" t="n">
        <v>19032.9140627852</v>
      </c>
      <c r="X616" s="25" t="n">
        <v>5323.77288134545</v>
      </c>
    </row>
    <row r="617" customFormat="false" ht="12.75" hidden="false" customHeight="false" outlineLevel="0" collapsed="false">
      <c r="A617" s="26" t="s">
        <v>11</v>
      </c>
      <c r="B617" s="21" t="n">
        <f aca="false">NPV(0.1,D617:Y617)</f>
        <v>100708.069359722</v>
      </c>
      <c r="C617" s="21" t="n">
        <f aca="false">B617-B606</f>
        <v>20.2391847416875</v>
      </c>
      <c r="D617" s="27" t="n">
        <v>-2473.46906967943</v>
      </c>
      <c r="E617" s="28" t="n">
        <v>5887.19457146628</v>
      </c>
      <c r="F617" s="28" t="n">
        <v>4452.46206749354</v>
      </c>
      <c r="G617" s="28" t="n">
        <v>10249.9726297096</v>
      </c>
      <c r="H617" s="28" t="n">
        <v>17909.1554442372</v>
      </c>
      <c r="I617" s="28" t="n">
        <v>15455.4918761451</v>
      </c>
      <c r="J617" s="28" t="n">
        <v>15007.900779948</v>
      </c>
      <c r="K617" s="28" t="n">
        <v>15481.2822134632</v>
      </c>
      <c r="L617" s="28" t="n">
        <v>12229.041848389</v>
      </c>
      <c r="M617" s="28" t="n">
        <v>10335.3030632797</v>
      </c>
      <c r="N617" s="29" t="n">
        <v>20292.3058376416</v>
      </c>
      <c r="O617" s="25" t="n">
        <v>20064.9903180562</v>
      </c>
      <c r="P617" s="25" t="n">
        <v>20275.4962293834</v>
      </c>
      <c r="Q617" s="25" t="n">
        <v>20190.620096042</v>
      </c>
      <c r="R617" s="25" t="n">
        <v>20538.8146560543</v>
      </c>
      <c r="S617" s="25" t="n">
        <v>19105.9196715533</v>
      </c>
      <c r="T617" s="25" t="n">
        <v>14359.1050283758</v>
      </c>
      <c r="U617" s="25" t="n">
        <v>13525.2625146104</v>
      </c>
      <c r="V617" s="25" t="n">
        <v>12084.4054862973</v>
      </c>
      <c r="W617" s="25" t="n">
        <v>10832.6546353727</v>
      </c>
      <c r="X617" s="25" t="n">
        <v>8704.00170000239</v>
      </c>
    </row>
    <row r="620" customFormat="false" ht="11.25" hidden="false" customHeight="false" outlineLevel="0" collapsed="false">
      <c r="A620" s="39" t="s">
        <v>71</v>
      </c>
    </row>
    <row r="621" customFormat="false" ht="11.25" hidden="false" customHeight="false" outlineLevel="0" collapsed="false">
      <c r="A621" s="34" t="n">
        <v>36419</v>
      </c>
    </row>
    <row r="622" customFormat="false" ht="12.75" hidden="false" customHeight="false" outlineLevel="0" collapsed="false">
      <c r="A622" s="11" t="s">
        <v>3</v>
      </c>
      <c r="B622" s="12" t="n">
        <v>48003.2598319926</v>
      </c>
      <c r="C622" s="6"/>
      <c r="D622" s="6"/>
      <c r="E622" s="6"/>
      <c r="F622" s="6"/>
      <c r="G622" s="6"/>
      <c r="H622" s="6"/>
      <c r="I622" s="6"/>
      <c r="J622" s="6"/>
      <c r="K622" s="6"/>
      <c r="L622" s="6"/>
      <c r="M622" s="6"/>
      <c r="N622" s="6"/>
      <c r="O622" s="6"/>
      <c r="P622" s="6"/>
      <c r="Q622" s="6"/>
      <c r="R622" s="6"/>
      <c r="S622" s="6"/>
      <c r="T622" s="6"/>
      <c r="U622" s="6"/>
      <c r="V622" s="6"/>
      <c r="W622" s="6"/>
      <c r="X622" s="6"/>
    </row>
    <row r="623" customFormat="false" ht="12.75" hidden="false" customHeight="false" outlineLevel="0" collapsed="false">
      <c r="A623" s="13" t="s">
        <v>4</v>
      </c>
      <c r="B623" s="14" t="n">
        <v>89127.3278714172</v>
      </c>
      <c r="C623" s="6"/>
      <c r="D623" s="6"/>
      <c r="E623" s="6"/>
      <c r="F623" s="6"/>
      <c r="G623" s="6"/>
      <c r="H623" s="6"/>
      <c r="I623" s="6"/>
      <c r="J623" s="6"/>
      <c r="K623" s="6"/>
      <c r="L623" s="6"/>
      <c r="M623" s="6"/>
      <c r="N623" s="6"/>
      <c r="O623" s="6"/>
      <c r="P623" s="6"/>
      <c r="Q623" s="6"/>
      <c r="R623" s="6"/>
      <c r="S623" s="6"/>
      <c r="T623" s="6"/>
      <c r="U623" s="6"/>
      <c r="V623" s="6"/>
      <c r="W623" s="6"/>
      <c r="X623" s="6"/>
    </row>
    <row r="624" customFormat="false" ht="12.75" hidden="false" customHeight="false" outlineLevel="0" collapsed="false">
      <c r="A624" s="15" t="s">
        <v>5</v>
      </c>
      <c r="B624" s="16" t="s">
        <v>6</v>
      </c>
      <c r="C624" s="16" t="s">
        <v>7</v>
      </c>
      <c r="D624" s="17" t="n">
        <v>2000</v>
      </c>
      <c r="E624" s="18" t="n">
        <v>2001</v>
      </c>
      <c r="F624" s="18" t="n">
        <v>2002</v>
      </c>
      <c r="G624" s="18" t="n">
        <v>2003</v>
      </c>
      <c r="H624" s="18" t="n">
        <v>2004</v>
      </c>
      <c r="I624" s="18" t="n">
        <v>2005</v>
      </c>
      <c r="J624" s="18" t="n">
        <v>2006</v>
      </c>
      <c r="K624" s="18" t="n">
        <v>2007</v>
      </c>
      <c r="L624" s="18" t="n">
        <v>2008</v>
      </c>
      <c r="M624" s="18" t="n">
        <v>2009</v>
      </c>
      <c r="N624" s="19" t="n">
        <v>2010</v>
      </c>
      <c r="O624" s="20" t="n">
        <v>2011</v>
      </c>
      <c r="P624" s="20" t="n">
        <v>2012</v>
      </c>
      <c r="Q624" s="20" t="n">
        <v>2013</v>
      </c>
      <c r="R624" s="20" t="n">
        <v>2014</v>
      </c>
      <c r="S624" s="20" t="n">
        <v>2015</v>
      </c>
      <c r="T624" s="20" t="n">
        <v>2016</v>
      </c>
      <c r="U624" s="20" t="n">
        <v>2017</v>
      </c>
      <c r="V624" s="20" t="n">
        <v>2018</v>
      </c>
      <c r="W624" s="20" t="n">
        <v>2019</v>
      </c>
      <c r="X624" s="20" t="n">
        <v>2020</v>
      </c>
    </row>
    <row r="625" customFormat="false" ht="12.75" hidden="false" customHeight="false" outlineLevel="0" collapsed="false">
      <c r="A625" s="15" t="s">
        <v>8</v>
      </c>
      <c r="B625" s="21" t="n">
        <f aca="false">NPV(0.1,D625:Y625)</f>
        <v>457195.723123956</v>
      </c>
      <c r="C625" s="21" t="n">
        <f aca="false">B625-B614</f>
        <v>0</v>
      </c>
      <c r="D625" s="22" t="n">
        <v>25347.0563333333</v>
      </c>
      <c r="E625" s="23" t="n">
        <v>42007.48714</v>
      </c>
      <c r="F625" s="23" t="n">
        <v>42094.5212542</v>
      </c>
      <c r="G625" s="23" t="n">
        <v>50668.6576607134</v>
      </c>
      <c r="H625" s="23" t="n">
        <v>57743.8932614556</v>
      </c>
      <c r="I625" s="23" t="n">
        <v>58943.2220633393</v>
      </c>
      <c r="J625" s="23" t="n">
        <v>59552.4652887991</v>
      </c>
      <c r="K625" s="23" t="n">
        <v>60161.2038478084</v>
      </c>
      <c r="L625" s="23" t="n">
        <v>60768.859141477</v>
      </c>
      <c r="M625" s="23" t="n">
        <v>61374.8183091816</v>
      </c>
      <c r="N625" s="24" t="n">
        <v>61978.4326935999</v>
      </c>
      <c r="O625" s="25" t="n">
        <v>62579.0162444838</v>
      </c>
      <c r="P625" s="25" t="n">
        <v>63175.8438588753</v>
      </c>
      <c r="Q625" s="25" t="n">
        <v>62998.1681320966</v>
      </c>
      <c r="R625" s="25" t="n">
        <v>63562.0442111083</v>
      </c>
      <c r="S625" s="25" t="n">
        <v>64119.0441434205</v>
      </c>
      <c r="T625" s="25" t="n">
        <v>64668.2478717603</v>
      </c>
      <c r="U625" s="25" t="n">
        <v>65208.6863239502</v>
      </c>
      <c r="V625" s="25" t="n">
        <v>65739.3393000658</v>
      </c>
      <c r="W625" s="25" t="n">
        <v>65339.7350707632</v>
      </c>
      <c r="X625" s="25" t="n">
        <v>39294.5125998934</v>
      </c>
    </row>
    <row r="626" customFormat="false" ht="12.75" hidden="false" customHeight="false" outlineLevel="0" collapsed="false">
      <c r="A626" s="26" t="s">
        <v>9</v>
      </c>
      <c r="B626" s="21" t="n">
        <f aca="false">NPV(0.1,D626:Y626)</f>
        <v>204145.883321195</v>
      </c>
      <c r="C626" s="21" t="n">
        <f aca="false">B626-B615</f>
        <v>0</v>
      </c>
      <c r="D626" s="22" t="n">
        <v>13735.2718741324</v>
      </c>
      <c r="E626" s="23" t="n">
        <v>21850.0328500346</v>
      </c>
      <c r="F626" s="23" t="n">
        <v>22096.5325215937</v>
      </c>
      <c r="G626" s="23" t="n">
        <v>23413.6017414817</v>
      </c>
      <c r="H626" s="23" t="n">
        <v>24271.7891906064</v>
      </c>
      <c r="I626" s="23" t="n">
        <v>24506.5065548677</v>
      </c>
      <c r="J626" s="23" t="n">
        <v>24787.3007136647</v>
      </c>
      <c r="K626" s="23" t="n">
        <v>25095.8232853748</v>
      </c>
      <c r="L626" s="23" t="n">
        <v>25370.7030728464</v>
      </c>
      <c r="M626" s="23" t="n">
        <v>25576.1504759466</v>
      </c>
      <c r="N626" s="24" t="n">
        <v>25789.8109259936</v>
      </c>
      <c r="O626" s="25" t="n">
        <v>26181.5890083536</v>
      </c>
      <c r="P626" s="25" t="n">
        <v>26413.8963791851</v>
      </c>
      <c r="Q626" s="25" t="n">
        <v>26653.1729711416</v>
      </c>
      <c r="R626" s="25" t="n">
        <v>26899.6278608567</v>
      </c>
      <c r="S626" s="25" t="n">
        <v>27153.4763972634</v>
      </c>
      <c r="T626" s="25" t="n">
        <v>27414.9403897622</v>
      </c>
      <c r="U626" s="25" t="n">
        <v>27684.248302036</v>
      </c>
      <c r="V626" s="25" t="n">
        <v>27961.635451678</v>
      </c>
      <c r="W626" s="25" t="n">
        <v>28247.3442158092</v>
      </c>
      <c r="X626" s="25" t="n">
        <v>25770.4309987304</v>
      </c>
    </row>
    <row r="627" customFormat="false" ht="12.75" hidden="false" customHeight="false" outlineLevel="0" collapsed="false">
      <c r="A627" s="26" t="s">
        <v>10</v>
      </c>
      <c r="B627" s="21" t="n">
        <f aca="false">NPV(0.1,D627:Y627)</f>
        <v>94455.3249008324</v>
      </c>
      <c r="C627" s="21" t="n">
        <f aca="false">B627-B616</f>
        <v>0</v>
      </c>
      <c r="D627" s="22" t="n">
        <v>-473.384256553778</v>
      </c>
      <c r="E627" s="23" t="n">
        <v>3552.19397137445</v>
      </c>
      <c r="F627" s="23" t="n">
        <v>3655.8133980021</v>
      </c>
      <c r="G627" s="23" t="n">
        <v>8397.02901531903</v>
      </c>
      <c r="H627" s="23" t="n">
        <v>12529.0260600861</v>
      </c>
      <c r="I627" s="23" t="n">
        <v>13466.6770776692</v>
      </c>
      <c r="J627" s="23" t="n">
        <v>13983.9167934553</v>
      </c>
      <c r="K627" s="23" t="n">
        <v>14429.3777190375</v>
      </c>
      <c r="L627" s="23" t="n">
        <v>14894.5740475577</v>
      </c>
      <c r="M627" s="23" t="n">
        <v>15567.2233747301</v>
      </c>
      <c r="N627" s="24" t="n">
        <v>16349.0359097233</v>
      </c>
      <c r="O627" s="25" t="n">
        <v>16605.0588373537</v>
      </c>
      <c r="P627" s="25" t="n">
        <v>16987.8304023047</v>
      </c>
      <c r="Q627" s="25" t="n">
        <v>16896.9255609699</v>
      </c>
      <c r="R627" s="25" t="n">
        <v>17251.1488289756</v>
      </c>
      <c r="S627" s="25" t="n">
        <v>17596.7227025202</v>
      </c>
      <c r="T627" s="25" t="n">
        <v>17932.9550583883</v>
      </c>
      <c r="U627" s="25" t="n">
        <v>18420.9438010229</v>
      </c>
      <c r="V627" s="25" t="n">
        <v>18962.8336573098</v>
      </c>
      <c r="W627" s="25" t="n">
        <v>19032.9140627852</v>
      </c>
      <c r="X627" s="25" t="n">
        <v>5323.77288134545</v>
      </c>
    </row>
    <row r="628" customFormat="false" ht="12.75" hidden="false" customHeight="false" outlineLevel="0" collapsed="false">
      <c r="A628" s="26" t="s">
        <v>11</v>
      </c>
      <c r="B628" s="21" t="n">
        <f aca="false">NPV(0.1,D628:Y628)</f>
        <v>100708.069359722</v>
      </c>
      <c r="C628" s="21" t="n">
        <f aca="false">B628-B617</f>
        <v>0</v>
      </c>
      <c r="D628" s="27" t="n">
        <v>-2473.46906967943</v>
      </c>
      <c r="E628" s="28" t="n">
        <v>5887.19457146628</v>
      </c>
      <c r="F628" s="28" t="n">
        <v>4452.46206749354</v>
      </c>
      <c r="G628" s="28" t="n">
        <v>10249.9726297096</v>
      </c>
      <c r="H628" s="28" t="n">
        <v>17909.1554442372</v>
      </c>
      <c r="I628" s="28" t="n">
        <v>15455.4918761451</v>
      </c>
      <c r="J628" s="28" t="n">
        <v>15007.900779948</v>
      </c>
      <c r="K628" s="28" t="n">
        <v>15481.2822134632</v>
      </c>
      <c r="L628" s="28" t="n">
        <v>12229.041848389</v>
      </c>
      <c r="M628" s="28" t="n">
        <v>10335.3030632797</v>
      </c>
      <c r="N628" s="29" t="n">
        <v>20292.3058376416</v>
      </c>
      <c r="O628" s="25" t="n">
        <v>20064.9903180562</v>
      </c>
      <c r="P628" s="25" t="n">
        <v>20275.4962293834</v>
      </c>
      <c r="Q628" s="25" t="n">
        <v>20190.620096042</v>
      </c>
      <c r="R628" s="25" t="n">
        <v>20538.8146560543</v>
      </c>
      <c r="S628" s="25" t="n">
        <v>19105.9196715533</v>
      </c>
      <c r="T628" s="25" t="n">
        <v>14359.1050283758</v>
      </c>
      <c r="U628" s="25" t="n">
        <v>13525.2625146104</v>
      </c>
      <c r="V628" s="25" t="n">
        <v>12084.4054862973</v>
      </c>
      <c r="W628" s="25" t="n">
        <v>10832.6546353727</v>
      </c>
      <c r="X628" s="25" t="n">
        <v>8704.00170000239</v>
      </c>
    </row>
    <row r="631" customFormat="false" ht="11.25" hidden="false" customHeight="false" outlineLevel="0" collapsed="false">
      <c r="A631" s="39" t="s">
        <v>71</v>
      </c>
    </row>
    <row r="632" customFormat="false" ht="11.25" hidden="false" customHeight="false" outlineLevel="0" collapsed="false">
      <c r="A632" s="34" t="n">
        <v>36427</v>
      </c>
    </row>
    <row r="633" customFormat="false" ht="12.75" hidden="false" customHeight="false" outlineLevel="0" collapsed="false">
      <c r="A633" s="11" t="s">
        <v>3</v>
      </c>
      <c r="B633" s="12" t="n">
        <v>48968.9082454276</v>
      </c>
      <c r="C633" s="6"/>
      <c r="D633" s="6"/>
      <c r="E633" s="6"/>
      <c r="F633" s="6"/>
      <c r="G633" s="6"/>
      <c r="H633" s="6"/>
      <c r="I633" s="6"/>
      <c r="J633" s="6"/>
      <c r="K633" s="6"/>
      <c r="L633" s="6"/>
      <c r="M633" s="6"/>
      <c r="N633" s="6"/>
      <c r="O633" s="6"/>
      <c r="P633" s="6"/>
      <c r="Q633" s="6"/>
      <c r="R633" s="6"/>
      <c r="S633" s="6"/>
      <c r="T633" s="6"/>
      <c r="U633" s="6"/>
      <c r="V633" s="6"/>
      <c r="W633" s="6"/>
      <c r="X633" s="6"/>
    </row>
    <row r="634" customFormat="false" ht="12.75" hidden="false" customHeight="false" outlineLevel="0" collapsed="false">
      <c r="A634" s="13" t="s">
        <v>4</v>
      </c>
      <c r="B634" s="14" t="n">
        <v>90506.6263834866</v>
      </c>
      <c r="C634" s="6"/>
      <c r="D634" s="6"/>
      <c r="E634" s="6"/>
      <c r="F634" s="6"/>
      <c r="G634" s="6"/>
      <c r="H634" s="6"/>
      <c r="I634" s="6"/>
      <c r="J634" s="6"/>
      <c r="K634" s="6"/>
      <c r="L634" s="6"/>
      <c r="M634" s="6"/>
      <c r="N634" s="6"/>
      <c r="O634" s="6"/>
      <c r="P634" s="6"/>
      <c r="Q634" s="6"/>
      <c r="R634" s="6"/>
      <c r="S634" s="6"/>
      <c r="T634" s="6"/>
      <c r="U634" s="6"/>
      <c r="V634" s="6"/>
      <c r="W634" s="6"/>
      <c r="X634" s="6"/>
    </row>
    <row r="635" customFormat="false" ht="12.75" hidden="false" customHeight="false" outlineLevel="0" collapsed="false">
      <c r="A635" s="15" t="s">
        <v>5</v>
      </c>
      <c r="B635" s="16" t="s">
        <v>6</v>
      </c>
      <c r="C635" s="16" t="s">
        <v>7</v>
      </c>
      <c r="D635" s="17" t="n">
        <v>2000</v>
      </c>
      <c r="E635" s="18" t="n">
        <v>2001</v>
      </c>
      <c r="F635" s="18" t="n">
        <v>2002</v>
      </c>
      <c r="G635" s="18" t="n">
        <v>2003</v>
      </c>
      <c r="H635" s="18" t="n">
        <v>2004</v>
      </c>
      <c r="I635" s="18" t="n">
        <v>2005</v>
      </c>
      <c r="J635" s="18" t="n">
        <v>2006</v>
      </c>
      <c r="K635" s="18" t="n">
        <v>2007</v>
      </c>
      <c r="L635" s="18" t="n">
        <v>2008</v>
      </c>
      <c r="M635" s="18" t="n">
        <v>2009</v>
      </c>
      <c r="N635" s="19" t="n">
        <v>2010</v>
      </c>
      <c r="O635" s="20" t="n">
        <v>2011</v>
      </c>
      <c r="P635" s="20" t="n">
        <v>2012</v>
      </c>
      <c r="Q635" s="20" t="n">
        <v>2013</v>
      </c>
      <c r="R635" s="20" t="n">
        <v>2014</v>
      </c>
      <c r="S635" s="20" t="n">
        <v>2015</v>
      </c>
      <c r="T635" s="20" t="n">
        <v>2016</v>
      </c>
      <c r="U635" s="20" t="n">
        <v>2017</v>
      </c>
      <c r="V635" s="20" t="n">
        <v>2018</v>
      </c>
      <c r="W635" s="20" t="n">
        <v>2019</v>
      </c>
      <c r="X635" s="20" t="n">
        <v>2020</v>
      </c>
    </row>
    <row r="636" customFormat="false" ht="12.75" hidden="false" customHeight="false" outlineLevel="0" collapsed="false">
      <c r="A636" s="15" t="s">
        <v>8</v>
      </c>
      <c r="B636" s="21" t="n">
        <f aca="false">NPV(0.1,D636:Y636)</f>
        <v>457195.723123956</v>
      </c>
      <c r="C636" s="21" t="n">
        <f aca="false">B636-B625</f>
        <v>0</v>
      </c>
      <c r="D636" s="22" t="n">
        <v>25347.0563333333</v>
      </c>
      <c r="E636" s="23" t="n">
        <v>42007.48714</v>
      </c>
      <c r="F636" s="23" t="n">
        <v>42094.5212542</v>
      </c>
      <c r="G636" s="23" t="n">
        <v>50668.6576607134</v>
      </c>
      <c r="H636" s="23" t="n">
        <v>57743.8932614556</v>
      </c>
      <c r="I636" s="23" t="n">
        <v>58943.2220633393</v>
      </c>
      <c r="J636" s="23" t="n">
        <v>59552.4652887991</v>
      </c>
      <c r="K636" s="23" t="n">
        <v>60161.2038478084</v>
      </c>
      <c r="L636" s="23" t="n">
        <v>60768.859141477</v>
      </c>
      <c r="M636" s="23" t="n">
        <v>61374.8183091816</v>
      </c>
      <c r="N636" s="24" t="n">
        <v>61978.4326935999</v>
      </c>
      <c r="O636" s="25" t="n">
        <v>62579.0162444838</v>
      </c>
      <c r="P636" s="25" t="n">
        <v>63175.8438588753</v>
      </c>
      <c r="Q636" s="25" t="n">
        <v>62998.1681320966</v>
      </c>
      <c r="R636" s="25" t="n">
        <v>63562.0442111083</v>
      </c>
      <c r="S636" s="25" t="n">
        <v>64119.0441434205</v>
      </c>
      <c r="T636" s="25" t="n">
        <v>64668.2478717603</v>
      </c>
      <c r="U636" s="25" t="n">
        <v>65208.6863239502</v>
      </c>
      <c r="V636" s="25" t="n">
        <v>65739.3393000658</v>
      </c>
      <c r="W636" s="25" t="n">
        <v>65339.7350707632</v>
      </c>
      <c r="X636" s="25" t="n">
        <v>39294.5125998934</v>
      </c>
    </row>
    <row r="637" customFormat="false" ht="12.75" hidden="false" customHeight="false" outlineLevel="0" collapsed="false">
      <c r="A637" s="26" t="s">
        <v>9</v>
      </c>
      <c r="B637" s="21" t="n">
        <f aca="false">NPV(0.1,D637:Y637)</f>
        <v>204145.883321195</v>
      </c>
      <c r="C637" s="21" t="n">
        <f aca="false">B637-B626</f>
        <v>0</v>
      </c>
      <c r="D637" s="22" t="n">
        <v>13735.2718741324</v>
      </c>
      <c r="E637" s="23" t="n">
        <v>21850.0328500346</v>
      </c>
      <c r="F637" s="23" t="n">
        <v>22096.5325215937</v>
      </c>
      <c r="G637" s="23" t="n">
        <v>23413.6017414817</v>
      </c>
      <c r="H637" s="23" t="n">
        <v>24271.7891906064</v>
      </c>
      <c r="I637" s="23" t="n">
        <v>24506.5065548677</v>
      </c>
      <c r="J637" s="23" t="n">
        <v>24787.3007136647</v>
      </c>
      <c r="K637" s="23" t="n">
        <v>25095.8232853748</v>
      </c>
      <c r="L637" s="23" t="n">
        <v>25370.7030728464</v>
      </c>
      <c r="M637" s="23" t="n">
        <v>25576.1504759466</v>
      </c>
      <c r="N637" s="24" t="n">
        <v>25789.8109259936</v>
      </c>
      <c r="O637" s="25" t="n">
        <v>26181.5890083536</v>
      </c>
      <c r="P637" s="25" t="n">
        <v>26413.8963791851</v>
      </c>
      <c r="Q637" s="25" t="n">
        <v>26653.1729711416</v>
      </c>
      <c r="R637" s="25" t="n">
        <v>26899.6278608567</v>
      </c>
      <c r="S637" s="25" t="n">
        <v>27153.4763972634</v>
      </c>
      <c r="T637" s="25" t="n">
        <v>27414.9403897622</v>
      </c>
      <c r="U637" s="25" t="n">
        <v>27684.248302036</v>
      </c>
      <c r="V637" s="25" t="n">
        <v>27961.635451678</v>
      </c>
      <c r="W637" s="25" t="n">
        <v>28247.3442158092</v>
      </c>
      <c r="X637" s="25" t="n">
        <v>25770.4309987304</v>
      </c>
    </row>
    <row r="638" customFormat="false" ht="12.75" hidden="false" customHeight="false" outlineLevel="0" collapsed="false">
      <c r="A638" s="26" t="s">
        <v>10</v>
      </c>
      <c r="B638" s="21" t="n">
        <f aca="false">NPV(0.1,D638:Y638)</f>
        <v>94455.3249008324</v>
      </c>
      <c r="C638" s="21" t="n">
        <f aca="false">B638-B627</f>
        <v>0</v>
      </c>
      <c r="D638" s="22" t="n">
        <v>-473.384256553778</v>
      </c>
      <c r="E638" s="23" t="n">
        <v>3552.19397137445</v>
      </c>
      <c r="F638" s="23" t="n">
        <v>3655.8133980021</v>
      </c>
      <c r="G638" s="23" t="n">
        <v>8397.02901531903</v>
      </c>
      <c r="H638" s="23" t="n">
        <v>12529.0260600861</v>
      </c>
      <c r="I638" s="23" t="n">
        <v>13466.6770776692</v>
      </c>
      <c r="J638" s="23" t="n">
        <v>13983.9167934553</v>
      </c>
      <c r="K638" s="23" t="n">
        <v>14429.3777190375</v>
      </c>
      <c r="L638" s="23" t="n">
        <v>14894.5740475577</v>
      </c>
      <c r="M638" s="23" t="n">
        <v>15567.2233747301</v>
      </c>
      <c r="N638" s="24" t="n">
        <v>16349.0359097233</v>
      </c>
      <c r="O638" s="25" t="n">
        <v>16605.0588373537</v>
      </c>
      <c r="P638" s="25" t="n">
        <v>16987.8304023047</v>
      </c>
      <c r="Q638" s="25" t="n">
        <v>16896.9255609699</v>
      </c>
      <c r="R638" s="25" t="n">
        <v>17251.1488289756</v>
      </c>
      <c r="S638" s="25" t="n">
        <v>17596.7227025202</v>
      </c>
      <c r="T638" s="25" t="n">
        <v>17932.9550583883</v>
      </c>
      <c r="U638" s="25" t="n">
        <v>18420.9438010229</v>
      </c>
      <c r="V638" s="25" t="n">
        <v>18962.8336573098</v>
      </c>
      <c r="W638" s="25" t="n">
        <v>19032.9140627852</v>
      </c>
      <c r="X638" s="25" t="n">
        <v>5323.77288134545</v>
      </c>
    </row>
    <row r="639" customFormat="false" ht="12.75" hidden="false" customHeight="false" outlineLevel="0" collapsed="false">
      <c r="A639" s="26" t="s">
        <v>11</v>
      </c>
      <c r="B639" s="21" t="n">
        <f aca="false">NPV(0.1,D639:Y639)</f>
        <v>100708.069359722</v>
      </c>
      <c r="C639" s="21" t="n">
        <f aca="false">B639-B628</f>
        <v>0</v>
      </c>
      <c r="D639" s="27" t="n">
        <v>-2473.46906967943</v>
      </c>
      <c r="E639" s="28" t="n">
        <v>5887.19457146628</v>
      </c>
      <c r="F639" s="28" t="n">
        <v>4452.46206749354</v>
      </c>
      <c r="G639" s="28" t="n">
        <v>10249.9726297096</v>
      </c>
      <c r="H639" s="28" t="n">
        <v>17909.1554442372</v>
      </c>
      <c r="I639" s="28" t="n">
        <v>15455.4918761451</v>
      </c>
      <c r="J639" s="28" t="n">
        <v>15007.900779948</v>
      </c>
      <c r="K639" s="28" t="n">
        <v>15481.2822134632</v>
      </c>
      <c r="L639" s="28" t="n">
        <v>12229.041848389</v>
      </c>
      <c r="M639" s="28" t="n">
        <v>10335.3030632797</v>
      </c>
      <c r="N639" s="29" t="n">
        <v>20292.3058376416</v>
      </c>
      <c r="O639" s="25" t="n">
        <v>20064.9903180562</v>
      </c>
      <c r="P639" s="25" t="n">
        <v>20275.4962293834</v>
      </c>
      <c r="Q639" s="25" t="n">
        <v>20190.620096042</v>
      </c>
      <c r="R639" s="25" t="n">
        <v>20538.8146560543</v>
      </c>
      <c r="S639" s="25" t="n">
        <v>19105.9196715533</v>
      </c>
      <c r="T639" s="25" t="n">
        <v>14359.1050283758</v>
      </c>
      <c r="U639" s="25" t="n">
        <v>13525.2625146104</v>
      </c>
      <c r="V639" s="25" t="n">
        <v>12084.4054862973</v>
      </c>
      <c r="W639" s="25" t="n">
        <v>10832.6546353727</v>
      </c>
      <c r="X639" s="25" t="n">
        <v>8704.00170000239</v>
      </c>
    </row>
    <row r="642" customFormat="false" ht="11.25" hidden="false" customHeight="false" outlineLevel="0" collapsed="false">
      <c r="A642" s="39" t="s">
        <v>72</v>
      </c>
    </row>
    <row r="643" customFormat="false" ht="11.25" hidden="false" customHeight="false" outlineLevel="0" collapsed="false">
      <c r="A643" s="34" t="n">
        <v>36433</v>
      </c>
    </row>
    <row r="644" customFormat="false" ht="12.75" hidden="false" customHeight="false" outlineLevel="0" collapsed="false">
      <c r="A644" s="11" t="s">
        <v>3</v>
      </c>
      <c r="B644" s="12" t="n">
        <v>48968.9082454276</v>
      </c>
      <c r="C644" s="6"/>
      <c r="D644" s="6"/>
      <c r="E644" s="6"/>
      <c r="F644" s="6"/>
      <c r="G644" s="6"/>
      <c r="H644" s="6"/>
      <c r="I644" s="6"/>
      <c r="J644" s="6"/>
      <c r="K644" s="6"/>
      <c r="L644" s="6"/>
      <c r="M644" s="6"/>
      <c r="N644" s="6"/>
      <c r="O644" s="6"/>
      <c r="P644" s="6"/>
      <c r="Q644" s="6"/>
      <c r="R644" s="6"/>
      <c r="S644" s="6"/>
      <c r="T644" s="6"/>
      <c r="U644" s="6"/>
      <c r="V644" s="6"/>
      <c r="W644" s="6"/>
      <c r="X644" s="6"/>
    </row>
    <row r="645" customFormat="false" ht="12.75" hidden="false" customHeight="false" outlineLevel="0" collapsed="false">
      <c r="A645" s="13" t="s">
        <v>4</v>
      </c>
      <c r="B645" s="14" t="n">
        <v>90506.6263834866</v>
      </c>
      <c r="C645" s="6"/>
      <c r="D645" s="6"/>
      <c r="E645" s="6"/>
      <c r="F645" s="6"/>
      <c r="G645" s="6"/>
      <c r="H645" s="6"/>
      <c r="I645" s="6"/>
      <c r="J645" s="6"/>
      <c r="K645" s="6"/>
      <c r="L645" s="6"/>
      <c r="M645" s="6"/>
      <c r="N645" s="6"/>
      <c r="O645" s="6"/>
      <c r="P645" s="6"/>
      <c r="Q645" s="6"/>
      <c r="R645" s="6"/>
      <c r="S645" s="6"/>
      <c r="T645" s="6"/>
      <c r="U645" s="6"/>
      <c r="V645" s="6"/>
      <c r="W645" s="6"/>
      <c r="X645" s="6"/>
    </row>
    <row r="646" customFormat="false" ht="12.75" hidden="false" customHeight="false" outlineLevel="0" collapsed="false">
      <c r="A646" s="15" t="s">
        <v>5</v>
      </c>
      <c r="B646" s="16" t="s">
        <v>6</v>
      </c>
      <c r="C646" s="16" t="s">
        <v>7</v>
      </c>
      <c r="D646" s="17" t="n">
        <v>2000</v>
      </c>
      <c r="E646" s="18" t="n">
        <v>2001</v>
      </c>
      <c r="F646" s="18" t="n">
        <v>2002</v>
      </c>
      <c r="G646" s="18" t="n">
        <v>2003</v>
      </c>
      <c r="H646" s="18" t="n">
        <v>2004</v>
      </c>
      <c r="I646" s="18" t="n">
        <v>2005</v>
      </c>
      <c r="J646" s="18" t="n">
        <v>2006</v>
      </c>
      <c r="K646" s="18" t="n">
        <v>2007</v>
      </c>
      <c r="L646" s="18" t="n">
        <v>2008</v>
      </c>
      <c r="M646" s="18" t="n">
        <v>2009</v>
      </c>
      <c r="N646" s="19" t="n">
        <v>2010</v>
      </c>
      <c r="O646" s="20" t="n">
        <v>2011</v>
      </c>
      <c r="P646" s="20" t="n">
        <v>2012</v>
      </c>
      <c r="Q646" s="20" t="n">
        <v>2013</v>
      </c>
      <c r="R646" s="20" t="n">
        <v>2014</v>
      </c>
      <c r="S646" s="20" t="n">
        <v>2015</v>
      </c>
      <c r="T646" s="20" t="n">
        <v>2016</v>
      </c>
      <c r="U646" s="20" t="n">
        <v>2017</v>
      </c>
      <c r="V646" s="20" t="n">
        <v>2018</v>
      </c>
      <c r="W646" s="20" t="n">
        <v>2019</v>
      </c>
      <c r="X646" s="20" t="n">
        <v>2020</v>
      </c>
    </row>
    <row r="647" customFormat="false" ht="12.75" hidden="false" customHeight="false" outlineLevel="0" collapsed="false">
      <c r="A647" s="15" t="s">
        <v>8</v>
      </c>
      <c r="B647" s="21" t="n">
        <f aca="false">NPV(0.1,D647:Y647)</f>
        <v>457195.723123956</v>
      </c>
      <c r="C647" s="21" t="n">
        <f aca="false">B647-B636</f>
        <v>0</v>
      </c>
      <c r="D647" s="22" t="n">
        <v>25347.0563333333</v>
      </c>
      <c r="E647" s="23" t="n">
        <v>42007.48714</v>
      </c>
      <c r="F647" s="23" t="n">
        <v>42094.5212542</v>
      </c>
      <c r="G647" s="23" t="n">
        <v>50668.6576607134</v>
      </c>
      <c r="H647" s="23" t="n">
        <v>57743.8932614556</v>
      </c>
      <c r="I647" s="23" t="n">
        <v>58943.2220633393</v>
      </c>
      <c r="J647" s="23" t="n">
        <v>59552.4652887991</v>
      </c>
      <c r="K647" s="23" t="n">
        <v>60161.2038478084</v>
      </c>
      <c r="L647" s="23" t="n">
        <v>60768.859141477</v>
      </c>
      <c r="M647" s="23" t="n">
        <v>61374.8183091816</v>
      </c>
      <c r="N647" s="24" t="n">
        <v>61978.4326935999</v>
      </c>
      <c r="O647" s="25" t="n">
        <v>62579.0162444838</v>
      </c>
      <c r="P647" s="25" t="n">
        <v>63175.8438588753</v>
      </c>
      <c r="Q647" s="25" t="n">
        <v>62998.1681320966</v>
      </c>
      <c r="R647" s="25" t="n">
        <v>63562.0442111083</v>
      </c>
      <c r="S647" s="25" t="n">
        <v>64119.0441434205</v>
      </c>
      <c r="T647" s="25" t="n">
        <v>64668.2478717603</v>
      </c>
      <c r="U647" s="25" t="n">
        <v>65208.6863239502</v>
      </c>
      <c r="V647" s="25" t="n">
        <v>65739.3393000658</v>
      </c>
      <c r="W647" s="25" t="n">
        <v>65339.7350707632</v>
      </c>
      <c r="X647" s="25" t="n">
        <v>39294.5125998934</v>
      </c>
    </row>
    <row r="648" customFormat="false" ht="12.75" hidden="false" customHeight="false" outlineLevel="0" collapsed="false">
      <c r="A648" s="26" t="s">
        <v>9</v>
      </c>
      <c r="B648" s="21" t="n">
        <f aca="false">NPV(0.1,D648:Y648)</f>
        <v>204145.883321195</v>
      </c>
      <c r="C648" s="21" t="n">
        <f aca="false">B648-B637</f>
        <v>0</v>
      </c>
      <c r="D648" s="22" t="n">
        <v>13735.2718741324</v>
      </c>
      <c r="E648" s="23" t="n">
        <v>21850.0328500346</v>
      </c>
      <c r="F648" s="23" t="n">
        <v>22096.5325215937</v>
      </c>
      <c r="G648" s="23" t="n">
        <v>23413.6017414817</v>
      </c>
      <c r="H648" s="23" t="n">
        <v>24271.7891906064</v>
      </c>
      <c r="I648" s="23" t="n">
        <v>24506.5065548677</v>
      </c>
      <c r="J648" s="23" t="n">
        <v>24787.3007136647</v>
      </c>
      <c r="K648" s="23" t="n">
        <v>25095.8232853748</v>
      </c>
      <c r="L648" s="23" t="n">
        <v>25370.7030728464</v>
      </c>
      <c r="M648" s="23" t="n">
        <v>25576.1504759466</v>
      </c>
      <c r="N648" s="24" t="n">
        <v>25789.8109259936</v>
      </c>
      <c r="O648" s="25" t="n">
        <v>26181.5890083536</v>
      </c>
      <c r="P648" s="25" t="n">
        <v>26413.8963791851</v>
      </c>
      <c r="Q648" s="25" t="n">
        <v>26653.1729711416</v>
      </c>
      <c r="R648" s="25" t="n">
        <v>26899.6278608567</v>
      </c>
      <c r="S648" s="25" t="n">
        <v>27153.4763972634</v>
      </c>
      <c r="T648" s="25" t="n">
        <v>27414.9403897622</v>
      </c>
      <c r="U648" s="25" t="n">
        <v>27684.248302036</v>
      </c>
      <c r="V648" s="25" t="n">
        <v>27961.635451678</v>
      </c>
      <c r="W648" s="25" t="n">
        <v>28247.3442158092</v>
      </c>
      <c r="X648" s="25" t="n">
        <v>25770.4309987304</v>
      </c>
    </row>
    <row r="649" customFormat="false" ht="12.75" hidden="false" customHeight="false" outlineLevel="0" collapsed="false">
      <c r="A649" s="26" t="s">
        <v>10</v>
      </c>
      <c r="B649" s="21" t="n">
        <f aca="false">NPV(0.1,D649:Y649)</f>
        <v>95193.4592510064</v>
      </c>
      <c r="C649" s="21" t="n">
        <f aca="false">B649-B638</f>
        <v>738.134350174063</v>
      </c>
      <c r="D649" s="22" t="n">
        <v>-386.530822985659</v>
      </c>
      <c r="E649" s="23" t="n">
        <v>3657.97251445567</v>
      </c>
      <c r="F649" s="23" t="n">
        <v>3759.59627803704</v>
      </c>
      <c r="G649" s="23" t="n">
        <v>8494.38058204674</v>
      </c>
      <c r="H649" s="23" t="n">
        <v>12622.829389213</v>
      </c>
      <c r="I649" s="23" t="n">
        <v>13558.2251775764</v>
      </c>
      <c r="J649" s="23" t="n">
        <v>14073.2096641427</v>
      </c>
      <c r="K649" s="23" t="n">
        <v>14516.0995580645</v>
      </c>
      <c r="L649" s="23" t="n">
        <v>14978.7248549243</v>
      </c>
      <c r="M649" s="23" t="n">
        <v>15647.1795260978</v>
      </c>
      <c r="N649" s="24" t="n">
        <v>16423.6697904824</v>
      </c>
      <c r="O649" s="25" t="n">
        <v>16678.4295083501</v>
      </c>
      <c r="P649" s="25" t="n">
        <v>17059.6220610977</v>
      </c>
      <c r="Q649" s="25" t="n">
        <v>16967.1382075596</v>
      </c>
      <c r="R649" s="25" t="n">
        <v>17319.7824633619</v>
      </c>
      <c r="S649" s="25" t="n">
        <v>17663.7773247031</v>
      </c>
      <c r="T649" s="25" t="n">
        <v>17998.4306683679</v>
      </c>
      <c r="U649" s="25" t="n">
        <v>18483.2613865959</v>
      </c>
      <c r="V649" s="25" t="n">
        <v>19021.3616135948</v>
      </c>
      <c r="W649" s="25" t="n">
        <v>19086.7049824601</v>
      </c>
      <c r="X649" s="25" t="n">
        <v>5346.00422202895</v>
      </c>
    </row>
    <row r="650" customFormat="false" ht="12.75" hidden="false" customHeight="false" outlineLevel="0" collapsed="false">
      <c r="A650" s="26" t="s">
        <v>11</v>
      </c>
      <c r="B650" s="21" t="n">
        <f aca="false">NPV(0.1,D650:Y650)</f>
        <v>101302.672881354</v>
      </c>
      <c r="C650" s="21" t="n">
        <f aca="false">B650-B639</f>
        <v>594.603521632263</v>
      </c>
      <c r="D650" s="27" t="n">
        <v>-2332.96549835443</v>
      </c>
      <c r="E650" s="28" t="n">
        <v>6024.48322044528</v>
      </c>
      <c r="F650" s="28" t="n">
        <v>4604.44955162654</v>
      </c>
      <c r="G650" s="28" t="n">
        <v>10409.7738484572</v>
      </c>
      <c r="H650" s="28" t="n">
        <v>17712.1591064682</v>
      </c>
      <c r="I650" s="28" t="n">
        <v>15512.4762863456</v>
      </c>
      <c r="J650" s="28" t="n">
        <v>15069.3244540732</v>
      </c>
      <c r="K650" s="28" t="n">
        <v>15540.1274153084</v>
      </c>
      <c r="L650" s="28" t="n">
        <v>12321.1509741933</v>
      </c>
      <c r="M650" s="28" t="n">
        <v>10447.5728026657</v>
      </c>
      <c r="N650" s="29" t="n">
        <v>20309.6919595384</v>
      </c>
      <c r="O650" s="25" t="n">
        <v>20087.5547422708</v>
      </c>
      <c r="P650" s="25" t="n">
        <v>20296.4890820142</v>
      </c>
      <c r="Q650" s="25" t="n">
        <v>20210.02649585</v>
      </c>
      <c r="R650" s="25" t="n">
        <v>20556.6494842784</v>
      </c>
      <c r="S650" s="25" t="n">
        <v>19124.3704703339</v>
      </c>
      <c r="T650" s="25" t="n">
        <v>14410.4165612129</v>
      </c>
      <c r="U650" s="25" t="n">
        <v>13586.3139284409</v>
      </c>
      <c r="V650" s="25" t="n">
        <v>12161.0141289398</v>
      </c>
      <c r="W650" s="25" t="n">
        <v>10917.4241468051</v>
      </c>
      <c r="X650" s="25" t="n">
        <v>8703.18099904339</v>
      </c>
    </row>
    <row r="653" customFormat="false" ht="11.25" hidden="false" customHeight="false" outlineLevel="0" collapsed="false">
      <c r="A653" s="39" t="s">
        <v>73</v>
      </c>
    </row>
    <row r="654" customFormat="false" ht="11.25" hidden="false" customHeight="false" outlineLevel="0" collapsed="false">
      <c r="A654" s="34" t="n">
        <v>36452</v>
      </c>
    </row>
    <row r="655" customFormat="false" ht="12.75" hidden="false" customHeight="false" outlineLevel="0" collapsed="false">
      <c r="A655" s="11" t="s">
        <v>3</v>
      </c>
      <c r="B655" s="12" t="n">
        <v>49198.8664132675</v>
      </c>
      <c r="C655" s="6"/>
      <c r="D655" s="6"/>
      <c r="E655" s="6"/>
      <c r="F655" s="6"/>
      <c r="G655" s="6"/>
      <c r="H655" s="6"/>
      <c r="I655" s="6"/>
      <c r="J655" s="6"/>
      <c r="K655" s="6"/>
      <c r="L655" s="6"/>
      <c r="M655" s="6"/>
      <c r="N655" s="6"/>
      <c r="O655" s="6"/>
      <c r="P655" s="6"/>
      <c r="Q655" s="6"/>
      <c r="R655" s="6"/>
      <c r="S655" s="6"/>
      <c r="T655" s="6"/>
      <c r="U655" s="6"/>
      <c r="V655" s="6"/>
      <c r="W655" s="6"/>
      <c r="X655" s="6"/>
    </row>
    <row r="656" customFormat="false" ht="12.75" hidden="false" customHeight="false" outlineLevel="0" collapsed="false">
      <c r="A656" s="13" t="s">
        <v>4</v>
      </c>
      <c r="B656" s="14" t="n">
        <v>90891.9277899444</v>
      </c>
      <c r="C656" s="6"/>
      <c r="D656" s="6"/>
      <c r="E656" s="6"/>
      <c r="F656" s="6"/>
      <c r="G656" s="6"/>
      <c r="H656" s="6"/>
      <c r="I656" s="6"/>
      <c r="J656" s="6"/>
      <c r="K656" s="6"/>
      <c r="L656" s="6"/>
      <c r="M656" s="6"/>
      <c r="N656" s="6"/>
      <c r="O656" s="6"/>
      <c r="P656" s="6"/>
      <c r="Q656" s="6"/>
      <c r="R656" s="6"/>
      <c r="S656" s="6"/>
      <c r="T656" s="6"/>
      <c r="U656" s="6"/>
      <c r="V656" s="6"/>
      <c r="W656" s="6"/>
      <c r="X656" s="6"/>
    </row>
    <row r="657" customFormat="false" ht="12.75" hidden="false" customHeight="false" outlineLevel="0" collapsed="false">
      <c r="A657" s="15" t="s">
        <v>5</v>
      </c>
      <c r="B657" s="16" t="s">
        <v>6</v>
      </c>
      <c r="C657" s="16" t="s">
        <v>7</v>
      </c>
      <c r="D657" s="17" t="n">
        <v>2000</v>
      </c>
      <c r="E657" s="18" t="n">
        <v>2001</v>
      </c>
      <c r="F657" s="18" t="n">
        <v>2002</v>
      </c>
      <c r="G657" s="18" t="n">
        <v>2003</v>
      </c>
      <c r="H657" s="18" t="n">
        <v>2004</v>
      </c>
      <c r="I657" s="18" t="n">
        <v>2005</v>
      </c>
      <c r="J657" s="18" t="n">
        <v>2006</v>
      </c>
      <c r="K657" s="18" t="n">
        <v>2007</v>
      </c>
      <c r="L657" s="18" t="n">
        <v>2008</v>
      </c>
      <c r="M657" s="18" t="n">
        <v>2009</v>
      </c>
      <c r="N657" s="19" t="n">
        <v>2010</v>
      </c>
      <c r="O657" s="20" t="n">
        <v>2011</v>
      </c>
      <c r="P657" s="20" t="n">
        <v>2012</v>
      </c>
      <c r="Q657" s="20" t="n">
        <v>2013</v>
      </c>
      <c r="R657" s="20" t="n">
        <v>2014</v>
      </c>
      <c r="S657" s="20" t="n">
        <v>2015</v>
      </c>
      <c r="T657" s="20" t="n">
        <v>2016</v>
      </c>
      <c r="U657" s="20" t="n">
        <v>2017</v>
      </c>
      <c r="V657" s="20" t="n">
        <v>2018</v>
      </c>
      <c r="W657" s="20" t="n">
        <v>2019</v>
      </c>
      <c r="X657" s="20" t="n">
        <v>2020</v>
      </c>
    </row>
    <row r="658" customFormat="false" ht="12.75" hidden="false" customHeight="false" outlineLevel="0" collapsed="false">
      <c r="A658" s="15" t="s">
        <v>8</v>
      </c>
      <c r="B658" s="21" t="n">
        <f aca="false">NPV(0.1,D658:Y658)</f>
        <v>457195.723123956</v>
      </c>
      <c r="C658" s="21" t="n">
        <f aca="false">B658-B647</f>
        <v>0</v>
      </c>
      <c r="D658" s="22" t="n">
        <v>25347.0563333333</v>
      </c>
      <c r="E658" s="23" t="n">
        <v>42007.48714</v>
      </c>
      <c r="F658" s="23" t="n">
        <v>42094.5212542</v>
      </c>
      <c r="G658" s="23" t="n">
        <v>50668.6576607134</v>
      </c>
      <c r="H658" s="23" t="n">
        <v>57743.8932614556</v>
      </c>
      <c r="I658" s="23" t="n">
        <v>58943.2220633393</v>
      </c>
      <c r="J658" s="23" t="n">
        <v>59552.4652887991</v>
      </c>
      <c r="K658" s="23" t="n">
        <v>60161.2038478084</v>
      </c>
      <c r="L658" s="23" t="n">
        <v>60768.859141477</v>
      </c>
      <c r="M658" s="23" t="n">
        <v>61374.8183091816</v>
      </c>
      <c r="N658" s="24" t="n">
        <v>61978.4326935999</v>
      </c>
      <c r="O658" s="25" t="n">
        <v>62579.0162444838</v>
      </c>
      <c r="P658" s="25" t="n">
        <v>63175.8438588753</v>
      </c>
      <c r="Q658" s="25" t="n">
        <v>62998.1681320966</v>
      </c>
      <c r="R658" s="25" t="n">
        <v>63562.0442111083</v>
      </c>
      <c r="S658" s="25" t="n">
        <v>64119.0441434205</v>
      </c>
      <c r="T658" s="25" t="n">
        <v>64668.2478717603</v>
      </c>
      <c r="U658" s="25" t="n">
        <v>65208.6863239502</v>
      </c>
      <c r="V658" s="25" t="n">
        <v>65739.3393000658</v>
      </c>
      <c r="W658" s="25" t="n">
        <v>65339.7350707632</v>
      </c>
      <c r="X658" s="25" t="n">
        <v>39294.5125998934</v>
      </c>
    </row>
    <row r="659" customFormat="false" ht="12.75" hidden="false" customHeight="false" outlineLevel="0" collapsed="false">
      <c r="A659" s="26" t="s">
        <v>9</v>
      </c>
      <c r="B659" s="21" t="n">
        <f aca="false">NPV(0.1,D659:Y659)</f>
        <v>204145.883321195</v>
      </c>
      <c r="C659" s="21" t="n">
        <f aca="false">B659-B648</f>
        <v>0</v>
      </c>
      <c r="D659" s="22" t="n">
        <v>13735.2718741324</v>
      </c>
      <c r="E659" s="23" t="n">
        <v>21850.0328500346</v>
      </c>
      <c r="F659" s="23" t="n">
        <v>22096.5325215937</v>
      </c>
      <c r="G659" s="23" t="n">
        <v>23413.6017414817</v>
      </c>
      <c r="H659" s="23" t="n">
        <v>24271.7891906064</v>
      </c>
      <c r="I659" s="23" t="n">
        <v>24506.5065548677</v>
      </c>
      <c r="J659" s="23" t="n">
        <v>24787.3007136647</v>
      </c>
      <c r="K659" s="23" t="n">
        <v>25095.8232853748</v>
      </c>
      <c r="L659" s="23" t="n">
        <v>25370.7030728464</v>
      </c>
      <c r="M659" s="23" t="n">
        <v>25576.1504759466</v>
      </c>
      <c r="N659" s="24" t="n">
        <v>25789.8109259936</v>
      </c>
      <c r="O659" s="25" t="n">
        <v>26181.5890083536</v>
      </c>
      <c r="P659" s="25" t="n">
        <v>26413.8963791851</v>
      </c>
      <c r="Q659" s="25" t="n">
        <v>26653.1729711416</v>
      </c>
      <c r="R659" s="25" t="n">
        <v>26899.6278608567</v>
      </c>
      <c r="S659" s="25" t="n">
        <v>27153.4763972634</v>
      </c>
      <c r="T659" s="25" t="n">
        <v>27414.9403897622</v>
      </c>
      <c r="U659" s="25" t="n">
        <v>27684.248302036</v>
      </c>
      <c r="V659" s="25" t="n">
        <v>27961.635451678</v>
      </c>
      <c r="W659" s="25" t="n">
        <v>28247.3442158092</v>
      </c>
      <c r="X659" s="25" t="n">
        <v>25770.4309987304</v>
      </c>
    </row>
    <row r="660" customFormat="false" ht="12.75" hidden="false" customHeight="false" outlineLevel="0" collapsed="false">
      <c r="A660" s="26" t="s">
        <v>10</v>
      </c>
      <c r="B660" s="21" t="n">
        <f aca="false">NPV(0.1,D660:Y660)</f>
        <v>95327.6339409438</v>
      </c>
      <c r="C660" s="21" t="n">
        <f aca="false">B660-B649</f>
        <v>134.174689937325</v>
      </c>
      <c r="D660" s="22" t="n">
        <v>-364.526891998418</v>
      </c>
      <c r="E660" s="23" t="n">
        <v>3692.02558234448</v>
      </c>
      <c r="F660" s="23" t="n">
        <v>3793.47955964722</v>
      </c>
      <c r="G660" s="23" t="n">
        <v>8526.82473928641</v>
      </c>
      <c r="H660" s="23" t="n">
        <v>12654.9716708133</v>
      </c>
      <c r="I660" s="23" t="n">
        <v>13573.6927596237</v>
      </c>
      <c r="J660" s="23" t="n">
        <v>14076.7119266369</v>
      </c>
      <c r="K660" s="23" t="n">
        <v>14519.3830832831</v>
      </c>
      <c r="L660" s="23" t="n">
        <v>14981.7896428673</v>
      </c>
      <c r="M660" s="23" t="n">
        <v>15649.8874426574</v>
      </c>
      <c r="N660" s="24" t="n">
        <v>16425.9249008819</v>
      </c>
      <c r="O660" s="25" t="n">
        <v>16680.5771478592</v>
      </c>
      <c r="P660" s="25" t="n">
        <v>17061.6353619937</v>
      </c>
      <c r="Q660" s="25" t="n">
        <v>16969.0171698424</v>
      </c>
      <c r="R660" s="25" t="n">
        <v>17321.5270870316</v>
      </c>
      <c r="S660" s="25" t="n">
        <v>17665.3876097597</v>
      </c>
      <c r="T660" s="25" t="n">
        <v>17999.9066148113</v>
      </c>
      <c r="U660" s="25" t="n">
        <v>18484.468655813</v>
      </c>
      <c r="V660" s="25" t="n">
        <v>19022.2464701403</v>
      </c>
      <c r="W660" s="25" t="n">
        <v>19087.1868231662</v>
      </c>
      <c r="X660" s="25" t="n">
        <v>5346.02931145045</v>
      </c>
    </row>
    <row r="661" customFormat="false" ht="12.75" hidden="false" customHeight="false" outlineLevel="0" collapsed="false">
      <c r="A661" s="26" t="s">
        <v>11</v>
      </c>
      <c r="B661" s="21" t="n">
        <f aca="false">NPV(0.1,D661:Y661)</f>
        <v>101318.419299427</v>
      </c>
      <c r="C661" s="21" t="n">
        <f aca="false">B661-B650</f>
        <v>15.7464180729148</v>
      </c>
      <c r="D661" s="27" t="n">
        <v>-2321.01178775443</v>
      </c>
      <c r="E661" s="28" t="n">
        <v>6036.16341307728</v>
      </c>
      <c r="F661" s="28" t="n">
        <v>4617.38028629054</v>
      </c>
      <c r="G661" s="28" t="n">
        <v>10421.9971056091</v>
      </c>
      <c r="H661" s="28" t="n">
        <v>17626.2199890417</v>
      </c>
      <c r="I661" s="28" t="n">
        <v>15512.3636219906</v>
      </c>
      <c r="J661" s="28" t="n">
        <v>15077.4635468122</v>
      </c>
      <c r="K661" s="28" t="n">
        <v>15548.0477177905</v>
      </c>
      <c r="L661" s="28" t="n">
        <v>12331.900712381</v>
      </c>
      <c r="M661" s="28" t="n">
        <v>10460.0383380888</v>
      </c>
      <c r="N661" s="29" t="n">
        <v>20314.0844417827</v>
      </c>
      <c r="O661" s="25" t="n">
        <v>20092.3883622434</v>
      </c>
      <c r="P661" s="25" t="n">
        <v>20301.1884163549</v>
      </c>
      <c r="Q661" s="25" t="n">
        <v>20214.5914385963</v>
      </c>
      <c r="R661" s="25" t="n">
        <v>20561.0801413928</v>
      </c>
      <c r="S661" s="25" t="n">
        <v>19128.6824182965</v>
      </c>
      <c r="T661" s="25" t="n">
        <v>14417.3531080238</v>
      </c>
      <c r="U661" s="25" t="n">
        <v>13594.0791212255</v>
      </c>
      <c r="V661" s="25" t="n">
        <v>12170.1028938528</v>
      </c>
      <c r="W661" s="25" t="n">
        <v>10927.2072190787</v>
      </c>
      <c r="X661" s="25" t="n">
        <v>8703.18007283239</v>
      </c>
    </row>
    <row r="664" customFormat="false" ht="11.25" hidden="false" customHeight="false" outlineLevel="0" collapsed="false">
      <c r="A664" s="39" t="s">
        <v>74</v>
      </c>
    </row>
    <row r="665" customFormat="false" ht="11.25" hidden="false" customHeight="false" outlineLevel="0" collapsed="false">
      <c r="A665" s="34" t="n">
        <v>36465</v>
      </c>
    </row>
    <row r="666" customFormat="false" ht="12.75" hidden="false" customHeight="false" outlineLevel="0" collapsed="false">
      <c r="A666" s="11" t="s">
        <v>3</v>
      </c>
      <c r="B666" s="12" t="n">
        <v>49198.8664132675</v>
      </c>
      <c r="C666" s="6"/>
      <c r="D666" s="6"/>
      <c r="E666" s="6"/>
      <c r="F666" s="6"/>
      <c r="G666" s="6"/>
      <c r="H666" s="6"/>
      <c r="I666" s="6"/>
      <c r="J666" s="6"/>
      <c r="K666" s="6"/>
      <c r="L666" s="6"/>
      <c r="M666" s="6"/>
      <c r="N666" s="6"/>
      <c r="O666" s="6"/>
      <c r="P666" s="6"/>
      <c r="Q666" s="6"/>
      <c r="R666" s="6"/>
      <c r="S666" s="6"/>
      <c r="T666" s="6"/>
      <c r="U666" s="6"/>
      <c r="V666" s="6"/>
      <c r="W666" s="6"/>
      <c r="X666" s="6"/>
    </row>
    <row r="667" customFormat="false" ht="12.75" hidden="false" customHeight="false" outlineLevel="0" collapsed="false">
      <c r="A667" s="13" t="s">
        <v>4</v>
      </c>
      <c r="B667" s="14" t="n">
        <v>90891.9277899444</v>
      </c>
      <c r="C667" s="6"/>
      <c r="D667" s="6"/>
      <c r="E667" s="6"/>
      <c r="F667" s="6"/>
      <c r="G667" s="6"/>
      <c r="H667" s="6"/>
      <c r="I667" s="6"/>
      <c r="J667" s="6"/>
      <c r="K667" s="6"/>
      <c r="L667" s="6"/>
      <c r="M667" s="6"/>
      <c r="N667" s="6"/>
      <c r="O667" s="6"/>
      <c r="P667" s="6"/>
      <c r="Q667" s="6"/>
      <c r="R667" s="6"/>
      <c r="S667" s="6"/>
      <c r="T667" s="6"/>
      <c r="U667" s="6"/>
      <c r="V667" s="6"/>
      <c r="W667" s="6"/>
      <c r="X667" s="6"/>
    </row>
    <row r="668" customFormat="false" ht="12.75" hidden="false" customHeight="false" outlineLevel="0" collapsed="false">
      <c r="A668" s="15" t="s">
        <v>5</v>
      </c>
      <c r="B668" s="16" t="s">
        <v>6</v>
      </c>
      <c r="C668" s="16" t="s">
        <v>7</v>
      </c>
      <c r="D668" s="17" t="n">
        <v>2000</v>
      </c>
      <c r="E668" s="18" t="n">
        <v>2001</v>
      </c>
      <c r="F668" s="18" t="n">
        <v>2002</v>
      </c>
      <c r="G668" s="18" t="n">
        <v>2003</v>
      </c>
      <c r="H668" s="18" t="n">
        <v>2004</v>
      </c>
      <c r="I668" s="18" t="n">
        <v>2005</v>
      </c>
      <c r="J668" s="18" t="n">
        <v>2006</v>
      </c>
      <c r="K668" s="18" t="n">
        <v>2007</v>
      </c>
      <c r="L668" s="18" t="n">
        <v>2008</v>
      </c>
      <c r="M668" s="18" t="n">
        <v>2009</v>
      </c>
      <c r="N668" s="19" t="n">
        <v>2010</v>
      </c>
      <c r="O668" s="20" t="n">
        <v>2011</v>
      </c>
      <c r="P668" s="20" t="n">
        <v>2012</v>
      </c>
      <c r="Q668" s="20" t="n">
        <v>2013</v>
      </c>
      <c r="R668" s="20" t="n">
        <v>2014</v>
      </c>
      <c r="S668" s="20" t="n">
        <v>2015</v>
      </c>
      <c r="T668" s="20" t="n">
        <v>2016</v>
      </c>
      <c r="U668" s="20" t="n">
        <v>2017</v>
      </c>
      <c r="V668" s="20" t="n">
        <v>2018</v>
      </c>
      <c r="W668" s="20" t="n">
        <v>2019</v>
      </c>
      <c r="X668" s="20" t="n">
        <v>2020</v>
      </c>
    </row>
    <row r="669" customFormat="false" ht="12.75" hidden="false" customHeight="false" outlineLevel="0" collapsed="false">
      <c r="A669" s="15" t="s">
        <v>8</v>
      </c>
      <c r="B669" s="21" t="n">
        <f aca="false">NPV(0.1,D669:Y669)</f>
        <v>457195.723123956</v>
      </c>
      <c r="C669" s="21" t="n">
        <f aca="false">B669-B658</f>
        <v>0</v>
      </c>
      <c r="D669" s="22" t="n">
        <v>25347.0563333333</v>
      </c>
      <c r="E669" s="23" t="n">
        <v>42007.48714</v>
      </c>
      <c r="F669" s="23" t="n">
        <v>42094.5212542</v>
      </c>
      <c r="G669" s="23" t="n">
        <v>50668.6576607134</v>
      </c>
      <c r="H669" s="23" t="n">
        <v>57743.8932614556</v>
      </c>
      <c r="I669" s="23" t="n">
        <v>58943.2220633393</v>
      </c>
      <c r="J669" s="23" t="n">
        <v>59552.4652887991</v>
      </c>
      <c r="K669" s="23" t="n">
        <v>60161.2038478084</v>
      </c>
      <c r="L669" s="23" t="n">
        <v>60768.859141477</v>
      </c>
      <c r="M669" s="23" t="n">
        <v>61374.8183091816</v>
      </c>
      <c r="N669" s="24" t="n">
        <v>61978.4326935999</v>
      </c>
      <c r="O669" s="25" t="n">
        <v>62579.0162444838</v>
      </c>
      <c r="P669" s="25" t="n">
        <v>63175.8438588753</v>
      </c>
      <c r="Q669" s="25" t="n">
        <v>62998.1681320966</v>
      </c>
      <c r="R669" s="25" t="n">
        <v>63562.0442111083</v>
      </c>
      <c r="S669" s="25" t="n">
        <v>64119.0441434205</v>
      </c>
      <c r="T669" s="25" t="n">
        <v>64668.2478717603</v>
      </c>
      <c r="U669" s="25" t="n">
        <v>65208.6863239502</v>
      </c>
      <c r="V669" s="25" t="n">
        <v>65739.3393000658</v>
      </c>
      <c r="W669" s="25" t="n">
        <v>65339.7350707632</v>
      </c>
      <c r="X669" s="25" t="n">
        <v>39294.5125998934</v>
      </c>
    </row>
    <row r="670" customFormat="false" ht="12.75" hidden="false" customHeight="false" outlineLevel="0" collapsed="false">
      <c r="A670" s="26" t="s">
        <v>9</v>
      </c>
      <c r="B670" s="21" t="n">
        <f aca="false">NPV(0.1,D670:Y670)</f>
        <v>204145.883321195</v>
      </c>
      <c r="C670" s="21" t="n">
        <f aca="false">B670-B659</f>
        <v>0</v>
      </c>
      <c r="D670" s="22" t="n">
        <v>13735.2718741324</v>
      </c>
      <c r="E670" s="23" t="n">
        <v>21850.0328500346</v>
      </c>
      <c r="F670" s="23" t="n">
        <v>22096.5325215937</v>
      </c>
      <c r="G670" s="23" t="n">
        <v>23413.6017414817</v>
      </c>
      <c r="H670" s="23" t="n">
        <v>24271.7891906064</v>
      </c>
      <c r="I670" s="23" t="n">
        <v>24506.5065548677</v>
      </c>
      <c r="J670" s="23" t="n">
        <v>24787.3007136647</v>
      </c>
      <c r="K670" s="23" t="n">
        <v>25095.8232853748</v>
      </c>
      <c r="L670" s="23" t="n">
        <v>25370.7030728464</v>
      </c>
      <c r="M670" s="23" t="n">
        <v>25576.1504759466</v>
      </c>
      <c r="N670" s="24" t="n">
        <v>25789.8109259936</v>
      </c>
      <c r="O670" s="25" t="n">
        <v>26181.5890083536</v>
      </c>
      <c r="P670" s="25" t="n">
        <v>26413.8963791851</v>
      </c>
      <c r="Q670" s="25" t="n">
        <v>26653.1729711416</v>
      </c>
      <c r="R670" s="25" t="n">
        <v>26899.6278608567</v>
      </c>
      <c r="S670" s="25" t="n">
        <v>27153.4763972634</v>
      </c>
      <c r="T670" s="25" t="n">
        <v>27414.9403897622</v>
      </c>
      <c r="U670" s="25" t="n">
        <v>27684.248302036</v>
      </c>
      <c r="V670" s="25" t="n">
        <v>27961.635451678</v>
      </c>
      <c r="W670" s="25" t="n">
        <v>28247.3442158092</v>
      </c>
      <c r="X670" s="25" t="n">
        <v>25770.4309987304</v>
      </c>
    </row>
    <row r="671" customFormat="false" ht="12.75" hidden="false" customHeight="false" outlineLevel="0" collapsed="false">
      <c r="A671" s="26" t="s">
        <v>10</v>
      </c>
      <c r="B671" s="21" t="n">
        <f aca="false">NPV(0.1,D671:Y671)</f>
        <v>95435.845841608</v>
      </c>
      <c r="C671" s="21" t="n">
        <f aca="false">B671-B660</f>
        <v>108.211900664202</v>
      </c>
      <c r="D671" s="22" t="n">
        <v>-350.757406756186</v>
      </c>
      <c r="E671" s="23" t="n">
        <v>3707.25491435488</v>
      </c>
      <c r="F671" s="23" t="n">
        <v>3808.32119761432</v>
      </c>
      <c r="G671" s="23" t="n">
        <v>8540.60638317625</v>
      </c>
      <c r="H671" s="23" t="n">
        <v>12668.0640046593</v>
      </c>
      <c r="I671" s="23" t="n">
        <v>13587.2249640177</v>
      </c>
      <c r="J671" s="23" t="n">
        <v>14090.433147274</v>
      </c>
      <c r="K671" s="23" t="n">
        <v>14532.6048340013</v>
      </c>
      <c r="L671" s="23" t="n">
        <v>14994.5119236666</v>
      </c>
      <c r="M671" s="23" t="n">
        <v>15661.7948348173</v>
      </c>
      <c r="N671" s="24" t="n">
        <v>16436.7983446428</v>
      </c>
      <c r="O671" s="25" t="n">
        <v>16691.2051900222</v>
      </c>
      <c r="P671" s="25" t="n">
        <v>17071.9566521593</v>
      </c>
      <c r="Q671" s="25" t="n">
        <v>16979.0317080106</v>
      </c>
      <c r="R671" s="25" t="n">
        <v>17331.2348732024</v>
      </c>
      <c r="S671" s="25" t="n">
        <v>17674.7886439332</v>
      </c>
      <c r="T671" s="25" t="n">
        <v>18009.0008969874</v>
      </c>
      <c r="U671" s="25" t="n">
        <v>18492.9494339944</v>
      </c>
      <c r="V671" s="25" t="n">
        <v>19029.991043528</v>
      </c>
      <c r="W671" s="25" t="n">
        <v>19094.0111405618</v>
      </c>
      <c r="X671" s="25" t="n">
        <v>5351.81067205495</v>
      </c>
    </row>
    <row r="672" customFormat="false" ht="12.75" hidden="false" customHeight="false" outlineLevel="0" collapsed="false">
      <c r="A672" s="26" t="s">
        <v>11</v>
      </c>
      <c r="B672" s="21" t="n">
        <f aca="false">NPV(0.1,D672:Y672)</f>
        <v>101429.267144123</v>
      </c>
      <c r="C672" s="21" t="n">
        <f aca="false">B672-B661</f>
        <v>110.847844695832</v>
      </c>
      <c r="D672" s="27" t="n">
        <v>-2293.71639950442</v>
      </c>
      <c r="E672" s="28" t="n">
        <v>6062.83424386729</v>
      </c>
      <c r="F672" s="28" t="n">
        <v>4646.90663462054</v>
      </c>
      <c r="G672" s="28" t="n">
        <v>10453.3328088591</v>
      </c>
      <c r="H672" s="28" t="n">
        <v>17577.1787546467</v>
      </c>
      <c r="I672" s="28" t="n">
        <v>15522.8085463979</v>
      </c>
      <c r="J672" s="28" t="n">
        <v>15088.7056107936</v>
      </c>
      <c r="K672" s="28" t="n">
        <v>15558.7781033783</v>
      </c>
      <c r="L672" s="28" t="n">
        <v>12349.1039865246</v>
      </c>
      <c r="M672" s="28" t="n">
        <v>10481.1474171183</v>
      </c>
      <c r="N672" s="29" t="n">
        <v>20316.7714058879</v>
      </c>
      <c r="O672" s="25" t="n">
        <v>20096.070543276</v>
      </c>
      <c r="P672" s="25" t="n">
        <v>20304.5760538648</v>
      </c>
      <c r="Q672" s="25" t="n">
        <v>20217.6601156341</v>
      </c>
      <c r="R672" s="25" t="n">
        <v>20563.8542749079</v>
      </c>
      <c r="S672" s="25" t="n">
        <v>19134.7512998434</v>
      </c>
      <c r="T672" s="25" t="n">
        <v>14432.9808726024</v>
      </c>
      <c r="U672" s="25" t="n">
        <v>13611.5990358094</v>
      </c>
      <c r="V672" s="25" t="n">
        <v>12190.645084643</v>
      </c>
      <c r="W672" s="25" t="n">
        <v>10949.3348078768</v>
      </c>
      <c r="X672" s="25" t="n">
        <v>8702.96664583939</v>
      </c>
    </row>
    <row r="675" customFormat="false" ht="11.25" hidden="false" customHeight="false" outlineLevel="0" collapsed="false">
      <c r="A675" s="39" t="s">
        <v>75</v>
      </c>
    </row>
    <row r="676" customFormat="false" ht="11.25" hidden="false" customHeight="false" outlineLevel="0" collapsed="false">
      <c r="A676" s="34" t="n">
        <v>36467</v>
      </c>
    </row>
    <row r="677" customFormat="false" ht="12.75" hidden="false" customHeight="false" outlineLevel="0" collapsed="false">
      <c r="A677" s="11" t="s">
        <v>3</v>
      </c>
      <c r="B677" s="12" t="n">
        <v>49189.0352009576</v>
      </c>
      <c r="C677" s="6"/>
      <c r="D677" s="6"/>
      <c r="E677" s="6"/>
      <c r="F677" s="6"/>
      <c r="G677" s="6"/>
      <c r="H677" s="6"/>
      <c r="I677" s="6"/>
      <c r="J677" s="6"/>
      <c r="K677" s="6"/>
      <c r="L677" s="6"/>
      <c r="M677" s="6"/>
      <c r="N677" s="6"/>
      <c r="O677" s="6"/>
      <c r="P677" s="6"/>
      <c r="Q677" s="6"/>
      <c r="R677" s="6"/>
      <c r="S677" s="6"/>
      <c r="T677" s="6"/>
      <c r="U677" s="6"/>
      <c r="V677" s="6"/>
      <c r="W677" s="6"/>
      <c r="X677" s="6"/>
    </row>
    <row r="678" customFormat="false" ht="12.75" hidden="false" customHeight="false" outlineLevel="0" collapsed="false">
      <c r="A678" s="13" t="s">
        <v>4</v>
      </c>
      <c r="B678" s="14" t="n">
        <v>90916.000604328</v>
      </c>
      <c r="C678" s="6"/>
      <c r="D678" s="6"/>
      <c r="E678" s="6"/>
      <c r="F678" s="6"/>
      <c r="G678" s="6"/>
      <c r="H678" s="6"/>
      <c r="I678" s="6"/>
      <c r="J678" s="6"/>
      <c r="K678" s="6"/>
      <c r="L678" s="6"/>
      <c r="M678" s="6"/>
      <c r="N678" s="6"/>
      <c r="O678" s="6"/>
      <c r="P678" s="6"/>
      <c r="Q678" s="6"/>
      <c r="R678" s="6"/>
      <c r="S678" s="6"/>
      <c r="T678" s="6"/>
      <c r="U678" s="6"/>
      <c r="V678" s="6"/>
      <c r="W678" s="6"/>
      <c r="X678" s="6"/>
    </row>
    <row r="679" customFormat="false" ht="12.75" hidden="false" customHeight="false" outlineLevel="0" collapsed="false">
      <c r="A679" s="15" t="s">
        <v>5</v>
      </c>
      <c r="B679" s="16" t="s">
        <v>6</v>
      </c>
      <c r="C679" s="16" t="s">
        <v>7</v>
      </c>
      <c r="D679" s="17" t="n">
        <v>2000</v>
      </c>
      <c r="E679" s="18" t="n">
        <v>2001</v>
      </c>
      <c r="F679" s="18" t="n">
        <v>2002</v>
      </c>
      <c r="G679" s="18" t="n">
        <v>2003</v>
      </c>
      <c r="H679" s="18" t="n">
        <v>2004</v>
      </c>
      <c r="I679" s="18" t="n">
        <v>2005</v>
      </c>
      <c r="J679" s="18" t="n">
        <v>2006</v>
      </c>
      <c r="K679" s="18" t="n">
        <v>2007</v>
      </c>
      <c r="L679" s="18" t="n">
        <v>2008</v>
      </c>
      <c r="M679" s="18" t="n">
        <v>2009</v>
      </c>
      <c r="N679" s="19" t="n">
        <v>2010</v>
      </c>
      <c r="O679" s="20" t="n">
        <v>2011</v>
      </c>
      <c r="P679" s="20" t="n">
        <v>2012</v>
      </c>
      <c r="Q679" s="20" t="n">
        <v>2013</v>
      </c>
      <c r="R679" s="20" t="n">
        <v>2014</v>
      </c>
      <c r="S679" s="20" t="n">
        <v>2015</v>
      </c>
      <c r="T679" s="20" t="n">
        <v>2016</v>
      </c>
      <c r="U679" s="20" t="n">
        <v>2017</v>
      </c>
      <c r="V679" s="20" t="n">
        <v>2018</v>
      </c>
      <c r="W679" s="20" t="n">
        <v>2019</v>
      </c>
      <c r="X679" s="20" t="n">
        <v>2020</v>
      </c>
    </row>
    <row r="680" customFormat="false" ht="12.75" hidden="false" customHeight="false" outlineLevel="0" collapsed="false">
      <c r="A680" s="15" t="s">
        <v>8</v>
      </c>
      <c r="B680" s="21" t="n">
        <f aca="false">NPV(0.1,D680:Y680)</f>
        <v>457195.723123956</v>
      </c>
      <c r="C680" s="21" t="n">
        <f aca="false">B680-B669</f>
        <v>0</v>
      </c>
      <c r="D680" s="22" t="n">
        <v>25347.0563333333</v>
      </c>
      <c r="E680" s="23" t="n">
        <v>42007.48714</v>
      </c>
      <c r="F680" s="23" t="n">
        <v>42094.5212542</v>
      </c>
      <c r="G680" s="23" t="n">
        <v>50668.6576607134</v>
      </c>
      <c r="H680" s="23" t="n">
        <v>57743.8932614556</v>
      </c>
      <c r="I680" s="23" t="n">
        <v>58943.2220633393</v>
      </c>
      <c r="J680" s="23" t="n">
        <v>59552.4652887991</v>
      </c>
      <c r="K680" s="23" t="n">
        <v>60161.2038478084</v>
      </c>
      <c r="L680" s="23" t="n">
        <v>60768.859141477</v>
      </c>
      <c r="M680" s="23" t="n">
        <v>61374.8183091816</v>
      </c>
      <c r="N680" s="24" t="n">
        <v>61978.4326935999</v>
      </c>
      <c r="O680" s="25" t="n">
        <v>62579.0162444838</v>
      </c>
      <c r="P680" s="25" t="n">
        <v>63175.8438588753</v>
      </c>
      <c r="Q680" s="25" t="n">
        <v>62998.1681320966</v>
      </c>
      <c r="R680" s="25" t="n">
        <v>63562.0442111083</v>
      </c>
      <c r="S680" s="25" t="n">
        <v>64119.0441434205</v>
      </c>
      <c r="T680" s="25" t="n">
        <v>64668.2478717603</v>
      </c>
      <c r="U680" s="25" t="n">
        <v>65208.6863239502</v>
      </c>
      <c r="V680" s="25" t="n">
        <v>65739.3393000658</v>
      </c>
      <c r="W680" s="25" t="n">
        <v>65339.7350707632</v>
      </c>
      <c r="X680" s="25" t="n">
        <v>39294.5125998934</v>
      </c>
    </row>
    <row r="681" customFormat="false" ht="12.75" hidden="false" customHeight="false" outlineLevel="0" collapsed="false">
      <c r="A681" s="26" t="s">
        <v>9</v>
      </c>
      <c r="B681" s="21" t="n">
        <f aca="false">NPV(0.1,D681:Y681)</f>
        <v>204145.883321195</v>
      </c>
      <c r="C681" s="21" t="n">
        <f aca="false">B681-B670</f>
        <v>0</v>
      </c>
      <c r="D681" s="22" t="n">
        <v>13735.2718741324</v>
      </c>
      <c r="E681" s="23" t="n">
        <v>21850.0328500346</v>
      </c>
      <c r="F681" s="23" t="n">
        <v>22096.5325215937</v>
      </c>
      <c r="G681" s="23" t="n">
        <v>23413.6017414817</v>
      </c>
      <c r="H681" s="23" t="n">
        <v>24271.7891906064</v>
      </c>
      <c r="I681" s="23" t="n">
        <v>24506.5065548677</v>
      </c>
      <c r="J681" s="23" t="n">
        <v>24787.3007136647</v>
      </c>
      <c r="K681" s="23" t="n">
        <v>25095.8232853748</v>
      </c>
      <c r="L681" s="23" t="n">
        <v>25370.7030728464</v>
      </c>
      <c r="M681" s="23" t="n">
        <v>25576.1504759466</v>
      </c>
      <c r="N681" s="24" t="n">
        <v>25789.8109259936</v>
      </c>
      <c r="O681" s="25" t="n">
        <v>26181.5890083536</v>
      </c>
      <c r="P681" s="25" t="n">
        <v>26413.8963791851</v>
      </c>
      <c r="Q681" s="25" t="n">
        <v>26653.1729711416</v>
      </c>
      <c r="R681" s="25" t="n">
        <v>26899.6278608567</v>
      </c>
      <c r="S681" s="25" t="n">
        <v>27153.4763972634</v>
      </c>
      <c r="T681" s="25" t="n">
        <v>27414.9403897622</v>
      </c>
      <c r="U681" s="25" t="n">
        <v>27684.248302036</v>
      </c>
      <c r="V681" s="25" t="n">
        <v>27961.635451678</v>
      </c>
      <c r="W681" s="25" t="n">
        <v>28247.3442158092</v>
      </c>
      <c r="X681" s="25" t="n">
        <v>25770.4309987304</v>
      </c>
    </row>
    <row r="682" customFormat="false" ht="12.75" hidden="false" customHeight="false" outlineLevel="0" collapsed="false">
      <c r="A682" s="26" t="s">
        <v>10</v>
      </c>
      <c r="B682" s="21" t="n">
        <f aca="false">NPV(0.1,D682:Y682)</f>
        <v>95447.0938670539</v>
      </c>
      <c r="C682" s="21" t="n">
        <f aca="false">B682-B671</f>
        <v>11.2480254458933</v>
      </c>
      <c r="D682" s="22" t="n">
        <v>-349.295974914796</v>
      </c>
      <c r="E682" s="23" t="n">
        <v>3708.91858771638</v>
      </c>
      <c r="F682" s="23" t="n">
        <v>3809.94591232406</v>
      </c>
      <c r="G682" s="23" t="n">
        <v>8542.11983507797</v>
      </c>
      <c r="H682" s="23" t="n">
        <v>12669.5081890795</v>
      </c>
      <c r="I682" s="23" t="n">
        <v>13588.6251226241</v>
      </c>
      <c r="J682" s="23" t="n">
        <v>14091.7892800666</v>
      </c>
      <c r="K682" s="23" t="n">
        <v>14533.9107759927</v>
      </c>
      <c r="L682" s="23" t="n">
        <v>14995.7676748568</v>
      </c>
      <c r="M682" s="23" t="n">
        <v>15662.9686993671</v>
      </c>
      <c r="N682" s="24" t="n">
        <v>16437.8683096452</v>
      </c>
      <c r="O682" s="25" t="n">
        <v>16692.2504950754</v>
      </c>
      <c r="P682" s="25" t="n">
        <v>17072.9711322761</v>
      </c>
      <c r="Q682" s="25" t="n">
        <v>16980.015363191</v>
      </c>
      <c r="R682" s="25" t="n">
        <v>17332.1877034464</v>
      </c>
      <c r="S682" s="25" t="n">
        <v>17675.7106492406</v>
      </c>
      <c r="T682" s="25" t="n">
        <v>18009.8920773585</v>
      </c>
      <c r="U682" s="25" t="n">
        <v>18493.7789644925</v>
      </c>
      <c r="V682" s="25" t="n">
        <v>19030.7465941787</v>
      </c>
      <c r="W682" s="25" t="n">
        <v>19094.6742164032</v>
      </c>
      <c r="X682" s="25" t="n">
        <v>5352.36894311245</v>
      </c>
    </row>
    <row r="683" customFormat="false" ht="12.75" hidden="false" customHeight="false" outlineLevel="0" collapsed="false">
      <c r="A683" s="26" t="s">
        <v>11</v>
      </c>
      <c r="B683" s="21" t="n">
        <f aca="false">NPV(0.1,D683:Y683)</f>
        <v>101440.331193816</v>
      </c>
      <c r="C683" s="21" t="n">
        <f aca="false">B683-B672</f>
        <v>11.0640496930282</v>
      </c>
      <c r="D683" s="27" t="n">
        <v>-2290.97353681693</v>
      </c>
      <c r="E683" s="28" t="n">
        <v>6065.51434593978</v>
      </c>
      <c r="F683" s="28" t="n">
        <v>4649.87368232804</v>
      </c>
      <c r="G683" s="28" t="n">
        <v>10456.4743737638</v>
      </c>
      <c r="H683" s="28" t="n">
        <v>17571.9898613495</v>
      </c>
      <c r="I683" s="28" t="n">
        <v>15523.8465717485</v>
      </c>
      <c r="J683" s="28" t="n">
        <v>15089.8644082349</v>
      </c>
      <c r="K683" s="28" t="n">
        <v>15559.8855311198</v>
      </c>
      <c r="L683" s="28" t="n">
        <v>12350.8618148636</v>
      </c>
      <c r="M683" s="28" t="n">
        <v>10483.2977804182</v>
      </c>
      <c r="N683" s="29" t="n">
        <v>20317.070517289</v>
      </c>
      <c r="O683" s="25" t="n">
        <v>20096.4697100794</v>
      </c>
      <c r="P683" s="25" t="n">
        <v>20304.9455746303</v>
      </c>
      <c r="Q683" s="25" t="n">
        <v>20217.9976325646</v>
      </c>
      <c r="R683" s="25" t="n">
        <v>20564.1621458006</v>
      </c>
      <c r="S683" s="25" t="n">
        <v>19135.376120894</v>
      </c>
      <c r="T683" s="25" t="n">
        <v>14434.552115061</v>
      </c>
      <c r="U683" s="25" t="n">
        <v>13613.360416895</v>
      </c>
      <c r="V683" s="25" t="n">
        <v>12192.7101686312</v>
      </c>
      <c r="W683" s="25" t="n">
        <v>10951.5592055557</v>
      </c>
      <c r="X683" s="25" t="n">
        <v>8702.94603648439</v>
      </c>
    </row>
    <row r="686" customFormat="false" ht="11.25" hidden="false" customHeight="false" outlineLevel="0" collapsed="false">
      <c r="A686" s="39" t="s">
        <v>76</v>
      </c>
    </row>
    <row r="687" customFormat="false" ht="11.25" hidden="false" customHeight="false" outlineLevel="0" collapsed="false">
      <c r="A687" s="34" t="n">
        <v>36481</v>
      </c>
    </row>
    <row r="688" customFormat="false" ht="12.75" hidden="false" customHeight="false" outlineLevel="0" collapsed="false">
      <c r="A688" s="11" t="s">
        <v>3</v>
      </c>
      <c r="B688" s="12" t="n">
        <v>49189.0352009576</v>
      </c>
      <c r="C688" s="6"/>
      <c r="D688" s="6"/>
      <c r="E688" s="6"/>
      <c r="F688" s="6"/>
      <c r="G688" s="6"/>
      <c r="H688" s="6"/>
      <c r="I688" s="6"/>
      <c r="J688" s="6"/>
      <c r="K688" s="6"/>
      <c r="L688" s="6"/>
      <c r="M688" s="6"/>
      <c r="N688" s="6"/>
      <c r="O688" s="6"/>
      <c r="P688" s="6"/>
      <c r="Q688" s="6"/>
      <c r="R688" s="6"/>
      <c r="S688" s="6"/>
      <c r="T688" s="6"/>
      <c r="U688" s="6"/>
      <c r="V688" s="6"/>
      <c r="W688" s="6"/>
      <c r="X688" s="6"/>
    </row>
    <row r="689" customFormat="false" ht="12.75" hidden="false" customHeight="false" outlineLevel="0" collapsed="false">
      <c r="A689" s="13" t="s">
        <v>4</v>
      </c>
      <c r="B689" s="14" t="n">
        <v>90916.000604328</v>
      </c>
      <c r="C689" s="6"/>
      <c r="D689" s="6"/>
      <c r="E689" s="6"/>
      <c r="F689" s="6"/>
      <c r="G689" s="6"/>
      <c r="H689" s="6"/>
      <c r="I689" s="6"/>
      <c r="J689" s="6"/>
      <c r="K689" s="6"/>
      <c r="L689" s="6"/>
      <c r="M689" s="6"/>
      <c r="N689" s="6"/>
      <c r="O689" s="6"/>
      <c r="P689" s="6"/>
      <c r="Q689" s="6"/>
      <c r="R689" s="6"/>
      <c r="S689" s="6"/>
      <c r="T689" s="6"/>
      <c r="U689" s="6"/>
      <c r="V689" s="6"/>
      <c r="W689" s="6"/>
      <c r="X689" s="6"/>
    </row>
    <row r="690" customFormat="false" ht="12.75" hidden="false" customHeight="false" outlineLevel="0" collapsed="false">
      <c r="A690" s="15" t="s">
        <v>5</v>
      </c>
      <c r="B690" s="16" t="s">
        <v>6</v>
      </c>
      <c r="C690" s="16" t="s">
        <v>7</v>
      </c>
      <c r="D690" s="17" t="n">
        <v>2000</v>
      </c>
      <c r="E690" s="18" t="n">
        <v>2001</v>
      </c>
      <c r="F690" s="18" t="n">
        <v>2002</v>
      </c>
      <c r="G690" s="18" t="n">
        <v>2003</v>
      </c>
      <c r="H690" s="18" t="n">
        <v>2004</v>
      </c>
      <c r="I690" s="18" t="n">
        <v>2005</v>
      </c>
      <c r="J690" s="18" t="n">
        <v>2006</v>
      </c>
      <c r="K690" s="18" t="n">
        <v>2007</v>
      </c>
      <c r="L690" s="18" t="n">
        <v>2008</v>
      </c>
      <c r="M690" s="18" t="n">
        <v>2009</v>
      </c>
      <c r="N690" s="19" t="n">
        <v>2010</v>
      </c>
      <c r="O690" s="20" t="n">
        <v>2011</v>
      </c>
      <c r="P690" s="20" t="n">
        <v>2012</v>
      </c>
      <c r="Q690" s="20" t="n">
        <v>2013</v>
      </c>
      <c r="R690" s="20" t="n">
        <v>2014</v>
      </c>
      <c r="S690" s="20" t="n">
        <v>2015</v>
      </c>
      <c r="T690" s="20" t="n">
        <v>2016</v>
      </c>
      <c r="U690" s="20" t="n">
        <v>2017</v>
      </c>
      <c r="V690" s="20" t="n">
        <v>2018</v>
      </c>
      <c r="W690" s="20" t="n">
        <v>2019</v>
      </c>
      <c r="X690" s="20" t="n">
        <v>2020</v>
      </c>
    </row>
    <row r="691" customFormat="false" ht="12.75" hidden="false" customHeight="false" outlineLevel="0" collapsed="false">
      <c r="A691" s="15" t="s">
        <v>8</v>
      </c>
      <c r="B691" s="21" t="n">
        <f aca="false">NPV(0.1,D691:Y691)</f>
        <v>457195.723123956</v>
      </c>
      <c r="C691" s="21" t="n">
        <f aca="false">B691-B680</f>
        <v>0</v>
      </c>
      <c r="D691" s="22" t="n">
        <v>25347.0563333333</v>
      </c>
      <c r="E691" s="23" t="n">
        <v>42007.48714</v>
      </c>
      <c r="F691" s="23" t="n">
        <v>42094.5212542</v>
      </c>
      <c r="G691" s="23" t="n">
        <v>50668.6576607134</v>
      </c>
      <c r="H691" s="23" t="n">
        <v>57743.8932614556</v>
      </c>
      <c r="I691" s="23" t="n">
        <v>58943.2220633393</v>
      </c>
      <c r="J691" s="23" t="n">
        <v>59552.4652887991</v>
      </c>
      <c r="K691" s="23" t="n">
        <v>60161.2038478084</v>
      </c>
      <c r="L691" s="23" t="n">
        <v>60768.859141477</v>
      </c>
      <c r="M691" s="23" t="n">
        <v>61374.8183091816</v>
      </c>
      <c r="N691" s="24" t="n">
        <v>61978.4326935999</v>
      </c>
      <c r="O691" s="25" t="n">
        <v>62579.0162444838</v>
      </c>
      <c r="P691" s="25" t="n">
        <v>63175.8438588753</v>
      </c>
      <c r="Q691" s="25" t="n">
        <v>62998.1681320966</v>
      </c>
      <c r="R691" s="25" t="n">
        <v>63562.0442111083</v>
      </c>
      <c r="S691" s="25" t="n">
        <v>64119.0441434205</v>
      </c>
      <c r="T691" s="25" t="n">
        <v>64668.2478717603</v>
      </c>
      <c r="U691" s="25" t="n">
        <v>65208.6863239502</v>
      </c>
      <c r="V691" s="25" t="n">
        <v>65739.3393000658</v>
      </c>
      <c r="W691" s="25" t="n">
        <v>65339.7350707632</v>
      </c>
      <c r="X691" s="25" t="n">
        <v>39294.5125998934</v>
      </c>
    </row>
    <row r="692" customFormat="false" ht="12.75" hidden="false" customHeight="false" outlineLevel="0" collapsed="false">
      <c r="A692" s="26" t="s">
        <v>9</v>
      </c>
      <c r="B692" s="21" t="n">
        <f aca="false">NPV(0.1,D692:Y692)</f>
        <v>204145.883321195</v>
      </c>
      <c r="C692" s="21" t="n">
        <f aca="false">B692-B681</f>
        <v>0</v>
      </c>
      <c r="D692" s="22" t="n">
        <v>13735.2718741324</v>
      </c>
      <c r="E692" s="23" t="n">
        <v>21850.0328500346</v>
      </c>
      <c r="F692" s="23" t="n">
        <v>22096.5325215937</v>
      </c>
      <c r="G692" s="23" t="n">
        <v>23413.6017414817</v>
      </c>
      <c r="H692" s="23" t="n">
        <v>24271.7891906064</v>
      </c>
      <c r="I692" s="23" t="n">
        <v>24506.5065548677</v>
      </c>
      <c r="J692" s="23" t="n">
        <v>24787.3007136647</v>
      </c>
      <c r="K692" s="23" t="n">
        <v>25095.8232853748</v>
      </c>
      <c r="L692" s="23" t="n">
        <v>25370.7030728464</v>
      </c>
      <c r="M692" s="23" t="n">
        <v>25576.1504759466</v>
      </c>
      <c r="N692" s="24" t="n">
        <v>25789.8109259936</v>
      </c>
      <c r="O692" s="25" t="n">
        <v>26181.5890083536</v>
      </c>
      <c r="P692" s="25" t="n">
        <v>26413.8963791851</v>
      </c>
      <c r="Q692" s="25" t="n">
        <v>26653.1729711416</v>
      </c>
      <c r="R692" s="25" t="n">
        <v>26899.6278608567</v>
      </c>
      <c r="S692" s="25" t="n">
        <v>27153.4763972634</v>
      </c>
      <c r="T692" s="25" t="n">
        <v>27414.9403897622</v>
      </c>
      <c r="U692" s="25" t="n">
        <v>27684.248302036</v>
      </c>
      <c r="V692" s="25" t="n">
        <v>27961.635451678</v>
      </c>
      <c r="W692" s="25" t="n">
        <v>28247.3442158092</v>
      </c>
      <c r="X692" s="25" t="n">
        <v>25770.4309987304</v>
      </c>
    </row>
    <row r="693" customFormat="false" ht="12.75" hidden="false" customHeight="false" outlineLevel="0" collapsed="false">
      <c r="A693" s="26" t="s">
        <v>10</v>
      </c>
      <c r="B693" s="21" t="n">
        <f aca="false">NPV(0.1,D693:Y693)</f>
        <v>95478.3715009849</v>
      </c>
      <c r="C693" s="21" t="n">
        <f aca="false">B693-B682</f>
        <v>31.2776339310221</v>
      </c>
      <c r="D693" s="22" t="n">
        <v>-326.566683877949</v>
      </c>
      <c r="E693" s="23" t="n">
        <v>3709.85225239427</v>
      </c>
      <c r="F693" s="23" t="n">
        <v>3810.93359022424</v>
      </c>
      <c r="G693" s="23" t="n">
        <v>8543.14641175615</v>
      </c>
      <c r="H693" s="23" t="n">
        <v>12670.6307998786</v>
      </c>
      <c r="I693" s="23" t="n">
        <v>13589.8087718823</v>
      </c>
      <c r="J693" s="23" t="n">
        <v>14093.0339677838</v>
      </c>
      <c r="K693" s="23" t="n">
        <v>14535.2250494573</v>
      </c>
      <c r="L693" s="23" t="n">
        <v>14997.1515340688</v>
      </c>
      <c r="M693" s="23" t="n">
        <v>15664.4660882089</v>
      </c>
      <c r="N693" s="24" t="n">
        <v>16439.5097473464</v>
      </c>
      <c r="O693" s="25" t="n">
        <v>16693.9261219298</v>
      </c>
      <c r="P693" s="25" t="n">
        <v>17074.689495572</v>
      </c>
      <c r="Q693" s="25" t="n">
        <v>16981.7764629285</v>
      </c>
      <c r="R693" s="25" t="n">
        <v>17333.9915396255</v>
      </c>
      <c r="S693" s="25" t="n">
        <v>17677.5572218613</v>
      </c>
      <c r="T693" s="25" t="n">
        <v>18011.7813864207</v>
      </c>
      <c r="U693" s="25" t="n">
        <v>18495.7537464378</v>
      </c>
      <c r="V693" s="25" t="n">
        <v>19032.8239435838</v>
      </c>
      <c r="W693" s="25" t="n">
        <v>19096.8797751329</v>
      </c>
      <c r="X693" s="25" t="n">
        <v>5354.71980574345</v>
      </c>
    </row>
    <row r="694" customFormat="false" ht="12.75" hidden="false" customHeight="false" outlineLevel="0" collapsed="false">
      <c r="A694" s="26" t="s">
        <v>11</v>
      </c>
      <c r="B694" s="21" t="n">
        <f aca="false">NPV(0.1,D694:Y694)</f>
        <v>101418.240688808</v>
      </c>
      <c r="C694" s="21" t="n">
        <f aca="false">B694-B683</f>
        <v>-22.0905050074216</v>
      </c>
      <c r="D694" s="27" t="n">
        <v>-2257.94130835442</v>
      </c>
      <c r="E694" s="28" t="n">
        <v>6061.79858724529</v>
      </c>
      <c r="F694" s="28" t="n">
        <v>4645.76009522654</v>
      </c>
      <c r="G694" s="28" t="n">
        <v>10451.9413568758</v>
      </c>
      <c r="H694" s="28" t="n">
        <v>17540.2968238997</v>
      </c>
      <c r="I694" s="28" t="n">
        <v>15518.1810417587</v>
      </c>
      <c r="J694" s="28" t="n">
        <v>15084.2491959736</v>
      </c>
      <c r="K694" s="28" t="n">
        <v>15554.3349402993</v>
      </c>
      <c r="L694" s="28" t="n">
        <v>12344.416091597</v>
      </c>
      <c r="M694" s="28" t="n">
        <v>10476.3012383749</v>
      </c>
      <c r="N694" s="29" t="n">
        <v>20312.6471946617</v>
      </c>
      <c r="O694" s="25" t="n">
        <v>20091.9010694486</v>
      </c>
      <c r="P694" s="25" t="n">
        <v>20300.4246347478</v>
      </c>
      <c r="Q694" s="25" t="n">
        <v>20213.514464817</v>
      </c>
      <c r="R694" s="25" t="n">
        <v>20559.7266788012</v>
      </c>
      <c r="S694" s="25" t="n">
        <v>19132.4478607979</v>
      </c>
      <c r="T694" s="25" t="n">
        <v>14432.2583476182</v>
      </c>
      <c r="U694" s="25" t="n">
        <v>13610.8030366353</v>
      </c>
      <c r="V694" s="25" t="n">
        <v>12189.7317272813</v>
      </c>
      <c r="W694" s="25" t="n">
        <v>10948.3598878304</v>
      </c>
      <c r="X694" s="25" t="n">
        <v>8702.85925111039</v>
      </c>
    </row>
    <row r="697" customFormat="false" ht="11.25" hidden="false" customHeight="false" outlineLevel="0" collapsed="false">
      <c r="A697" s="39" t="s">
        <v>77</v>
      </c>
    </row>
    <row r="698" customFormat="false" ht="11.25" hidden="false" customHeight="false" outlineLevel="0" collapsed="false">
      <c r="A698" s="34" t="n">
        <v>36494</v>
      </c>
    </row>
    <row r="699" customFormat="false" ht="12.75" hidden="false" customHeight="false" outlineLevel="0" collapsed="false">
      <c r="A699" s="11" t="s">
        <v>3</v>
      </c>
      <c r="B699" s="12" t="n">
        <v>49304.5218496015</v>
      </c>
      <c r="C699" s="6"/>
      <c r="D699" s="6"/>
      <c r="E699" s="6"/>
      <c r="F699" s="6"/>
      <c r="G699" s="6"/>
      <c r="H699" s="6"/>
      <c r="I699" s="6"/>
      <c r="J699" s="6"/>
      <c r="K699" s="6"/>
      <c r="L699" s="6"/>
      <c r="M699" s="6"/>
      <c r="N699" s="6"/>
      <c r="O699" s="6"/>
      <c r="P699" s="6"/>
      <c r="Q699" s="6"/>
      <c r="R699" s="6"/>
      <c r="S699" s="6"/>
      <c r="T699" s="6"/>
      <c r="U699" s="6"/>
      <c r="V699" s="6"/>
      <c r="W699" s="6"/>
      <c r="X699" s="6"/>
    </row>
    <row r="700" customFormat="false" ht="12.75" hidden="false" customHeight="false" outlineLevel="0" collapsed="false">
      <c r="A700" s="13" t="s">
        <v>4</v>
      </c>
      <c r="B700" s="14" t="n">
        <v>91087.5521203531</v>
      </c>
      <c r="C700" s="6"/>
      <c r="D700" s="6"/>
      <c r="E700" s="6"/>
      <c r="F700" s="6"/>
      <c r="G700" s="6"/>
      <c r="H700" s="6"/>
      <c r="I700" s="6"/>
      <c r="J700" s="6"/>
      <c r="K700" s="6"/>
      <c r="L700" s="6"/>
      <c r="M700" s="6"/>
      <c r="N700" s="6"/>
      <c r="O700" s="6"/>
      <c r="P700" s="6"/>
      <c r="Q700" s="6"/>
      <c r="R700" s="6"/>
      <c r="S700" s="6"/>
      <c r="T700" s="6"/>
      <c r="U700" s="6"/>
      <c r="V700" s="6"/>
      <c r="W700" s="6"/>
      <c r="X700" s="6"/>
    </row>
    <row r="701" customFormat="false" ht="12.75" hidden="false" customHeight="false" outlineLevel="0" collapsed="false">
      <c r="A701" s="15" t="s">
        <v>5</v>
      </c>
      <c r="B701" s="16" t="s">
        <v>6</v>
      </c>
      <c r="C701" s="16" t="s">
        <v>7</v>
      </c>
      <c r="D701" s="17" t="n">
        <v>2000</v>
      </c>
      <c r="E701" s="18" t="n">
        <v>2001</v>
      </c>
      <c r="F701" s="18" t="n">
        <v>2002</v>
      </c>
      <c r="G701" s="18" t="n">
        <v>2003</v>
      </c>
      <c r="H701" s="18" t="n">
        <v>2004</v>
      </c>
      <c r="I701" s="18" t="n">
        <v>2005</v>
      </c>
      <c r="J701" s="18" t="n">
        <v>2006</v>
      </c>
      <c r="K701" s="18" t="n">
        <v>2007</v>
      </c>
      <c r="L701" s="18" t="n">
        <v>2008</v>
      </c>
      <c r="M701" s="18" t="n">
        <v>2009</v>
      </c>
      <c r="N701" s="19" t="n">
        <v>2010</v>
      </c>
      <c r="O701" s="20" t="n">
        <v>2011</v>
      </c>
      <c r="P701" s="20" t="n">
        <v>2012</v>
      </c>
      <c r="Q701" s="20" t="n">
        <v>2013</v>
      </c>
      <c r="R701" s="20" t="n">
        <v>2014</v>
      </c>
      <c r="S701" s="20" t="n">
        <v>2015</v>
      </c>
      <c r="T701" s="20" t="n">
        <v>2016</v>
      </c>
      <c r="U701" s="20" t="n">
        <v>2017</v>
      </c>
      <c r="V701" s="20" t="n">
        <v>2018</v>
      </c>
      <c r="W701" s="20" t="n">
        <v>2019</v>
      </c>
      <c r="X701" s="20" t="n">
        <v>2020</v>
      </c>
    </row>
    <row r="702" customFormat="false" ht="12.75" hidden="false" customHeight="false" outlineLevel="0" collapsed="false">
      <c r="A702" s="15" t="s">
        <v>8</v>
      </c>
      <c r="B702" s="21" t="n">
        <f aca="false">NPV(0.1,D702:Y702)</f>
        <v>457195.723123956</v>
      </c>
      <c r="C702" s="21" t="n">
        <f aca="false">B702-B691</f>
        <v>0</v>
      </c>
      <c r="D702" s="22" t="n">
        <v>25347.0563333333</v>
      </c>
      <c r="E702" s="23" t="n">
        <v>42007.48714</v>
      </c>
      <c r="F702" s="23" t="n">
        <v>42094.5212542</v>
      </c>
      <c r="G702" s="23" t="n">
        <v>50668.6576607134</v>
      </c>
      <c r="H702" s="23" t="n">
        <v>57743.8932614556</v>
      </c>
      <c r="I702" s="23" t="n">
        <v>58943.2220633393</v>
      </c>
      <c r="J702" s="23" t="n">
        <v>59552.4652887991</v>
      </c>
      <c r="K702" s="23" t="n">
        <v>60161.2038478084</v>
      </c>
      <c r="L702" s="23" t="n">
        <v>60768.859141477</v>
      </c>
      <c r="M702" s="23" t="n">
        <v>61374.8183091816</v>
      </c>
      <c r="N702" s="24" t="n">
        <v>61978.4326935999</v>
      </c>
      <c r="O702" s="25" t="n">
        <v>62579.0162444838</v>
      </c>
      <c r="P702" s="25" t="n">
        <v>63175.8438588753</v>
      </c>
      <c r="Q702" s="25" t="n">
        <v>62998.1681320966</v>
      </c>
      <c r="R702" s="25" t="n">
        <v>63562.0442111083</v>
      </c>
      <c r="S702" s="25" t="n">
        <v>64119.0441434205</v>
      </c>
      <c r="T702" s="25" t="n">
        <v>64668.2478717603</v>
      </c>
      <c r="U702" s="25" t="n">
        <v>65208.6863239502</v>
      </c>
      <c r="V702" s="25" t="n">
        <v>65739.3393000658</v>
      </c>
      <c r="W702" s="25" t="n">
        <v>65339.7350707632</v>
      </c>
      <c r="X702" s="25" t="n">
        <v>39294.5125998934</v>
      </c>
    </row>
    <row r="703" customFormat="false" ht="12.75" hidden="false" customHeight="false" outlineLevel="0" collapsed="false">
      <c r="A703" s="26" t="s">
        <v>9</v>
      </c>
      <c r="B703" s="21" t="n">
        <f aca="false">NPV(0.1,D703:Y703)</f>
        <v>204145.883321195</v>
      </c>
      <c r="C703" s="21" t="n">
        <f aca="false">B703-B692</f>
        <v>0</v>
      </c>
      <c r="D703" s="22" t="n">
        <v>13735.2718741324</v>
      </c>
      <c r="E703" s="23" t="n">
        <v>21850.0328500346</v>
      </c>
      <c r="F703" s="23" t="n">
        <v>22096.5325215937</v>
      </c>
      <c r="G703" s="23" t="n">
        <v>23413.6017414817</v>
      </c>
      <c r="H703" s="23" t="n">
        <v>24271.7891906064</v>
      </c>
      <c r="I703" s="23" t="n">
        <v>24506.5065548677</v>
      </c>
      <c r="J703" s="23" t="n">
        <v>24787.3007136647</v>
      </c>
      <c r="K703" s="23" t="n">
        <v>25095.8232853748</v>
      </c>
      <c r="L703" s="23" t="n">
        <v>25370.7030728464</v>
      </c>
      <c r="M703" s="23" t="n">
        <v>25576.1504759466</v>
      </c>
      <c r="N703" s="24" t="n">
        <v>25789.8109259936</v>
      </c>
      <c r="O703" s="25" t="n">
        <v>26181.5890083536</v>
      </c>
      <c r="P703" s="25" t="n">
        <v>26413.8963791851</v>
      </c>
      <c r="Q703" s="25" t="n">
        <v>26653.1729711416</v>
      </c>
      <c r="R703" s="25" t="n">
        <v>26899.6278608567</v>
      </c>
      <c r="S703" s="25" t="n">
        <v>27153.4763972634</v>
      </c>
      <c r="T703" s="25" t="n">
        <v>27414.9403897622</v>
      </c>
      <c r="U703" s="25" t="n">
        <v>27684.248302036</v>
      </c>
      <c r="V703" s="25" t="n">
        <v>27961.635451678</v>
      </c>
      <c r="W703" s="25" t="n">
        <v>28247.3442158092</v>
      </c>
      <c r="X703" s="25" t="n">
        <v>25770.4309987304</v>
      </c>
    </row>
    <row r="704" customFormat="false" ht="12.75" hidden="false" customHeight="false" outlineLevel="0" collapsed="false">
      <c r="A704" s="26" t="s">
        <v>10</v>
      </c>
      <c r="B704" s="21" t="n">
        <f aca="false">NPV(0.1,D704:Y704)</f>
        <v>95553.7566128651</v>
      </c>
      <c r="C704" s="21" t="n">
        <f aca="false">B704-B693</f>
        <v>75.3851118802413</v>
      </c>
      <c r="D704" s="22" t="n">
        <v>-316.481802733191</v>
      </c>
      <c r="E704" s="23" t="n">
        <v>3721.77839407044</v>
      </c>
      <c r="F704" s="23" t="n">
        <v>3822.61151948079</v>
      </c>
      <c r="G704" s="23" t="n">
        <v>8554.06823685485</v>
      </c>
      <c r="H704" s="23" t="n">
        <v>12681.1113096751</v>
      </c>
      <c r="I704" s="23" t="n">
        <v>13599.130795411</v>
      </c>
      <c r="J704" s="23" t="n">
        <v>14101.4483593498</v>
      </c>
      <c r="K704" s="23" t="n">
        <v>14543.3196666052</v>
      </c>
      <c r="L704" s="23" t="n">
        <v>15004.9263767986</v>
      </c>
      <c r="M704" s="23" t="n">
        <v>15671.7192167562</v>
      </c>
      <c r="N704" s="24" t="n">
        <v>16446.1009136109</v>
      </c>
      <c r="O704" s="25" t="n">
        <v>16700.3601753229</v>
      </c>
      <c r="P704" s="25" t="n">
        <v>17080.9271578757</v>
      </c>
      <c r="Q704" s="25" t="n">
        <v>16987.8177341429</v>
      </c>
      <c r="R704" s="25" t="n">
        <v>17339.8364197505</v>
      </c>
      <c r="S704" s="25" t="n">
        <v>17683.205710897</v>
      </c>
      <c r="T704" s="25" t="n">
        <v>18017.233484367</v>
      </c>
      <c r="U704" s="25" t="n">
        <v>18500.8130622055</v>
      </c>
      <c r="V704" s="25" t="n">
        <v>19037.411920737</v>
      </c>
      <c r="W704" s="25" t="n">
        <v>19100.8785790182</v>
      </c>
      <c r="X704" s="25" t="n">
        <v>5358.05087992495</v>
      </c>
    </row>
    <row r="705" customFormat="false" ht="12.75" hidden="false" customHeight="false" outlineLevel="0" collapsed="false">
      <c r="A705" s="26" t="s">
        <v>11</v>
      </c>
      <c r="B705" s="21" t="n">
        <f aca="false">NPV(0.1,D705:Y705)</f>
        <v>101487.986894157</v>
      </c>
      <c r="C705" s="21" t="n">
        <f aca="false">B705-B694</f>
        <v>69.7462053492782</v>
      </c>
      <c r="D705" s="27" t="n">
        <v>-2240.46604795442</v>
      </c>
      <c r="E705" s="28" t="n">
        <v>6078.87398873329</v>
      </c>
      <c r="F705" s="28" t="n">
        <v>4664.66367780254</v>
      </c>
      <c r="G705" s="28" t="n">
        <v>10471.8841588165</v>
      </c>
      <c r="H705" s="28" t="n">
        <v>17504.6418320676</v>
      </c>
      <c r="I705" s="28" t="n">
        <v>15524.6793892365</v>
      </c>
      <c r="J705" s="28" t="n">
        <v>15091.9217183244</v>
      </c>
      <c r="K705" s="28" t="n">
        <v>15561.6806540167</v>
      </c>
      <c r="L705" s="28" t="n">
        <v>12355.9051451116</v>
      </c>
      <c r="M705" s="28" t="n">
        <v>10490.2916778916</v>
      </c>
      <c r="N705" s="29" t="n">
        <v>20314.8425061109</v>
      </c>
      <c r="O705" s="25" t="n">
        <v>20094.7343282112</v>
      </c>
      <c r="P705" s="25" t="n">
        <v>20303.0685366362</v>
      </c>
      <c r="Q705" s="25" t="n">
        <v>20215.9549414008</v>
      </c>
      <c r="R705" s="25" t="n">
        <v>20561.977798511</v>
      </c>
      <c r="S705" s="25" t="n">
        <v>19136.5776829097</v>
      </c>
      <c r="T705" s="25" t="n">
        <v>14442.277344132</v>
      </c>
      <c r="U705" s="25" t="n">
        <v>13622.0334397705</v>
      </c>
      <c r="V705" s="25" t="n">
        <v>12202.897075002</v>
      </c>
      <c r="W705" s="25" t="n">
        <v>10962.5402510832</v>
      </c>
      <c r="X705" s="25" t="n">
        <v>8702.73627985939</v>
      </c>
    </row>
    <row r="708" customFormat="false" ht="11.25" hidden="false" customHeight="false" outlineLevel="0" collapsed="false">
      <c r="A708" s="39" t="s">
        <v>78</v>
      </c>
    </row>
    <row r="709" customFormat="false" ht="11.25" hidden="false" customHeight="false" outlineLevel="0" collapsed="false">
      <c r="A709" s="34" t="n">
        <v>36509</v>
      </c>
    </row>
    <row r="710" customFormat="false" ht="12.75" hidden="false" customHeight="false" outlineLevel="0" collapsed="false">
      <c r="A710" s="11" t="s">
        <v>3</v>
      </c>
      <c r="B710" s="12" t="n">
        <v>49351.2891103061</v>
      </c>
      <c r="C710" s="6"/>
      <c r="D710" s="6"/>
      <c r="E710" s="6"/>
      <c r="F710" s="6"/>
      <c r="G710" s="6"/>
      <c r="H710" s="6"/>
      <c r="I710" s="6"/>
      <c r="J710" s="6"/>
      <c r="K710" s="6"/>
      <c r="L710" s="6"/>
      <c r="M710" s="6"/>
      <c r="N710" s="6"/>
      <c r="O710" s="6"/>
      <c r="P710" s="6"/>
      <c r="Q710" s="6"/>
      <c r="R710" s="6"/>
      <c r="S710" s="6"/>
      <c r="T710" s="6"/>
      <c r="U710" s="6"/>
      <c r="V710" s="6"/>
      <c r="W710" s="6"/>
      <c r="X710" s="6"/>
    </row>
    <row r="711" customFormat="false" ht="12.75" hidden="false" customHeight="false" outlineLevel="0" collapsed="false">
      <c r="A711" s="13" t="s">
        <v>4</v>
      </c>
      <c r="B711" s="14" t="n">
        <v>91138.5494742999</v>
      </c>
      <c r="C711" s="6"/>
      <c r="D711" s="6"/>
      <c r="E711" s="6"/>
      <c r="F711" s="6"/>
      <c r="G711" s="6"/>
      <c r="H711" s="6"/>
      <c r="I711" s="6"/>
      <c r="J711" s="6"/>
      <c r="K711" s="6"/>
      <c r="L711" s="6"/>
      <c r="M711" s="6"/>
      <c r="N711" s="6"/>
      <c r="O711" s="6"/>
      <c r="P711" s="6"/>
      <c r="Q711" s="6"/>
      <c r="R711" s="6"/>
      <c r="S711" s="6"/>
      <c r="T711" s="6"/>
      <c r="U711" s="6"/>
      <c r="V711" s="6"/>
      <c r="W711" s="6"/>
      <c r="X711" s="6"/>
    </row>
    <row r="712" customFormat="false" ht="12.75" hidden="false" customHeight="false" outlineLevel="0" collapsed="false">
      <c r="A712" s="15" t="s">
        <v>5</v>
      </c>
      <c r="B712" s="16" t="s">
        <v>6</v>
      </c>
      <c r="C712" s="16" t="s">
        <v>7</v>
      </c>
      <c r="D712" s="17" t="n">
        <v>2000</v>
      </c>
      <c r="E712" s="18" t="n">
        <v>2001</v>
      </c>
      <c r="F712" s="18" t="n">
        <v>2002</v>
      </c>
      <c r="G712" s="18" t="n">
        <v>2003</v>
      </c>
      <c r="H712" s="18" t="n">
        <v>2004</v>
      </c>
      <c r="I712" s="18" t="n">
        <v>2005</v>
      </c>
      <c r="J712" s="18" t="n">
        <v>2006</v>
      </c>
      <c r="K712" s="18" t="n">
        <v>2007</v>
      </c>
      <c r="L712" s="18" t="n">
        <v>2008</v>
      </c>
      <c r="M712" s="18" t="n">
        <v>2009</v>
      </c>
      <c r="N712" s="19" t="n">
        <v>2010</v>
      </c>
      <c r="O712" s="20" t="n">
        <v>2011</v>
      </c>
      <c r="P712" s="20" t="n">
        <v>2012</v>
      </c>
      <c r="Q712" s="20" t="n">
        <v>2013</v>
      </c>
      <c r="R712" s="20" t="n">
        <v>2014</v>
      </c>
      <c r="S712" s="20" t="n">
        <v>2015</v>
      </c>
      <c r="T712" s="20" t="n">
        <v>2016</v>
      </c>
      <c r="U712" s="20" t="n">
        <v>2017</v>
      </c>
      <c r="V712" s="20" t="n">
        <v>2018</v>
      </c>
      <c r="W712" s="20" t="n">
        <v>2019</v>
      </c>
      <c r="X712" s="20" t="n">
        <v>2020</v>
      </c>
    </row>
    <row r="713" customFormat="false" ht="12.75" hidden="false" customHeight="false" outlineLevel="0" collapsed="false">
      <c r="A713" s="15" t="s">
        <v>8</v>
      </c>
      <c r="B713" s="21" t="n">
        <f aca="false">NPV(0.1,D713:Y713)</f>
        <v>457195.723123956</v>
      </c>
      <c r="C713" s="21" t="n">
        <f aca="false">B713-B702</f>
        <v>0</v>
      </c>
      <c r="D713" s="22" t="n">
        <v>25347.0563333333</v>
      </c>
      <c r="E713" s="23" t="n">
        <v>42007.48714</v>
      </c>
      <c r="F713" s="23" t="n">
        <v>42094.5212542</v>
      </c>
      <c r="G713" s="23" t="n">
        <v>50668.6576607134</v>
      </c>
      <c r="H713" s="23" t="n">
        <v>57743.8932614556</v>
      </c>
      <c r="I713" s="23" t="n">
        <v>58943.2220633393</v>
      </c>
      <c r="J713" s="23" t="n">
        <v>59552.4652887991</v>
      </c>
      <c r="K713" s="23" t="n">
        <v>60161.2038478084</v>
      </c>
      <c r="L713" s="23" t="n">
        <v>60768.859141477</v>
      </c>
      <c r="M713" s="23" t="n">
        <v>61374.8183091816</v>
      </c>
      <c r="N713" s="24" t="n">
        <v>61978.4326935999</v>
      </c>
      <c r="O713" s="25" t="n">
        <v>62579.0162444838</v>
      </c>
      <c r="P713" s="25" t="n">
        <v>63175.8438588753</v>
      </c>
      <c r="Q713" s="25" t="n">
        <v>62998.1681320966</v>
      </c>
      <c r="R713" s="25" t="n">
        <v>63562.0442111083</v>
      </c>
      <c r="S713" s="25" t="n">
        <v>64119.0441434205</v>
      </c>
      <c r="T713" s="25" t="n">
        <v>64668.2478717603</v>
      </c>
      <c r="U713" s="25" t="n">
        <v>65208.6863239502</v>
      </c>
      <c r="V713" s="25" t="n">
        <v>65739.3393000658</v>
      </c>
      <c r="W713" s="25" t="n">
        <v>65339.7350707632</v>
      </c>
      <c r="X713" s="25" t="n">
        <v>39294.5125998934</v>
      </c>
    </row>
    <row r="714" customFormat="false" ht="12.75" hidden="false" customHeight="false" outlineLevel="0" collapsed="false">
      <c r="A714" s="26" t="s">
        <v>9</v>
      </c>
      <c r="B714" s="21" t="n">
        <f aca="false">NPV(0.1,D714:Y714)</f>
        <v>204145.883321195</v>
      </c>
      <c r="C714" s="21" t="n">
        <f aca="false">B714-B703</f>
        <v>0</v>
      </c>
      <c r="D714" s="22" t="n">
        <v>13735.2718741324</v>
      </c>
      <c r="E714" s="23" t="n">
        <v>21850.0328500346</v>
      </c>
      <c r="F714" s="23" t="n">
        <v>22096.5325215937</v>
      </c>
      <c r="G714" s="23" t="n">
        <v>23413.6017414817</v>
      </c>
      <c r="H714" s="23" t="n">
        <v>24271.7891906064</v>
      </c>
      <c r="I714" s="23" t="n">
        <v>24506.5065548677</v>
      </c>
      <c r="J714" s="23" t="n">
        <v>24787.3007136647</v>
      </c>
      <c r="K714" s="23" t="n">
        <v>25095.8232853748</v>
      </c>
      <c r="L714" s="23" t="n">
        <v>25370.7030728464</v>
      </c>
      <c r="M714" s="23" t="n">
        <v>25576.1504759466</v>
      </c>
      <c r="N714" s="24" t="n">
        <v>25789.8109259936</v>
      </c>
      <c r="O714" s="25" t="n">
        <v>26181.5890083536</v>
      </c>
      <c r="P714" s="25" t="n">
        <v>26413.8963791851</v>
      </c>
      <c r="Q714" s="25" t="n">
        <v>26653.1729711416</v>
      </c>
      <c r="R714" s="25" t="n">
        <v>26899.6278608567</v>
      </c>
      <c r="S714" s="25" t="n">
        <v>27153.4763972634</v>
      </c>
      <c r="T714" s="25" t="n">
        <v>27414.9403897622</v>
      </c>
      <c r="U714" s="25" t="n">
        <v>27684.248302036</v>
      </c>
      <c r="V714" s="25" t="n">
        <v>27961.635451678</v>
      </c>
      <c r="W714" s="25" t="n">
        <v>28247.3442158092</v>
      </c>
      <c r="X714" s="25" t="n">
        <v>25770.4309987304</v>
      </c>
    </row>
    <row r="715" customFormat="false" ht="12.75" hidden="false" customHeight="false" outlineLevel="0" collapsed="false">
      <c r="A715" s="26" t="s">
        <v>10</v>
      </c>
      <c r="B715" s="21" t="n">
        <f aca="false">NPV(0.1,D715:Y715)</f>
        <v>95453.372146293</v>
      </c>
      <c r="C715" s="21" t="n">
        <f aca="false">B715-B704</f>
        <v>-100.384466572068</v>
      </c>
      <c r="D715" s="22" t="n">
        <v>-333.934890516043</v>
      </c>
      <c r="E715" s="23" t="n">
        <v>3695.1384294168</v>
      </c>
      <c r="F715" s="23" t="n">
        <v>3796.12336510636</v>
      </c>
      <c r="G715" s="23" t="n">
        <v>8528.73127639358</v>
      </c>
      <c r="H715" s="23" t="n">
        <v>12656.0442639883</v>
      </c>
      <c r="I715" s="23" t="n">
        <v>13587.5761306796</v>
      </c>
      <c r="J715" s="23" t="n">
        <v>14099.5944111588</v>
      </c>
      <c r="K715" s="23" t="n">
        <v>14541.661297039</v>
      </c>
      <c r="L715" s="23" t="n">
        <v>15003.4635858572</v>
      </c>
      <c r="M715" s="23" t="n">
        <v>15670.5755136986</v>
      </c>
      <c r="N715" s="24" t="n">
        <v>16445.3620761887</v>
      </c>
      <c r="O715" s="25" t="n">
        <v>16699.7174303884</v>
      </c>
      <c r="P715" s="25" t="n">
        <v>17080.4045285509</v>
      </c>
      <c r="Q715" s="25" t="n">
        <v>16987.4152204277</v>
      </c>
      <c r="R715" s="25" t="n">
        <v>17339.5540216449</v>
      </c>
      <c r="S715" s="25" t="n">
        <v>17683.0434284011</v>
      </c>
      <c r="T715" s="25" t="n">
        <v>18017.1913174808</v>
      </c>
      <c r="U715" s="25" t="n">
        <v>18501.0111265386</v>
      </c>
      <c r="V715" s="25" t="n">
        <v>19037.8982625333</v>
      </c>
      <c r="W715" s="25" t="n">
        <v>19101.7252676433</v>
      </c>
      <c r="X715" s="25" t="n">
        <v>5359.30596162295</v>
      </c>
    </row>
    <row r="716" customFormat="false" ht="12.75" hidden="false" customHeight="false" outlineLevel="0" collapsed="false">
      <c r="A716" s="26" t="s">
        <v>11</v>
      </c>
      <c r="B716" s="21" t="n">
        <f aca="false">NPV(0.1,D716:Y716)</f>
        <v>101456.190626908</v>
      </c>
      <c r="C716" s="21" t="n">
        <f aca="false">B716-B705</f>
        <v>-31.7962672493886</v>
      </c>
      <c r="D716" s="27" t="n">
        <v>-2251.15416809192</v>
      </c>
      <c r="E716" s="28" t="n">
        <v>6068.43042804679</v>
      </c>
      <c r="F716" s="28" t="n">
        <v>4653.10197531704</v>
      </c>
      <c r="G716" s="28" t="n">
        <v>10460.7464698569</v>
      </c>
      <c r="H716" s="28" t="n">
        <v>17564.3014710026</v>
      </c>
      <c r="I716" s="28" t="n">
        <v>15522.3833438289</v>
      </c>
      <c r="J716" s="28" t="n">
        <v>15083.0055285803</v>
      </c>
      <c r="K716" s="28" t="n">
        <v>15552.9573925468</v>
      </c>
      <c r="L716" s="28" t="n">
        <v>12344.6547101172</v>
      </c>
      <c r="M716" s="28" t="n">
        <v>10477.5044067304</v>
      </c>
      <c r="N716" s="29" t="n">
        <v>20309.2762571857</v>
      </c>
      <c r="O716" s="25" t="n">
        <v>20088.770948973</v>
      </c>
      <c r="P716" s="25" t="n">
        <v>20297.2279233584</v>
      </c>
      <c r="Q716" s="25" t="n">
        <v>20210.2317933819</v>
      </c>
      <c r="R716" s="25" t="n">
        <v>20556.3774164524</v>
      </c>
      <c r="S716" s="25" t="n">
        <v>19131.8792699173</v>
      </c>
      <c r="T716" s="25" t="n">
        <v>14436.0280379558</v>
      </c>
      <c r="U716" s="25" t="n">
        <v>13615.0432199136</v>
      </c>
      <c r="V716" s="25" t="n">
        <v>12194.7234152583</v>
      </c>
      <c r="W716" s="25" t="n">
        <v>10953.7457932683</v>
      </c>
      <c r="X716" s="25" t="n">
        <v>8702.68994676739</v>
      </c>
    </row>
    <row r="719" customFormat="false" ht="11.25" hidden="false" customHeight="false" outlineLevel="0" collapsed="false">
      <c r="A719" s="39" t="s">
        <v>78</v>
      </c>
    </row>
    <row r="720" customFormat="false" ht="11.25" hidden="false" customHeight="false" outlineLevel="0" collapsed="false">
      <c r="A720" s="34" t="n">
        <v>36529</v>
      </c>
    </row>
    <row r="721" customFormat="false" ht="12.75" hidden="false" customHeight="false" outlineLevel="0" collapsed="false">
      <c r="A721" s="11" t="s">
        <v>3</v>
      </c>
      <c r="B721" s="12" t="n">
        <v>49424.3939341443</v>
      </c>
      <c r="C721" s="6"/>
      <c r="D721" s="6"/>
      <c r="E721" s="6"/>
      <c r="F721" s="6"/>
      <c r="G721" s="6"/>
      <c r="H721" s="6"/>
      <c r="I721" s="6"/>
      <c r="J721" s="6"/>
      <c r="K721" s="6"/>
      <c r="L721" s="6"/>
      <c r="M721" s="6"/>
      <c r="N721" s="6"/>
      <c r="O721" s="6"/>
      <c r="P721" s="6"/>
      <c r="Q721" s="6"/>
      <c r="R721" s="6"/>
      <c r="S721" s="6"/>
      <c r="T721" s="6"/>
      <c r="U721" s="6"/>
      <c r="V721" s="6"/>
      <c r="W721" s="6"/>
      <c r="X721" s="6"/>
    </row>
    <row r="722" customFormat="false" ht="12.75" hidden="false" customHeight="false" outlineLevel="0" collapsed="false">
      <c r="A722" s="13" t="s">
        <v>4</v>
      </c>
      <c r="B722" s="14" t="n">
        <v>91246.3945767406</v>
      </c>
      <c r="C722" s="6"/>
      <c r="D722" s="6"/>
      <c r="E722" s="6"/>
      <c r="F722" s="6"/>
      <c r="G722" s="6"/>
      <c r="H722" s="6"/>
      <c r="I722" s="6"/>
      <c r="J722" s="6"/>
      <c r="K722" s="6"/>
      <c r="L722" s="6"/>
      <c r="M722" s="6"/>
      <c r="N722" s="6"/>
      <c r="O722" s="6"/>
      <c r="P722" s="6"/>
      <c r="Q722" s="6"/>
      <c r="R722" s="6"/>
      <c r="S722" s="6"/>
      <c r="T722" s="6"/>
      <c r="U722" s="6"/>
      <c r="V722" s="6"/>
      <c r="W722" s="6"/>
      <c r="X722" s="6"/>
    </row>
    <row r="723" customFormat="false" ht="12.75" hidden="false" customHeight="false" outlineLevel="0" collapsed="false">
      <c r="A723" s="15" t="s">
        <v>5</v>
      </c>
      <c r="B723" s="16" t="s">
        <v>6</v>
      </c>
      <c r="C723" s="16" t="s">
        <v>7</v>
      </c>
      <c r="D723" s="17" t="n">
        <v>2000</v>
      </c>
      <c r="E723" s="18" t="n">
        <v>2001</v>
      </c>
      <c r="F723" s="18" t="n">
        <v>2002</v>
      </c>
      <c r="G723" s="18" t="n">
        <v>2003</v>
      </c>
      <c r="H723" s="18" t="n">
        <v>2004</v>
      </c>
      <c r="I723" s="18" t="n">
        <v>2005</v>
      </c>
      <c r="J723" s="18" t="n">
        <v>2006</v>
      </c>
      <c r="K723" s="18" t="n">
        <v>2007</v>
      </c>
      <c r="L723" s="18" t="n">
        <v>2008</v>
      </c>
      <c r="M723" s="18" t="n">
        <v>2009</v>
      </c>
      <c r="N723" s="19" t="n">
        <v>2010</v>
      </c>
      <c r="O723" s="20" t="n">
        <v>2011</v>
      </c>
      <c r="P723" s="20" t="n">
        <v>2012</v>
      </c>
      <c r="Q723" s="20" t="n">
        <v>2013</v>
      </c>
      <c r="R723" s="20" t="n">
        <v>2014</v>
      </c>
      <c r="S723" s="20" t="n">
        <v>2015</v>
      </c>
      <c r="T723" s="20" t="n">
        <v>2016</v>
      </c>
      <c r="U723" s="20" t="n">
        <v>2017</v>
      </c>
      <c r="V723" s="20" t="n">
        <v>2018</v>
      </c>
      <c r="W723" s="20" t="n">
        <v>2019</v>
      </c>
      <c r="X723" s="20" t="n">
        <v>2020</v>
      </c>
    </row>
    <row r="724" customFormat="false" ht="12.75" hidden="false" customHeight="false" outlineLevel="0" collapsed="false">
      <c r="A724" s="15" t="s">
        <v>8</v>
      </c>
      <c r="B724" s="21" t="n">
        <f aca="false">NPV(0.1,D724:Y724)</f>
        <v>457195.723123956</v>
      </c>
      <c r="C724" s="21" t="n">
        <f aca="false">B724-B713</f>
        <v>0</v>
      </c>
      <c r="D724" s="22" t="n">
        <v>25347.0563333333</v>
      </c>
      <c r="E724" s="23" t="n">
        <v>42007.48714</v>
      </c>
      <c r="F724" s="23" t="n">
        <v>42094.5212542</v>
      </c>
      <c r="G724" s="23" t="n">
        <v>50668.6576607134</v>
      </c>
      <c r="H724" s="23" t="n">
        <v>57743.8932614556</v>
      </c>
      <c r="I724" s="23" t="n">
        <v>58943.2220633393</v>
      </c>
      <c r="J724" s="23" t="n">
        <v>59552.4652887991</v>
      </c>
      <c r="K724" s="23" t="n">
        <v>60161.2038478084</v>
      </c>
      <c r="L724" s="23" t="n">
        <v>60768.859141477</v>
      </c>
      <c r="M724" s="23" t="n">
        <v>61374.8183091816</v>
      </c>
      <c r="N724" s="24" t="n">
        <v>61978.4326935999</v>
      </c>
      <c r="O724" s="25" t="n">
        <v>62579.0162444838</v>
      </c>
      <c r="P724" s="25" t="n">
        <v>63175.8438588753</v>
      </c>
      <c r="Q724" s="25" t="n">
        <v>62998.1681320966</v>
      </c>
      <c r="R724" s="25" t="n">
        <v>63562.0442111083</v>
      </c>
      <c r="S724" s="25" t="n">
        <v>64119.0441434205</v>
      </c>
      <c r="T724" s="25" t="n">
        <v>64668.2478717603</v>
      </c>
      <c r="U724" s="25" t="n">
        <v>65208.6863239502</v>
      </c>
      <c r="V724" s="25" t="n">
        <v>65739.3393000658</v>
      </c>
      <c r="W724" s="25" t="n">
        <v>65339.7350707632</v>
      </c>
      <c r="X724" s="25" t="n">
        <v>39294.5125998934</v>
      </c>
    </row>
    <row r="725" customFormat="false" ht="12.75" hidden="false" customHeight="false" outlineLevel="0" collapsed="false">
      <c r="A725" s="26" t="s">
        <v>9</v>
      </c>
      <c r="B725" s="21" t="n">
        <f aca="false">NPV(0.1,D725:Y725)</f>
        <v>204145.883321195</v>
      </c>
      <c r="C725" s="21" t="n">
        <f aca="false">B725-B714</f>
        <v>0</v>
      </c>
      <c r="D725" s="22" t="n">
        <v>13735.2718741324</v>
      </c>
      <c r="E725" s="23" t="n">
        <v>21850.0328500346</v>
      </c>
      <c r="F725" s="23" t="n">
        <v>22096.5325215937</v>
      </c>
      <c r="G725" s="23" t="n">
        <v>23413.6017414817</v>
      </c>
      <c r="H725" s="23" t="n">
        <v>24271.7891906064</v>
      </c>
      <c r="I725" s="23" t="n">
        <v>24506.5065548677</v>
      </c>
      <c r="J725" s="23" t="n">
        <v>24787.3007136647</v>
      </c>
      <c r="K725" s="23" t="n">
        <v>25095.8232853748</v>
      </c>
      <c r="L725" s="23" t="n">
        <v>25370.7030728464</v>
      </c>
      <c r="M725" s="23" t="n">
        <v>25576.1504759466</v>
      </c>
      <c r="N725" s="24" t="n">
        <v>25789.8109259936</v>
      </c>
      <c r="O725" s="25" t="n">
        <v>26181.5890083536</v>
      </c>
      <c r="P725" s="25" t="n">
        <v>26413.8963791851</v>
      </c>
      <c r="Q725" s="25" t="n">
        <v>26653.1729711416</v>
      </c>
      <c r="R725" s="25" t="n">
        <v>26899.6278608567</v>
      </c>
      <c r="S725" s="25" t="n">
        <v>27153.4763972634</v>
      </c>
      <c r="T725" s="25" t="n">
        <v>27414.9403897622</v>
      </c>
      <c r="U725" s="25" t="n">
        <v>27684.248302036</v>
      </c>
      <c r="V725" s="25" t="n">
        <v>27961.635451678</v>
      </c>
      <c r="W725" s="25" t="n">
        <v>28247.3442158092</v>
      </c>
      <c r="X725" s="25" t="n">
        <v>25770.4309987304</v>
      </c>
    </row>
    <row r="726" customFormat="false" ht="12.75" hidden="false" customHeight="false" outlineLevel="0" collapsed="false">
      <c r="A726" s="26" t="s">
        <v>10</v>
      </c>
      <c r="B726" s="21" t="n">
        <f aca="false">NPV(0.1,D726:Y726)</f>
        <v>95563.5564791997</v>
      </c>
      <c r="C726" s="21" t="n">
        <f aca="false">B726-B715</f>
        <v>110.184332906676</v>
      </c>
      <c r="D726" s="22" t="n">
        <v>-319.618876269215</v>
      </c>
      <c r="E726" s="23" t="n">
        <v>3711.43557778241</v>
      </c>
      <c r="F726" s="23" t="n">
        <v>3812.03887910637</v>
      </c>
      <c r="G726" s="23" t="n">
        <v>8543.55687302645</v>
      </c>
      <c r="H726" s="23" t="n">
        <v>12670.1913245284</v>
      </c>
      <c r="I726" s="23" t="n">
        <v>13601.2919195308</v>
      </c>
      <c r="J726" s="23" t="n">
        <v>14112.878928321</v>
      </c>
      <c r="K726" s="23" t="n">
        <v>14554.4541510227</v>
      </c>
      <c r="L726" s="23" t="n">
        <v>15015.7647766624</v>
      </c>
      <c r="M726" s="23" t="n">
        <v>15682.0745526154</v>
      </c>
      <c r="N726" s="24" t="n">
        <v>16455.8433273727</v>
      </c>
      <c r="O726" s="25" t="n">
        <v>16709.957115614</v>
      </c>
      <c r="P726" s="25" t="n">
        <v>17090.3422563286</v>
      </c>
      <c r="Q726" s="25" t="n">
        <v>16997.0509907574</v>
      </c>
      <c r="R726" s="25" t="n">
        <v>17348.8878345267</v>
      </c>
      <c r="S726" s="25" t="n">
        <v>17692.0752838348</v>
      </c>
      <c r="T726" s="25" t="n">
        <v>18025.9212154665</v>
      </c>
      <c r="U726" s="25" t="n">
        <v>18509.1371096283</v>
      </c>
      <c r="V726" s="25" t="n">
        <v>19045.2995477479</v>
      </c>
      <c r="W726" s="25" t="n">
        <v>19108.220680514</v>
      </c>
      <c r="X726" s="25" t="n">
        <v>5364.77471917045</v>
      </c>
    </row>
    <row r="727" customFormat="false" ht="12.75" hidden="false" customHeight="false" outlineLevel="0" collapsed="false">
      <c r="A727" s="26" t="s">
        <v>11</v>
      </c>
      <c r="B727" s="21" t="n">
        <f aca="false">NPV(0.1,D727:Y727)</f>
        <v>101564.572755001</v>
      </c>
      <c r="C727" s="21" t="n">
        <f aca="false">B727-B716</f>
        <v>108.382128093261</v>
      </c>
      <c r="D727" s="27" t="n">
        <v>-2224.28540815442</v>
      </c>
      <c r="E727" s="28" t="n">
        <v>6094.68439238929</v>
      </c>
      <c r="F727" s="28" t="n">
        <v>4682.16682531454</v>
      </c>
      <c r="G727" s="28" t="n">
        <v>10491.5208697699</v>
      </c>
      <c r="H727" s="28" t="n">
        <v>17513.4716832123</v>
      </c>
      <c r="I727" s="28" t="n">
        <v>15532.5517179437</v>
      </c>
      <c r="J727" s="28" t="n">
        <v>15094.3569718763</v>
      </c>
      <c r="K727" s="28" t="n">
        <v>15563.8056243121</v>
      </c>
      <c r="L727" s="28" t="n">
        <v>12361.8741895561</v>
      </c>
      <c r="M727" s="28" t="n">
        <v>10498.5691124288</v>
      </c>
      <c r="N727" s="29" t="n">
        <v>20312.2063172535</v>
      </c>
      <c r="O727" s="25" t="n">
        <v>20092.6811399803</v>
      </c>
      <c r="P727" s="25" t="n">
        <v>20300.8477052698</v>
      </c>
      <c r="Q727" s="25" t="n">
        <v>20213.5380694933</v>
      </c>
      <c r="R727" s="25" t="n">
        <v>20559.3932834679</v>
      </c>
      <c r="S727" s="25" t="n">
        <v>19137.9999433617</v>
      </c>
      <c r="T727" s="25" t="n">
        <v>14451.419744079</v>
      </c>
      <c r="U727" s="25" t="n">
        <v>13632.2975016408</v>
      </c>
      <c r="V727" s="25" t="n">
        <v>12214.9527348604</v>
      </c>
      <c r="W727" s="25" t="n">
        <v>10975.5357310265</v>
      </c>
      <c r="X727" s="25" t="n">
        <v>8702.48805995239</v>
      </c>
    </row>
  </sheetData>
  <printOptions headings="false" gridLines="false" gridLinesSet="true" horizontalCentered="false" verticalCentered="false"/>
  <pageMargins left="0.5" right="0.5" top="0.75" bottom="0.75" header="0.511811023622047" footer="0"/>
  <pageSetup paperSize="1" scale="65"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4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2" activeCellId="0" sqref="D22"/>
    </sheetView>
  </sheetViews>
  <sheetFormatPr defaultColWidth="9.0546875" defaultRowHeight="12.75" customHeight="true" zeroHeight="false" outlineLevelRow="0" outlineLevelCol="0"/>
  <sheetData>
    <row r="1" customFormat="false" ht="12.75" hidden="false" customHeight="false" outlineLevel="0" collapsed="false">
      <c r="A1" s="40" t="str">
        <f aca="false">'PPA Assumptions &amp;Summary'!A1</f>
        <v>WHEATLAND POWER IN, L.L.C.</v>
      </c>
    </row>
    <row r="2" customFormat="false" ht="12.75" hidden="false" customHeight="false" outlineLevel="0" collapsed="false">
      <c r="A2" s="41" t="s">
        <v>79</v>
      </c>
    </row>
    <row r="5" customFormat="false" ht="12.75" hidden="false" customHeight="false" outlineLevel="0" collapsed="false">
      <c r="A5" s="42" t="s">
        <v>80</v>
      </c>
    </row>
    <row r="7" customFormat="false" ht="12.75" hidden="false" customHeight="false" outlineLevel="0" collapsed="false">
      <c r="A7" s="0" t="s">
        <v>81</v>
      </c>
      <c r="C7" s="0" t="n">
        <f aca="false">NetMW</f>
        <v>470</v>
      </c>
    </row>
    <row r="8" customFormat="false" ht="12.75" hidden="false" customHeight="false" outlineLevel="0" collapsed="false">
      <c r="A8" s="0" t="s">
        <v>82</v>
      </c>
      <c r="C8" s="43" t="n">
        <f aca="false">HeatRate</f>
        <v>11735</v>
      </c>
    </row>
    <row r="9" customFormat="false" ht="12.75" hidden="false" customHeight="false" outlineLevel="0" collapsed="false">
      <c r="A9" s="0" t="s">
        <v>83</v>
      </c>
      <c r="C9" s="0" t="n">
        <f aca="false">'Project Assumtions'!I8</f>
        <v>4</v>
      </c>
    </row>
    <row r="10" customFormat="false" ht="12.75" hidden="false" customHeight="false" outlineLevel="0" collapsed="false">
      <c r="A10" s="0" t="s">
        <v>84</v>
      </c>
      <c r="C10" s="0" t="n">
        <f aca="false">AnnualHours</f>
        <v>1200</v>
      </c>
    </row>
    <row r="11" customFormat="false" ht="12.75" hidden="false" customHeight="false" outlineLevel="0" collapsed="false">
      <c r="A11" s="0" t="s">
        <v>85</v>
      </c>
      <c r="C11" s="0" t="n">
        <f aca="false">'Project Assumtions'!N61</f>
        <v>0</v>
      </c>
    </row>
    <row r="13" customFormat="false" ht="12.75" hidden="false" customHeight="false" outlineLevel="0" collapsed="false">
      <c r="A13" s="42" t="s">
        <v>86</v>
      </c>
    </row>
    <row r="14" customFormat="false" ht="12.75" hidden="false" customHeight="false" outlineLevel="0" collapsed="false">
      <c r="C14" s="44" t="n">
        <v>1999</v>
      </c>
    </row>
    <row r="15" customFormat="false" ht="12.75" hidden="false" customHeight="false" outlineLevel="0" collapsed="false">
      <c r="A15" s="0" t="s">
        <v>87</v>
      </c>
      <c r="C15" s="43" t="n">
        <f aca="false">Labor+Fixed</f>
        <v>1165</v>
      </c>
    </row>
    <row r="16" customFormat="false" ht="12.75" hidden="false" customHeight="false" outlineLevel="0" collapsed="false">
      <c r="A16" s="0" t="s">
        <v>88</v>
      </c>
      <c r="C16" s="43" t="n">
        <f aca="false">'Project Assumtions'!L11</f>
        <v>656.2</v>
      </c>
    </row>
    <row r="17" customFormat="false" ht="12.75" hidden="false" customHeight="false" outlineLevel="0" collapsed="false">
      <c r="A17" s="0" t="s">
        <v>89</v>
      </c>
      <c r="C17" s="43" t="n">
        <f aca="false">'Project Assumtions'!O16</f>
        <v>0</v>
      </c>
    </row>
    <row r="18" customFormat="false" ht="12.75" hidden="false" customHeight="false" outlineLevel="0" collapsed="false">
      <c r="A18" s="0" t="s">
        <v>90</v>
      </c>
      <c r="C18" s="43" t="n">
        <f aca="false">'Project Assumtions'!O15</f>
        <v>2078.4</v>
      </c>
    </row>
    <row r="19" customFormat="false" ht="12.75" hidden="false" customHeight="false" outlineLevel="0" collapsed="false">
      <c r="A19" s="0" t="s">
        <v>91</v>
      </c>
      <c r="C19" s="43" t="n">
        <f aca="false">'Project Assumtions'!N34</f>
        <v>265</v>
      </c>
    </row>
    <row r="20" customFormat="false" ht="12.75" hidden="false" customHeight="false" outlineLevel="0" collapsed="false">
      <c r="A20" s="0" t="s">
        <v>92</v>
      </c>
      <c r="C20" s="43" t="n">
        <f aca="false">'Project Assumtions'!N36+'Project Assumtions'!N37+'Project Assumtions'!N38+'Project Assumtions'!N39</f>
        <v>327</v>
      </c>
    </row>
    <row r="21" customFormat="false" ht="12.75" hidden="false" customHeight="false" outlineLevel="0" collapsed="false">
      <c r="A21" s="0" t="s">
        <v>93</v>
      </c>
      <c r="C21" s="43" t="n">
        <f aca="false">'Project Assumtions'!N35</f>
        <v>95</v>
      </c>
    </row>
    <row r="22" customFormat="false" ht="12.75" hidden="false" customHeight="false" outlineLevel="0" collapsed="false">
      <c r="A22" s="0" t="s">
        <v>94</v>
      </c>
      <c r="C22" s="43" t="n">
        <v>0</v>
      </c>
      <c r="D22" s="43" t="n">
        <f aca="false">'Book Income Statement'!D53+'Book Income Statement'!D75</f>
        <v>335.11988732968</v>
      </c>
      <c r="E22" s="43" t="n">
        <f aca="false">'Book Income Statement'!E53+'Book Income Statement'!E75</f>
        <v>305.53364568</v>
      </c>
      <c r="F22" s="43" t="n">
        <f aca="false">'Book Income Statement'!F53+'Book Income Statement'!F75</f>
        <v>393.967241108452</v>
      </c>
      <c r="G22" s="43" t="n">
        <f aca="false">'Book Income Statement'!G53+'Book Income Statement'!G75</f>
        <v>647.483877554547</v>
      </c>
      <c r="H22" s="43" t="n">
        <f aca="false">'Book Income Statement'!H53+'Book Income Statement'!H75</f>
        <v>940.984276494558</v>
      </c>
      <c r="I22" s="43" t="n">
        <f aca="false">'Book Income Statement'!I53+'Book Income Statement'!I75</f>
        <v>1039.69583959811</v>
      </c>
      <c r="J22" s="43" t="n">
        <f aca="false">'Book Income Statement'!J53+'Book Income Statement'!J75</f>
        <v>1154.99153754637</v>
      </c>
      <c r="K22" s="43" t="n">
        <f aca="false">'Book Income Statement'!K53+'Book Income Statement'!K75</f>
        <v>1288.20275425646</v>
      </c>
      <c r="L22" s="43" t="n">
        <f aca="false">'Book Income Statement'!L53+'Book Income Statement'!L75</f>
        <v>1382.88033680356</v>
      </c>
      <c r="M22" s="43" t="n">
        <f aca="false">'Book Income Statement'!M53+'Book Income Statement'!M75</f>
        <v>1413.57628712683</v>
      </c>
      <c r="N22" s="43" t="n">
        <f aca="false">'Book Income Statement'!N53+'Book Income Statement'!N75</f>
        <v>1452.2105349969</v>
      </c>
      <c r="O22" s="43" t="n">
        <f aca="false">'Book Income Statement'!O53+'Book Income Statement'!O75</f>
        <v>1632.87973453223</v>
      </c>
      <c r="P22" s="43" t="n">
        <f aca="false">'Book Income Statement'!P53+'Book Income Statement'!P75</f>
        <v>1654.48350098056</v>
      </c>
      <c r="Q22" s="43" t="n">
        <f aca="false">'Book Income Statement'!Q53+'Book Income Statement'!Q75</f>
        <v>1649.18507447188</v>
      </c>
      <c r="R22" s="43" t="n">
        <f aca="false">'Book Income Statement'!R53+'Book Income Statement'!R75</f>
        <v>1669.16745597719</v>
      </c>
      <c r="S22" s="43" t="n">
        <f aca="false">'Book Income Statement'!S53+'Book Income Statement'!S75</f>
        <v>1688.65859984502</v>
      </c>
      <c r="T22" s="43" t="n">
        <f aca="false">'Book Income Statement'!T53+'Book Income Statement'!T75</f>
        <v>1707.61919731513</v>
      </c>
      <c r="U22" s="43" t="n">
        <f aca="false">'Book Income Statement'!U53+'Book Income Statement'!U75</f>
        <v>1735.0631802793</v>
      </c>
      <c r="V22" s="43" t="n">
        <f aca="false">'Book Income Statement'!V53+'Book Income Statement'!V75</f>
        <v>1765.51423330873</v>
      </c>
      <c r="W22" s="43" t="n">
        <f aca="false">'Book Income Statement'!W53+'Book Income Statement'!W75</f>
        <v>1769.0878047011</v>
      </c>
      <c r="X22" s="43"/>
    </row>
    <row r="23" customFormat="false" ht="12.75" hidden="false" customHeight="false" outlineLevel="0" collapsed="false">
      <c r="A23" s="0" t="s">
        <v>95</v>
      </c>
    </row>
    <row r="24" customFormat="false" ht="12.75" hidden="false" customHeight="false" outlineLevel="0" collapsed="false">
      <c r="A24" s="0" t="s">
        <v>96</v>
      </c>
      <c r="C24" s="43" t="n">
        <f aca="false">'Project Assumtions'!N23</f>
        <v>162.629757785467</v>
      </c>
    </row>
    <row r="25" customFormat="false" ht="12.75" hidden="false" customHeight="false" outlineLevel="0" collapsed="false">
      <c r="A25" s="0" t="s">
        <v>97</v>
      </c>
      <c r="C25" s="43" t="n">
        <f aca="false">'Project Assumtions'!N25</f>
        <v>250</v>
      </c>
    </row>
    <row r="27" customFormat="false" ht="12.75" hidden="false" customHeight="false" outlineLevel="0" collapsed="false">
      <c r="A27" s="41" t="s">
        <v>98</v>
      </c>
    </row>
    <row r="29" customFormat="false" ht="12.75" hidden="false" customHeight="false" outlineLevel="0" collapsed="false">
      <c r="A29" s="0" t="s">
        <v>99</v>
      </c>
      <c r="C29" s="45" t="n">
        <f aca="false">VEP</f>
        <v>1.16347517730496</v>
      </c>
    </row>
    <row r="30" customFormat="false" ht="12.75" hidden="false" customHeight="false" outlineLevel="0" collapsed="false">
      <c r="A30" s="0" t="s">
        <v>100</v>
      </c>
      <c r="C30" s="43" t="n">
        <f aca="false">'Project Assumtions'!F22</f>
        <v>4330</v>
      </c>
    </row>
    <row r="33" customFormat="false" ht="12.75" hidden="false" customHeight="false" outlineLevel="0" collapsed="false">
      <c r="A33" s="46" t="s">
        <v>101</v>
      </c>
      <c r="B33" s="47"/>
      <c r="C33" s="47"/>
      <c r="D33" s="47"/>
      <c r="E33" s="47"/>
      <c r="F33" s="47"/>
      <c r="G33" s="47"/>
      <c r="H33" s="47"/>
      <c r="I33" s="47"/>
      <c r="J33" s="47"/>
      <c r="K33" s="47"/>
      <c r="L33" s="47"/>
      <c r="M33" s="47"/>
      <c r="N33" s="47"/>
      <c r="O33" s="47"/>
      <c r="P33" s="47"/>
      <c r="Q33" s="47"/>
      <c r="R33" s="47"/>
      <c r="S33" s="47"/>
      <c r="T33" s="47"/>
      <c r="U33" s="47"/>
      <c r="V33" s="47"/>
      <c r="W33" s="47"/>
      <c r="X33" s="47"/>
      <c r="Y33" s="48"/>
    </row>
    <row r="34" customFormat="false" ht="12.75" hidden="false" customHeight="false" outlineLevel="0" collapsed="false">
      <c r="A34" s="49"/>
      <c r="B34" s="50"/>
      <c r="C34" s="51" t="n">
        <v>2000</v>
      </c>
      <c r="D34" s="51" t="n">
        <f aca="false">C34+1</f>
        <v>2001</v>
      </c>
      <c r="E34" s="51" t="n">
        <f aca="false">D34+1</f>
        <v>2002</v>
      </c>
      <c r="F34" s="51" t="n">
        <f aca="false">E34+1</f>
        <v>2003</v>
      </c>
      <c r="G34" s="51" t="n">
        <f aca="false">F34+1</f>
        <v>2004</v>
      </c>
      <c r="H34" s="51" t="n">
        <f aca="false">G34+1</f>
        <v>2005</v>
      </c>
      <c r="I34" s="51" t="n">
        <f aca="false">H34+1</f>
        <v>2006</v>
      </c>
      <c r="J34" s="51" t="n">
        <f aca="false">I34+1</f>
        <v>2007</v>
      </c>
      <c r="K34" s="51" t="n">
        <f aca="false">J34+1</f>
        <v>2008</v>
      </c>
      <c r="L34" s="51" t="n">
        <f aca="false">K34+1</f>
        <v>2009</v>
      </c>
      <c r="M34" s="51" t="n">
        <f aca="false">L34+1</f>
        <v>2010</v>
      </c>
      <c r="N34" s="51" t="n">
        <f aca="false">M34+1</f>
        <v>2011</v>
      </c>
      <c r="O34" s="51" t="n">
        <f aca="false">N34+1</f>
        <v>2012</v>
      </c>
      <c r="P34" s="51" t="n">
        <f aca="false">O34+1</f>
        <v>2013</v>
      </c>
      <c r="Q34" s="51" t="n">
        <f aca="false">P34+1</f>
        <v>2014</v>
      </c>
      <c r="R34" s="51" t="n">
        <f aca="false">Q34+1</f>
        <v>2015</v>
      </c>
      <c r="S34" s="51" t="n">
        <f aca="false">R34+1</f>
        <v>2016</v>
      </c>
      <c r="T34" s="51" t="n">
        <f aca="false">S34+1</f>
        <v>2017</v>
      </c>
      <c r="U34" s="51" t="n">
        <f aca="false">T34+1</f>
        <v>2018</v>
      </c>
      <c r="V34" s="51" t="n">
        <f aca="false">U34+1</f>
        <v>2019</v>
      </c>
      <c r="W34" s="51" t="n">
        <f aca="false">V34+1</f>
        <v>2020</v>
      </c>
      <c r="X34" s="51" t="n">
        <f aca="false">W34+1</f>
        <v>2021</v>
      </c>
      <c r="Y34" s="52" t="n">
        <f aca="false">X34+1</f>
        <v>2022</v>
      </c>
    </row>
    <row r="35" customFormat="false" ht="12.75" hidden="false" customHeight="false" outlineLevel="0" collapsed="false">
      <c r="A35" s="49" t="s">
        <v>102</v>
      </c>
      <c r="B35" s="50"/>
      <c r="C35" s="53" t="n">
        <f aca="false">[2]Wheatland!F39</f>
        <v>11439.7318132227</v>
      </c>
      <c r="D35" s="53" t="n">
        <f aca="false">[2]Wheatland!G39</f>
        <v>19883.2031273792</v>
      </c>
      <c r="E35" s="53" t="n">
        <f aca="false">[2]Wheatland!H39</f>
        <v>19720.6867860655</v>
      </c>
      <c r="F35" s="53" t="n">
        <f aca="false">[2]Wheatland!I39</f>
        <v>26917.7469334493</v>
      </c>
      <c r="G35" s="53" t="n">
        <f aca="false">[2]Wheatland!J39</f>
        <v>33018.809060409</v>
      </c>
      <c r="H35" s="53" t="n">
        <f aca="false">[2]Wheatland!K39</f>
        <v>33944.614430366</v>
      </c>
      <c r="I35" s="53" t="n">
        <f aca="false">[2]Wheatland!L39</f>
        <v>34250.5321298749</v>
      </c>
      <c r="J35" s="53" t="n">
        <f aca="false">[2]Wheatland!M39</f>
        <v>34532.1336813073</v>
      </c>
      <c r="K35" s="53" t="n">
        <f aca="false">[2]Wheatland!N39</f>
        <v>34845.6438726914</v>
      </c>
      <c r="L35" s="53" t="n">
        <f aca="false">[2]Wheatland!O39</f>
        <v>35216.2065095107</v>
      </c>
      <c r="M35" s="53" t="n">
        <f aca="false">[2]Wheatland!P39</f>
        <v>35590.8999771601</v>
      </c>
      <c r="N35" s="53" t="n">
        <f aca="false">[2]Wheatland!Q39</f>
        <v>35799.6369861803</v>
      </c>
      <c r="O35" s="53" t="n">
        <f aca="false">[2]Wheatland!R39</f>
        <v>36158.7543362335</v>
      </c>
      <c r="P35" s="53" t="n">
        <f aca="false">[2]Wheatland!S39</f>
        <v>35753.9461613372</v>
      </c>
      <c r="Q35" s="53" t="n">
        <f aca="false">[2]Wheatland!T39</f>
        <v>36062.0313441247</v>
      </c>
      <c r="R35" s="53" t="n">
        <f aca="false">[2]Wheatland!U39</f>
        <v>36356.773561706</v>
      </c>
      <c r="S35" s="53" t="n">
        <f aca="false">[2]Wheatland!V39</f>
        <v>36642.0277640488</v>
      </c>
      <c r="T35" s="53" t="n">
        <f aca="false">[2]Wheatland!W39</f>
        <v>36922.7080062019</v>
      </c>
      <c r="U35" s="53" t="n">
        <f aca="false">[2]Wheatland!X39</f>
        <v>37160.5817532288</v>
      </c>
      <c r="V35" s="53" t="n">
        <f aca="false">[2]Wheatland!Y39</f>
        <v>36488.4995299651</v>
      </c>
      <c r="W35" s="53" t="n">
        <f aca="false">[2]Wheatland!Z39</f>
        <v>37523.7242630885</v>
      </c>
      <c r="X35" s="53" t="n">
        <f aca="false">[2]Wheatland!AA39</f>
        <v>0</v>
      </c>
      <c r="Y35" s="54"/>
    </row>
    <row r="36" customFormat="false" ht="12.75" hidden="false" customHeight="false" outlineLevel="0" collapsed="false">
      <c r="A36" s="49" t="s">
        <v>103</v>
      </c>
      <c r="B36" s="50"/>
      <c r="C36" s="55" t="n">
        <f aca="false">'Book Income Statement'!D63</f>
        <v>11611.7844592009</v>
      </c>
      <c r="D36" s="55" t="n">
        <f aca="false">'Book Income Statement'!E63</f>
        <v>20157.4542899654</v>
      </c>
      <c r="E36" s="55" t="n">
        <f aca="false">'Book Income Statement'!F63</f>
        <v>19997.9887326063</v>
      </c>
      <c r="F36" s="55" t="n">
        <f aca="false">'Book Income Statement'!G63</f>
        <v>27255.0559192318</v>
      </c>
      <c r="G36" s="55" t="n">
        <f aca="false">'Book Income Statement'!H63</f>
        <v>33472.1040708492</v>
      </c>
      <c r="H36" s="55" t="n">
        <f aca="false">'Book Income Statement'!I63</f>
        <v>34436.7155084716</v>
      </c>
      <c r="I36" s="55" t="n">
        <f aca="false">'Book Income Statement'!J63</f>
        <v>34765.1645751344</v>
      </c>
      <c r="J36" s="55" t="n">
        <f aca="false">'Book Income Statement'!K63</f>
        <v>35065.3805624336</v>
      </c>
      <c r="K36" s="55" t="n">
        <f aca="false">'Book Income Statement'!L63</f>
        <v>35398.1560686306</v>
      </c>
      <c r="L36" s="55" t="n">
        <f aca="false">'Book Income Statement'!M63</f>
        <v>35798.667833235</v>
      </c>
      <c r="M36" s="55" t="n">
        <f aca="false">'Book Income Statement'!N63</f>
        <v>36188.6217676063</v>
      </c>
      <c r="N36" s="55" t="n">
        <f aca="false">'Book Income Statement'!O63</f>
        <v>36397.4272361302</v>
      </c>
      <c r="O36" s="55" t="n">
        <f aca="false">'Book Income Statement'!P63</f>
        <v>36761.9474796902</v>
      </c>
      <c r="P36" s="55" t="n">
        <f aca="false">'Book Income Statement'!Q63</f>
        <v>36344.9951609551</v>
      </c>
      <c r="Q36" s="55" t="n">
        <f aca="false">'Book Income Statement'!R63</f>
        <v>36662.4163502515</v>
      </c>
      <c r="R36" s="55" t="n">
        <f aca="false">'Book Income Statement'!S63</f>
        <v>36965.5677461572</v>
      </c>
      <c r="S36" s="55" t="n">
        <f aca="false">'Book Income Statement'!T63</f>
        <v>37253.3074819982</v>
      </c>
      <c r="T36" s="55" t="n">
        <f aca="false">'Book Income Statement'!U63</f>
        <v>37524.4380219143</v>
      </c>
      <c r="U36" s="55" t="n">
        <f aca="false">'Book Income Statement'!V63</f>
        <v>37777.7038483878</v>
      </c>
      <c r="V36" s="55" t="n">
        <f aca="false">'Book Income Statement'!W63</f>
        <v>37092.390854954</v>
      </c>
      <c r="W36" s="55" t="n">
        <f aca="false">'Book Income Statement'!X63</f>
        <v>13524.081601163</v>
      </c>
      <c r="X36" s="50"/>
      <c r="Y36" s="54"/>
    </row>
    <row r="37" customFormat="false" ht="12.75" hidden="false" customHeight="false" outlineLevel="0" collapsed="false">
      <c r="A37" s="49"/>
      <c r="B37" s="50"/>
      <c r="C37" s="53" t="n">
        <f aca="false">C35-C36</f>
        <v>-172.052645978212</v>
      </c>
      <c r="D37" s="53" t="n">
        <f aca="false">D35-D36</f>
        <v>-274.251162586243</v>
      </c>
      <c r="E37" s="53" t="n">
        <f aca="false">E35-E36</f>
        <v>-277.301946540763</v>
      </c>
      <c r="F37" s="53" t="n">
        <f aca="false">F35-F36</f>
        <v>-337.308985782431</v>
      </c>
      <c r="G37" s="53" t="n">
        <f aca="false">G35-G36</f>
        <v>-453.295010440204</v>
      </c>
      <c r="H37" s="53" t="n">
        <f aca="false">H35-H36</f>
        <v>-492.101078105588</v>
      </c>
      <c r="I37" s="53" t="n">
        <f aca="false">I35-I36</f>
        <v>-514.632445259529</v>
      </c>
      <c r="J37" s="53" t="n">
        <f aca="false">J35-J36</f>
        <v>-533.246881126295</v>
      </c>
      <c r="K37" s="53" t="n">
        <f aca="false">K35-K36</f>
        <v>-552.512195939191</v>
      </c>
      <c r="L37" s="53" t="n">
        <f aca="false">L35-L36</f>
        <v>-582.461323724216</v>
      </c>
      <c r="M37" s="53" t="n">
        <f aca="false">M35-M36</f>
        <v>-597.721790446143</v>
      </c>
      <c r="N37" s="53" t="n">
        <f aca="false">N35-N36</f>
        <v>-597.790249949903</v>
      </c>
      <c r="O37" s="53" t="n">
        <f aca="false">O35-O36</f>
        <v>-603.193143456723</v>
      </c>
      <c r="P37" s="53" t="n">
        <f aca="false">P35-P36</f>
        <v>-591.048999617902</v>
      </c>
      <c r="Q37" s="53" t="n">
        <f aca="false">Q35-Q36</f>
        <v>-600.385006126875</v>
      </c>
      <c r="R37" s="53" t="n">
        <f aca="false">R35-R36</f>
        <v>-608.794184451217</v>
      </c>
      <c r="S37" s="53" t="n">
        <f aca="false">S35-S36</f>
        <v>-611.279717949379</v>
      </c>
      <c r="T37" s="53" t="n">
        <f aca="false">T35-T36</f>
        <v>-601.730015712383</v>
      </c>
      <c r="U37" s="53" t="n">
        <f aca="false">U35-U36</f>
        <v>-617.122095159073</v>
      </c>
      <c r="V37" s="53" t="n">
        <f aca="false">V35-V36</f>
        <v>-603.891324988937</v>
      </c>
      <c r="W37" s="53" t="n">
        <f aca="false">W35-W36</f>
        <v>23999.6426619254</v>
      </c>
      <c r="X37" s="53" t="n">
        <f aca="false">X35-X36</f>
        <v>0</v>
      </c>
      <c r="Y37" s="56" t="n">
        <f aca="false">Y35-Y36</f>
        <v>0</v>
      </c>
    </row>
    <row r="38" customFormat="false" ht="12.75" hidden="false" customHeight="false" outlineLevel="0" collapsed="false">
      <c r="A38" s="49"/>
      <c r="B38" s="50"/>
      <c r="C38" s="50"/>
      <c r="D38" s="50"/>
      <c r="E38" s="50"/>
      <c r="F38" s="50"/>
      <c r="G38" s="50"/>
      <c r="H38" s="50"/>
      <c r="I38" s="50"/>
      <c r="J38" s="50"/>
      <c r="K38" s="50"/>
      <c r="L38" s="50"/>
      <c r="M38" s="50"/>
      <c r="N38" s="50"/>
      <c r="O38" s="50"/>
      <c r="P38" s="50"/>
      <c r="Q38" s="50"/>
      <c r="R38" s="50"/>
      <c r="S38" s="50"/>
      <c r="T38" s="50"/>
      <c r="U38" s="50"/>
      <c r="V38" s="50"/>
      <c r="W38" s="50"/>
      <c r="X38" s="50"/>
      <c r="Y38" s="54"/>
    </row>
    <row r="39" customFormat="false" ht="12.75" hidden="false" customHeight="false" outlineLevel="0" collapsed="false">
      <c r="A39" s="49" t="s">
        <v>104</v>
      </c>
      <c r="B39" s="50"/>
      <c r="C39" s="53" t="n">
        <f aca="false">[2]Wheatland!F32</f>
        <v>124.943676931579</v>
      </c>
      <c r="D39" s="53" t="n">
        <f aca="false">[2]Wheatland!G32</f>
        <v>214.189160454135</v>
      </c>
      <c r="E39" s="53" t="n">
        <f aca="false">[2]Wheatland!H32</f>
        <v>214.189160454135</v>
      </c>
      <c r="F39" s="53" t="n">
        <f aca="false">[2]Wheatland!I32</f>
        <v>214.189160454135</v>
      </c>
      <c r="G39" s="53" t="n">
        <f aca="false">[2]Wheatland!J32</f>
        <v>202.903632935765</v>
      </c>
      <c r="H39" s="53" t="n">
        <f aca="false">[2]Wheatland!K32</f>
        <v>202.903632935765</v>
      </c>
      <c r="I39" s="53" t="n">
        <f aca="false">[2]Wheatland!L32</f>
        <v>202.903632935765</v>
      </c>
      <c r="J39" s="53" t="n">
        <f aca="false">[2]Wheatland!M32</f>
        <v>202.903632935765</v>
      </c>
      <c r="K39" s="53" t="n">
        <f aca="false">[2]Wheatland!N32</f>
        <v>202.903632935765</v>
      </c>
      <c r="L39" s="53" t="n">
        <f aca="false">[2]Wheatland!O32</f>
        <v>202.903632935765</v>
      </c>
      <c r="M39" s="53" t="n">
        <f aca="false">[2]Wheatland!P32</f>
        <v>182.423984729036</v>
      </c>
      <c r="N39" s="53" t="n">
        <f aca="false">[2]Wheatland!Q32</f>
        <v>173.859304452645</v>
      </c>
      <c r="O39" s="53" t="n">
        <f aca="false">[2]Wheatland!R32</f>
        <v>165.49193631173</v>
      </c>
      <c r="P39" s="53" t="n">
        <f aca="false">[2]Wheatland!S32</f>
        <v>157.13670570799</v>
      </c>
      <c r="Q39" s="53" t="n">
        <f aca="false">[2]Wheatland!T32</f>
        <v>153.872776085576</v>
      </c>
      <c r="R39" s="53" t="n">
        <f aca="false">[2]Wheatland!U32</f>
        <v>150.102058216563</v>
      </c>
      <c r="S39" s="53" t="n">
        <f aca="false">[2]Wheatland!V32</f>
        <v>140.917442102521</v>
      </c>
      <c r="T39" s="53" t="n">
        <f aca="false">[2]Wheatland!W32</f>
        <v>111.718211437975</v>
      </c>
      <c r="U39" s="53" t="n">
        <f aca="false">[2]Wheatland!X32</f>
        <v>104.211919815935</v>
      </c>
      <c r="V39" s="53" t="n">
        <f aca="false">[2]Wheatland!Y32</f>
        <v>84.1082544662574</v>
      </c>
      <c r="W39" s="53" t="n">
        <f aca="false">[2]Wheatland!Z32</f>
        <v>84.1082544662574</v>
      </c>
      <c r="X39" s="53" t="n">
        <f aca="false">[2]Wheatland!AA32</f>
        <v>0</v>
      </c>
      <c r="Y39" s="56" t="n">
        <f aca="false">[2]Wheatland!AB32</f>
        <v>0</v>
      </c>
    </row>
    <row r="40" customFormat="false" ht="12.75" hidden="false" customHeight="false" outlineLevel="0" collapsed="false">
      <c r="A40" s="49" t="s">
        <v>105</v>
      </c>
      <c r="B40" s="50"/>
      <c r="C40" s="57" t="n">
        <f aca="false">-[2]Wheatland!F19</f>
        <v>-141.231256953366</v>
      </c>
      <c r="D40" s="57" t="n">
        <f aca="false">-[2]Wheatland!G19</f>
        <v>-245.471643547891</v>
      </c>
      <c r="E40" s="57" t="n">
        <f aca="false">-[2]Wheatland!H19</f>
        <v>-243.465268963772</v>
      </c>
      <c r="F40" s="57" t="n">
        <f aca="false">-[2]Wheatland!I19</f>
        <v>-332.317863375918</v>
      </c>
      <c r="G40" s="57" t="n">
        <f aca="false">-[2]Wheatland!J19</f>
        <v>-407.639618029741</v>
      </c>
      <c r="H40" s="57" t="n">
        <f aca="false">-[2]Wheatland!K19</f>
        <v>-419.069313955135</v>
      </c>
      <c r="I40" s="57" t="n">
        <f aca="false">-[2]Wheatland!L19</f>
        <v>-422.846075677467</v>
      </c>
      <c r="J40" s="57" t="n">
        <f aca="false">-[2]Wheatland!M19</f>
        <v>-426.322638040831</v>
      </c>
      <c r="K40" s="57" t="n">
        <f aca="false">-[2]Wheatland!N19</f>
        <v>-430.193134230758</v>
      </c>
      <c r="L40" s="57" t="n">
        <f aca="false">-[2]Wheatland!O19</f>
        <v>-434.767981598898</v>
      </c>
      <c r="M40" s="57" t="n">
        <f aca="false">-[2]Wheatland!P19</f>
        <v>-439.39382687852</v>
      </c>
      <c r="N40" s="57" t="n">
        <f aca="false">-[2]Wheatland!Q19</f>
        <v>-441.97082698988</v>
      </c>
      <c r="O40" s="57" t="n">
        <f aca="false">-[2]Wheatland!R19</f>
        <v>-446.404374521401</v>
      </c>
      <c r="P40" s="57" t="n">
        <f aca="false">-[2]Wheatland!S19</f>
        <v>-441.406742732557</v>
      </c>
      <c r="Q40" s="57" t="n">
        <f aca="false">-[2]Wheatland!T19</f>
        <v>-445.210263507712</v>
      </c>
      <c r="R40" s="57" t="n">
        <f aca="false">-[2]Wheatland!U19</f>
        <v>-448.849056317358</v>
      </c>
      <c r="S40" s="57" t="n">
        <f aca="false">-[2]Wheatland!V19</f>
        <v>-452.370713136405</v>
      </c>
      <c r="T40" s="57" t="n">
        <f aca="false">-[2]Wheatland!W19</f>
        <v>-455.835901311135</v>
      </c>
      <c r="U40" s="57" t="n">
        <f aca="false">-[2]Wheatland!X19</f>
        <v>-458.772614237392</v>
      </c>
      <c r="V40" s="57" t="n">
        <f aca="false">-[2]Wheatland!Y19</f>
        <v>-450.475302839075</v>
      </c>
      <c r="W40" s="57" t="n">
        <f aca="false">-[2]Wheatland!Z19</f>
        <v>-463.255855099857</v>
      </c>
      <c r="X40" s="57" t="n">
        <f aca="false">-[2]Wheatland!AA19</f>
        <v>-0</v>
      </c>
      <c r="Y40" s="58" t="n">
        <f aca="false">-[2]Wheatland!AB19</f>
        <v>-0</v>
      </c>
    </row>
    <row r="41" customFormat="false" ht="12.75" hidden="false" customHeight="false" outlineLevel="0" collapsed="false">
      <c r="A41" s="49" t="s">
        <v>106</v>
      </c>
      <c r="B41" s="50"/>
      <c r="C41" s="55" t="n">
        <f aca="false">'Book Income Statement'!D75</f>
        <v>188.340226</v>
      </c>
      <c r="D41" s="55" t="n">
        <f aca="false">'Book Income Statement'!E75</f>
        <v>305.53364568</v>
      </c>
      <c r="E41" s="55" t="n">
        <f aca="false">'Book Income Statement'!F75</f>
        <v>306.5780550504</v>
      </c>
      <c r="F41" s="55" t="n">
        <f aca="false">'Book Income Statement'!G75</f>
        <v>485.226649432723</v>
      </c>
      <c r="G41" s="55" t="n">
        <f aca="false">'Book Income Statement'!H75</f>
        <v>719.596600741613</v>
      </c>
      <c r="H41" s="55" t="n">
        <f aca="false">'Book Income Statement'!I75</f>
        <v>772.477950829443</v>
      </c>
      <c r="I41" s="55" t="n">
        <f aca="false">'Book Income Statement'!J75</f>
        <v>801.53325576366</v>
      </c>
      <c r="J41" s="55" t="n">
        <f aca="false">'Book Income Statement'!K75</f>
        <v>826.612279520206</v>
      </c>
      <c r="K41" s="55" t="n">
        <f aca="false">'Book Income Statement'!L75</f>
        <v>852.812164714809</v>
      </c>
      <c r="L41" s="55" t="n">
        <f aca="false">'Book Income Statement'!M75</f>
        <v>890.654864760587</v>
      </c>
      <c r="M41" s="55" t="n">
        <f aca="false">'Book Income Statement'!N75</f>
        <v>934.600639991102</v>
      </c>
      <c r="N41" s="55" t="n">
        <f aca="false">'Book Income Statement'!O75</f>
        <v>949.032893896062</v>
      </c>
      <c r="O41" s="55" t="n">
        <f aca="false">'Book Income Statement'!P75</f>
        <v>970.636660344395</v>
      </c>
      <c r="P41" s="55" t="n">
        <f aca="false">'Book Income Statement'!Q75</f>
        <v>965.338233835717</v>
      </c>
      <c r="Q41" s="55" t="n">
        <f aca="false">'Book Income Statement'!R75</f>
        <v>985.320615341028</v>
      </c>
      <c r="R41" s="55" t="n">
        <f aca="false">'Book Income Statement'!S75</f>
        <v>1004.81175920886</v>
      </c>
      <c r="S41" s="55" t="n">
        <f aca="false">'Book Income Statement'!T75</f>
        <v>1023.77235667897</v>
      </c>
      <c r="T41" s="55" t="n">
        <f aca="false">'Book Income Statement'!U75</f>
        <v>1051.21633964314</v>
      </c>
      <c r="U41" s="55" t="n">
        <f aca="false">'Book Income Statement'!V75</f>
        <v>1081.66739267256</v>
      </c>
      <c r="V41" s="55" t="n">
        <f aca="false">'Book Income Statement'!W75</f>
        <v>1085.24096406494</v>
      </c>
      <c r="W41" s="55" t="n">
        <f aca="false">'Book Income Statement'!X75</f>
        <v>304.689452020038</v>
      </c>
      <c r="X41" s="55" t="n">
        <f aca="false">'Book Income Statement'!Y75</f>
        <v>0</v>
      </c>
      <c r="Y41" s="59" t="n">
        <f aca="false">'Book Income Statement'!Z75</f>
        <v>0</v>
      </c>
    </row>
    <row r="42" customFormat="false" ht="12.75" hidden="false" customHeight="false" outlineLevel="0" collapsed="false">
      <c r="A42" s="60" t="s">
        <v>107</v>
      </c>
      <c r="B42" s="61"/>
      <c r="C42" s="62" t="n">
        <f aca="false">C37+C39+C40+C41</f>
        <v>0</v>
      </c>
      <c r="D42" s="62" t="n">
        <f aca="false">D37+D39+D40+D41</f>
        <v>1.30739863379858E-012</v>
      </c>
      <c r="E42" s="62" t="n">
        <f aca="false">E37+E39+E40+E41</f>
        <v>0</v>
      </c>
      <c r="F42" s="62" t="n">
        <f aca="false">F37+F39+F40+F41</f>
        <v>29.788960728509</v>
      </c>
      <c r="G42" s="62" t="n">
        <f aca="false">G37+G39+G40+G41</f>
        <v>61.5656052074319</v>
      </c>
      <c r="H42" s="62" t="n">
        <f aca="false">H37+H39+H40+H41</f>
        <v>64.2111917044842</v>
      </c>
      <c r="I42" s="62" t="n">
        <f aca="false">I37+I39+I40+I41</f>
        <v>66.9583677624279</v>
      </c>
      <c r="J42" s="62" t="n">
        <f aca="false">J37+J39+J40+J41</f>
        <v>69.9463932888447</v>
      </c>
      <c r="K42" s="62" t="n">
        <f aca="false">K37+K39+K40+K41</f>
        <v>73.0104674806245</v>
      </c>
      <c r="L42" s="62" t="n">
        <f aca="false">L37+L39+L40+L41</f>
        <v>76.3291923732381</v>
      </c>
      <c r="M42" s="62" t="n">
        <f aca="false">M37+M39+M40+M41</f>
        <v>79.9090073954742</v>
      </c>
      <c r="N42" s="62" t="n">
        <f aca="false">N37+N39+N40+N41</f>
        <v>83.1311214089235</v>
      </c>
      <c r="O42" s="62" t="n">
        <f aca="false">O37+O39+O40+O41</f>
        <v>86.5310786780002</v>
      </c>
      <c r="P42" s="62" t="n">
        <f aca="false">P37+P39+P40+P41</f>
        <v>90.0191971932474</v>
      </c>
      <c r="Q42" s="62" t="n">
        <f aca="false">Q37+Q39+Q40+Q41</f>
        <v>93.5981217920175</v>
      </c>
      <c r="R42" s="62" t="n">
        <f aca="false">R37+R39+R40+R41</f>
        <v>97.2705766568482</v>
      </c>
      <c r="S42" s="62" t="n">
        <f aca="false">S37+S39+S40+S41</f>
        <v>101.039367695703</v>
      </c>
      <c r="T42" s="62" t="n">
        <f aca="false">T37+T39+T40+T41</f>
        <v>105.368634057596</v>
      </c>
      <c r="U42" s="62" t="n">
        <f aca="false">U37+U39+U40+U41</f>
        <v>109.98460309203</v>
      </c>
      <c r="V42" s="62" t="n">
        <f aca="false">V37+V39+V40+V41</f>
        <v>114.982590703185</v>
      </c>
      <c r="W42" s="62" t="n">
        <f aca="false">W37+W39+W40+W41</f>
        <v>23925.1845133118</v>
      </c>
      <c r="X42" s="62" t="n">
        <f aca="false">X37+X39+X40+X41</f>
        <v>0</v>
      </c>
      <c r="Y42" s="63" t="n">
        <f aca="false">Y37+Y39+Y40+Y41</f>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65533"/>
  <sheetViews>
    <sheetView showFormulas="false" showGridLines="true" showRowColHeaders="true" showZeros="true" rightToLeft="false" tabSelected="false" showOutlineSymbols="true" defaultGridColor="true" view="pageBreakPreview" topLeftCell="A37" colorId="64" zoomScale="75" zoomScaleNormal="85" zoomScalePageLayoutView="75" workbookViewId="0">
      <selection pane="topLeft" activeCell="C17" activeCellId="0" sqref="C17"/>
    </sheetView>
  </sheetViews>
  <sheetFormatPr defaultColWidth="9.28125" defaultRowHeight="12" customHeight="true" zeroHeight="false" outlineLevelRow="0" outlineLevelCol="0"/>
  <cols>
    <col collapsed="false" customWidth="true" hidden="false" outlineLevel="0" max="1" min="1" style="64" width="35.13"/>
    <col collapsed="false" customWidth="true" hidden="false" outlineLevel="0" max="2" min="2" style="64" width="9.56"/>
    <col collapsed="false" customWidth="true" hidden="false" outlineLevel="0" max="3" min="3" style="64" width="11.7"/>
    <col collapsed="false" customWidth="true" hidden="false" outlineLevel="0" max="4" min="4" style="64" width="5.85"/>
    <col collapsed="false" customWidth="true" hidden="false" outlineLevel="0" max="5" min="5" style="64" width="23.56"/>
    <col collapsed="false" customWidth="true" hidden="false" outlineLevel="0" max="6" min="6" style="64" width="10.99"/>
    <col collapsed="false" customWidth="true" hidden="false" outlineLevel="0" max="7" min="7" style="64" width="11.99"/>
    <col collapsed="false" customWidth="true" hidden="false" outlineLevel="0" max="8" min="8" style="64" width="12.28"/>
    <col collapsed="false" customWidth="true" hidden="false" outlineLevel="0" max="9" min="9" style="64" width="11.13"/>
    <col collapsed="false" customWidth="true" hidden="false" outlineLevel="0" max="10" min="10" style="64" width="6.41"/>
    <col collapsed="false" customWidth="true" hidden="false" outlineLevel="0" max="11" min="11" style="64" width="23.14"/>
    <col collapsed="false" customWidth="true" hidden="false" outlineLevel="0" max="12" min="12" style="64" width="13.99"/>
    <col collapsed="false" customWidth="true" hidden="false" outlineLevel="0" max="13" min="13" style="64" width="11.13"/>
    <col collapsed="false" customWidth="true" hidden="false" outlineLevel="0" max="14" min="14" style="64" width="11.99"/>
    <col collapsed="false" customWidth="true" hidden="false" outlineLevel="0" max="15" min="15" style="64" width="7.28"/>
    <col collapsed="false" customWidth="true" hidden="false" outlineLevel="0" max="16" min="16" style="64" width="11.85"/>
    <col collapsed="false" customWidth="true" hidden="false" outlineLevel="0" max="17" min="17" style="64" width="5.71"/>
    <col collapsed="false" customWidth="true" hidden="false" outlineLevel="0" max="18" min="18" style="64" width="12.28"/>
    <col collapsed="false" customWidth="false" hidden="false" outlineLevel="0" max="20" min="19" style="64" width="9.28"/>
    <col collapsed="false" customWidth="false" hidden="false" outlineLevel="0" max="257" min="21" style="65" width="9.28"/>
  </cols>
  <sheetData>
    <row r="1" customFormat="false" ht="12" hidden="false" customHeight="false" outlineLevel="0" collapsed="false">
      <c r="B1" s="66"/>
    </row>
    <row r="2" customFormat="false" ht="20.25" hidden="false" customHeight="false" outlineLevel="0" collapsed="false">
      <c r="A2" s="67" t="s">
        <v>108</v>
      </c>
      <c r="B2" s="67"/>
      <c r="C2" s="67"/>
      <c r="D2" s="67"/>
      <c r="E2" s="67"/>
      <c r="F2" s="67"/>
      <c r="G2" s="67"/>
      <c r="H2" s="67"/>
      <c r="I2" s="67"/>
      <c r="J2" s="67"/>
      <c r="K2" s="67"/>
      <c r="L2" s="67"/>
      <c r="M2" s="67"/>
      <c r="N2" s="67"/>
      <c r="O2" s="67"/>
      <c r="P2" s="67"/>
      <c r="Q2" s="67"/>
      <c r="R2" s="67"/>
      <c r="S2" s="67"/>
      <c r="T2" s="67"/>
      <c r="U2" s="67"/>
    </row>
    <row r="3" customFormat="false" ht="13.9" hidden="false" customHeight="true" outlineLevel="0" collapsed="false">
      <c r="A3" s="68" t="s">
        <v>109</v>
      </c>
      <c r="B3" s="68"/>
      <c r="C3" s="68"/>
      <c r="D3" s="68"/>
      <c r="E3" s="68"/>
      <c r="F3" s="68"/>
      <c r="G3" s="68"/>
      <c r="H3" s="68"/>
      <c r="I3" s="68"/>
      <c r="J3" s="68"/>
      <c r="K3" s="68"/>
      <c r="L3" s="68"/>
      <c r="M3" s="68"/>
      <c r="N3" s="68"/>
      <c r="O3" s="68"/>
      <c r="P3" s="68"/>
      <c r="Q3" s="68"/>
      <c r="R3" s="68"/>
      <c r="S3" s="68"/>
      <c r="T3" s="68"/>
      <c r="U3" s="68"/>
    </row>
    <row r="4" customFormat="false" ht="13.9" hidden="false" customHeight="true" outlineLevel="0" collapsed="false">
      <c r="A4" s="69" t="str">
        <f aca="true">CONCATENATE("File Location: ",CELL("filename"))</f>
        <v>File Location: 'file:///mnt/12tb/@roms/datasets/enron/EDRM Enron Email Data Set v2 XML/filtered-attachments/xls/Wheatland_New___W_501_D5A.xls'#$Project Assumtions</v>
      </c>
      <c r="B4" s="69"/>
      <c r="C4" s="69"/>
      <c r="D4" s="69"/>
      <c r="E4" s="69"/>
      <c r="F4" s="69"/>
      <c r="G4" s="69"/>
      <c r="H4" s="69"/>
      <c r="I4" s="69"/>
      <c r="J4" s="69"/>
      <c r="K4" s="69"/>
      <c r="L4" s="69"/>
      <c r="M4" s="69"/>
      <c r="N4" s="69"/>
    </row>
    <row r="5" customFormat="false" ht="15.75" hidden="false" customHeight="false" outlineLevel="0" collapsed="false">
      <c r="A5" s="70" t="s">
        <v>110</v>
      </c>
      <c r="B5" s="71"/>
      <c r="C5" s="72"/>
      <c r="E5" s="70" t="s">
        <v>111</v>
      </c>
      <c r="F5" s="71"/>
      <c r="G5" s="71"/>
      <c r="H5" s="71"/>
      <c r="I5" s="73"/>
      <c r="K5" s="74" t="s">
        <v>112</v>
      </c>
      <c r="L5" s="75"/>
      <c r="M5" s="71"/>
      <c r="N5" s="71"/>
      <c r="O5" s="71"/>
      <c r="P5" s="76"/>
      <c r="R5" s="70" t="s">
        <v>113</v>
      </c>
      <c r="S5" s="71"/>
      <c r="T5" s="71"/>
      <c r="U5" s="72"/>
    </row>
    <row r="6" customFormat="false" ht="14.25" hidden="false" customHeight="true" outlineLevel="0" collapsed="false">
      <c r="A6" s="77"/>
      <c r="B6" s="78"/>
      <c r="C6" s="79"/>
      <c r="E6" s="77"/>
      <c r="F6" s="78"/>
      <c r="G6" s="78"/>
      <c r="H6" s="78"/>
      <c r="I6" s="80"/>
      <c r="K6" s="81"/>
      <c r="L6" s="78"/>
      <c r="M6" s="82" t="s">
        <v>114</v>
      </c>
      <c r="N6" s="83" t="n">
        <v>1999</v>
      </c>
      <c r="O6" s="78"/>
      <c r="P6" s="79"/>
      <c r="R6" s="84" t="s">
        <v>115</v>
      </c>
      <c r="S6" s="78"/>
      <c r="T6" s="78"/>
      <c r="U6" s="85" t="n">
        <v>0.33</v>
      </c>
    </row>
    <row r="7" customFormat="false" ht="24.75" hidden="false" customHeight="false" outlineLevel="0" collapsed="false">
      <c r="A7" s="86" t="s">
        <v>116</v>
      </c>
      <c r="B7" s="78"/>
      <c r="C7" s="79"/>
      <c r="E7" s="84" t="s">
        <v>117</v>
      </c>
      <c r="F7" s="78"/>
      <c r="G7" s="78"/>
      <c r="H7" s="87"/>
      <c r="I7" s="88" t="s">
        <v>118</v>
      </c>
      <c r="K7" s="89"/>
      <c r="L7" s="90" t="s">
        <v>119</v>
      </c>
      <c r="M7" s="91" t="s">
        <v>120</v>
      </c>
      <c r="N7" s="91" t="s">
        <v>121</v>
      </c>
      <c r="O7" s="92"/>
      <c r="P7" s="93" t="s">
        <v>122</v>
      </c>
      <c r="R7" s="84" t="s">
        <v>123</v>
      </c>
      <c r="S7" s="94"/>
      <c r="T7" s="95"/>
      <c r="U7" s="96" t="n">
        <v>0.074828</v>
      </c>
    </row>
    <row r="8" customFormat="false" ht="12" hidden="false" customHeight="false" outlineLevel="0" collapsed="false">
      <c r="A8" s="84" t="s">
        <v>124</v>
      </c>
      <c r="B8" s="97" t="n">
        <f aca="false">C8/C11</f>
        <v>0.25</v>
      </c>
      <c r="C8" s="98" t="n">
        <f aca="false">C60-C9</f>
        <v>40195.6215</v>
      </c>
      <c r="E8" s="84" t="s">
        <v>125</v>
      </c>
      <c r="F8" s="78"/>
      <c r="G8" s="78"/>
      <c r="H8" s="99"/>
      <c r="I8" s="100" t="n">
        <v>4</v>
      </c>
      <c r="K8" s="101" t="s">
        <v>126</v>
      </c>
      <c r="L8" s="102" t="n">
        <v>321</v>
      </c>
      <c r="M8" s="103" t="n">
        <f aca="false">NetMW*AnnualHours</f>
        <v>564000</v>
      </c>
      <c r="N8" s="104" t="n">
        <f aca="false">WaterTreatmentVar/M8*1000</f>
        <v>0.569148936170213</v>
      </c>
      <c r="O8" s="105"/>
      <c r="P8" s="106" t="n">
        <f aca="false">AVERAGE('Book Income Statement'!E24:H24)</f>
        <v>367.290421405017</v>
      </c>
      <c r="R8" s="84" t="s">
        <v>127</v>
      </c>
      <c r="S8" s="94"/>
      <c r="T8" s="95"/>
      <c r="U8" s="96" t="n">
        <f aca="false">0.157545</f>
        <v>0.157545</v>
      </c>
    </row>
    <row r="9" customFormat="false" ht="12" hidden="false" customHeight="false" outlineLevel="0" collapsed="false">
      <c r="A9" s="84" t="s">
        <v>128</v>
      </c>
      <c r="B9" s="97" t="n">
        <f aca="false">C9/C11</f>
        <v>0.75</v>
      </c>
      <c r="C9" s="107" t="n">
        <f aca="false">IF(I34="Normal",'Debt Amortization'!$B$22,I38)</f>
        <v>120586.8645</v>
      </c>
      <c r="E9" s="84" t="s">
        <v>129</v>
      </c>
      <c r="F9" s="78"/>
      <c r="G9" s="78"/>
      <c r="H9" s="108"/>
      <c r="I9" s="109" t="n">
        <v>514.6</v>
      </c>
      <c r="K9" s="101" t="s">
        <v>130</v>
      </c>
      <c r="L9" s="102" t="n">
        <f aca="false">N9*M9/1000</f>
        <v>28.2</v>
      </c>
      <c r="M9" s="103" t="n">
        <f aca="false">NetMW*AnnualHours</f>
        <v>564000</v>
      </c>
      <c r="N9" s="104" t="n">
        <v>0.05</v>
      </c>
      <c r="O9" s="105"/>
      <c r="P9" s="106" t="n">
        <f aca="false">AVERAGE('Book Income Statement'!E25:H25)</f>
        <v>32.2666351514687</v>
      </c>
      <c r="R9" s="81" t="s">
        <v>131</v>
      </c>
      <c r="S9" s="78"/>
      <c r="T9" s="78"/>
      <c r="U9" s="110" t="s">
        <v>132</v>
      </c>
    </row>
    <row r="10" customFormat="false" ht="14.25" hidden="false" customHeight="false" outlineLevel="0" collapsed="false">
      <c r="A10" s="111"/>
      <c r="B10" s="112"/>
      <c r="C10" s="113"/>
      <c r="E10" s="84" t="s">
        <v>133</v>
      </c>
      <c r="F10" s="78"/>
      <c r="G10" s="78"/>
      <c r="H10" s="99"/>
      <c r="I10" s="114" t="n">
        <v>470</v>
      </c>
      <c r="K10" s="101" t="s">
        <v>134</v>
      </c>
      <c r="L10" s="115" t="n">
        <v>307</v>
      </c>
      <c r="M10" s="103" t="n">
        <f aca="false">NetMW*AnnualHours</f>
        <v>564000</v>
      </c>
      <c r="N10" s="116" t="n">
        <f aca="false">Variable/M10*1000</f>
        <v>0.544326241134752</v>
      </c>
      <c r="O10" s="117"/>
      <c r="P10" s="118" t="n">
        <f aca="false">AVERAGE('Book Income Statement'!E26:H26)</f>
        <v>351.271524521309</v>
      </c>
      <c r="R10" s="84" t="s">
        <v>135</v>
      </c>
      <c r="S10" s="78"/>
      <c r="T10" s="78"/>
      <c r="U10" s="96" t="n">
        <v>0</v>
      </c>
    </row>
    <row r="11" customFormat="false" ht="12" hidden="false" customHeight="false" outlineLevel="0" collapsed="false">
      <c r="A11" s="84" t="s">
        <v>136</v>
      </c>
      <c r="B11" s="112"/>
      <c r="C11" s="119" t="n">
        <f aca="false">SUM(C8:C9)</f>
        <v>160782.486</v>
      </c>
      <c r="E11" s="84" t="s">
        <v>137</v>
      </c>
      <c r="F11" s="120" t="n">
        <v>0.02</v>
      </c>
      <c r="G11" s="78" t="s">
        <v>138</v>
      </c>
      <c r="H11" s="99"/>
      <c r="I11" s="121" t="n">
        <f aca="false">NetMW*(1-F11)</f>
        <v>460.6</v>
      </c>
      <c r="K11" s="122" t="s">
        <v>139</v>
      </c>
      <c r="L11" s="123" t="n">
        <f aca="false">SUM(L8:L10)</f>
        <v>656.2</v>
      </c>
      <c r="M11" s="124"/>
      <c r="N11" s="125" t="n">
        <f aca="false">SUM(N8:N10)</f>
        <v>1.16347517730496</v>
      </c>
      <c r="O11" s="126"/>
      <c r="P11" s="127" t="n">
        <f aca="false">AVERAGE('Book Income Statement'!D27:G27)</f>
        <v>645.334126226287</v>
      </c>
      <c r="R11" s="128" t="s">
        <v>140</v>
      </c>
      <c r="S11" s="129"/>
      <c r="T11" s="130"/>
      <c r="U11" s="110" t="n">
        <v>10</v>
      </c>
    </row>
    <row r="12" customFormat="false" ht="12" hidden="false" customHeight="false" outlineLevel="0" collapsed="false">
      <c r="A12" s="131"/>
      <c r="B12" s="112"/>
      <c r="C12" s="79"/>
      <c r="E12" s="132" t="s">
        <v>141</v>
      </c>
      <c r="F12" s="78"/>
      <c r="G12" s="78"/>
      <c r="H12" s="87"/>
      <c r="I12" s="133" t="n">
        <v>11735</v>
      </c>
      <c r="P12" s="134"/>
      <c r="R12" s="84" t="s">
        <v>142</v>
      </c>
      <c r="S12" s="78"/>
      <c r="T12" s="95"/>
      <c r="U12" s="135" t="n">
        <v>0</v>
      </c>
    </row>
    <row r="13" customFormat="false" ht="15.75" hidden="false" customHeight="false" outlineLevel="0" collapsed="false">
      <c r="A13" s="86" t="s">
        <v>143</v>
      </c>
      <c r="B13" s="112"/>
      <c r="C13" s="79"/>
      <c r="E13" s="84" t="s">
        <v>144</v>
      </c>
      <c r="F13" s="78"/>
      <c r="G13" s="78"/>
      <c r="H13" s="99"/>
      <c r="I13" s="136" t="n">
        <f aca="false">G14/8760</f>
        <v>0.136986301369863</v>
      </c>
      <c r="K13" s="137" t="s">
        <v>145</v>
      </c>
      <c r="L13" s="138"/>
      <c r="M13" s="75"/>
      <c r="N13" s="139"/>
      <c r="O13" s="140"/>
      <c r="P13" s="141"/>
      <c r="R13" s="84" t="s">
        <v>146</v>
      </c>
      <c r="S13" s="78"/>
      <c r="T13" s="95"/>
      <c r="U13" s="135" t="n">
        <v>0.63</v>
      </c>
    </row>
    <row r="14" customFormat="false" ht="23.25" hidden="false" customHeight="true" outlineLevel="0" collapsed="false">
      <c r="A14" s="142" t="s">
        <v>147</v>
      </c>
      <c r="B14" s="112"/>
      <c r="C14" s="79"/>
      <c r="E14" s="84" t="s">
        <v>148</v>
      </c>
      <c r="F14" s="78"/>
      <c r="G14" s="99" t="n">
        <v>1200</v>
      </c>
      <c r="H14" s="87" t="s">
        <v>149</v>
      </c>
      <c r="I14" s="100" t="n">
        <v>0</v>
      </c>
      <c r="K14" s="81"/>
      <c r="L14" s="143" t="s">
        <v>150</v>
      </c>
      <c r="M14" s="144" t="s">
        <v>151</v>
      </c>
      <c r="N14" s="145" t="s">
        <v>152</v>
      </c>
      <c r="O14" s="146" t="s">
        <v>153</v>
      </c>
      <c r="P14" s="147" t="s">
        <v>154</v>
      </c>
      <c r="R14" s="148" t="s">
        <v>155</v>
      </c>
      <c r="S14" s="149"/>
      <c r="T14" s="150"/>
      <c r="U14" s="151" t="n">
        <f aca="false">Depreciation!B64</f>
        <v>459.073678945796</v>
      </c>
    </row>
    <row r="15" customFormat="false" ht="12" hidden="false" customHeight="false" outlineLevel="0" collapsed="false">
      <c r="A15" s="84" t="s">
        <v>156</v>
      </c>
      <c r="B15" s="112"/>
      <c r="C15" s="152" t="n">
        <v>86219.301</v>
      </c>
      <c r="E15" s="84" t="s">
        <v>157</v>
      </c>
      <c r="F15" s="78"/>
      <c r="G15" s="78"/>
      <c r="H15" s="99"/>
      <c r="I15" s="153" t="n">
        <v>20</v>
      </c>
      <c r="K15" s="101" t="s">
        <v>158</v>
      </c>
      <c r="L15" s="154" t="n">
        <v>120</v>
      </c>
      <c r="M15" s="155" t="n">
        <f aca="false">N15/(I8)</f>
        <v>4330</v>
      </c>
      <c r="N15" s="155" t="n">
        <f aca="false">VLOOKUP(L15,Main_Table,2)</f>
        <v>17320</v>
      </c>
      <c r="O15" s="105" t="n">
        <f aca="false">Main_Start*L15/1000</f>
        <v>2078.4</v>
      </c>
      <c r="P15" s="156" t="n">
        <v>0.03</v>
      </c>
    </row>
    <row r="16" customFormat="false" ht="15.75" hidden="false" customHeight="false" outlineLevel="0" collapsed="false">
      <c r="A16" s="84" t="s">
        <v>159</v>
      </c>
      <c r="B16" s="112"/>
      <c r="C16" s="152" t="n">
        <v>4440.534</v>
      </c>
      <c r="E16" s="84" t="s">
        <v>160</v>
      </c>
      <c r="F16" s="78"/>
      <c r="G16" s="157" t="n">
        <v>36678</v>
      </c>
      <c r="H16" s="78" t="s">
        <v>161</v>
      </c>
      <c r="I16" s="158" t="n">
        <f aca="false">(MONTH(StartDate)+1)/12</f>
        <v>0.583333333333333</v>
      </c>
      <c r="K16" s="101" t="s">
        <v>162</v>
      </c>
      <c r="L16" s="154" t="n">
        <v>120</v>
      </c>
      <c r="M16" s="159" t="n">
        <f aca="false">N16/I8</f>
        <v>0</v>
      </c>
      <c r="N16" s="159" t="n">
        <f aca="false">VLOOKUP(L16,Main_Table,3)</f>
        <v>0</v>
      </c>
      <c r="O16" s="117" t="n">
        <f aca="false">Fuel_Start*L16/1000</f>
        <v>0</v>
      </c>
      <c r="P16" s="160"/>
      <c r="R16" s="70" t="s">
        <v>163</v>
      </c>
      <c r="S16" s="71"/>
      <c r="T16" s="71"/>
      <c r="U16" s="72"/>
    </row>
    <row r="17" customFormat="false" ht="12" hidden="false" customHeight="false" outlineLevel="0" collapsed="false">
      <c r="A17" s="84" t="s">
        <v>164</v>
      </c>
      <c r="B17" s="112"/>
      <c r="C17" s="161" t="n">
        <v>24230.498</v>
      </c>
      <c r="E17" s="84" t="s">
        <v>165</v>
      </c>
      <c r="F17" s="78"/>
      <c r="G17" s="157" t="n">
        <v>43981</v>
      </c>
      <c r="H17" s="78"/>
      <c r="I17" s="158"/>
      <c r="K17" s="162"/>
      <c r="L17" s="123"/>
      <c r="M17" s="163" t="n">
        <f aca="false">SUM(M15:M16)</f>
        <v>4330</v>
      </c>
      <c r="N17" s="163" t="n">
        <f aca="false">SUM(N15:N16)</f>
        <v>17320</v>
      </c>
      <c r="O17" s="164" t="n">
        <f aca="false">SUM(O15:O16)</f>
        <v>2078.4</v>
      </c>
      <c r="P17" s="127"/>
      <c r="R17" s="81" t="s">
        <v>166</v>
      </c>
      <c r="S17" s="78"/>
      <c r="T17" s="78"/>
      <c r="U17" s="165" t="n">
        <f aca="false">$C$8/'Book Income Statement'!$E$81</f>
        <v>10.8302085965391</v>
      </c>
    </row>
    <row r="18" customFormat="false" ht="12" hidden="false" customHeight="false" outlineLevel="0" collapsed="false">
      <c r="A18" s="84" t="s">
        <v>167</v>
      </c>
      <c r="B18" s="112"/>
      <c r="C18" s="161" t="n">
        <v>8720.498</v>
      </c>
      <c r="E18" s="166" t="s">
        <v>168</v>
      </c>
      <c r="F18" s="167" t="s">
        <v>169</v>
      </c>
      <c r="G18" s="168" t="n">
        <f aca="false">C60/I10</f>
        <v>342.090395744681</v>
      </c>
      <c r="H18" s="167" t="s">
        <v>170</v>
      </c>
      <c r="I18" s="168" t="n">
        <f aca="false">(C60-C49)/I10</f>
        <v>342.090395744681</v>
      </c>
      <c r="P18" s="134"/>
      <c r="R18" s="81" t="s">
        <v>171</v>
      </c>
      <c r="S18" s="78"/>
      <c r="T18" s="78"/>
      <c r="U18" s="169" t="n">
        <v>30</v>
      </c>
    </row>
    <row r="19" customFormat="false" ht="15.75" hidden="false" customHeight="false" outlineLevel="0" collapsed="false">
      <c r="A19" s="84" t="s">
        <v>172</v>
      </c>
      <c r="B19" s="112"/>
      <c r="C19" s="161" t="n">
        <v>6886</v>
      </c>
      <c r="E19" s="170"/>
      <c r="G19" s="171"/>
      <c r="H19" s="172"/>
      <c r="I19" s="173"/>
      <c r="K19" s="74" t="s">
        <v>173</v>
      </c>
      <c r="L19" s="71"/>
      <c r="M19" s="71"/>
      <c r="N19" s="71"/>
      <c r="O19" s="71"/>
      <c r="P19" s="174"/>
      <c r="R19" s="81" t="s">
        <v>174</v>
      </c>
      <c r="S19" s="78"/>
      <c r="T19" s="78"/>
      <c r="U19" s="175" t="n">
        <v>0.1</v>
      </c>
      <c r="V19" s="0"/>
      <c r="W19" s="0"/>
    </row>
    <row r="20" customFormat="false" ht="15.75" hidden="false" customHeight="false" outlineLevel="0" collapsed="false">
      <c r="A20" s="84" t="s">
        <v>175</v>
      </c>
      <c r="B20" s="112"/>
      <c r="C20" s="161" t="n">
        <v>929.8</v>
      </c>
      <c r="E20" s="74" t="s">
        <v>176</v>
      </c>
      <c r="F20" s="176"/>
      <c r="G20" s="177"/>
      <c r="H20" s="176"/>
      <c r="I20" s="178"/>
      <c r="K20" s="81"/>
      <c r="L20" s="94"/>
      <c r="M20" s="94"/>
      <c r="N20" s="102"/>
      <c r="O20" s="179"/>
      <c r="P20" s="93" t="s">
        <v>122</v>
      </c>
      <c r="R20" s="166" t="s">
        <v>177</v>
      </c>
      <c r="S20" s="180"/>
      <c r="T20" s="180"/>
      <c r="U20" s="181" t="n">
        <v>0.013490953938989</v>
      </c>
      <c r="V20" s="0"/>
      <c r="W20" s="0"/>
    </row>
    <row r="21" customFormat="false" ht="12.75" hidden="false" customHeight="false" outlineLevel="0" collapsed="false">
      <c r="A21" s="84" t="s">
        <v>178</v>
      </c>
      <c r="B21" s="112"/>
      <c r="C21" s="161" t="n">
        <v>2386.7</v>
      </c>
      <c r="E21" s="81" t="s">
        <v>99</v>
      </c>
      <c r="F21" s="179" t="n">
        <f aca="false">VariableMwh</f>
        <v>1.16347517730496</v>
      </c>
      <c r="G21" s="182" t="s">
        <v>179</v>
      </c>
      <c r="H21" s="183"/>
      <c r="I21" s="184" t="n">
        <v>0.03</v>
      </c>
      <c r="K21" s="101" t="s">
        <v>180</v>
      </c>
      <c r="L21" s="94"/>
      <c r="M21" s="94"/>
      <c r="N21" s="185" t="n">
        <v>893</v>
      </c>
      <c r="O21" s="179"/>
      <c r="P21" s="106" t="n">
        <f aca="false">AVERAGE('Book Income Statement'!E36:H36)</f>
        <v>990.875006669975</v>
      </c>
      <c r="V21" s="0"/>
      <c r="W21" s="0"/>
    </row>
    <row r="22" customFormat="false" ht="15.75" hidden="false" customHeight="false" outlineLevel="0" collapsed="false">
      <c r="A22" s="84" t="s">
        <v>181</v>
      </c>
      <c r="B22" s="112"/>
      <c r="C22" s="161" t="n">
        <v>3066.7</v>
      </c>
      <c r="E22" s="81" t="s">
        <v>182</v>
      </c>
      <c r="F22" s="186" t="n">
        <f aca="false">M17</f>
        <v>4330</v>
      </c>
      <c r="G22" s="182" t="s">
        <v>183</v>
      </c>
      <c r="H22" s="183"/>
      <c r="I22" s="187"/>
      <c r="K22" s="101" t="s">
        <v>184</v>
      </c>
      <c r="L22" s="94"/>
      <c r="M22" s="94"/>
      <c r="N22" s="185" t="n">
        <v>272</v>
      </c>
      <c r="O22" s="78"/>
      <c r="P22" s="106" t="n">
        <f aca="false">AVERAGE('Book Income Statement'!E37:H37)</f>
        <v>301.8118721324</v>
      </c>
      <c r="R22" s="74" t="s">
        <v>185</v>
      </c>
      <c r="S22" s="71"/>
      <c r="T22" s="71"/>
      <c r="U22" s="72"/>
      <c r="V22" s="0"/>
      <c r="W22" s="0"/>
    </row>
    <row r="23" customFormat="false" ht="12.75" hidden="false" customHeight="false" outlineLevel="0" collapsed="false">
      <c r="A23" s="84" t="s">
        <v>186</v>
      </c>
      <c r="B23" s="112"/>
      <c r="C23" s="161" t="n">
        <v>1500</v>
      </c>
      <c r="E23" s="166" t="s">
        <v>187</v>
      </c>
      <c r="F23" s="188" t="n">
        <v>1</v>
      </c>
      <c r="G23" s="189" t="s">
        <v>121</v>
      </c>
      <c r="H23" s="180" t="s">
        <v>188</v>
      </c>
      <c r="I23" s="190" t="n">
        <v>0.02</v>
      </c>
      <c r="K23" s="101" t="s">
        <v>189</v>
      </c>
      <c r="L23" s="94"/>
      <c r="M23" s="94"/>
      <c r="N23" s="191" t="n">
        <f aca="false">NetMW/2890*1000</f>
        <v>162.629757785467</v>
      </c>
      <c r="O23" s="78"/>
      <c r="P23" s="106" t="n">
        <f aca="false">AVERAGE('Book Income Statement'!E38:H38)</f>
        <v>180.454381109083</v>
      </c>
      <c r="R23" s="81"/>
      <c r="S23" s="78"/>
      <c r="T23" s="78"/>
      <c r="U23" s="79"/>
      <c r="V23" s="0"/>
      <c r="W23" s="0"/>
    </row>
    <row r="24" customFormat="false" ht="12.75" hidden="false" customHeight="false" outlineLevel="0" collapsed="false">
      <c r="A24" s="81" t="s">
        <v>190</v>
      </c>
      <c r="B24" s="112"/>
      <c r="C24" s="161" t="n">
        <v>1172.731</v>
      </c>
      <c r="E24" s="170"/>
      <c r="G24" s="171"/>
      <c r="H24" s="172"/>
      <c r="I24" s="173"/>
      <c r="K24" s="101" t="s">
        <v>191</v>
      </c>
      <c r="L24" s="192" t="n">
        <v>0.07</v>
      </c>
      <c r="M24" s="94" t="s">
        <v>192</v>
      </c>
      <c r="N24" s="191" t="n">
        <f aca="false">L24*(ISO_NetMW*12)</f>
        <v>432.264</v>
      </c>
      <c r="O24" s="78"/>
      <c r="P24" s="106" t="n">
        <f aca="false">AVERAGE('Book Income Statement'!E39:H39)</f>
        <v>174.34648</v>
      </c>
      <c r="R24" s="81" t="s">
        <v>193</v>
      </c>
      <c r="S24" s="193" t="str">
        <f aca="false">IF(ABS(SUM(BS!D38:X38))&gt;0.01,"NO !!!!!!","YES")</f>
        <v>YES</v>
      </c>
      <c r="T24" s="78"/>
      <c r="U24" s="79"/>
      <c r="V24" s="0"/>
      <c r="W24" s="0"/>
    </row>
    <row r="25" customFormat="false" ht="17.25" hidden="false" customHeight="false" outlineLevel="0" collapsed="false">
      <c r="A25" s="84" t="s">
        <v>194</v>
      </c>
      <c r="B25" s="112"/>
      <c r="C25" s="161" t="n">
        <v>1112.944</v>
      </c>
      <c r="E25" s="70" t="s">
        <v>195</v>
      </c>
      <c r="F25" s="71"/>
      <c r="G25" s="71"/>
      <c r="H25" s="71"/>
      <c r="I25" s="194"/>
      <c r="K25" s="81" t="s">
        <v>196</v>
      </c>
      <c r="L25" s="78"/>
      <c r="M25" s="78"/>
      <c r="N25" s="195" t="n">
        <v>250</v>
      </c>
      <c r="O25" s="78"/>
      <c r="P25" s="118" t="n">
        <f aca="false">AVERAGE('Book Income Statement'!E40:H40)</f>
        <v>277.40061776875</v>
      </c>
      <c r="R25" s="81" t="s">
        <v>197</v>
      </c>
      <c r="S25" s="196" t="n">
        <f aca="false">Depreciation!B15</f>
        <v>159422.154</v>
      </c>
      <c r="T25" s="78"/>
      <c r="U25" s="79"/>
      <c r="V25" s="0"/>
      <c r="W25" s="0"/>
    </row>
    <row r="26" customFormat="false" ht="12.75" hidden="false" customHeight="false" outlineLevel="0" collapsed="false">
      <c r="A26" s="84" t="s">
        <v>198</v>
      </c>
      <c r="B26" s="112"/>
      <c r="C26" s="161" t="n">
        <v>5000</v>
      </c>
      <c r="E26" s="197" t="s">
        <v>199</v>
      </c>
      <c r="F26" s="78"/>
      <c r="G26" s="78"/>
      <c r="H26" s="78"/>
      <c r="I26" s="169" t="n">
        <v>3</v>
      </c>
      <c r="K26" s="122" t="s">
        <v>200</v>
      </c>
      <c r="L26" s="124"/>
      <c r="M26" s="198"/>
      <c r="N26" s="123" t="n">
        <f aca="false">SUM(N21:N25)</f>
        <v>2009.89375778547</v>
      </c>
      <c r="O26" s="180"/>
      <c r="P26" s="127" t="n">
        <f aca="false">SUM(P21:P25)</f>
        <v>1924.88835768021</v>
      </c>
      <c r="Q26" s="199"/>
      <c r="R26" s="200" t="s">
        <v>201</v>
      </c>
      <c r="S26" s="201" t="n">
        <f aca="false">C60</f>
        <v>160782.486</v>
      </c>
      <c r="T26" s="78"/>
      <c r="U26" s="79"/>
      <c r="V26" s="0"/>
      <c r="W26" s="0"/>
    </row>
    <row r="27" customFormat="false" ht="12.75" hidden="false" customHeight="false" outlineLevel="0" collapsed="false">
      <c r="A27" s="81" t="s">
        <v>202</v>
      </c>
      <c r="B27" s="78"/>
      <c r="C27" s="161" t="n">
        <v>1500</v>
      </c>
      <c r="E27" s="197" t="s">
        <v>203</v>
      </c>
      <c r="F27" s="78"/>
      <c r="G27" s="78"/>
      <c r="H27" s="78"/>
      <c r="I27" s="107" t="n">
        <f aca="false">I10</f>
        <v>470</v>
      </c>
      <c r="K27" s="202"/>
      <c r="L27" s="203"/>
      <c r="M27" s="203"/>
      <c r="N27" s="204"/>
      <c r="P27" s="205"/>
      <c r="R27" s="81" t="s">
        <v>204</v>
      </c>
      <c r="S27" s="206" t="n">
        <f aca="false">S26-S25</f>
        <v>1360.33199999999</v>
      </c>
      <c r="T27" s="207"/>
      <c r="U27" s="79"/>
      <c r="V27" s="0"/>
    </row>
    <row r="28" customFormat="false" ht="15.75" hidden="false" customHeight="false" outlineLevel="0" collapsed="false">
      <c r="A28" s="81" t="s">
        <v>205</v>
      </c>
      <c r="B28" s="208" t="n">
        <v>0.05</v>
      </c>
      <c r="C28" s="209" t="n">
        <v>50</v>
      </c>
      <c r="E28" s="210" t="s">
        <v>206</v>
      </c>
      <c r="F28" s="211"/>
      <c r="G28" s="211"/>
      <c r="H28" s="211"/>
      <c r="I28" s="212" t="n">
        <f aca="false">AnnualHours</f>
        <v>1200</v>
      </c>
      <c r="K28" s="74" t="s">
        <v>207</v>
      </c>
      <c r="L28" s="75"/>
      <c r="M28" s="75"/>
      <c r="N28" s="213"/>
      <c r="O28" s="71"/>
      <c r="P28" s="214"/>
      <c r="R28" s="81" t="s">
        <v>208</v>
      </c>
      <c r="S28" s="215" t="n">
        <f aca="false">C25</f>
        <v>1112.944</v>
      </c>
      <c r="T28" s="78"/>
      <c r="U28" s="79"/>
      <c r="V28" s="0"/>
    </row>
    <row r="29" customFormat="false" ht="12" hidden="false" customHeight="false" outlineLevel="0" collapsed="false">
      <c r="A29" s="84" t="s">
        <v>209</v>
      </c>
      <c r="B29" s="112"/>
      <c r="C29" s="216" t="n">
        <v>1000</v>
      </c>
      <c r="E29" s="210" t="s">
        <v>210</v>
      </c>
      <c r="F29" s="211"/>
      <c r="G29" s="211"/>
      <c r="H29" s="211"/>
      <c r="I29" s="217" t="n">
        <v>4</v>
      </c>
      <c r="K29" s="81"/>
      <c r="L29" s="78"/>
      <c r="M29" s="82" t="s">
        <v>114</v>
      </c>
      <c r="N29" s="83" t="n">
        <v>1999</v>
      </c>
      <c r="O29" s="78"/>
      <c r="P29" s="218"/>
      <c r="R29" s="81"/>
      <c r="S29" s="219"/>
      <c r="T29" s="78"/>
      <c r="U29" s="79"/>
    </row>
    <row r="30" customFormat="false" ht="12" hidden="false" customHeight="false" outlineLevel="0" collapsed="false">
      <c r="A30" s="84"/>
      <c r="B30" s="220"/>
      <c r="C30" s="221" t="n">
        <f aca="false">SUM(C15:C29)</f>
        <v>148215.706</v>
      </c>
      <c r="E30" s="210" t="s">
        <v>211</v>
      </c>
      <c r="F30" s="211"/>
      <c r="G30" s="211"/>
      <c r="H30" s="211"/>
      <c r="I30" s="222" t="n">
        <v>0</v>
      </c>
      <c r="K30" s="223" t="s">
        <v>212</v>
      </c>
      <c r="L30" s="78"/>
      <c r="M30" s="94"/>
      <c r="N30" s="224"/>
      <c r="O30" s="78"/>
      <c r="P30" s="93" t="s">
        <v>122</v>
      </c>
      <c r="R30" s="166"/>
      <c r="S30" s="180"/>
      <c r="T30" s="180"/>
      <c r="U30" s="225"/>
    </row>
    <row r="31" customFormat="false" ht="12" hidden="false" customHeight="false" outlineLevel="0" collapsed="false">
      <c r="A31" s="142" t="s">
        <v>213</v>
      </c>
      <c r="B31" s="112"/>
      <c r="C31" s="226"/>
      <c r="E31" s="166" t="s">
        <v>214</v>
      </c>
      <c r="F31" s="180"/>
      <c r="G31" s="180"/>
      <c r="H31" s="180"/>
      <c r="I31" s="227" t="n">
        <v>0.03</v>
      </c>
      <c r="K31" s="101" t="s">
        <v>215</v>
      </c>
      <c r="L31" s="78"/>
      <c r="M31" s="78"/>
      <c r="N31" s="191" t="n">
        <v>10</v>
      </c>
      <c r="O31" s="78"/>
      <c r="P31" s="106"/>
    </row>
    <row r="32" customFormat="false" ht="12" hidden="false" customHeight="false" outlineLevel="0" collapsed="false">
      <c r="A32" s="84" t="s">
        <v>216</v>
      </c>
      <c r="B32" s="112"/>
      <c r="C32" s="228" t="n">
        <v>0</v>
      </c>
      <c r="K32" s="101" t="s">
        <v>217</v>
      </c>
      <c r="L32" s="78"/>
      <c r="M32" s="78"/>
      <c r="N32" s="191" t="n">
        <v>50</v>
      </c>
      <c r="O32" s="78"/>
      <c r="P32" s="106"/>
    </row>
    <row r="33" customFormat="false" ht="17.25" hidden="false" customHeight="false" outlineLevel="0" collapsed="false">
      <c r="A33" s="84" t="s">
        <v>218</v>
      </c>
      <c r="B33" s="185"/>
      <c r="C33" s="161" t="n">
        <v>908.786</v>
      </c>
      <c r="E33" s="70" t="s">
        <v>219</v>
      </c>
      <c r="F33" s="229"/>
      <c r="G33" s="71"/>
      <c r="H33" s="71"/>
      <c r="I33" s="72"/>
      <c r="K33" s="101" t="s">
        <v>220</v>
      </c>
      <c r="L33" s="78"/>
      <c r="M33" s="78"/>
      <c r="N33" s="195" t="n">
        <v>205</v>
      </c>
      <c r="O33" s="78"/>
      <c r="P33" s="118"/>
    </row>
    <row r="34" customFormat="false" ht="12" hidden="false" customHeight="false" outlineLevel="0" collapsed="false">
      <c r="A34" s="84" t="s">
        <v>221</v>
      </c>
      <c r="B34" s="112"/>
      <c r="C34" s="161" t="n">
        <v>313.82</v>
      </c>
      <c r="E34" s="81" t="s">
        <v>222</v>
      </c>
      <c r="F34" s="78"/>
      <c r="G34" s="78"/>
      <c r="H34" s="78"/>
      <c r="I34" s="110" t="s">
        <v>223</v>
      </c>
      <c r="K34" s="101" t="s">
        <v>224</v>
      </c>
      <c r="L34" s="94"/>
      <c r="M34" s="230"/>
      <c r="N34" s="231" t="n">
        <f aca="false">SUM(N31:N33)</f>
        <v>265</v>
      </c>
      <c r="O34" s="78"/>
      <c r="P34" s="106" t="n">
        <f aca="false">AVERAGE('Book Income Statement'!E44:H44)</f>
        <v>294.044654834875</v>
      </c>
    </row>
    <row r="35" customFormat="false" ht="12" hidden="false" customHeight="false" outlineLevel="0" collapsed="false">
      <c r="A35" s="81" t="s">
        <v>225</v>
      </c>
      <c r="B35" s="95"/>
      <c r="C35" s="161" t="n">
        <v>200</v>
      </c>
      <c r="E35" s="81"/>
      <c r="F35" s="78"/>
      <c r="G35" s="78"/>
      <c r="H35" s="78"/>
      <c r="I35" s="79"/>
      <c r="K35" s="101" t="s">
        <v>226</v>
      </c>
      <c r="L35" s="94"/>
      <c r="M35" s="94"/>
      <c r="N35" s="102" t="n">
        <v>95</v>
      </c>
      <c r="O35" s="78"/>
      <c r="P35" s="106" t="n">
        <f aca="false">AVERAGE('Book Income Statement'!E45:H45)</f>
        <v>105.412234752125</v>
      </c>
    </row>
    <row r="36" customFormat="false" ht="12" hidden="false" customHeight="false" outlineLevel="0" collapsed="false">
      <c r="A36" s="84" t="s">
        <v>227</v>
      </c>
      <c r="B36" s="95"/>
      <c r="C36" s="161" t="n">
        <v>185.198</v>
      </c>
      <c r="E36" s="81"/>
      <c r="F36" s="232" t="s">
        <v>228</v>
      </c>
      <c r="G36" s="232" t="s">
        <v>229</v>
      </c>
      <c r="H36" s="232" t="s">
        <v>230</v>
      </c>
      <c r="I36" s="233" t="s">
        <v>231</v>
      </c>
      <c r="K36" s="101" t="s">
        <v>232</v>
      </c>
      <c r="L36" s="94"/>
      <c r="M36" s="94"/>
      <c r="N36" s="102" t="n">
        <v>140</v>
      </c>
      <c r="O36" s="78"/>
      <c r="P36" s="106"/>
    </row>
    <row r="37" customFormat="false" ht="12" hidden="false" customHeight="false" outlineLevel="0" collapsed="false">
      <c r="A37" s="84" t="s">
        <v>233</v>
      </c>
      <c r="B37" s="112"/>
      <c r="C37" s="161" t="n">
        <v>0</v>
      </c>
      <c r="E37" s="111" t="s">
        <v>234</v>
      </c>
      <c r="F37" s="231" t="n">
        <f aca="false">IF($I$34="Normal",'Debt Amortization'!B19,0)</f>
        <v>0</v>
      </c>
      <c r="G37" s="231" t="n">
        <f aca="false">IF($I$34="Normal",'Debt Amortization'!B20,0)</f>
        <v>0</v>
      </c>
      <c r="H37" s="231" t="n">
        <f aca="false">IF($I$34="Normal",'Debt Amortization'!B21,0)</f>
        <v>0</v>
      </c>
      <c r="I37" s="234" t="n">
        <f aca="false">SUM(F37:H37)</f>
        <v>0</v>
      </c>
      <c r="K37" s="81" t="s">
        <v>235</v>
      </c>
      <c r="L37" s="78"/>
      <c r="M37" s="78"/>
      <c r="N37" s="191" t="n">
        <v>82</v>
      </c>
      <c r="O37" s="78"/>
      <c r="P37" s="106" t="n">
        <f aca="false">AVERAGE('Book Income Statement'!E47:H47)</f>
        <v>90.98740262815</v>
      </c>
    </row>
    <row r="38" customFormat="false" ht="12" hidden="false" customHeight="false" outlineLevel="0" collapsed="false">
      <c r="A38" s="84" t="s">
        <v>236</v>
      </c>
      <c r="B38" s="112"/>
      <c r="C38" s="161" t="n">
        <v>600.531</v>
      </c>
      <c r="E38" s="111" t="s">
        <v>237</v>
      </c>
      <c r="F38" s="235" t="n">
        <f aca="false">C60*0.75*0.16</f>
        <v>19293.89832</v>
      </c>
      <c r="G38" s="236" t="n">
        <f aca="false">C60*0.75*0.3</f>
        <v>36176.05935</v>
      </c>
      <c r="H38" s="236" t="n">
        <f aca="false">C60*0.75*0.54</f>
        <v>65116.90683</v>
      </c>
      <c r="I38" s="234" t="n">
        <f aca="false">SUM(F38:H38)</f>
        <v>120586.8645</v>
      </c>
      <c r="K38" s="81" t="s">
        <v>238</v>
      </c>
      <c r="L38" s="78"/>
      <c r="M38" s="78"/>
      <c r="N38" s="191" t="n">
        <v>30</v>
      </c>
      <c r="O38" s="78"/>
      <c r="P38" s="106" t="n">
        <f aca="false">AVERAGE('Book Income Statement'!E48:H48)</f>
        <v>33.28807413225</v>
      </c>
    </row>
    <row r="39" customFormat="false" ht="14.25" hidden="false" customHeight="false" outlineLevel="0" collapsed="false">
      <c r="A39" s="84" t="s">
        <v>239</v>
      </c>
      <c r="B39" s="185"/>
      <c r="C39" s="161" t="n">
        <v>400</v>
      </c>
      <c r="E39" s="111" t="s">
        <v>240</v>
      </c>
      <c r="F39" s="237" t="n">
        <f aca="false">IF(I34="Normal",3,4)</f>
        <v>4</v>
      </c>
      <c r="G39" s="238" t="n">
        <f aca="false">IF(I34="Normal",20,10)</f>
        <v>10</v>
      </c>
      <c r="H39" s="237" t="n">
        <f aca="false">IF(I34="Normal",0,20)</f>
        <v>20</v>
      </c>
      <c r="I39" s="79" t="n">
        <f aca="false">MAX(F39,G39,H39)</f>
        <v>20</v>
      </c>
      <c r="K39" s="81" t="s">
        <v>241</v>
      </c>
      <c r="L39" s="78"/>
      <c r="M39" s="78"/>
      <c r="N39" s="195" t="n">
        <v>75</v>
      </c>
      <c r="O39" s="78"/>
      <c r="P39" s="118" t="n">
        <f aca="false">AVERAGE('Book Income Statement'!E49:H49)</f>
        <v>83.220185330625</v>
      </c>
    </row>
    <row r="40" customFormat="false" ht="12" hidden="false" customHeight="false" outlineLevel="0" collapsed="false">
      <c r="A40" s="84" t="s">
        <v>242</v>
      </c>
      <c r="B40" s="185"/>
      <c r="C40" s="161" t="n">
        <v>232.288</v>
      </c>
      <c r="E40" s="239" t="s">
        <v>243</v>
      </c>
      <c r="F40" s="230" t="n">
        <f aca="false">IF(I34="Normal",7.75%,6.73%)</f>
        <v>0.0673</v>
      </c>
      <c r="G40" s="230" t="n">
        <f aca="false">IF(I34="Normal",8%,7.57%)</f>
        <v>0.0757</v>
      </c>
      <c r="H40" s="230" t="n">
        <f aca="false">IF(I34="normal",0%,8.18%)</f>
        <v>0.0818</v>
      </c>
      <c r="I40" s="240" t="n">
        <f aca="false">IF(I34="Normal",F40*($F$37/$I$37)+G40*($G$37/$I$37)+H40*($H$37/$I$37),Int1*(Principal1/I38)+Int2*(Principal2/I38)+Int3*(Principal3/I38))</f>
        <v>0.07765</v>
      </c>
      <c r="K40" s="241" t="s">
        <v>244</v>
      </c>
      <c r="L40" s="78"/>
      <c r="M40" s="78"/>
      <c r="N40" s="242" t="n">
        <f aca="false">SUM(N34:N39)</f>
        <v>687</v>
      </c>
      <c r="O40" s="78"/>
      <c r="P40" s="147" t="n">
        <f aca="false">SUM(P34:P39)</f>
        <v>606.952551678025</v>
      </c>
    </row>
    <row r="41" customFormat="false" ht="12" hidden="false" customHeight="false" outlineLevel="0" collapsed="false">
      <c r="A41" s="84" t="s">
        <v>245</v>
      </c>
      <c r="B41" s="185"/>
      <c r="C41" s="161" t="n">
        <v>15.1</v>
      </c>
      <c r="E41" s="111" t="s">
        <v>246</v>
      </c>
      <c r="F41" s="243" t="n">
        <v>1.3</v>
      </c>
      <c r="G41" s="243" t="n">
        <v>2.5</v>
      </c>
      <c r="H41" s="244" t="n">
        <v>2.5</v>
      </c>
      <c r="I41" s="245" t="n">
        <f aca="false">IF(I34="Normal",F41*($F$37/$I$37)+G41*($G$37/$I$37)+H41*($H$37/$I$37),F41*(Principal1/I38)+G41*(Principal2/I38)+H41*(Principal3/I38))</f>
        <v>2.308</v>
      </c>
      <c r="K41" s="81"/>
      <c r="L41" s="78"/>
      <c r="M41" s="78"/>
      <c r="N41" s="78"/>
      <c r="O41" s="78"/>
      <c r="P41" s="218"/>
    </row>
    <row r="42" customFormat="false" ht="12" hidden="false" customHeight="false" outlineLevel="0" collapsed="false">
      <c r="A42" s="81" t="s">
        <v>247</v>
      </c>
      <c r="B42" s="95"/>
      <c r="C42" s="246" t="n">
        <v>0</v>
      </c>
      <c r="E42" s="84" t="s">
        <v>248</v>
      </c>
      <c r="F42" s="78"/>
      <c r="G42" s="247" t="s">
        <v>249</v>
      </c>
      <c r="H42" s="247"/>
      <c r="I42" s="165"/>
      <c r="K42" s="248" t="s">
        <v>250</v>
      </c>
      <c r="L42" s="94"/>
      <c r="M42" s="94"/>
      <c r="N42" s="249" t="n">
        <v>0.03</v>
      </c>
      <c r="O42" s="78"/>
      <c r="P42" s="218"/>
    </row>
    <row r="43" customFormat="false" ht="12" hidden="false" customHeight="false" outlineLevel="0" collapsed="false">
      <c r="A43" s="81"/>
      <c r="B43" s="78"/>
      <c r="C43" s="221" t="n">
        <f aca="false">SUM(C32:C42)</f>
        <v>2855.723</v>
      </c>
      <c r="E43" s="250" t="s">
        <v>251</v>
      </c>
      <c r="F43" s="251" t="n">
        <f aca="false">IF(F37&gt;0,'Debt Amortization'!$E$31,'Debt Amortization'!C73)</f>
        <v>2.5</v>
      </c>
      <c r="G43" s="252" t="n">
        <f aca="false">IF(G37&gt;0,'Debt Amortization'!$E$39,'Debt Amortization'!C87)</f>
        <v>7.45</v>
      </c>
      <c r="H43" s="252" t="n">
        <f aca="false">IF(H37&gt;0,'Debt Amortization'!$E$47,'Debt Amortization'!C101)</f>
        <v>15.39</v>
      </c>
      <c r="I43" s="253" t="n">
        <f aca="false">+'Debt Amortization'!E56</f>
        <v>6.60135891334153</v>
      </c>
      <c r="K43" s="254" t="s">
        <v>252</v>
      </c>
      <c r="L43" s="124"/>
      <c r="M43" s="124"/>
      <c r="N43" s="198" t="n">
        <v>0.03</v>
      </c>
      <c r="O43" s="180"/>
      <c r="P43" s="255"/>
    </row>
    <row r="44" customFormat="false" ht="12" hidden="false" customHeight="false" outlineLevel="0" collapsed="false">
      <c r="A44" s="81"/>
      <c r="B44" s="78"/>
      <c r="C44" s="256"/>
      <c r="E44" s="170"/>
      <c r="I44" s="257"/>
      <c r="K44" s="203"/>
      <c r="L44" s="203"/>
      <c r="M44" s="203"/>
      <c r="N44" s="230"/>
      <c r="P44" s="205"/>
    </row>
    <row r="45" customFormat="false" ht="15.75" hidden="false" customHeight="false" outlineLevel="0" collapsed="false">
      <c r="A45" s="142" t="s">
        <v>253</v>
      </c>
      <c r="B45" s="112"/>
      <c r="C45" s="256"/>
      <c r="E45" s="70" t="s">
        <v>254</v>
      </c>
      <c r="F45" s="71"/>
      <c r="G45" s="71"/>
      <c r="H45" s="71"/>
      <c r="I45" s="258"/>
      <c r="K45" s="259" t="s">
        <v>255</v>
      </c>
      <c r="L45" s="260"/>
      <c r="M45" s="260"/>
      <c r="N45" s="261"/>
      <c r="O45" s="260"/>
      <c r="P45" s="262"/>
    </row>
    <row r="46" customFormat="false" ht="12.75" hidden="false" customHeight="false" outlineLevel="0" collapsed="false">
      <c r="A46" s="84" t="s">
        <v>256</v>
      </c>
      <c r="B46" s="112"/>
      <c r="C46" s="228" t="n">
        <v>0</v>
      </c>
      <c r="E46" s="111" t="s">
        <v>257</v>
      </c>
      <c r="F46" s="78"/>
      <c r="G46" s="78"/>
      <c r="H46" s="78"/>
      <c r="I46" s="263" t="s">
        <v>258</v>
      </c>
      <c r="K46" s="81"/>
      <c r="L46" s="264" t="s">
        <v>259</v>
      </c>
      <c r="M46" s="265"/>
      <c r="N46" s="266" t="n">
        <v>1999</v>
      </c>
      <c r="O46" s="267"/>
      <c r="P46" s="268" t="s">
        <v>260</v>
      </c>
    </row>
    <row r="47" customFormat="false" ht="12" hidden="false" customHeight="false" outlineLevel="0" collapsed="false">
      <c r="A47" s="84" t="s">
        <v>261</v>
      </c>
      <c r="B47" s="112"/>
      <c r="C47" s="228" t="n">
        <v>0</v>
      </c>
      <c r="E47" s="111" t="s">
        <v>262</v>
      </c>
      <c r="F47" s="78"/>
      <c r="G47" s="78"/>
      <c r="H47" s="78"/>
      <c r="I47" s="269" t="n">
        <f aca="false">0.5*'Returns Summary'!$D$23</f>
        <v>0</v>
      </c>
      <c r="K47" s="248" t="s">
        <v>263</v>
      </c>
      <c r="L47" s="270" t="n">
        <f aca="false">L11</f>
        <v>656.2</v>
      </c>
      <c r="M47" s="112" t="s">
        <v>264</v>
      </c>
      <c r="N47" s="271" t="n">
        <f aca="false">L47/AnnualHours/NetMW*1000</f>
        <v>1.16347517730496</v>
      </c>
      <c r="O47" s="267" t="s">
        <v>121</v>
      </c>
      <c r="P47" s="272" t="n">
        <f aca="false">AVERAGE('PPA Assumptions &amp;Summary'!C58:F58)</f>
        <v>1.25339313764273</v>
      </c>
    </row>
    <row r="48" customFormat="false" ht="12" hidden="false" customHeight="false" outlineLevel="0" collapsed="false">
      <c r="A48" s="84" t="s">
        <v>265</v>
      </c>
      <c r="B48" s="273"/>
      <c r="C48" s="161" t="n">
        <v>0</v>
      </c>
      <c r="E48" s="274" t="s">
        <v>266</v>
      </c>
      <c r="F48" s="180"/>
      <c r="G48" s="275"/>
      <c r="H48" s="180"/>
      <c r="I48" s="276" t="n">
        <v>0</v>
      </c>
      <c r="K48" s="248"/>
      <c r="L48" s="105"/>
      <c r="M48" s="78"/>
      <c r="N48" s="207"/>
      <c r="O48" s="267"/>
      <c r="P48" s="218"/>
    </row>
    <row r="49" customFormat="false" ht="14.25" hidden="false" customHeight="false" outlineLevel="0" collapsed="false">
      <c r="A49" s="81" t="s">
        <v>267</v>
      </c>
      <c r="B49" s="95"/>
      <c r="C49" s="277" t="n">
        <f aca="false">+IF(I46="Financing",I47,0)</f>
        <v>0</v>
      </c>
      <c r="E49" s="64" t="s">
        <v>268</v>
      </c>
      <c r="K49" s="248" t="s">
        <v>158</v>
      </c>
      <c r="L49" s="278" t="n">
        <f aca="false">Main_Start*L15/1000</f>
        <v>2078.4</v>
      </c>
      <c r="M49" s="112" t="s">
        <v>264</v>
      </c>
      <c r="N49" s="278" t="n">
        <f aca="false">L49/L15*1000</f>
        <v>17320</v>
      </c>
      <c r="O49" s="267" t="s">
        <v>269</v>
      </c>
      <c r="P49" s="279" t="n">
        <f aca="false">AVERAGE('Book Income Statement'!E31:H31)/L15*1000</f>
        <v>19218.314799019</v>
      </c>
    </row>
    <row r="50" customFormat="false" ht="15.75" hidden="false" customHeight="false" outlineLevel="0" collapsed="false">
      <c r="A50" s="81"/>
      <c r="B50" s="112"/>
      <c r="C50" s="212" t="n">
        <f aca="false">SUM(C46:C49)</f>
        <v>0</v>
      </c>
      <c r="E50" s="70" t="s">
        <v>270</v>
      </c>
      <c r="F50" s="71"/>
      <c r="G50" s="71"/>
      <c r="H50" s="71"/>
      <c r="I50" s="72"/>
      <c r="K50" s="248" t="s">
        <v>162</v>
      </c>
      <c r="L50" s="280" t="n">
        <f aca="false">O16</f>
        <v>0</v>
      </c>
      <c r="M50" s="112" t="s">
        <v>264</v>
      </c>
      <c r="N50" s="280" t="n">
        <f aca="false">L50/L16*1000</f>
        <v>0</v>
      </c>
      <c r="O50" s="267" t="s">
        <v>269</v>
      </c>
      <c r="P50" s="281" t="n">
        <f aca="false">AVERAGE('Book Income Statement'!E32:H32)/L16*1000</f>
        <v>0</v>
      </c>
    </row>
    <row r="51" customFormat="false" ht="12" hidden="false" customHeight="false" outlineLevel="0" collapsed="false">
      <c r="A51" s="81"/>
      <c r="B51" s="112"/>
      <c r="C51" s="212"/>
      <c r="E51" s="282" t="s">
        <v>271</v>
      </c>
      <c r="F51" s="78"/>
      <c r="G51" s="78" t="s">
        <v>272</v>
      </c>
      <c r="H51" s="193" t="str">
        <f aca="false">+IF(I51=0,"",IF(OR(I51&gt;I15,I51&lt;MAX('Project Assumtions'!F39:H39)),"Error","-"))</f>
        <v/>
      </c>
      <c r="I51" s="169"/>
      <c r="K51" s="248"/>
      <c r="L51" s="270" t="n">
        <f aca="false">SUM(L49:L50)</f>
        <v>2078.4</v>
      </c>
      <c r="M51" s="78"/>
      <c r="N51" s="270" t="n">
        <f aca="false">SUM(N49:N50)</f>
        <v>17320</v>
      </c>
      <c r="O51" s="267"/>
      <c r="P51" s="279" t="n">
        <f aca="false">SUM(P49:P50)</f>
        <v>19218.314799019</v>
      </c>
    </row>
    <row r="52" customFormat="false" ht="12" hidden="false" customHeight="false" outlineLevel="0" collapsed="false">
      <c r="A52" s="142" t="s">
        <v>273</v>
      </c>
      <c r="B52" s="95"/>
      <c r="C52" s="283"/>
      <c r="E52" s="81"/>
      <c r="F52" s="78"/>
      <c r="G52" s="78" t="s">
        <v>274</v>
      </c>
      <c r="H52" s="78"/>
      <c r="I52" s="284"/>
      <c r="K52" s="248"/>
      <c r="L52" s="105"/>
      <c r="M52" s="78"/>
      <c r="N52" s="207"/>
      <c r="O52" s="267"/>
      <c r="P52" s="218"/>
    </row>
    <row r="53" customFormat="false" ht="14.25" hidden="false" customHeight="false" outlineLevel="0" collapsed="false">
      <c r="A53" s="81" t="s">
        <v>275</v>
      </c>
      <c r="B53" s="285" t="n">
        <v>0.064</v>
      </c>
      <c r="C53" s="286" t="n">
        <f aca="false">-6.078+9717.135</f>
        <v>9711.057</v>
      </c>
      <c r="E53" s="166"/>
      <c r="F53" s="180"/>
      <c r="G53" s="180" t="s">
        <v>276</v>
      </c>
      <c r="H53" s="180"/>
      <c r="I53" s="287"/>
      <c r="K53" s="248" t="s">
        <v>277</v>
      </c>
      <c r="L53" s="278" t="n">
        <f aca="false">Labor+Fixed+N25+N23</f>
        <v>1577.62975778547</v>
      </c>
      <c r="M53" s="112" t="s">
        <v>264</v>
      </c>
      <c r="N53" s="207" t="n">
        <f aca="false">L53/NetMW/12</f>
        <v>0.279721588259835</v>
      </c>
      <c r="O53" s="267" t="s">
        <v>278</v>
      </c>
      <c r="P53" s="272" t="n">
        <f aca="false">AVERAGE('Book Income Statement'!E41:H41)/NetMW/12</f>
        <v>0.341292262000037</v>
      </c>
    </row>
    <row r="54" customFormat="false" ht="12" hidden="false" customHeight="false" outlineLevel="0" collapsed="false">
      <c r="A54" s="81"/>
      <c r="B54" s="288"/>
      <c r="C54" s="212" t="n">
        <f aca="false">SUM(C53)</f>
        <v>9711.057</v>
      </c>
      <c r="E54" s="78"/>
      <c r="F54" s="78"/>
      <c r="G54" s="78"/>
      <c r="H54" s="78"/>
      <c r="I54" s="289"/>
      <c r="K54" s="248" t="s">
        <v>279</v>
      </c>
      <c r="L54" s="278" t="n">
        <f aca="false">N40</f>
        <v>687</v>
      </c>
      <c r="M54" s="112" t="s">
        <v>264</v>
      </c>
      <c r="N54" s="207" t="n">
        <f aca="false">L54/NetMW/12</f>
        <v>0.121808510638298</v>
      </c>
      <c r="O54" s="267" t="s">
        <v>278</v>
      </c>
      <c r="P54" s="272" t="n">
        <f aca="false">AVERAGE('Book Income Statement'!E50:H50)/NetMW/12-P55</f>
        <v>0.11427985374917</v>
      </c>
    </row>
    <row r="55" customFormat="false" ht="15.75" hidden="false" customHeight="false" outlineLevel="0" collapsed="false">
      <c r="A55" s="81"/>
      <c r="B55" s="78"/>
      <c r="C55" s="79"/>
      <c r="E55" s="74" t="s">
        <v>280</v>
      </c>
      <c r="F55" s="71"/>
      <c r="G55" s="71"/>
      <c r="H55" s="71"/>
      <c r="I55" s="72"/>
      <c r="K55" s="248" t="s">
        <v>281</v>
      </c>
      <c r="L55" s="278" t="n">
        <f aca="false">'Book Income Statement'!E53/(1.03^2)</f>
        <v>0</v>
      </c>
      <c r="M55" s="112" t="s">
        <v>264</v>
      </c>
      <c r="N55" s="207" t="n">
        <f aca="false">L55/NetMW/12</f>
        <v>0</v>
      </c>
      <c r="O55" s="267" t="s">
        <v>278</v>
      </c>
      <c r="P55" s="272" t="n">
        <f aca="false">AVERAGE('Book Income Statement'!E53:H53)/NetMW/12</f>
        <v>0.0208791706530506</v>
      </c>
    </row>
    <row r="56" customFormat="false" ht="12" hidden="false" customHeight="false" outlineLevel="0" collapsed="false">
      <c r="A56" s="84" t="s">
        <v>282</v>
      </c>
      <c r="B56" s="290" t="n">
        <v>0.03</v>
      </c>
      <c r="C56" s="133" t="n">
        <v>0</v>
      </c>
      <c r="E56" s="81"/>
      <c r="F56" s="78"/>
      <c r="G56" s="291" t="s">
        <v>283</v>
      </c>
      <c r="H56" s="78"/>
      <c r="I56" s="292" t="n">
        <v>0.12</v>
      </c>
      <c r="K56" s="248" t="s">
        <v>284</v>
      </c>
      <c r="L56" s="280" t="n">
        <f aca="false">'Book Income Statement'!D58</f>
        <v>0</v>
      </c>
      <c r="M56" s="112" t="s">
        <v>264</v>
      </c>
      <c r="N56" s="293" t="n">
        <f aca="false">L56/NetMW/12</f>
        <v>0</v>
      </c>
      <c r="O56" s="267" t="s">
        <v>278</v>
      </c>
      <c r="P56" s="294" t="n">
        <v>0</v>
      </c>
    </row>
    <row r="57" customFormat="false" ht="12" hidden="false" customHeight="false" outlineLevel="0" collapsed="false">
      <c r="A57" s="84" t="s">
        <v>285</v>
      </c>
      <c r="B57" s="290" t="n">
        <v>0.05</v>
      </c>
      <c r="C57" s="295" t="n">
        <v>0</v>
      </c>
      <c r="E57" s="81"/>
      <c r="F57" s="78"/>
      <c r="G57" s="296" t="s">
        <v>286</v>
      </c>
      <c r="H57" s="78"/>
      <c r="I57" s="297" t="s">
        <v>287</v>
      </c>
      <c r="K57" s="248"/>
      <c r="L57" s="270" t="n">
        <f aca="false">SUM(L53:L56)</f>
        <v>2264.62975778547</v>
      </c>
      <c r="M57" s="112"/>
      <c r="N57" s="271" t="n">
        <f aca="false">SUM(N53:N56)</f>
        <v>0.401530098898132</v>
      </c>
      <c r="O57" s="267"/>
      <c r="P57" s="272" t="n">
        <f aca="false">SUM(P53:P56)</f>
        <v>0.476451286402258</v>
      </c>
    </row>
    <row r="58" customFormat="false" ht="12" hidden="false" customHeight="false" outlineLevel="0" collapsed="false">
      <c r="A58" s="84" t="s">
        <v>288</v>
      </c>
      <c r="B58" s="298"/>
      <c r="C58" s="212" t="n">
        <f aca="false">SUM(C56:C57)</f>
        <v>0</v>
      </c>
      <c r="E58" s="299" t="s">
        <v>289</v>
      </c>
      <c r="F58" s="92"/>
      <c r="G58" s="232" t="s">
        <v>290</v>
      </c>
      <c r="H58" s="92"/>
      <c r="I58" s="233" t="s">
        <v>290</v>
      </c>
      <c r="K58" s="300" t="s">
        <v>291</v>
      </c>
      <c r="L58" s="301" t="n">
        <f aca="false">L47+L51+L57</f>
        <v>4999.22975778547</v>
      </c>
      <c r="M58" s="302" t="s">
        <v>264</v>
      </c>
      <c r="N58" s="303"/>
      <c r="O58" s="304"/>
      <c r="P58" s="305"/>
    </row>
    <row r="59" customFormat="false" ht="12" hidden="false" customHeight="false" outlineLevel="0" collapsed="false">
      <c r="A59" s="81"/>
      <c r="B59" s="95"/>
      <c r="C59" s="283"/>
      <c r="E59" s="306" t="n">
        <v>10</v>
      </c>
      <c r="F59" s="112"/>
      <c r="G59" s="307" t="n">
        <f aca="false">'Returns Summary'!$L$8</f>
        <v>0.246382537392647</v>
      </c>
      <c r="H59" s="97"/>
      <c r="I59" s="308" t="n">
        <f aca="false">'Returns Summary'!$L$12</f>
        <v>0.18173993436036</v>
      </c>
      <c r="K59" s="203"/>
      <c r="L59" s="203"/>
      <c r="M59" s="203"/>
      <c r="N59" s="230"/>
      <c r="P59" s="205"/>
    </row>
    <row r="60" customFormat="false" ht="15.75" hidden="false" customHeight="false" outlineLevel="0" collapsed="false">
      <c r="A60" s="274" t="s">
        <v>292</v>
      </c>
      <c r="B60" s="309"/>
      <c r="C60" s="310" t="n">
        <f aca="false">C30+C43+C50+C54+C58</f>
        <v>160782.486</v>
      </c>
      <c r="E60" s="306" t="n">
        <v>15</v>
      </c>
      <c r="F60" s="112"/>
      <c r="G60" s="307" t="n">
        <f aca="false">'Returns Summary'!$Q$8</f>
        <v>0.287820803315128</v>
      </c>
      <c r="H60" s="97"/>
      <c r="I60" s="308" t="n">
        <f aca="false">'Returns Summary'!$Q$12</f>
        <v>0.230282611374398</v>
      </c>
      <c r="K60" s="70" t="s">
        <v>293</v>
      </c>
      <c r="L60" s="75"/>
      <c r="M60" s="75"/>
      <c r="N60" s="71"/>
      <c r="O60" s="71"/>
      <c r="P60" s="214"/>
    </row>
    <row r="61" customFormat="false" ht="12" hidden="false" customHeight="false" outlineLevel="0" collapsed="false">
      <c r="A61" s="203"/>
      <c r="B61" s="203"/>
      <c r="C61" s="203"/>
      <c r="E61" s="306" t="n">
        <v>20</v>
      </c>
      <c r="F61" s="112"/>
      <c r="G61" s="307" t="n">
        <f aca="false">'Returns Summary'!$W$8</f>
        <v>0.296230110956115</v>
      </c>
      <c r="H61" s="97"/>
      <c r="I61" s="308" t="n">
        <f aca="false">'Returns Summary'!$W$12</f>
        <v>0.23934877156268</v>
      </c>
      <c r="K61" s="166" t="s">
        <v>294</v>
      </c>
      <c r="L61" s="180"/>
      <c r="M61" s="180"/>
      <c r="N61" s="311" t="n">
        <f aca="false">706.2/4*0</f>
        <v>0</v>
      </c>
      <c r="O61" s="180"/>
      <c r="P61" s="225"/>
    </row>
    <row r="62" customFormat="false" ht="12" hidden="false" customHeight="false" outlineLevel="0" collapsed="false">
      <c r="A62" s="170"/>
      <c r="C62" s="312"/>
      <c r="E62" s="306"/>
      <c r="F62" s="112"/>
      <c r="G62" s="307"/>
      <c r="H62" s="97"/>
      <c r="I62" s="308"/>
      <c r="K62" s="202"/>
      <c r="L62" s="203"/>
      <c r="M62" s="203"/>
      <c r="N62" s="313"/>
    </row>
    <row r="63" customFormat="false" ht="15.75" hidden="false" customHeight="false" outlineLevel="0" collapsed="false">
      <c r="A63" s="70" t="s">
        <v>295</v>
      </c>
      <c r="B63" s="71"/>
      <c r="C63" s="72"/>
      <c r="E63" s="81"/>
      <c r="F63" s="78"/>
      <c r="G63" s="296" t="s">
        <v>286</v>
      </c>
      <c r="H63" s="78"/>
      <c r="I63" s="297" t="s">
        <v>287</v>
      </c>
      <c r="K63" s="70" t="s">
        <v>296</v>
      </c>
      <c r="L63" s="71"/>
      <c r="M63" s="71"/>
      <c r="N63" s="71"/>
      <c r="O63" s="71"/>
      <c r="P63" s="72"/>
    </row>
    <row r="64" customFormat="false" ht="12" hidden="false" customHeight="false" outlineLevel="0" collapsed="false">
      <c r="A64" s="84" t="s">
        <v>297</v>
      </c>
      <c r="B64" s="78"/>
      <c r="C64" s="110" t="s">
        <v>298</v>
      </c>
      <c r="E64" s="299" t="s">
        <v>289</v>
      </c>
      <c r="F64" s="92"/>
      <c r="G64" s="232" t="s">
        <v>299</v>
      </c>
      <c r="H64" s="92"/>
      <c r="I64" s="233" t="s">
        <v>299</v>
      </c>
      <c r="K64" s="84" t="s">
        <v>300</v>
      </c>
      <c r="L64" s="78"/>
      <c r="M64" s="78"/>
      <c r="N64" s="314" t="n">
        <v>0.35</v>
      </c>
      <c r="O64" s="78"/>
      <c r="P64" s="315" t="s">
        <v>260</v>
      </c>
    </row>
    <row r="65" customFormat="false" ht="12" hidden="false" customHeight="false" outlineLevel="0" collapsed="false">
      <c r="A65" s="84" t="s">
        <v>301</v>
      </c>
      <c r="B65" s="78"/>
      <c r="C65" s="316" t="n">
        <v>2.5</v>
      </c>
      <c r="E65" s="306" t="n">
        <v>10</v>
      </c>
      <c r="F65" s="112"/>
      <c r="G65" s="317" t="n">
        <f aca="false">'Returns Summary'!$L$9</f>
        <v>34175.7212807015</v>
      </c>
      <c r="H65" s="317"/>
      <c r="I65" s="318" t="n">
        <f aca="false">'Returns Summary'!$L$13</f>
        <v>13916.1036316757</v>
      </c>
      <c r="K65" s="84" t="s">
        <v>302</v>
      </c>
      <c r="L65" s="78"/>
      <c r="M65" s="78"/>
      <c r="N65" s="319" t="n">
        <v>0.045</v>
      </c>
      <c r="O65" s="78"/>
      <c r="P65" s="79"/>
    </row>
    <row r="66" customFormat="false" ht="12" hidden="false" customHeight="false" outlineLevel="0" collapsed="false">
      <c r="A66" s="84" t="s">
        <v>303</v>
      </c>
      <c r="B66" s="78"/>
      <c r="C66" s="110" t="s">
        <v>304</v>
      </c>
      <c r="E66" s="306" t="n">
        <v>15</v>
      </c>
      <c r="F66" s="112"/>
      <c r="G66" s="317" t="n">
        <f aca="false">'Returns Summary'!$Q$9</f>
        <v>70476.4799656012</v>
      </c>
      <c r="H66" s="317"/>
      <c r="I66" s="318" t="n">
        <f aca="false">'Returns Summary'!$Q$13</f>
        <v>38575.5607143704</v>
      </c>
      <c r="K66" s="81" t="s">
        <v>305</v>
      </c>
      <c r="L66" s="78"/>
      <c r="M66" s="78"/>
      <c r="N66" s="320" t="n">
        <f aca="false">(1-N65)*N64+N65</f>
        <v>0.37925</v>
      </c>
      <c r="O66" s="78"/>
      <c r="P66" s="321"/>
    </row>
    <row r="67" customFormat="false" ht="12" hidden="false" customHeight="false" outlineLevel="0" collapsed="false">
      <c r="A67" s="84" t="s">
        <v>306</v>
      </c>
      <c r="B67" s="78"/>
      <c r="C67" s="110" t="s">
        <v>304</v>
      </c>
      <c r="E67" s="322" t="n">
        <v>20</v>
      </c>
      <c r="F67" s="323"/>
      <c r="G67" s="324" t="n">
        <f aca="false">'Returns Summary'!$W$9</f>
        <v>91246.3945767406</v>
      </c>
      <c r="H67" s="324"/>
      <c r="I67" s="325" t="n">
        <f aca="false">'Returns Summary'!$W$13</f>
        <v>49424.3939341443</v>
      </c>
      <c r="K67" s="81"/>
      <c r="L67" s="78"/>
      <c r="M67" s="78"/>
      <c r="N67" s="320"/>
      <c r="O67" s="78"/>
      <c r="P67" s="79"/>
    </row>
    <row r="68" customFormat="false" ht="12" hidden="false" customHeight="false" outlineLevel="0" collapsed="false">
      <c r="A68" s="84" t="s">
        <v>307</v>
      </c>
      <c r="B68" s="78"/>
      <c r="C68" s="110" t="n">
        <v>15</v>
      </c>
      <c r="E68" s="326"/>
      <c r="F68" s="327"/>
      <c r="G68" s="317"/>
      <c r="H68" s="317"/>
      <c r="I68" s="317"/>
      <c r="K68" s="84" t="s">
        <v>308</v>
      </c>
      <c r="L68" s="78"/>
      <c r="M68" s="78"/>
      <c r="N68" s="208" t="n">
        <v>0.034</v>
      </c>
      <c r="O68" s="78"/>
      <c r="P68" s="218" t="n">
        <f aca="false">AVERAGE('Tax Calculations'!D10:G10)</f>
        <v>227.074313313399</v>
      </c>
    </row>
    <row r="69" customFormat="false" ht="12" hidden="false" customHeight="false" outlineLevel="0" collapsed="false">
      <c r="A69" s="84" t="s">
        <v>309</v>
      </c>
      <c r="B69" s="78"/>
      <c r="C69" s="110" t="s">
        <v>310</v>
      </c>
      <c r="K69" s="84" t="s">
        <v>311</v>
      </c>
      <c r="L69" s="78"/>
      <c r="M69" s="78"/>
      <c r="N69" s="328" t="n">
        <v>0.012</v>
      </c>
      <c r="O69" s="78"/>
      <c r="P69" s="218" t="n">
        <f aca="false">AVERAGE('Tax Calculations'!D15:G15)</f>
        <v>300.107316790615</v>
      </c>
    </row>
    <row r="70" customFormat="false" ht="12" hidden="false" customHeight="false" outlineLevel="0" collapsed="false">
      <c r="A70" s="81" t="s">
        <v>312</v>
      </c>
      <c r="B70" s="78"/>
      <c r="C70" s="110" t="s">
        <v>313</v>
      </c>
      <c r="K70" s="84" t="s">
        <v>314</v>
      </c>
      <c r="L70" s="78"/>
      <c r="M70" s="78"/>
      <c r="N70" s="328" t="n">
        <v>0</v>
      </c>
      <c r="O70" s="78"/>
      <c r="P70" s="79"/>
    </row>
    <row r="71" customFormat="false" ht="12" hidden="false" customHeight="false" outlineLevel="0" collapsed="false">
      <c r="A71" s="84" t="s">
        <v>315</v>
      </c>
      <c r="B71" s="78"/>
      <c r="C71" s="110" t="s">
        <v>313</v>
      </c>
      <c r="K71" s="274" t="s">
        <v>316</v>
      </c>
      <c r="L71" s="180"/>
      <c r="M71" s="180"/>
      <c r="N71" s="329" t="n">
        <v>0</v>
      </c>
      <c r="O71" s="180"/>
      <c r="P71" s="330"/>
    </row>
    <row r="72" customFormat="false" ht="12" hidden="false" customHeight="false" outlineLevel="0" collapsed="false">
      <c r="A72" s="81" t="s">
        <v>317</v>
      </c>
      <c r="B72" s="78"/>
      <c r="C72" s="331" t="n">
        <v>0</v>
      </c>
      <c r="P72" s="66"/>
    </row>
    <row r="73" customFormat="false" ht="12" hidden="false" customHeight="false" outlineLevel="0" collapsed="false">
      <c r="A73" s="282" t="s">
        <v>318</v>
      </c>
      <c r="B73" s="78"/>
      <c r="C73" s="79"/>
    </row>
    <row r="74" customFormat="false" ht="12" hidden="false" customHeight="false" outlineLevel="0" collapsed="false">
      <c r="A74" s="81" t="s">
        <v>319</v>
      </c>
      <c r="B74" s="78"/>
      <c r="C74" s="332" t="n">
        <v>1</v>
      </c>
    </row>
    <row r="75" customFormat="false" ht="12" hidden="false" customHeight="false" outlineLevel="0" collapsed="false">
      <c r="A75" s="81" t="s">
        <v>320</v>
      </c>
      <c r="B75" s="78"/>
      <c r="C75" s="175" t="n">
        <v>0.5</v>
      </c>
    </row>
    <row r="76" customFormat="false" ht="12" hidden="false" customHeight="false" outlineLevel="0" collapsed="false">
      <c r="A76" s="282" t="s">
        <v>321</v>
      </c>
      <c r="B76" s="78"/>
      <c r="C76" s="333" t="s">
        <v>322</v>
      </c>
    </row>
    <row r="77" customFormat="false" ht="12" hidden="false" customHeight="false" outlineLevel="0" collapsed="false">
      <c r="A77" s="166" t="s">
        <v>323</v>
      </c>
      <c r="B77" s="180"/>
      <c r="C77" s="334" t="s">
        <v>313</v>
      </c>
    </row>
    <row r="78" customFormat="false" ht="12" hidden="false" customHeight="false" outlineLevel="0" collapsed="false">
      <c r="A78" s="335"/>
    </row>
    <row r="79" customFormat="false" ht="12" hidden="false" customHeight="false" outlineLevel="0" collapsed="false">
      <c r="A79" s="335"/>
      <c r="J79" s="336"/>
    </row>
    <row r="80" customFormat="false" ht="12" hidden="false" customHeight="false" outlineLevel="0" collapsed="false">
      <c r="A80" s="335"/>
      <c r="J80" s="337"/>
    </row>
    <row r="81" customFormat="false" ht="12" hidden="false" customHeight="false" outlineLevel="0" collapsed="false">
      <c r="A81" s="335"/>
      <c r="J81" s="338"/>
    </row>
    <row r="82" customFormat="false" ht="12" hidden="false" customHeight="false" outlineLevel="0" collapsed="false">
      <c r="J82" s="339"/>
    </row>
    <row r="83" customFormat="false" ht="12.75" hidden="false" customHeight="false" outlineLevel="0" collapsed="false">
      <c r="J83" s="340"/>
    </row>
    <row r="84" customFormat="false" ht="16.5" hidden="false" customHeight="false" outlineLevel="0" collapsed="false">
      <c r="E84" s="341" t="s">
        <v>324</v>
      </c>
      <c r="F84" s="342"/>
      <c r="G84" s="342"/>
      <c r="H84" s="343"/>
      <c r="I84" s="344"/>
    </row>
    <row r="85" customFormat="false" ht="12" hidden="false" customHeight="false" outlineLevel="0" collapsed="false">
      <c r="D85" s="64" t="s">
        <v>325</v>
      </c>
      <c r="E85" s="345"/>
      <c r="F85" s="78"/>
      <c r="G85" s="78"/>
      <c r="H85" s="346"/>
      <c r="I85" s="347"/>
    </row>
    <row r="86" customFormat="false" ht="12" hidden="false" customHeight="false" outlineLevel="0" collapsed="false">
      <c r="D86" s="64" t="s">
        <v>326</v>
      </c>
      <c r="E86" s="345" t="s">
        <v>327</v>
      </c>
      <c r="F86" s="278" t="n">
        <f aca="false">C60</f>
        <v>160782.486</v>
      </c>
      <c r="G86" s="78"/>
      <c r="H86" s="346"/>
    </row>
    <row r="87" customFormat="false" ht="12.75" hidden="false" customHeight="false" outlineLevel="0" collapsed="false">
      <c r="A87" s="1"/>
      <c r="B87" s="348" t="s">
        <v>328</v>
      </c>
      <c r="C87" s="1"/>
      <c r="E87" s="345" t="s">
        <v>329</v>
      </c>
      <c r="F87" s="349" t="n">
        <f aca="false">F86-C42</f>
        <v>160782.486</v>
      </c>
      <c r="G87" s="78"/>
      <c r="H87" s="346"/>
    </row>
    <row r="88" customFormat="false" ht="23.25" hidden="false" customHeight="false" outlineLevel="0" collapsed="false">
      <c r="A88" s="1"/>
      <c r="B88" s="2" t="s">
        <v>330</v>
      </c>
      <c r="C88" s="1"/>
      <c r="D88" s="350" t="s">
        <v>331</v>
      </c>
      <c r="E88" s="351" t="s">
        <v>332</v>
      </c>
      <c r="F88" s="352" t="n">
        <f aca="false">C42</f>
        <v>0</v>
      </c>
      <c r="G88" s="353"/>
      <c r="H88" s="354"/>
    </row>
    <row r="89" customFormat="false" ht="12.75" hidden="false" customHeight="false" outlineLevel="0" collapsed="false">
      <c r="A89" s="1"/>
      <c r="B89" s="2" t="s">
        <v>333</v>
      </c>
      <c r="C89" s="1"/>
      <c r="D89" s="350" t="s">
        <v>334</v>
      </c>
      <c r="E89" s="170"/>
      <c r="F89" s="355"/>
      <c r="G89" s="355"/>
    </row>
    <row r="90" customFormat="false" ht="16.5" hidden="false" customHeight="false" outlineLevel="0" collapsed="false">
      <c r="E90" s="356" t="s">
        <v>335</v>
      </c>
      <c r="F90" s="357"/>
      <c r="G90" s="358" t="s">
        <v>336</v>
      </c>
      <c r="H90" s="359"/>
    </row>
    <row r="91" customFormat="false" ht="16.5" hidden="false" customHeight="false" outlineLevel="0" collapsed="false">
      <c r="E91" s="356" t="n">
        <v>12</v>
      </c>
      <c r="F91" s="357" t="n">
        <v>16</v>
      </c>
      <c r="G91" s="360" t="n">
        <v>8</v>
      </c>
      <c r="H91" s="361" t="n">
        <v>10</v>
      </c>
    </row>
    <row r="92" customFormat="false" ht="13.5" hidden="false" customHeight="false" outlineLevel="0" collapsed="false">
      <c r="E92" s="362" t="n">
        <f aca="false">E91*'Book Income Statement'!$C$84-$C$8-'PPA Assumptions &amp;Summary'!$B$14</f>
        <v>-7639.21853966611</v>
      </c>
      <c r="F92" s="362" t="n">
        <f aca="false">F91*'Book Income Statement'!$C$84-$C$8-'PPA Assumptions &amp;Summary'!$B$14</f>
        <v>3214.11737251264</v>
      </c>
      <c r="G92" s="363" t="n">
        <f aca="false">G91*'Book Income Statement'!$C$83-C8-'PPA Assumptions &amp;Summary'!$B$14</f>
        <v>25476.0723401361</v>
      </c>
      <c r="H92" s="363" t="n">
        <f aca="false">H91*'Book Income Statement'!$C$83-C8-'PPA Assumptions &amp;Summary'!$B$14</f>
        <v>41894.8969942207</v>
      </c>
      <c r="I92" s="326"/>
    </row>
    <row r="93" customFormat="false" ht="12" hidden="false" customHeight="false" outlineLevel="0" collapsed="false">
      <c r="I93" s="171"/>
    </row>
    <row r="94" customFormat="false" ht="12" hidden="false" customHeight="false" outlineLevel="0" collapsed="false">
      <c r="E94" s="64" t="s">
        <v>337</v>
      </c>
      <c r="G94" s="326"/>
    </row>
    <row r="95" customFormat="false" ht="12" hidden="false" customHeight="false" outlineLevel="0" collapsed="false">
      <c r="E95" s="364" t="s">
        <v>338</v>
      </c>
      <c r="F95" s="365"/>
      <c r="G95" s="171"/>
      <c r="H95" s="365"/>
    </row>
    <row r="108" customFormat="false" ht="12" hidden="false" customHeight="false" outlineLevel="0" collapsed="false">
      <c r="K108" s="64" t="s">
        <v>339</v>
      </c>
    </row>
    <row r="109" customFormat="false" ht="12" hidden="false" customHeight="false" outlineLevel="0" collapsed="false">
      <c r="K109" s="64" t="s">
        <v>340</v>
      </c>
    </row>
    <row r="110" customFormat="false" ht="12" hidden="false" customHeight="false" outlineLevel="0" collapsed="false">
      <c r="K110" s="64" t="s">
        <v>341</v>
      </c>
    </row>
    <row r="111" customFormat="false" ht="12" hidden="false" customHeight="false" outlineLevel="0" collapsed="false">
      <c r="K111" s="64" t="s">
        <v>342</v>
      </c>
      <c r="N111" s="366"/>
    </row>
    <row r="112" customFormat="false" ht="12" hidden="false" customHeight="false" outlineLevel="0" collapsed="false">
      <c r="K112" s="64" t="s">
        <v>343</v>
      </c>
      <c r="N112" s="366"/>
    </row>
    <row r="113" customFormat="false" ht="12" hidden="false" customHeight="false" outlineLevel="0" collapsed="false">
      <c r="L113" s="366"/>
      <c r="M113" s="366"/>
      <c r="N113" s="366"/>
    </row>
    <row r="65533" customFormat="false" ht="12" hidden="false" customHeight="false" outlineLevel="0" collapsed="false">
      <c r="D65533" s="350" t="s">
        <v>331</v>
      </c>
    </row>
  </sheetData>
  <mergeCells count="3">
    <mergeCell ref="A2:U2"/>
    <mergeCell ref="A3:U3"/>
    <mergeCell ref="A4:N4"/>
  </mergeCells>
  <dataValidations count="8">
    <dataValidation allowBlank="true" errorStyle="stop" operator="between" showDropDown="false" showErrorMessage="true" showInputMessage="false" sqref="I46" type="list">
      <formula1>"Financing,Operations"</formula1>
      <formula2>0</formula2>
    </dataValidation>
    <dataValidation allowBlank="true" errorStyle="stop" operator="between" showDropDown="false" showErrorMessage="true" showInputMessage="false" sqref="C66:C67 C70:C71 C77" type="list">
      <formula1>"Yes,No"</formula1>
      <formula2>0</formula2>
    </dataValidation>
    <dataValidation allowBlank="true" errorStyle="stop" operator="between" showDropDown="false" showErrorMessage="true" showInputMessage="false" sqref="C64" type="list">
      <formula1>"Fixed,Index"</formula1>
      <formula2>0</formula2>
    </dataValidation>
    <dataValidation allowBlank="true" errorStyle="stop" operator="between" showDropDown="false" showErrorMessage="true" showInputMessage="false" sqref="C69" type="list">
      <formula1>"Assumed,Dispatched"</formula1>
      <formula2>0</formula2>
    </dataValidation>
    <dataValidation allowBlank="true" errorStyle="stop" operator="between" showDropDown="false" showErrorMessage="true" showInputMessage="false" sqref="G42:H42" type="list">
      <formula1>"Interest Only,No P&amp;I"</formula1>
      <formula2>0</formula2>
    </dataValidation>
    <dataValidation allowBlank="true" errorStyle="stop" operator="between" showDropDown="false" showErrorMessage="true" showInputMessage="false" sqref="C65" type="list">
      <formula1>"0,2.5,N/A"</formula1>
      <formula2>0</formula2>
    </dataValidation>
    <dataValidation allowBlank="true" errorStyle="stop" operator="between" showDropDown="false" showErrorMessage="true" showInputMessage="false" sqref="I34" type="list">
      <formula1>"Normal,Alternate"</formula1>
      <formula2>0</formula2>
    </dataValidation>
    <dataValidation allowBlank="true" errorStyle="stop" operator="between" showDropDown="false" showErrorMessage="true" showInputMessage="false" sqref="C76" type="list">
      <formula1>"Kaiser Peak,ECT Peak Curve,Marginal Cost Curve"</formula1>
      <formula2>0</formula2>
    </dataValidation>
  </dataValidations>
  <printOptions headings="false" gridLines="false" gridLinesSet="true" horizontalCentered="false" verticalCentered="false"/>
  <pageMargins left="0.25" right="0.25" top="0.25" bottom="0.5" header="0.511811023622047" footer="0"/>
  <pageSetup paperSize="1" scale="100" fitToWidth="1" fitToHeight="1" pageOrder="overThenDown" orientation="landscape" blackAndWhite="false" draft="false" cellComments="none" horizontalDpi="300" verticalDpi="300" copies="1"/>
  <headerFooter differentFirst="false" differentOddEven="false">
    <oddHeader/>
    <oddFooter>&amp;L&amp;D   &amp;T&amp;R&amp;F
&amp;A &amp;P</oddFooter>
  </headerFooter>
  <colBreaks count="1" manualBreakCount="1">
    <brk id="14"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507">
              <controlPr defaultSize="0" print="false" autoFill="0" autoPict="0" macro="Module5.print1">
                <anchor moveWithCells="true" sizeWithCells="false">
                  <from>
                    <xdr:col>0</xdr:col>
                    <xdr:colOff>50760</xdr:colOff>
                    <xdr:row>0</xdr:row>
                    <xdr:rowOff>47520</xdr:rowOff>
                  </from>
                  <to>
                    <xdr:col>1</xdr:col>
                    <xdr:colOff>-933480</xdr:colOff>
                    <xdr:row>3</xdr:row>
                    <xdr:rowOff>19440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I86"/>
  <sheetViews>
    <sheetView showFormulas="false" showGridLines="true" showRowColHeaders="true" showZeros="true" rightToLeft="false" tabSelected="false" showOutlineSymbols="true" defaultGridColor="true" view="normal" topLeftCell="A46" colorId="64" zoomScale="75" zoomScaleNormal="75" zoomScalePageLayoutView="85" workbookViewId="0">
      <selection pane="topLeft" activeCell="A86" activeCellId="0" sqref="A86"/>
    </sheetView>
  </sheetViews>
  <sheetFormatPr defaultColWidth="9.0546875" defaultRowHeight="12.75" customHeight="true" zeroHeight="false" outlineLevelRow="1" outlineLevelCol="0"/>
  <cols>
    <col collapsed="false" customWidth="true" hidden="false" outlineLevel="0" max="1" min="1" style="6" width="37.28"/>
    <col collapsed="false" customWidth="true" hidden="false" outlineLevel="0" max="2" min="2" style="6" width="8.85"/>
    <col collapsed="false" customWidth="true" hidden="false" outlineLevel="0" max="24" min="3" style="6" width="9.14"/>
    <col collapsed="false" customWidth="false" hidden="true" outlineLevel="0" max="26" min="25" style="6" width="9.06"/>
    <col collapsed="false" customWidth="true" hidden="false" outlineLevel="0" max="35" min="27" style="6" width="9.14"/>
  </cols>
  <sheetData>
    <row r="1" customFormat="false" ht="20.25" hidden="false" customHeight="false" outlineLevel="0" collapsed="false">
      <c r="A1" s="367" t="str">
        <f aca="false">'Project Assumtions'!$A$2</f>
        <v>WHEATLAND POWER IN, L.L.C.</v>
      </c>
      <c r="B1" s="368"/>
      <c r="E1" s="369"/>
    </row>
    <row r="2" customFormat="false" ht="12.75" hidden="false" customHeight="false" outlineLevel="0" collapsed="false">
      <c r="A2" s="370" t="s">
        <v>344</v>
      </c>
      <c r="B2" s="371"/>
      <c r="E2" s="369"/>
    </row>
    <row r="3" customFormat="false" ht="12.75" hidden="false" customHeight="false" outlineLevel="0" collapsed="false">
      <c r="B3" s="1"/>
      <c r="C3" s="372" t="n">
        <v>1</v>
      </c>
      <c r="D3" s="372" t="n">
        <f aca="false">C3+1</f>
        <v>2</v>
      </c>
      <c r="E3" s="372" t="n">
        <f aca="false">D3+1</f>
        <v>3</v>
      </c>
      <c r="F3" s="372" t="n">
        <f aca="false">E3+1</f>
        <v>4</v>
      </c>
      <c r="G3" s="372" t="n">
        <f aca="false">F3+1</f>
        <v>5</v>
      </c>
      <c r="H3" s="372" t="n">
        <f aca="false">G3+1</f>
        <v>6</v>
      </c>
      <c r="I3" s="372" t="n">
        <f aca="false">H3+1</f>
        <v>7</v>
      </c>
      <c r="J3" s="372" t="n">
        <f aca="false">I3+1</f>
        <v>8</v>
      </c>
      <c r="K3" s="372" t="n">
        <f aca="false">J3+1</f>
        <v>9</v>
      </c>
      <c r="L3" s="372" t="n">
        <f aca="false">K3+1</f>
        <v>10</v>
      </c>
      <c r="M3" s="372" t="n">
        <f aca="false">L3+1</f>
        <v>11</v>
      </c>
      <c r="N3" s="372" t="n">
        <f aca="false">M3+1</f>
        <v>12</v>
      </c>
      <c r="O3" s="372" t="n">
        <f aca="false">N3+1</f>
        <v>13</v>
      </c>
      <c r="P3" s="372" t="n">
        <f aca="false">O3+1</f>
        <v>14</v>
      </c>
      <c r="Q3" s="372" t="n">
        <f aca="false">P3+1</f>
        <v>15</v>
      </c>
      <c r="R3" s="372" t="n">
        <f aca="false">Q3+1</f>
        <v>16</v>
      </c>
      <c r="S3" s="372" t="n">
        <f aca="false">R3+1</f>
        <v>17</v>
      </c>
      <c r="T3" s="372" t="n">
        <f aca="false">S3+1</f>
        <v>18</v>
      </c>
      <c r="U3" s="372" t="n">
        <f aca="false">T3+1</f>
        <v>19</v>
      </c>
      <c r="V3" s="372" t="n">
        <f aca="false">U3+1</f>
        <v>20</v>
      </c>
      <c r="W3" s="372" t="n">
        <f aca="false">V3+1</f>
        <v>21</v>
      </c>
      <c r="X3" s="372" t="n">
        <f aca="false">W3+1</f>
        <v>22</v>
      </c>
      <c r="Y3" s="372" t="n">
        <f aca="false">X3+1</f>
        <v>23</v>
      </c>
      <c r="Z3" s="372" t="n">
        <f aca="false">Y3+1</f>
        <v>24</v>
      </c>
      <c r="AA3" s="372" t="n">
        <f aca="false">Z3+1</f>
        <v>25</v>
      </c>
    </row>
    <row r="4" customFormat="false" ht="12.75" hidden="false" customHeight="false" outlineLevel="0" collapsed="false">
      <c r="A4" s="373"/>
      <c r="B4" s="374"/>
      <c r="C4" s="375" t="n">
        <f aca="false">YEAR(StartDate)</f>
        <v>2000</v>
      </c>
      <c r="D4" s="375" t="n">
        <f aca="false">C4+1</f>
        <v>2001</v>
      </c>
      <c r="E4" s="375" t="n">
        <f aca="false">D4+1</f>
        <v>2002</v>
      </c>
      <c r="F4" s="375" t="n">
        <f aca="false">E4+1</f>
        <v>2003</v>
      </c>
      <c r="G4" s="375" t="n">
        <f aca="false">F4+1</f>
        <v>2004</v>
      </c>
      <c r="H4" s="375" t="n">
        <f aca="false">G4+1</f>
        <v>2005</v>
      </c>
      <c r="I4" s="375" t="n">
        <f aca="false">H4+1</f>
        <v>2006</v>
      </c>
      <c r="J4" s="375" t="n">
        <f aca="false">I4+1</f>
        <v>2007</v>
      </c>
      <c r="K4" s="375" t="n">
        <f aca="false">J4+1</f>
        <v>2008</v>
      </c>
      <c r="L4" s="375" t="n">
        <f aca="false">K4+1</f>
        <v>2009</v>
      </c>
      <c r="M4" s="375" t="n">
        <f aca="false">L4+1</f>
        <v>2010</v>
      </c>
      <c r="N4" s="375" t="n">
        <f aca="false">M4+1</f>
        <v>2011</v>
      </c>
      <c r="O4" s="375" t="n">
        <f aca="false">N4+1</f>
        <v>2012</v>
      </c>
      <c r="P4" s="375" t="n">
        <f aca="false">O4+1</f>
        <v>2013</v>
      </c>
      <c r="Q4" s="375" t="n">
        <f aca="false">P4+1</f>
        <v>2014</v>
      </c>
      <c r="R4" s="375" t="n">
        <f aca="false">Q4+1</f>
        <v>2015</v>
      </c>
      <c r="S4" s="375" t="n">
        <f aca="false">R4+1</f>
        <v>2016</v>
      </c>
      <c r="T4" s="375" t="n">
        <f aca="false">S4+1</f>
        <v>2017</v>
      </c>
      <c r="U4" s="375" t="n">
        <f aca="false">T4+1</f>
        <v>2018</v>
      </c>
      <c r="V4" s="375" t="n">
        <f aca="false">U4+1</f>
        <v>2019</v>
      </c>
      <c r="W4" s="375" t="n">
        <f aca="false">V4+1</f>
        <v>2020</v>
      </c>
      <c r="X4" s="375" t="n">
        <f aca="false">W4+1</f>
        <v>2021</v>
      </c>
      <c r="Y4" s="375" t="n">
        <f aca="false">X4+1</f>
        <v>2022</v>
      </c>
      <c r="Z4" s="375" t="n">
        <f aca="false">Y4+1</f>
        <v>2023</v>
      </c>
      <c r="AA4" s="376" t="n">
        <f aca="false">Z4+1</f>
        <v>2024</v>
      </c>
    </row>
    <row r="5" customFormat="false" ht="12.75" hidden="false" customHeight="false" outlineLevel="0" collapsed="false">
      <c r="A5" s="377" t="s">
        <v>345</v>
      </c>
      <c r="B5" s="378"/>
      <c r="C5" s="379" t="n">
        <f aca="false">ROUND((DATE($D$4,1,1)-StartDate)/30.4375,1)</f>
        <v>7</v>
      </c>
      <c r="D5" s="380" t="n">
        <f aca="false">IF($C$5&lt;12,IF(D$3&gt;ProjectLife+1+1,0,IF(D$3=ProjectLife+1+1,12-$C$5,12)),IF(D$3&gt;ProjectLife+1,0,12))</f>
        <v>12</v>
      </c>
      <c r="E5" s="380" t="n">
        <f aca="false">IF($C$5&lt;12,IF(E$3&gt;ProjectLife+1+1,0,IF(E$3=ProjectLife+1+1,12-$C$5,12)),IF(E$3&gt;ProjectLife+1,0,12))</f>
        <v>12</v>
      </c>
      <c r="F5" s="380" t="n">
        <f aca="false">IF($C$5&lt;12,IF(F$3&gt;ProjectLife+1+1,0,IF(F$3=ProjectLife+1+1,12-$C$5,12)),IF(F$3&gt;ProjectLife+1,0,12))</f>
        <v>12</v>
      </c>
      <c r="G5" s="380" t="n">
        <f aca="false">IF($C$5&lt;12,IF(G$3&gt;ProjectLife+1+1,0,IF(G$3=ProjectLife+1+1,12-$C$5,12)),IF(G$3&gt;ProjectLife+1,0,12))</f>
        <v>12</v>
      </c>
      <c r="H5" s="380" t="n">
        <f aca="false">IF($C$5&lt;12,IF(H$3&gt;ProjectLife+1+1,0,IF(H$3=ProjectLife+1+1,12-$C$5,12)),IF(H$3&gt;ProjectLife+1,0,12))</f>
        <v>12</v>
      </c>
      <c r="I5" s="380" t="n">
        <f aca="false">IF($C$5&lt;12,IF(I$3&gt;ProjectLife+1+1,0,IF(I$3=ProjectLife+1+1,12-$C$5,12)),IF(I$3&gt;ProjectLife+1,0,12))</f>
        <v>12</v>
      </c>
      <c r="J5" s="380" t="n">
        <f aca="false">IF($C$5&lt;12,IF(J$3&gt;ProjectLife+1+1,0,IF(J$3=ProjectLife+1+1,12-$C$5,12)),IF(J$3&gt;ProjectLife+1,0,12))</f>
        <v>12</v>
      </c>
      <c r="K5" s="380" t="n">
        <f aca="false">IF($C$5&lt;12,IF(K$3&gt;ProjectLife+1+1,0,IF(K$3=ProjectLife+1+1,12-$C$5,12)),IF(K$3&gt;ProjectLife+1,0,12))</f>
        <v>12</v>
      </c>
      <c r="L5" s="380" t="n">
        <f aca="false">IF($C$5&lt;12,IF(L$3&gt;ProjectLife+1+1,0,IF(L$3=ProjectLife+1+1,12-$C$5,12)),IF(L$3&gt;ProjectLife+1,0,12))</f>
        <v>12</v>
      </c>
      <c r="M5" s="380" t="n">
        <f aca="false">IF($C$5&lt;12,IF(M$3&gt;ProjectLife+1+1,0,IF(M$3=ProjectLife+1+1,12-$C$5,12)),IF(M$3&gt;ProjectLife+1,0,12))</f>
        <v>12</v>
      </c>
      <c r="N5" s="380" t="n">
        <f aca="false">IF($C$5&lt;12,IF(N$3&gt;ProjectLife+1+1,0,IF(N$3=ProjectLife+1+1,12-$C$5,12)),IF(N$3&gt;ProjectLife+1,0,12))</f>
        <v>12</v>
      </c>
      <c r="O5" s="380" t="n">
        <f aca="false">IF($C$5&lt;12,IF(O$3&gt;ProjectLife+1+1,0,IF(O$3=ProjectLife+1+1,12-$C$5,12)),IF(O$3&gt;ProjectLife+1,0,12))</f>
        <v>12</v>
      </c>
      <c r="P5" s="380" t="n">
        <f aca="false">IF($C$5&lt;12,IF(P$3&gt;ProjectLife+1+1,0,IF(P$3=ProjectLife+1+1,12-$C$5,12)),IF(P$3&gt;ProjectLife+1,0,12))</f>
        <v>12</v>
      </c>
      <c r="Q5" s="380" t="n">
        <f aca="false">IF($C$5&lt;12,IF(Q$3&gt;ProjectLife+1+1,0,IF(Q$3=ProjectLife+1+1,12-$C$5,12)),IF(Q$3&gt;ProjectLife+1,0,12))</f>
        <v>12</v>
      </c>
      <c r="R5" s="380" t="n">
        <f aca="false">IF($C$5&lt;12,IF(R$3&gt;ProjectLife+1+1,0,IF(R$3=ProjectLife+1+1,12-$C$5,12)),IF(R$3&gt;ProjectLife+1,0,12))</f>
        <v>12</v>
      </c>
      <c r="S5" s="380" t="n">
        <f aca="false">IF($C$5&lt;12,IF(S$3&gt;ProjectLife+1+1,0,IF(S$3=ProjectLife+1+1,12-$C$5,12)),IF(S$3&gt;ProjectLife+1,0,12))</f>
        <v>12</v>
      </c>
      <c r="T5" s="380" t="n">
        <f aca="false">IF($C$5&lt;12,IF(T$3&gt;ProjectLife+1+1,0,IF(T$3=ProjectLife+1+1,12-$C$5,12)),IF(T$3&gt;ProjectLife+1,0,12))</f>
        <v>12</v>
      </c>
      <c r="U5" s="380" t="n">
        <f aca="false">IF($C$5&lt;12,IF(U$3&gt;ProjectLife+1+1,0,IF(U$3=ProjectLife+1+1,12-$C$5,12)),IF(U$3&gt;ProjectLife+1,0,12))</f>
        <v>12</v>
      </c>
      <c r="V5" s="380" t="n">
        <f aca="false">IF($C$5&lt;12,IF(V$3&gt;ProjectLife+1+1,0,IF(V$3=ProjectLife+1+1,12-$C$5,12)),IF(V$3&gt;ProjectLife+1,0,12))</f>
        <v>12</v>
      </c>
      <c r="W5" s="381" t="n">
        <v>5</v>
      </c>
      <c r="X5" s="381" t="n">
        <v>0</v>
      </c>
      <c r="Y5" s="380" t="n">
        <f aca="false">IF($C$5&lt;12,IF(Y$3&gt;ProjectLife+1+1,0,IF(Y$3=ProjectLife+1+1,12-$C$5,12)),IF(Y$3&gt;ProjectLife+1,0,12))</f>
        <v>0</v>
      </c>
      <c r="Z5" s="380" t="n">
        <f aca="false">IF($C$5&lt;12,IF(Z$3&gt;ProjectLife+1+1,0,IF(Z$3=ProjectLife+1+1,12-$C$5,12)),IF(Z$3&gt;ProjectLife+1,0,12))</f>
        <v>0</v>
      </c>
      <c r="AA5" s="382" t="n">
        <f aca="false">IF($C$5&lt;12,IF(AA$3&gt;ProjectLife+1+1,0,IF(AA$3=ProjectLife+1+1,12-$C$5,12)),IF(AA$3&gt;ProjectLife+1,0,12))</f>
        <v>0</v>
      </c>
      <c r="AB5" s="378"/>
      <c r="AC5" s="378"/>
      <c r="AD5" s="378"/>
      <c r="AE5" s="378"/>
      <c r="AF5" s="378"/>
      <c r="AG5" s="378"/>
      <c r="AH5" s="378"/>
      <c r="AI5" s="378"/>
    </row>
    <row r="6" customFormat="false" ht="12.6" hidden="false" customHeight="true" outlineLevel="0" collapsed="false">
      <c r="A6" s="383" t="s">
        <v>346</v>
      </c>
      <c r="B6" s="378"/>
      <c r="C6" s="380" t="n">
        <f aca="false">IF($C$5&lt;12,IF(C$3&gt;PPATerm+1,0,IF(C$3=PPATerm+1,12-$C$5,C$5)),IF(C$3&lt;PPATerm+1,C$5,0))</f>
        <v>7</v>
      </c>
      <c r="D6" s="380" t="n">
        <f aca="false">IF($C$5&lt;12,IF(D$3&gt;PPATerm+1,0,IF(D$3=PPATerm+1,12-$C$5,D$5)),IF(D$3&lt;PPATerm+1,D$5,0))</f>
        <v>12</v>
      </c>
      <c r="E6" s="380" t="n">
        <f aca="false">IF($C$5&lt;12,IF(E$3&gt;PPATerm+1,0,IF(E$3=PPATerm+1,12-$C$5,E$5)),IF(E$3&lt;PPATerm+1,E$5,0))</f>
        <v>12</v>
      </c>
      <c r="F6" s="380" t="n">
        <f aca="false">IF($C$5&lt;12,IF(F$3&gt;PPATerm+1,0,IF(F$3=PPATerm+1,12-$C$5,F$5)),IF(F$3&lt;PPATerm+1,F$5,0))</f>
        <v>5</v>
      </c>
      <c r="G6" s="380" t="n">
        <f aca="false">IF($C$5&lt;12,IF(G$3&gt;PPATerm+1,0,IF(G$3=PPATerm+1,12-$C$5,G$5)),IF(G$3&lt;PPATerm+1,G$5,0))</f>
        <v>0</v>
      </c>
      <c r="H6" s="380" t="n">
        <f aca="false">IF($C$5&lt;12,IF(H$3&gt;PPATerm+1,0,IF(H$3=PPATerm+1,12-$C$5,H$5)),IF(H$3&lt;PPATerm+1,H$5,0))</f>
        <v>0</v>
      </c>
      <c r="I6" s="380" t="n">
        <f aca="false">IF($C$5&lt;12,IF(I$3&gt;PPATerm+1,0,IF(I$3=PPATerm+1,12-$C$5,I$5)),IF(I$3&lt;PPATerm+1,I$5,0))</f>
        <v>0</v>
      </c>
      <c r="J6" s="380" t="n">
        <f aca="false">IF($C$5&lt;12,IF(J$3&gt;PPATerm+1,0,IF(J$3=PPATerm+1,12-$C$5,J$5)),IF(J$3&lt;PPATerm+1,J$5,0))</f>
        <v>0</v>
      </c>
      <c r="K6" s="380" t="n">
        <f aca="false">IF($C$5&lt;12,IF(K$3&gt;PPATerm+1,0,IF(K$3=PPATerm+1,12-$C$5,K$5)),IF(K$3&lt;PPATerm+1,K$5,0))</f>
        <v>0</v>
      </c>
      <c r="L6" s="380" t="n">
        <f aca="false">IF($C$5&lt;12,IF(L$3&gt;PPATerm+1,0,IF(L$3=PPATerm+1,12-$C$5,L$5)),IF(L$3&lt;PPATerm+1,L$5,0))</f>
        <v>0</v>
      </c>
      <c r="M6" s="380" t="n">
        <f aca="false">IF($C$5&lt;12,IF(M$3&gt;PPATerm+1,0,IF(M$3=PPATerm+1,12-$C$5,M$5)),IF(M$3&lt;PPATerm+1,M$5,0))</f>
        <v>0</v>
      </c>
      <c r="N6" s="380" t="n">
        <f aca="false">IF($C$5&lt;12,IF(N$3&gt;PPATerm+1,0,IF(N$3=PPATerm+1,12-$C$5,N$5)),IF(N$3&lt;PPATerm+1,N$5,0))</f>
        <v>0</v>
      </c>
      <c r="O6" s="380" t="n">
        <f aca="false">IF($C$5&lt;12,IF(O$3&gt;PPATerm+1,0,IF(O$3=PPATerm+1,12-$C$5,O$5)),IF(O$3&lt;PPATerm+1,O$5,0))</f>
        <v>0</v>
      </c>
      <c r="P6" s="380" t="n">
        <f aca="false">IF($C$5&lt;12,IF(P$3&gt;PPATerm+1,0,IF(P$3=PPATerm+1,12-$C$5,P$5)),IF(P$3&lt;PPATerm+1,P$5,0))</f>
        <v>0</v>
      </c>
      <c r="Q6" s="380" t="n">
        <f aca="false">IF($C$5&lt;12,IF(Q$3&gt;PPATerm+1,0,IF(Q$3=PPATerm+1,12-$C$5,Q$5)),IF(Q$3&lt;PPATerm+1,Q$5,0))</f>
        <v>0</v>
      </c>
      <c r="R6" s="380" t="n">
        <f aca="false">IF($C$5&lt;12,IF(R$3&gt;PPATerm+1,0,IF(R$3=PPATerm+1,12-$C$5,R$5)),IF(R$3&lt;PPATerm+1,R$5,0))</f>
        <v>0</v>
      </c>
      <c r="S6" s="380" t="n">
        <f aca="false">IF($C$5&lt;12,IF(S$3&gt;PPATerm+1,0,IF(S$3=PPATerm+1,12-$C$5,S$5)),IF(S$3&lt;PPATerm+1,S$5,0))</f>
        <v>0</v>
      </c>
      <c r="T6" s="380" t="n">
        <f aca="false">IF($C$5&lt;12,IF(T$3&gt;PPATerm+1,0,IF(T$3=PPATerm+1,12-$C$5,T$5)),IF(T$3&lt;PPATerm+1,T$5,0))</f>
        <v>0</v>
      </c>
      <c r="U6" s="380" t="n">
        <f aca="false">IF($C$5&lt;12,IF(U$3&gt;PPATerm+1,0,IF(U$3=PPATerm+1,12-$C$5,U$5)),IF(U$3&lt;PPATerm+1,U$5,0))</f>
        <v>0</v>
      </c>
      <c r="V6" s="380" t="n">
        <f aca="false">IF($C$5&lt;12,IF(V$3&gt;PPATerm+1,0,IF(V$3=PPATerm+1,12-$C$5,V$5)),IF(V$3&lt;PPATerm+1,V$5,0))</f>
        <v>0</v>
      </c>
      <c r="W6" s="380" t="n">
        <f aca="false">IF($C$5&lt;12,IF(W$3&gt;PPATerm+1,0,IF(W$3=PPATerm+1,12-$C$5,W$5)),IF(W$3&lt;PPATerm+1,W$5,0))</f>
        <v>0</v>
      </c>
      <c r="X6" s="380" t="n">
        <f aca="false">IF($C$5&lt;12,IF(X$3&gt;PPATerm+1,0,IF(X$3=PPATerm+1,12-$C$5,X$5)),IF(X$3&lt;PPATerm+1,X$5,0))</f>
        <v>0</v>
      </c>
      <c r="Y6" s="380" t="n">
        <f aca="false">IF($C$5&lt;12,IF(Y$3&gt;PPATerm+1,0,IF(Y$3=PPATerm+1,12-$C$5,Y$5)),IF(Y$3&lt;PPATerm+1,Y$5,0))</f>
        <v>0</v>
      </c>
      <c r="Z6" s="380" t="n">
        <f aca="false">IF($C$5&lt;12,IF(Z$3&gt;PPATerm+1,0,IF(Z$3=PPATerm+1,12-$C$5,Z$5)),IF(Z$3&lt;PPATerm+1,Z$5,0))</f>
        <v>0</v>
      </c>
      <c r="AA6" s="382" t="n">
        <f aca="false">IF($C$5&lt;12,IF(AA$3&gt;PPATerm+1,0,IF(AA$3=PPATerm+1,12-$C$5,AA$5)),IF(AA$3&lt;PPATerm+1,AA$5,0))</f>
        <v>0</v>
      </c>
      <c r="AB6" s="1"/>
      <c r="AC6" s="1"/>
      <c r="AD6" s="1"/>
      <c r="AE6" s="1"/>
      <c r="AF6" s="1"/>
      <c r="AG6" s="1"/>
      <c r="AH6" s="1"/>
      <c r="AI6" s="1"/>
    </row>
    <row r="7" customFormat="false" ht="12.6" hidden="false" customHeight="true" outlineLevel="0" collapsed="false">
      <c r="A7" s="383" t="s">
        <v>347</v>
      </c>
      <c r="B7" s="378"/>
      <c r="C7" s="380" t="n">
        <f aca="false">C5-C6</f>
        <v>0</v>
      </c>
      <c r="D7" s="380" t="n">
        <f aca="false">D5-D6</f>
        <v>0</v>
      </c>
      <c r="E7" s="380" t="n">
        <f aca="false">E5-E6</f>
        <v>0</v>
      </c>
      <c r="F7" s="380" t="n">
        <f aca="false">F5-F6</f>
        <v>7</v>
      </c>
      <c r="G7" s="380" t="n">
        <f aca="false">G5-G6</f>
        <v>12</v>
      </c>
      <c r="H7" s="380" t="n">
        <f aca="false">H5-H6</f>
        <v>12</v>
      </c>
      <c r="I7" s="380" t="n">
        <f aca="false">I5-I6</f>
        <v>12</v>
      </c>
      <c r="J7" s="380" t="n">
        <f aca="false">J5-J6</f>
        <v>12</v>
      </c>
      <c r="K7" s="380" t="n">
        <f aca="false">K5-K6</f>
        <v>12</v>
      </c>
      <c r="L7" s="380" t="n">
        <f aca="false">L5-L6</f>
        <v>12</v>
      </c>
      <c r="M7" s="380" t="n">
        <f aca="false">M5-M6</f>
        <v>12</v>
      </c>
      <c r="N7" s="380" t="n">
        <f aca="false">N5-N6</f>
        <v>12</v>
      </c>
      <c r="O7" s="380" t="n">
        <f aca="false">O5-O6</f>
        <v>12</v>
      </c>
      <c r="P7" s="380" t="n">
        <f aca="false">P5-P6</f>
        <v>12</v>
      </c>
      <c r="Q7" s="380" t="n">
        <f aca="false">Q5-Q6</f>
        <v>12</v>
      </c>
      <c r="R7" s="380" t="n">
        <f aca="false">R5-R6</f>
        <v>12</v>
      </c>
      <c r="S7" s="380" t="n">
        <f aca="false">S5-S6</f>
        <v>12</v>
      </c>
      <c r="T7" s="380" t="n">
        <f aca="false">T5-T6</f>
        <v>12</v>
      </c>
      <c r="U7" s="380" t="n">
        <f aca="false">U5-U6</f>
        <v>12</v>
      </c>
      <c r="V7" s="380" t="n">
        <f aca="false">V5-V6</f>
        <v>12</v>
      </c>
      <c r="W7" s="381" t="n">
        <v>5</v>
      </c>
      <c r="X7" s="380" t="n">
        <f aca="false">X5-X6</f>
        <v>0</v>
      </c>
      <c r="Y7" s="380" t="n">
        <f aca="false">Y5-Y6</f>
        <v>0</v>
      </c>
      <c r="Z7" s="380" t="n">
        <f aca="false">Z5-Z6</f>
        <v>0</v>
      </c>
      <c r="AA7" s="382" t="n">
        <f aca="false">AA5-AA6</f>
        <v>0</v>
      </c>
      <c r="AB7" s="1"/>
      <c r="AC7" s="1"/>
      <c r="AD7" s="1"/>
      <c r="AE7" s="1"/>
      <c r="AF7" s="1"/>
      <c r="AG7" s="1"/>
      <c r="AH7" s="1"/>
      <c r="AI7" s="1"/>
    </row>
    <row r="8" customFormat="false" ht="12.6" hidden="false" customHeight="true" outlineLevel="0" collapsed="false">
      <c r="A8" s="383" t="s">
        <v>348</v>
      </c>
      <c r="B8" s="378"/>
      <c r="C8" s="384" t="n">
        <f aca="false">IF(C5=0,0,PPACAPACITY/NetMW*(C6/C5))</f>
        <v>1</v>
      </c>
      <c r="D8" s="384" t="n">
        <f aca="false">IF(D5=0,0,PPACAPACITY/NetMW*(D6/D5))</f>
        <v>1</v>
      </c>
      <c r="E8" s="384" t="n">
        <f aca="false">IF(E5=0,0,PPACAPACITY/NetMW*(E6/E5))</f>
        <v>1</v>
      </c>
      <c r="F8" s="384" t="n">
        <f aca="false">IF(F5=0,0,PPACAPACITY/NetMW*(F6/F5))</f>
        <v>0.416666666666667</v>
      </c>
      <c r="G8" s="384" t="n">
        <f aca="false">IF(G5=0,0,PPACAPACITY/NetMW*(G6/G5))</f>
        <v>0</v>
      </c>
      <c r="H8" s="384" t="n">
        <f aca="false">IF(H5=0,0,PPACAPACITY/NetMW*(H6/H5))</f>
        <v>0</v>
      </c>
      <c r="I8" s="384" t="n">
        <f aca="false">IF(I5=0,0,PPACAPACITY/NetMW*(I6/I5))</f>
        <v>0</v>
      </c>
      <c r="J8" s="384" t="n">
        <f aca="false">IF(J5=0,0,PPACAPACITY/NetMW*(J6/J5))</f>
        <v>0</v>
      </c>
      <c r="K8" s="384" t="n">
        <f aca="false">IF(K5=0,0,PPACAPACITY/NetMW*(K6/K5))</f>
        <v>0</v>
      </c>
      <c r="L8" s="384" t="n">
        <f aca="false">IF(L5=0,0,PPACAPACITY/NetMW*(L6/L5))</f>
        <v>0</v>
      </c>
      <c r="M8" s="384" t="n">
        <f aca="false">IF(M5=0,0,PPACAPACITY/NetMW*(M6/M5))</f>
        <v>0</v>
      </c>
      <c r="N8" s="384" t="n">
        <f aca="false">IF(N5=0,0,PPACAPACITY/NetMW*(N6/N5))</f>
        <v>0</v>
      </c>
      <c r="O8" s="384" t="n">
        <f aca="false">IF(O5=0,0,PPACAPACITY/NetMW*(O6/O5))</f>
        <v>0</v>
      </c>
      <c r="P8" s="384" t="n">
        <f aca="false">IF(P5=0,0,PPACAPACITY/NetMW*(P6/P5))</f>
        <v>0</v>
      </c>
      <c r="Q8" s="384" t="n">
        <f aca="false">IF(Q5=0,0,PPACAPACITY/NetMW*(Q6/Q5))</f>
        <v>0</v>
      </c>
      <c r="R8" s="384" t="n">
        <f aca="false">IF(R5=0,0,PPACAPACITY/NetMW*(R6/R5))</f>
        <v>0</v>
      </c>
      <c r="S8" s="384" t="n">
        <f aca="false">IF(S5=0,0,PPACAPACITY/NetMW*(S6/S5))</f>
        <v>0</v>
      </c>
      <c r="T8" s="384" t="n">
        <f aca="false">IF(T5=0,0,PPACAPACITY/NetMW*(T6/T5))</f>
        <v>0</v>
      </c>
      <c r="U8" s="384" t="n">
        <f aca="false">IF(U5=0,0,PPACAPACITY/NetMW*(U6/U5))</f>
        <v>0</v>
      </c>
      <c r="V8" s="384" t="n">
        <f aca="false">IF(V5=0,0,PPACAPACITY/NetMW*(V6/V5))</f>
        <v>0</v>
      </c>
      <c r="W8" s="384" t="n">
        <f aca="false">IF(W5=0,0,PPACAPACITY/NetMW*(W6/W5))</f>
        <v>0</v>
      </c>
      <c r="X8" s="384" t="n">
        <f aca="false">IF(X5=0,0,PPACAPACITY/NetMW*(X6/X5))</f>
        <v>0</v>
      </c>
      <c r="Y8" s="384" t="n">
        <f aca="false">IF(Y5=0,0,PPACAPACITY/NetMW*(Y6/Y5))</f>
        <v>0</v>
      </c>
      <c r="Z8" s="384" t="n">
        <f aca="false">IF(Z5=0,0,PPACAPACITY/NetMW*(Z6/Z5))</f>
        <v>0</v>
      </c>
      <c r="AA8" s="385" t="n">
        <f aca="false">IF(AA5=0,0,PPACAPACITY/NetMW*(AA6/AA5))</f>
        <v>0</v>
      </c>
      <c r="AB8" s="1"/>
      <c r="AC8" s="1"/>
      <c r="AD8" s="1"/>
      <c r="AE8" s="1"/>
      <c r="AF8" s="1"/>
      <c r="AG8" s="1"/>
      <c r="AH8" s="1"/>
      <c r="AI8" s="1"/>
    </row>
    <row r="9" customFormat="false" ht="17.25" hidden="false" customHeight="true" outlineLevel="1" collapsed="false">
      <c r="A9" s="386" t="s">
        <v>349</v>
      </c>
      <c r="B9" s="387" t="s">
        <v>350</v>
      </c>
      <c r="C9" s="388" t="str">
        <f aca="false">IF(C5=0,"",IF(C7=0,"PPA",IF(C6=0,"MERCH.","BLENDED")))</f>
        <v>PPA</v>
      </c>
      <c r="D9" s="388" t="str">
        <f aca="false">IF(D5=0,"",IF(D7=0,"PPA",IF(D6=0,"MERCH.","BLENDED")))</f>
        <v>PPA</v>
      </c>
      <c r="E9" s="388" t="str">
        <f aca="false">IF(E5=0,"",IF(E7=0,"PPA",IF(E6=0,"MERCH.","BLENDED")))</f>
        <v>PPA</v>
      </c>
      <c r="F9" s="388" t="str">
        <f aca="false">IF(F5=0,"",IF(F7=0,"PPA",IF(F6=0,"MERCH.","BLENDED")))</f>
        <v>BLENDED</v>
      </c>
      <c r="G9" s="388" t="str">
        <f aca="false">IF(G5=0,"",IF(G7=0,"PPA",IF(G6=0,"MERCH.","BLENDED")))</f>
        <v>MERCH.</v>
      </c>
      <c r="H9" s="388" t="str">
        <f aca="false">IF(H5=0,"",IF(H7=0,"PPA",IF(H6=0,"MERCH.","BLENDED")))</f>
        <v>MERCH.</v>
      </c>
      <c r="I9" s="388" t="str">
        <f aca="false">IF(I5=0,"",IF(I7=0,"PPA",IF(I6=0,"MERCH.","BLENDED")))</f>
        <v>MERCH.</v>
      </c>
      <c r="J9" s="388" t="str">
        <f aca="false">IF(J5=0,"",IF(J7=0,"PPA",IF(J6=0,"MERCH.","BLENDED")))</f>
        <v>MERCH.</v>
      </c>
      <c r="K9" s="388" t="str">
        <f aca="false">IF(K5=0,"",IF(K7=0,"PPA",IF(K6=0,"MERCH.","BLENDED")))</f>
        <v>MERCH.</v>
      </c>
      <c r="L9" s="388" t="str">
        <f aca="false">IF(L5=0,"",IF(L7=0,"PPA",IF(L6=0,"MERCH.","BLENDED")))</f>
        <v>MERCH.</v>
      </c>
      <c r="M9" s="388" t="str">
        <f aca="false">IF(M5=0,"",IF(M7=0,"PPA",IF(M6=0,"MERCH.","BLENDED")))</f>
        <v>MERCH.</v>
      </c>
      <c r="N9" s="388" t="str">
        <f aca="false">IF(N5=0,"",IF(N7=0,"PPA",IF(N6=0,"MERCH.","BLENDED")))</f>
        <v>MERCH.</v>
      </c>
      <c r="O9" s="388" t="str">
        <f aca="false">IF(O5=0,"",IF(O7=0,"PPA",IF(O6=0,"MERCH.","BLENDED")))</f>
        <v>MERCH.</v>
      </c>
      <c r="P9" s="388" t="str">
        <f aca="false">IF(P5=0,"",IF(P7=0,"PPA",IF(P6=0,"MERCH.","BLENDED")))</f>
        <v>MERCH.</v>
      </c>
      <c r="Q9" s="388" t="str">
        <f aca="false">IF(Q5=0,"",IF(Q7=0,"PPA",IF(Q6=0,"MERCH.","BLENDED")))</f>
        <v>MERCH.</v>
      </c>
      <c r="R9" s="388" t="str">
        <f aca="false">IF(R5=0,"",IF(R7=0,"PPA",IF(R6=0,"MERCH.","BLENDED")))</f>
        <v>MERCH.</v>
      </c>
      <c r="S9" s="388" t="str">
        <f aca="false">IF(S5=0,"",IF(S7=0,"PPA",IF(S6=0,"MERCH.","BLENDED")))</f>
        <v>MERCH.</v>
      </c>
      <c r="T9" s="388" t="str">
        <f aca="false">IF(T5=0,"",IF(T7=0,"PPA",IF(T6=0,"MERCH.","BLENDED")))</f>
        <v>MERCH.</v>
      </c>
      <c r="U9" s="388" t="str">
        <f aca="false">IF(U5=0,"",IF(U7=0,"PPA",IF(U6=0,"MERCH.","BLENDED")))</f>
        <v>MERCH.</v>
      </c>
      <c r="V9" s="388" t="str">
        <f aca="false">IF(V5=0,"",IF(V7=0,"PPA",IF(V6=0,"MERCH.","BLENDED")))</f>
        <v>MERCH.</v>
      </c>
      <c r="W9" s="388" t="str">
        <f aca="false">IF(W5=0,"",IF(W7=0,"PPA",IF(W6=0,"MERCH.","BLENDED")))</f>
        <v>MERCH.</v>
      </c>
      <c r="X9" s="388" t="str">
        <f aca="false">IF(X5=0,"",IF(X7=0,"PPA",IF(X6=0,"MERCH.","BLENDED")))</f>
        <v/>
      </c>
      <c r="Y9" s="388" t="str">
        <f aca="false">IF(Y5=0,"",IF(Y7=0,"PPA",IF(Y6=0,"MERCH.","BLENDED")))</f>
        <v/>
      </c>
      <c r="Z9" s="388" t="str">
        <f aca="false">IF(Z5=0,"",IF(Z7=0,"PPA",IF(Z6=0,"MERCH.","BLENDED")))</f>
        <v/>
      </c>
      <c r="AA9" s="389" t="str">
        <f aca="false">IF(AA5=0,"",IF(AA7=0,"PPA",IF(AA6=0,"MERCH.","BLENDED")))</f>
        <v/>
      </c>
      <c r="AB9" s="1"/>
      <c r="AC9" s="1"/>
      <c r="AD9" s="1"/>
      <c r="AE9" s="1"/>
      <c r="AF9" s="1"/>
      <c r="AG9" s="1"/>
      <c r="AH9" s="1"/>
      <c r="AI9" s="1"/>
    </row>
    <row r="10" customFormat="false" ht="12.6" hidden="false" customHeight="true" outlineLevel="1" collapsed="false">
      <c r="A10" s="20"/>
      <c r="B10" s="1"/>
      <c r="C10" s="390"/>
      <c r="D10" s="390"/>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1"/>
      <c r="AC10" s="1"/>
      <c r="AD10" s="1"/>
      <c r="AE10" s="1"/>
      <c r="AF10" s="1"/>
      <c r="AG10" s="1"/>
      <c r="AH10" s="1"/>
      <c r="AI10" s="1"/>
    </row>
    <row r="11" customFormat="false" ht="12.6" hidden="false" customHeight="true" outlineLevel="1" collapsed="false">
      <c r="A11" s="373" t="s">
        <v>351</v>
      </c>
      <c r="B11" s="374"/>
      <c r="C11" s="391" t="n">
        <f aca="false">IF('Project Assumtions'!$C$77="Yes",C26,C24)</f>
        <v>29.3375</v>
      </c>
      <c r="D11" s="391" t="n">
        <f aca="false">IF('Project Assumtions'!$C$77="Yes",D26,D24)</f>
        <v>29.3375</v>
      </c>
      <c r="E11" s="391" t="n">
        <f aca="false">IF('Project Assumtions'!$C$77="Yes",E26,E24)</f>
        <v>29.3375</v>
      </c>
      <c r="F11" s="391" t="n">
        <f aca="false">IF('Project Assumtions'!$C$77="Yes",F26,F24)</f>
        <v>29.3375</v>
      </c>
      <c r="G11" s="391" t="n">
        <f aca="false">IF('Project Assumtions'!$C$77="Yes",G26,G24)</f>
        <v>29.3375</v>
      </c>
      <c r="H11" s="391" t="n">
        <f aca="false">IF('Project Assumtions'!$C$77="Yes",H26,H24)</f>
        <v>29.3375</v>
      </c>
      <c r="I11" s="391" t="n">
        <f aca="false">IF('Project Assumtions'!$C$77="Yes",I26,I24)</f>
        <v>29.3375</v>
      </c>
      <c r="J11" s="391" t="n">
        <f aca="false">IF('Project Assumtions'!$C$77="Yes",J26,J24)</f>
        <v>29.3375</v>
      </c>
      <c r="K11" s="391" t="n">
        <f aca="false">IF('Project Assumtions'!$C$77="Yes",K26,K24)</f>
        <v>29.3375</v>
      </c>
      <c r="L11" s="391" t="n">
        <f aca="false">IF('Project Assumtions'!$C$77="Yes",L26,L24)</f>
        <v>29.3375</v>
      </c>
      <c r="M11" s="391" t="n">
        <f aca="false">IF('Project Assumtions'!$C$77="Yes",M26,M24)</f>
        <v>29.3375</v>
      </c>
      <c r="N11" s="391" t="n">
        <f aca="false">IF('Project Assumtions'!$C$77="Yes",N26,N24)</f>
        <v>29.3375</v>
      </c>
      <c r="O11" s="391" t="n">
        <f aca="false">IF('Project Assumtions'!$C$77="Yes",O26,O24)</f>
        <v>29.3375</v>
      </c>
      <c r="P11" s="391" t="n">
        <f aca="false">IF('Project Assumtions'!$C$77="Yes",P26,P24)</f>
        <v>29.3375</v>
      </c>
      <c r="Q11" s="391" t="n">
        <f aca="false">IF('Project Assumtions'!$C$77="Yes",Q26,Q24)</f>
        <v>29.3375</v>
      </c>
      <c r="R11" s="391" t="n">
        <f aca="false">IF('Project Assumtions'!$C$77="Yes",R26,R24)</f>
        <v>29.3375</v>
      </c>
      <c r="S11" s="391" t="n">
        <f aca="false">IF('Project Assumtions'!$C$77="Yes",S26,S24)</f>
        <v>29.3375</v>
      </c>
      <c r="T11" s="391" t="n">
        <f aca="false">IF('Project Assumtions'!$C$77="Yes",T26,T24)</f>
        <v>29.3375</v>
      </c>
      <c r="U11" s="391" t="n">
        <f aca="false">IF('Project Assumtions'!$C$77="Yes",U26,U24)</f>
        <v>29.3375</v>
      </c>
      <c r="V11" s="391" t="n">
        <f aca="false">IF('Project Assumtions'!$C$77="Yes",V26,V24)</f>
        <v>29.3375</v>
      </c>
      <c r="W11" s="391" t="n">
        <f aca="false">IF('Project Assumtions'!$C$77="Yes",W26,W24)</f>
        <v>29.3375</v>
      </c>
      <c r="X11" s="391" t="n">
        <f aca="false">IF('Project Assumtions'!$C$77="Yes",X26,X24)</f>
        <v>0</v>
      </c>
      <c r="Y11" s="391" t="n">
        <f aca="false">IF('Project Assumtions'!$C$77="Yes",Y26,Y24)</f>
        <v>0</v>
      </c>
      <c r="Z11" s="391" t="n">
        <f aca="false">IF('Project Assumtions'!$C$77="Yes",Z26,Z24)</f>
        <v>0</v>
      </c>
      <c r="AA11" s="392" t="n">
        <f aca="false">IF('Project Assumtions'!$C$77="Yes",AA26,AA24)</f>
        <v>0</v>
      </c>
      <c r="AB11" s="1"/>
      <c r="AC11" s="1"/>
      <c r="AD11" s="1"/>
      <c r="AE11" s="1"/>
      <c r="AF11" s="1"/>
      <c r="AG11" s="1"/>
      <c r="AH11" s="1"/>
      <c r="AI11" s="1"/>
    </row>
    <row r="12" customFormat="false" ht="12.6" hidden="false" customHeight="true" outlineLevel="1" collapsed="false">
      <c r="A12" s="393" t="s">
        <v>352</v>
      </c>
      <c r="B12" s="378"/>
      <c r="C12" s="369" t="n">
        <f aca="false">IF(C6=0,0,PPA_Price)</f>
        <v>4</v>
      </c>
      <c r="D12" s="369" t="n">
        <f aca="false">IF(D6=0,0,PPA_Price)</f>
        <v>4</v>
      </c>
      <c r="E12" s="369" t="n">
        <f aca="false">IF(E6=0,0,PPA_Price)</f>
        <v>4</v>
      </c>
      <c r="F12" s="369" t="n">
        <f aca="false">IF(F6=0,0,PPA_Price)</f>
        <v>4</v>
      </c>
      <c r="G12" s="369" t="n">
        <f aca="false">IF(G6=0,0,PPA_Price)</f>
        <v>0</v>
      </c>
      <c r="H12" s="369" t="n">
        <f aca="false">IF(H6=0,0,PPA_Price)</f>
        <v>0</v>
      </c>
      <c r="I12" s="369" t="n">
        <f aca="false">IF(I6=0,0,PPA_Price)</f>
        <v>0</v>
      </c>
      <c r="J12" s="369" t="n">
        <f aca="false">IF(J6=0,0,PPA_Price)</f>
        <v>0</v>
      </c>
      <c r="K12" s="369" t="n">
        <f aca="false">IF(K6=0,0,PPA_Price)</f>
        <v>0</v>
      </c>
      <c r="L12" s="369" t="n">
        <f aca="false">IF(L6=0,0,PPA_Price)</f>
        <v>0</v>
      </c>
      <c r="M12" s="369" t="n">
        <f aca="false">IF(M6=0,0,PPA_Price)</f>
        <v>0</v>
      </c>
      <c r="N12" s="369" t="n">
        <f aca="false">IF(N6=0,0,PPA_Price)</f>
        <v>0</v>
      </c>
      <c r="O12" s="369" t="n">
        <f aca="false">IF(O6=0,0,PPA_Price)</f>
        <v>0</v>
      </c>
      <c r="P12" s="369" t="n">
        <f aca="false">IF(P6=0,0,PPA_Price)</f>
        <v>0</v>
      </c>
      <c r="Q12" s="369" t="n">
        <f aca="false">IF(Q6=0,0,PPA_Price)</f>
        <v>0</v>
      </c>
      <c r="R12" s="369" t="n">
        <f aca="false">IF(R6=0,0,PPA_Price)</f>
        <v>0</v>
      </c>
      <c r="S12" s="369" t="n">
        <f aca="false">IF(S6=0,0,PPA_Price)</f>
        <v>0</v>
      </c>
      <c r="T12" s="369" t="n">
        <f aca="false">IF(T6=0,0,PPA_Price)</f>
        <v>0</v>
      </c>
      <c r="U12" s="369" t="n">
        <f aca="false">IF(U6=0,0,PPA_Price)</f>
        <v>0</v>
      </c>
      <c r="V12" s="369" t="n">
        <f aca="false">IF(V6=0,0,PPA_Price)</f>
        <v>0</v>
      </c>
      <c r="W12" s="369" t="n">
        <f aca="false">IF(W6=0,0,PPA_Price)</f>
        <v>0</v>
      </c>
      <c r="X12" s="369" t="n">
        <f aca="false">IF(X6=0,0,PPA_Price)</f>
        <v>0</v>
      </c>
      <c r="Y12" s="369" t="n">
        <f aca="false">IF(Y6=0,0,PPA_Price)</f>
        <v>0</v>
      </c>
      <c r="Z12" s="369" t="n">
        <f aca="false">IF(Z6=0,0,PPA_Price)</f>
        <v>0</v>
      </c>
      <c r="AA12" s="394" t="n">
        <f aca="false">IF(AA6=0,0,PPA_Price)</f>
        <v>0</v>
      </c>
      <c r="AB12" s="1"/>
      <c r="AC12" s="1"/>
      <c r="AD12" s="1"/>
      <c r="AE12" s="1"/>
      <c r="AF12" s="1"/>
      <c r="AG12" s="1"/>
      <c r="AH12" s="1"/>
      <c r="AI12" s="1"/>
    </row>
    <row r="13" customFormat="false" ht="12.6" hidden="false" customHeight="true" outlineLevel="1" collapsed="false">
      <c r="A13" s="393" t="s">
        <v>353</v>
      </c>
      <c r="B13" s="378"/>
      <c r="C13" s="369" t="n">
        <f aca="false">IF(C7=0,0,CHOOSE('Project Assumtions'!$C$74,C65,C66,C67,C68))</f>
        <v>0</v>
      </c>
      <c r="D13" s="369" t="n">
        <f aca="false">IF(D7=0,0,CHOOSE('Project Assumtions'!$C$74,D65,D66,D67,D68))</f>
        <v>0</v>
      </c>
      <c r="E13" s="369" t="n">
        <f aca="false">IF(E7=0,0,CHOOSE('Project Assumtions'!$C$74,E65,E66,E67,E68))</f>
        <v>0</v>
      </c>
      <c r="F13" s="369" t="n">
        <f aca="false">IF(F7=0,0,CHOOSE('Project Assumtions'!$C$74,F65,F66,F67,F68))</f>
        <v>6.27940123579167</v>
      </c>
      <c r="G13" s="369" t="n">
        <f aca="false">IF(G7=0,0,CHOOSE('Project Assumtions'!$C$74,G65,G66,G67,G68))</f>
        <v>6.46778327286542</v>
      </c>
      <c r="H13" s="369" t="n">
        <f aca="false">IF(H7=0,0,CHOOSE('Project Assumtions'!$C$74,H65,H66,H67,H68))</f>
        <v>6.66181677105138</v>
      </c>
      <c r="I13" s="369" t="n">
        <f aca="false">IF(I7=0,0,CHOOSE('Project Assumtions'!$C$74,I65,I66,I67,I68))</f>
        <v>6.75610710073395</v>
      </c>
      <c r="J13" s="369" t="n">
        <f aca="false">IF(J7=0,0,CHOOSE('Project Assumtions'!$C$74,J65,J66,J67,J68))</f>
        <v>6.85005921510354</v>
      </c>
      <c r="K13" s="369" t="n">
        <f aca="false">IF(K7=0,0,CHOOSE('Project Assumtions'!$C$74,K65,K66,K67,K68))</f>
        <v>6.94356795994463</v>
      </c>
      <c r="L13" s="369" t="n">
        <f aca="false">IF(L7=0,0,CHOOSE('Project Assumtions'!$C$74,L65,L66,L67,L68))</f>
        <v>7.0365221761826</v>
      </c>
      <c r="M13" s="369" t="n">
        <f aca="false">IF(M7=0,0,CHOOSE('Project Assumtions'!$C$74,M65,M66,M67,M68))</f>
        <v>7.1288044342309</v>
      </c>
      <c r="N13" s="369" t="n">
        <f aca="false">IF(N7=0,0,CHOOSE('Project Assumtions'!$C$74,N65,N66,N67,N68))</f>
        <v>7.22029075780353</v>
      </c>
      <c r="O13" s="369" t="n">
        <f aca="false">IF(O7=0,0,CHOOSE('Project Assumtions'!$C$74,O65,O66,O67,O68))</f>
        <v>7.31085033679971</v>
      </c>
      <c r="P13" s="369" t="n">
        <f aca="false">IF(P7=0,0,CHOOSE('Project Assumtions'!$C$74,P65,P66,P67,P68))</f>
        <v>7.27051461080357</v>
      </c>
      <c r="Q13" s="369" t="n">
        <f aca="false">IF(Q7=0,0,CHOOSE('Project Assumtions'!$C$74,Q65,Q66,Q67,Q68))</f>
        <v>7.35490451253611</v>
      </c>
      <c r="R13" s="369" t="n">
        <f aca="false">IF(R7=0,0,CHOOSE('Project Assumtions'!$C$74,R65,R66,R67,R68))</f>
        <v>7.43781434522288</v>
      </c>
      <c r="S13" s="369" t="n">
        <f aca="false">IF(S7=0,0,CHOOSE('Project Assumtions'!$C$74,S65,S66,S67,S68))</f>
        <v>7.51907935380958</v>
      </c>
      <c r="T13" s="369" t="n">
        <f aca="false">IF(T7=0,0,CHOOSE('Project Assumtions'!$C$74,T65,T66,T67,T68))</f>
        <v>7.59852623000077</v>
      </c>
      <c r="U13" s="369" t="n">
        <f aca="false">IF(U7=0,0,CHOOSE('Project Assumtions'!$C$74,U65,U66,U67,U68))</f>
        <v>7.67597274734501</v>
      </c>
      <c r="V13" s="369" t="n">
        <f aca="false">IF(V7=0,0,CHOOSE('Project Assumtions'!$C$74,V65,V66,V67,V68))</f>
        <v>7.59620283448045</v>
      </c>
      <c r="W13" s="369" t="n">
        <f aca="false">IF(W7=0,0,CHOOSE('Project Assumtions'!$C$74,W65,W66,W67,W68))</f>
        <v>7.66441363544313</v>
      </c>
      <c r="X13" s="369" t="n">
        <f aca="false">IF(X7=0,0,CHOOSE('Project Assumtions'!$C$74,X65,X66,X67,X68))</f>
        <v>0</v>
      </c>
      <c r="Y13" s="369" t="n">
        <f aca="false">IF(Y7=0,0,CHOOSE('Project Assumtions'!$C$74,Y65,Y66,Y67,Y68))</f>
        <v>0</v>
      </c>
      <c r="Z13" s="369" t="n">
        <f aca="false">IF(Z7=0,0,CHOOSE('Project Assumtions'!$C$74,Z65,Z66,Z67,Z68))</f>
        <v>0</v>
      </c>
      <c r="AA13" s="394" t="n">
        <f aca="false">IF(AA7=0,0,CHOOSE('Project Assumtions'!$C$74,AA65,AA66,AA67,AA68))</f>
        <v>0</v>
      </c>
      <c r="AB13" s="1"/>
      <c r="AC13" s="1"/>
      <c r="AD13" s="1"/>
      <c r="AE13" s="1"/>
      <c r="AF13" s="1"/>
      <c r="AG13" s="1"/>
      <c r="AH13" s="1"/>
      <c r="AI13" s="1"/>
    </row>
    <row r="14" customFormat="false" ht="12.6" hidden="false" customHeight="true" outlineLevel="1" collapsed="false">
      <c r="A14" s="393" t="s">
        <v>354</v>
      </c>
      <c r="B14" s="395" t="n">
        <f aca="false">NPV(B15,C14:G14)</f>
        <v>3.604776202345</v>
      </c>
      <c r="C14" s="396" t="n">
        <v>1</v>
      </c>
      <c r="D14" s="397" t="n">
        <f aca="false">C14*(1+'Project Assumtions'!$I$30)</f>
        <v>1</v>
      </c>
      <c r="E14" s="397" t="n">
        <f aca="false">D14*(1+'Project Assumtions'!$I$30)</f>
        <v>1</v>
      </c>
      <c r="F14" s="397" t="n">
        <f aca="false">E14*(1+'Project Assumtions'!$I$30)</f>
        <v>1</v>
      </c>
      <c r="G14" s="397" t="n">
        <f aca="false">F14*(1+'Project Assumtions'!$I$30)</f>
        <v>1</v>
      </c>
      <c r="H14" s="397" t="n">
        <f aca="false">G14*(1+'Project Assumtions'!$I$30)</f>
        <v>1</v>
      </c>
      <c r="I14" s="397" t="n">
        <f aca="false">H14*(1+'Project Assumtions'!$I$30)</f>
        <v>1</v>
      </c>
      <c r="J14" s="397" t="n">
        <f aca="false">I14*(1+'Project Assumtions'!$I$30)</f>
        <v>1</v>
      </c>
      <c r="K14" s="397" t="n">
        <f aca="false">J14*(1+'Project Assumtions'!$I$30)</f>
        <v>1</v>
      </c>
      <c r="L14" s="397" t="n">
        <f aca="false">K14*(1+'Project Assumtions'!$I$30)</f>
        <v>1</v>
      </c>
      <c r="M14" s="397" t="n">
        <f aca="false">L14*(1+'Project Assumtions'!$I$30)</f>
        <v>1</v>
      </c>
      <c r="N14" s="397" t="n">
        <f aca="false">M14*(1+'Project Assumtions'!$I$30)</f>
        <v>1</v>
      </c>
      <c r="O14" s="397" t="n">
        <f aca="false">N14*(1+'Project Assumtions'!$I$30)</f>
        <v>1</v>
      </c>
      <c r="P14" s="397" t="n">
        <f aca="false">O14*(1+'Project Assumtions'!$I$30)</f>
        <v>1</v>
      </c>
      <c r="Q14" s="397" t="n">
        <f aca="false">P14*(1+'Project Assumtions'!$I$30)</f>
        <v>1</v>
      </c>
      <c r="R14" s="397" t="n">
        <f aca="false">Q14*(1+'Project Assumtions'!$I$30)</f>
        <v>1</v>
      </c>
      <c r="S14" s="397" t="n">
        <f aca="false">R14*(1+'Project Assumtions'!$I$30)</f>
        <v>1</v>
      </c>
      <c r="T14" s="397" t="n">
        <f aca="false">S14*(1+'Project Assumtions'!$I$30)</f>
        <v>1</v>
      </c>
      <c r="U14" s="397" t="n">
        <f aca="false">T14*(1+'Project Assumtions'!$I$30)</f>
        <v>1</v>
      </c>
      <c r="V14" s="397" t="n">
        <f aca="false">U14*(1+'Project Assumtions'!$I$30)</f>
        <v>1</v>
      </c>
      <c r="W14" s="397" t="n">
        <f aca="false">V14*(1+'Project Assumtions'!$I$30)</f>
        <v>1</v>
      </c>
      <c r="X14" s="397" t="n">
        <f aca="false">W14*(1+'Project Assumtions'!$I$30)</f>
        <v>1</v>
      </c>
      <c r="Y14" s="397" t="n">
        <f aca="false">X14*(1+'Project Assumtions'!$I$30)</f>
        <v>1</v>
      </c>
      <c r="Z14" s="397" t="n">
        <f aca="false">Y14*(1+'Project Assumtions'!$I$30)</f>
        <v>1</v>
      </c>
      <c r="AA14" s="398" t="n">
        <f aca="false">Z14*(1+'Project Assumtions'!$I$30)</f>
        <v>1</v>
      </c>
      <c r="AB14" s="1"/>
      <c r="AC14" s="1"/>
      <c r="AD14" s="1"/>
      <c r="AE14" s="1"/>
      <c r="AF14" s="1"/>
      <c r="AG14" s="1"/>
      <c r="AH14" s="1"/>
      <c r="AI14" s="1"/>
    </row>
    <row r="15" customFormat="false" ht="12.6" hidden="false" customHeight="true" outlineLevel="1" collapsed="false">
      <c r="A15" s="393" t="s">
        <v>355</v>
      </c>
      <c r="B15" s="399" t="n">
        <v>0.12</v>
      </c>
      <c r="C15" s="400" t="n">
        <v>0</v>
      </c>
      <c r="D15" s="401" t="n">
        <f aca="false">+C15</f>
        <v>0</v>
      </c>
      <c r="E15" s="401" t="n">
        <f aca="false">+D15</f>
        <v>0</v>
      </c>
      <c r="F15" s="401" t="n">
        <f aca="false">+E15</f>
        <v>0</v>
      </c>
      <c r="G15" s="401" t="n">
        <f aca="false">+F15</f>
        <v>0</v>
      </c>
      <c r="H15" s="401" t="n">
        <f aca="false">+G15</f>
        <v>0</v>
      </c>
      <c r="I15" s="401" t="n">
        <f aca="false">+H15</f>
        <v>0</v>
      </c>
      <c r="J15" s="401" t="n">
        <f aca="false">+I15</f>
        <v>0</v>
      </c>
      <c r="K15" s="401" t="n">
        <f aca="false">+J15</f>
        <v>0</v>
      </c>
      <c r="L15" s="401" t="n">
        <f aca="false">+K15</f>
        <v>0</v>
      </c>
      <c r="M15" s="401" t="n">
        <f aca="false">+L15</f>
        <v>0</v>
      </c>
      <c r="N15" s="401" t="n">
        <f aca="false">+M15</f>
        <v>0</v>
      </c>
      <c r="O15" s="401" t="n">
        <f aca="false">+N15</f>
        <v>0</v>
      </c>
      <c r="P15" s="401" t="n">
        <f aca="false">+O15</f>
        <v>0</v>
      </c>
      <c r="Q15" s="401" t="n">
        <f aca="false">+P15</f>
        <v>0</v>
      </c>
      <c r="R15" s="401" t="n">
        <f aca="false">+Q15</f>
        <v>0</v>
      </c>
      <c r="S15" s="401" t="n">
        <f aca="false">+R15</f>
        <v>0</v>
      </c>
      <c r="T15" s="401" t="n">
        <f aca="false">+S15</f>
        <v>0</v>
      </c>
      <c r="U15" s="401" t="n">
        <f aca="false">+T15</f>
        <v>0</v>
      </c>
      <c r="V15" s="401" t="n">
        <f aca="false">+U15</f>
        <v>0</v>
      </c>
      <c r="W15" s="401" t="n">
        <f aca="false">+V15</f>
        <v>0</v>
      </c>
      <c r="X15" s="401" t="n">
        <f aca="false">+W15</f>
        <v>0</v>
      </c>
      <c r="Y15" s="401" t="n">
        <f aca="false">+X15</f>
        <v>0</v>
      </c>
      <c r="Z15" s="401" t="n">
        <f aca="false">+Y15</f>
        <v>0</v>
      </c>
      <c r="AA15" s="402" t="n">
        <f aca="false">+Z15</f>
        <v>0</v>
      </c>
      <c r="AB15" s="1"/>
      <c r="AC15" s="1"/>
      <c r="AD15" s="1"/>
      <c r="AE15" s="1"/>
      <c r="AF15" s="1"/>
      <c r="AG15" s="1"/>
      <c r="AH15" s="1"/>
      <c r="AI15" s="1"/>
    </row>
    <row r="16" customFormat="false" ht="12.6" hidden="false" customHeight="true" outlineLevel="1" collapsed="false">
      <c r="A16" s="393" t="s">
        <v>356</v>
      </c>
      <c r="B16" s="378"/>
      <c r="C16" s="400" t="n">
        <v>0</v>
      </c>
      <c r="D16" s="401" t="n">
        <f aca="false">+C16</f>
        <v>0</v>
      </c>
      <c r="E16" s="401" t="n">
        <f aca="false">+D16</f>
        <v>0</v>
      </c>
      <c r="F16" s="401" t="n">
        <f aca="false">+E16</f>
        <v>0</v>
      </c>
      <c r="G16" s="401" t="n">
        <f aca="false">+F16</f>
        <v>0</v>
      </c>
      <c r="H16" s="401" t="n">
        <f aca="false">+G16</f>
        <v>0</v>
      </c>
      <c r="I16" s="401" t="n">
        <f aca="false">+H16</f>
        <v>0</v>
      </c>
      <c r="J16" s="401" t="n">
        <f aca="false">+I16</f>
        <v>0</v>
      </c>
      <c r="K16" s="401" t="n">
        <f aca="false">+J16</f>
        <v>0</v>
      </c>
      <c r="L16" s="401" t="n">
        <f aca="false">+K16</f>
        <v>0</v>
      </c>
      <c r="M16" s="401" t="n">
        <f aca="false">+L16</f>
        <v>0</v>
      </c>
      <c r="N16" s="401" t="n">
        <f aca="false">+M16</f>
        <v>0</v>
      </c>
      <c r="O16" s="401" t="n">
        <f aca="false">+N16</f>
        <v>0</v>
      </c>
      <c r="P16" s="401" t="n">
        <f aca="false">+O16</f>
        <v>0</v>
      </c>
      <c r="Q16" s="401" t="n">
        <f aca="false">+P16</f>
        <v>0</v>
      </c>
      <c r="R16" s="401" t="n">
        <f aca="false">+Q16</f>
        <v>0</v>
      </c>
      <c r="S16" s="401" t="n">
        <f aca="false">+R16</f>
        <v>0</v>
      </c>
      <c r="T16" s="401" t="n">
        <f aca="false">+S16</f>
        <v>0</v>
      </c>
      <c r="U16" s="401" t="n">
        <f aca="false">+T16</f>
        <v>0</v>
      </c>
      <c r="V16" s="401" t="n">
        <f aca="false">+U16</f>
        <v>0</v>
      </c>
      <c r="W16" s="401" t="n">
        <f aca="false">+V16</f>
        <v>0</v>
      </c>
      <c r="X16" s="401" t="n">
        <f aca="false">+W16</f>
        <v>0</v>
      </c>
      <c r="Y16" s="401" t="n">
        <f aca="false">+X16</f>
        <v>0</v>
      </c>
      <c r="Z16" s="401" t="n">
        <f aca="false">+Y16</f>
        <v>0</v>
      </c>
      <c r="AA16" s="402" t="n">
        <f aca="false">+Z16</f>
        <v>0</v>
      </c>
      <c r="AB16" s="1"/>
      <c r="AC16" s="1"/>
      <c r="AD16" s="1"/>
      <c r="AE16" s="1"/>
      <c r="AF16" s="1"/>
      <c r="AG16" s="1"/>
      <c r="AH16" s="1"/>
      <c r="AI16" s="1"/>
    </row>
    <row r="17" customFormat="false" ht="12.6" hidden="true" customHeight="true" outlineLevel="1" collapsed="false">
      <c r="A17" s="403" t="s">
        <v>357</v>
      </c>
      <c r="B17" s="378"/>
      <c r="C17" s="401"/>
      <c r="D17" s="401"/>
      <c r="E17" s="401"/>
      <c r="F17" s="401"/>
      <c r="G17" s="401"/>
      <c r="H17" s="401"/>
      <c r="I17" s="401"/>
      <c r="J17" s="401"/>
      <c r="K17" s="401"/>
      <c r="L17" s="401"/>
      <c r="M17" s="401"/>
      <c r="N17" s="401"/>
      <c r="O17" s="401"/>
      <c r="P17" s="401"/>
      <c r="Q17" s="401"/>
      <c r="R17" s="401"/>
      <c r="S17" s="404" t="n">
        <v>0</v>
      </c>
      <c r="T17" s="405" t="n">
        <f aca="false">S17</f>
        <v>0</v>
      </c>
      <c r="U17" s="405" t="n">
        <f aca="false">T17</f>
        <v>0</v>
      </c>
      <c r="V17" s="405" t="n">
        <f aca="false">U17</f>
        <v>0</v>
      </c>
      <c r="W17" s="405"/>
      <c r="X17" s="405"/>
      <c r="Y17" s="405"/>
      <c r="Z17" s="405"/>
      <c r="AA17" s="406"/>
      <c r="AB17" s="1"/>
      <c r="AC17" s="1"/>
      <c r="AD17" s="1"/>
      <c r="AE17" s="1"/>
      <c r="AF17" s="1"/>
      <c r="AG17" s="1"/>
      <c r="AH17" s="1"/>
      <c r="AI17" s="1"/>
    </row>
    <row r="18" customFormat="false" ht="12.6" hidden="true" customHeight="true" outlineLevel="1" collapsed="false">
      <c r="A18" s="403" t="s">
        <v>355</v>
      </c>
      <c r="B18" s="378"/>
      <c r="C18" s="401"/>
      <c r="D18" s="401"/>
      <c r="E18" s="401"/>
      <c r="F18" s="401"/>
      <c r="G18" s="401"/>
      <c r="H18" s="401"/>
      <c r="I18" s="401"/>
      <c r="J18" s="401"/>
      <c r="K18" s="401"/>
      <c r="L18" s="401"/>
      <c r="M18" s="401"/>
      <c r="N18" s="401"/>
      <c r="O18" s="401"/>
      <c r="P18" s="401"/>
      <c r="Q18" s="401"/>
      <c r="R18" s="400" t="n">
        <v>0</v>
      </c>
      <c r="S18" s="401" t="n">
        <f aca="false">+R18</f>
        <v>0</v>
      </c>
      <c r="T18" s="401" t="n">
        <f aca="false">+S18</f>
        <v>0</v>
      </c>
      <c r="U18" s="401" t="n">
        <f aca="false">+T18</f>
        <v>0</v>
      </c>
      <c r="V18" s="401" t="n">
        <f aca="false">+U18</f>
        <v>0</v>
      </c>
      <c r="W18" s="401"/>
      <c r="X18" s="401"/>
      <c r="Y18" s="401"/>
      <c r="Z18" s="401"/>
      <c r="AA18" s="402"/>
      <c r="AB18" s="1"/>
      <c r="AC18" s="1"/>
      <c r="AD18" s="1"/>
      <c r="AE18" s="1"/>
      <c r="AF18" s="1"/>
      <c r="AG18" s="1"/>
      <c r="AH18" s="1"/>
      <c r="AI18" s="1"/>
    </row>
    <row r="19" customFormat="false" ht="12.6" hidden="true" customHeight="true" outlineLevel="1" collapsed="false">
      <c r="A19" s="403" t="s">
        <v>356</v>
      </c>
      <c r="B19" s="378"/>
      <c r="C19" s="401"/>
      <c r="D19" s="401"/>
      <c r="E19" s="401"/>
      <c r="F19" s="401"/>
      <c r="G19" s="401"/>
      <c r="H19" s="401"/>
      <c r="I19" s="401"/>
      <c r="J19" s="401"/>
      <c r="K19" s="401"/>
      <c r="L19" s="401"/>
      <c r="M19" s="401"/>
      <c r="N19" s="401"/>
      <c r="O19" s="401"/>
      <c r="P19" s="401"/>
      <c r="Q19" s="401"/>
      <c r="R19" s="400" t="n">
        <v>0</v>
      </c>
      <c r="S19" s="401" t="n">
        <f aca="false">+R19</f>
        <v>0</v>
      </c>
      <c r="T19" s="401" t="n">
        <f aca="false">+S19</f>
        <v>0</v>
      </c>
      <c r="U19" s="401" t="n">
        <f aca="false">+T19</f>
        <v>0</v>
      </c>
      <c r="V19" s="401" t="n">
        <f aca="false">+U19</f>
        <v>0</v>
      </c>
      <c r="W19" s="401"/>
      <c r="X19" s="401"/>
      <c r="Y19" s="401"/>
      <c r="Z19" s="401"/>
      <c r="AA19" s="402"/>
      <c r="AB19" s="1"/>
      <c r="AC19" s="1"/>
      <c r="AD19" s="1"/>
      <c r="AE19" s="1"/>
      <c r="AF19" s="1"/>
      <c r="AG19" s="1"/>
      <c r="AH19" s="1"/>
      <c r="AI19" s="1"/>
    </row>
    <row r="20" customFormat="false" ht="12.6" hidden="false" customHeight="true" outlineLevel="0" collapsed="false">
      <c r="A20" s="403"/>
      <c r="B20" s="378"/>
      <c r="C20" s="401"/>
      <c r="D20" s="401"/>
      <c r="E20" s="401"/>
      <c r="F20" s="401"/>
      <c r="G20" s="401"/>
      <c r="H20" s="401"/>
      <c r="I20" s="401"/>
      <c r="J20" s="401"/>
      <c r="K20" s="401"/>
      <c r="L20" s="401"/>
      <c r="M20" s="401"/>
      <c r="N20" s="401"/>
      <c r="O20" s="401"/>
      <c r="P20" s="401"/>
      <c r="Q20" s="401"/>
      <c r="R20" s="401"/>
      <c r="S20" s="401"/>
      <c r="T20" s="401"/>
      <c r="U20" s="401"/>
      <c r="V20" s="401"/>
      <c r="W20" s="401"/>
      <c r="X20" s="401"/>
      <c r="Y20" s="401"/>
      <c r="Z20" s="401"/>
      <c r="AA20" s="402"/>
      <c r="AB20" s="1"/>
      <c r="AC20" s="1"/>
      <c r="AD20" s="1"/>
      <c r="AE20" s="1"/>
      <c r="AF20" s="1"/>
      <c r="AG20" s="1"/>
      <c r="AH20" s="1"/>
      <c r="AI20" s="1"/>
    </row>
    <row r="21" customFormat="false" ht="15.75" hidden="false" customHeight="false" outlineLevel="0" collapsed="false">
      <c r="A21" s="407" t="s">
        <v>358</v>
      </c>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408"/>
      <c r="AB21" s="378"/>
      <c r="AC21" s="378"/>
      <c r="AD21" s="378"/>
      <c r="AE21" s="378"/>
      <c r="AF21" s="378"/>
      <c r="AG21" s="378"/>
      <c r="AH21" s="378"/>
      <c r="AI21" s="378"/>
    </row>
    <row r="22" customFormat="false" ht="12.6" hidden="false" customHeight="true" outlineLevel="0" collapsed="false">
      <c r="A22" s="409" t="s">
        <v>359</v>
      </c>
      <c r="B22" s="410"/>
      <c r="C22" s="411" t="n">
        <f aca="false">IF(C3&gt;ProjectLife+1,0,('Book Income Statement'!D17/Operations!C30*1000))</f>
        <v>77.0427244174265</v>
      </c>
      <c r="D22" s="411" t="n">
        <f aca="false">IF(D3&gt;ProjectLife+1,0,('Book Income Statement'!E17/Operations!D30*1000))</f>
        <v>74.481360177305</v>
      </c>
      <c r="E22" s="411" t="n">
        <f aca="false">IF(E3&gt;ProjectLife+1,0,('Book Income Statement'!F17/Operations!E30*1000))</f>
        <v>74.6356759826241</v>
      </c>
      <c r="F22" s="411" t="n">
        <f aca="false">IF(F3&gt;ProjectLife+1,0,('Book Income Statement'!G17/Operations!F30*1000))</f>
        <v>85.7399500311076</v>
      </c>
      <c r="G22" s="411" t="n">
        <f aca="false">IF(G3&gt;ProjectLife+1,0,('Book Income Statement'!H17/Operations!G30*1000))</f>
        <v>95.417703171897</v>
      </c>
      <c r="H22" s="411" t="n">
        <f aca="false">IF(H3&gt;ProjectLife+1,0,('Book Income Statement'!I17/Operations!H30*1000))</f>
        <v>97.3995092670539</v>
      </c>
      <c r="I22" s="411" t="n">
        <f aca="false">IF(I3&gt;ProjectLife+1,0,('Book Income Statement'!J17/Operations!I30*1000))</f>
        <v>98.4062406452656</v>
      </c>
      <c r="J22" s="411" t="n">
        <f aca="false">IF(J3&gt;ProjectLife+1,0,('Book Income Statement'!K17/Operations!J30*1000))</f>
        <v>99.4121380978297</v>
      </c>
      <c r="K22" s="411" t="n">
        <f aca="false">IF(K3&gt;ProjectLife+1,0,('Book Income Statement'!L17/Operations!K30*1000))</f>
        <v>100.416245530967</v>
      </c>
      <c r="L22" s="411" t="n">
        <f aca="false">IF(L3&gt;ProjectLife+1,0,('Book Income Statement'!M17/Operations!L30*1000))</f>
        <v>101.417550235804</v>
      </c>
      <c r="M22" s="411" t="n">
        <f aca="false">IF(M3&gt;ProjectLife+1,0,('Book Income Statement'!N17/Operations!M30*1000))</f>
        <v>102.414980351954</v>
      </c>
      <c r="N22" s="411" t="n">
        <f aca="false">IF(N3&gt;ProjectLife+1,0,('Book Income Statement'!O17/Operations!N30*1000))</f>
        <v>103.407402229861</v>
      </c>
      <c r="O22" s="411" t="n">
        <f aca="false">IF(O3&gt;ProjectLife+1,0,('Book Income Statement'!P17/Operations!O30*1000))</f>
        <v>104.393617688125</v>
      </c>
      <c r="P22" s="411" t="n">
        <f aca="false">IF(P3&gt;ProjectLife+1,0,('Book Income Statement'!Q17/Operations!P30*1000))</f>
        <v>104.100021104987</v>
      </c>
      <c r="Q22" s="411" t="n">
        <f aca="false">IF(Q3&gt;ProjectLife+1,0,('Book Income Statement'!R17/Operations!Q30*1000))</f>
        <v>105.031786479539</v>
      </c>
      <c r="R22" s="411" t="n">
        <f aca="false">IF(R3&gt;ProjectLife+1,0,('Book Income Statement'!S17/Operations!R30*1000))</f>
        <v>105.95218950757</v>
      </c>
      <c r="S22" s="411" t="n">
        <f aca="false">IF(S3&gt;ProjectLife+1,0,('Book Income Statement'!T17/Operations!S30*1000))</f>
        <v>106.859709859452</v>
      </c>
      <c r="T22" s="411" t="n">
        <f aca="false">IF(T3&gt;ProjectLife+1,0,('Book Income Statement'!U17/Operations!T30*1000))</f>
        <v>107.752746211889</v>
      </c>
      <c r="U22" s="411" t="n">
        <f aca="false">IF(U3&gt;ProjectLife+1,0,('Book Income Statement'!V17/Operations!U30*1000))</f>
        <v>108.629612756599</v>
      </c>
      <c r="V22" s="411" t="n">
        <f aca="false">IF(V3&gt;ProjectLife+1,0,('Book Income Statement'!W17/Operations!V30*1000))</f>
        <v>107.969295005505</v>
      </c>
      <c r="W22" s="411" t="n">
        <f aca="false">IF(W3&gt;ProjectLife+1,0,('Book Income Statement'!X17/Operations!W30*1000))</f>
        <v>64.9314053447058</v>
      </c>
      <c r="X22" s="411" t="n">
        <f aca="false">IF(X3&gt;ProjectLife+1,0,('Book Income Statement'!Y17/Operations!X30*1000))</f>
        <v>0</v>
      </c>
      <c r="Y22" s="411" t="n">
        <f aca="false">IF(Y3&gt;ProjectLife+1,0,('Book Income Statement'!Z17/Operations!Y30*1000))</f>
        <v>0</v>
      </c>
      <c r="Z22" s="411" t="n">
        <f aca="false">IF(Z3&gt;ProjectLife+1,0,('Book Income Statement'!AA17/Operations!Z30*1000))</f>
        <v>0</v>
      </c>
      <c r="AA22" s="412" t="n">
        <f aca="false">IF(AA3&gt;ProjectLife+1,0,('Book Income Statement'!AB17/Operations!AA30*1000))</f>
        <v>0</v>
      </c>
      <c r="AB22" s="410"/>
      <c r="AC22" s="410"/>
      <c r="AD22" s="410"/>
      <c r="AE22" s="410"/>
      <c r="AF22" s="410"/>
      <c r="AG22" s="410"/>
      <c r="AH22" s="410"/>
      <c r="AI22" s="410"/>
    </row>
    <row r="23" customFormat="false" ht="12.6" hidden="false" customHeight="true" outlineLevel="0" collapsed="false">
      <c r="A23" s="413"/>
      <c r="B23" s="410"/>
      <c r="C23" s="411"/>
      <c r="D23" s="411"/>
      <c r="E23" s="411"/>
      <c r="F23" s="411"/>
      <c r="G23" s="411"/>
      <c r="H23" s="411"/>
      <c r="I23" s="411"/>
      <c r="J23" s="411"/>
      <c r="K23" s="411"/>
      <c r="L23" s="411"/>
      <c r="M23" s="411"/>
      <c r="N23" s="411"/>
      <c r="O23" s="411"/>
      <c r="P23" s="411"/>
      <c r="Q23" s="411"/>
      <c r="R23" s="411"/>
      <c r="S23" s="411"/>
      <c r="T23" s="411"/>
      <c r="U23" s="411"/>
      <c r="V23" s="411"/>
      <c r="W23" s="411"/>
      <c r="X23" s="411"/>
      <c r="Y23" s="411"/>
      <c r="Z23" s="411"/>
      <c r="AA23" s="412"/>
      <c r="AB23" s="410"/>
      <c r="AC23" s="410"/>
      <c r="AD23" s="410"/>
      <c r="AE23" s="410"/>
      <c r="AF23" s="410"/>
      <c r="AG23" s="410"/>
      <c r="AH23" s="410"/>
      <c r="AI23" s="410"/>
    </row>
    <row r="24" customFormat="false" ht="12.6" hidden="false" customHeight="true" outlineLevel="0" collapsed="false">
      <c r="A24" s="409" t="s">
        <v>360</v>
      </c>
      <c r="B24" s="410"/>
      <c r="C24" s="414" t="n">
        <f aca="false">IF(C3&gt;ProjectLife+1,0,IF(Operations!C30=0,0,(Operations!C33*Operations!C43)/Operations!C30*1000))</f>
        <v>29.3375</v>
      </c>
      <c r="D24" s="414" t="n">
        <f aca="false">IF(D3&gt;ProjectLife+1,0,IF(Operations!D30=0,0,(Operations!D33*Operations!D43)/Operations!D30*1000))</f>
        <v>29.3375</v>
      </c>
      <c r="E24" s="414" t="n">
        <f aca="false">IF(E3&gt;ProjectLife+1,0,IF(Operations!E30=0,0,(Operations!E33*Operations!E43)/Operations!E30*1000))</f>
        <v>29.3375</v>
      </c>
      <c r="F24" s="414" t="n">
        <f aca="false">IF(F3&gt;ProjectLife+1,0,IF(Operations!F30=0,0,(Operations!F33*Operations!F43)/Operations!F30*1000))</f>
        <v>29.3375</v>
      </c>
      <c r="G24" s="414" t="n">
        <f aca="false">IF(G3&gt;ProjectLife+1,0,IF(Operations!G30=0,0,(Operations!G33*Operations!G43)/Operations!G30*1000))</f>
        <v>29.3375</v>
      </c>
      <c r="H24" s="414" t="n">
        <f aca="false">IF(H3&gt;ProjectLife+1,0,IF(Operations!H30=0,0,(Operations!H33*Operations!H43)/Operations!H30*1000))</f>
        <v>29.3375</v>
      </c>
      <c r="I24" s="414" t="n">
        <f aca="false">IF(I3&gt;ProjectLife+1,0,IF(Operations!I30=0,0,(Operations!I33*Operations!I43)/Operations!I30*1000))</f>
        <v>29.3375</v>
      </c>
      <c r="J24" s="414" t="n">
        <f aca="false">IF(J3&gt;ProjectLife+1,0,IF(Operations!J30=0,0,(Operations!J33*Operations!J43)/Operations!J30*1000))</f>
        <v>29.3375</v>
      </c>
      <c r="K24" s="414" t="n">
        <f aca="false">IF(K3&gt;ProjectLife+1,0,IF(Operations!K30=0,0,(Operations!K33*Operations!K43)/Operations!K30*1000))</f>
        <v>29.3375</v>
      </c>
      <c r="L24" s="414" t="n">
        <f aca="false">IF(L3&gt;ProjectLife+1,0,IF(Operations!L30=0,0,(Operations!L33*Operations!L43)/Operations!L30*1000))</f>
        <v>29.3375</v>
      </c>
      <c r="M24" s="414" t="n">
        <f aca="false">IF(M3&gt;ProjectLife+1,0,IF(Operations!M30=0,0,(Operations!M33*Operations!M43)/Operations!M30*1000))</f>
        <v>29.3375</v>
      </c>
      <c r="N24" s="414" t="n">
        <f aca="false">IF(N3&gt;ProjectLife+1,0,IF(Operations!N30=0,0,(Operations!N33*Operations!N43)/Operations!N30*1000))</f>
        <v>29.3375</v>
      </c>
      <c r="O24" s="414" t="n">
        <f aca="false">IF(O3&gt;ProjectLife+1,0,IF(Operations!O30=0,0,(Operations!O33*Operations!O43)/Operations!O30*1000))</f>
        <v>29.3375</v>
      </c>
      <c r="P24" s="414" t="n">
        <f aca="false">IF(P3&gt;ProjectLife+1,0,IF(Operations!P30=0,0,(Operations!P33*Operations!P43)/Operations!P30*1000))</f>
        <v>29.3375</v>
      </c>
      <c r="Q24" s="414" t="n">
        <f aca="false">IF(Q3&gt;ProjectLife+1,0,IF(Operations!Q30=0,0,(Operations!Q33*Operations!Q43)/Operations!Q30*1000))</f>
        <v>29.3375</v>
      </c>
      <c r="R24" s="414" t="n">
        <f aca="false">IF(R3&gt;ProjectLife+1,0,IF(Operations!R30=0,0,(Operations!R33*Operations!R43)/Operations!R30*1000))</f>
        <v>29.3375</v>
      </c>
      <c r="S24" s="414" t="n">
        <f aca="false">IF(S3&gt;ProjectLife+1,0,IF(Operations!S30=0,0,(Operations!S33*Operations!S43)/Operations!S30*1000))</f>
        <v>29.3375</v>
      </c>
      <c r="T24" s="414" t="n">
        <f aca="false">IF(T3&gt;ProjectLife+1,0,IF(Operations!T30=0,0,(Operations!T33*Operations!T43)/Operations!T30*1000))</f>
        <v>29.3375</v>
      </c>
      <c r="U24" s="414" t="n">
        <f aca="false">IF(U3&gt;ProjectLife+1,0,IF(Operations!U30=0,0,(Operations!U33*Operations!U43)/Operations!U30*1000))</f>
        <v>29.3375</v>
      </c>
      <c r="V24" s="414" t="n">
        <f aca="false">IF(V3&gt;ProjectLife+1,0,IF(Operations!V30=0,0,(Operations!V33*Operations!V43)/Operations!V30*1000))</f>
        <v>29.3375</v>
      </c>
      <c r="W24" s="414" t="n">
        <f aca="false">IF(W3&gt;ProjectLife+1,0,IF(Operations!W30=0,0,(Operations!W33*Operations!W43)/Operations!W30*1000))</f>
        <v>29.3375</v>
      </c>
      <c r="X24" s="414" t="n">
        <f aca="false">IF(X3&gt;ProjectLife+1,0,IF(Operations!X30=0,0,(Operations!X33*Operations!X43)/Operations!X30*1000))</f>
        <v>0</v>
      </c>
      <c r="Y24" s="414" t="n">
        <f aca="false">IF(Y3&gt;ProjectLife+1,0,IF(Operations!Y30=0,0,(Operations!Y33*Operations!Y43)/Operations!Y30*1000))</f>
        <v>0</v>
      </c>
      <c r="Z24" s="414" t="n">
        <f aca="false">IF(Z3&gt;ProjectLife+1,0,IF(Operations!Z30=0,0,(Operations!Z33*Operations!Z43)/Operations!Z30*1000))</f>
        <v>0</v>
      </c>
      <c r="AA24" s="415" t="n">
        <f aca="false">IF(AA3&gt;ProjectLife+1,0,IF(Operations!AA30=0,0,(Operations!AA33*Operations!AA43)/Operations!AA30*1000))</f>
        <v>0</v>
      </c>
      <c r="AB24" s="410"/>
      <c r="AC24" s="410"/>
      <c r="AD24" s="410"/>
      <c r="AE24" s="410"/>
      <c r="AF24" s="410"/>
      <c r="AG24" s="410"/>
      <c r="AH24" s="410"/>
      <c r="AI24" s="410"/>
    </row>
    <row r="25" customFormat="false" ht="12.6" hidden="false" customHeight="true" outlineLevel="0" collapsed="false">
      <c r="A25" s="409" t="s">
        <v>361</v>
      </c>
      <c r="B25" s="410"/>
      <c r="C25" s="416" t="n">
        <f aca="false">IF(C3&gt;ProjectLife+1,0,IF(Operations!C30=0,0,VEP*((1+VEP_ESCAL)^('PPA Assumptions &amp;Summary'!C4-'Project Assumtions'!$N$6))))</f>
        <v>1.19837943262411</v>
      </c>
      <c r="D25" s="416" t="n">
        <f aca="false">IF(D3&gt;ProjectLife+1,0,IF(Operations!D30=0,0,VEP*((1+VEP_ESCAL)^('PPA Assumptions &amp;Summary'!D4-'Project Assumtions'!$N$6))))</f>
        <v>1.23433081560284</v>
      </c>
      <c r="E25" s="416" t="n">
        <f aca="false">IF(E3&gt;ProjectLife+1,0,IF(Operations!E30=0,0,VEP*((1+VEP_ESCAL)^('PPA Assumptions &amp;Summary'!E4-'Project Assumtions'!$N$6))))</f>
        <v>1.27136074007092</v>
      </c>
      <c r="F25" s="416" t="n">
        <f aca="false">IF(F3&gt;ProjectLife+1,0,IF(Operations!F30=0,0,VEP*((1+VEP_ESCAL)^('PPA Assumptions &amp;Summary'!F4-'Project Assumtions'!$N$6))))</f>
        <v>1.30950156227305</v>
      </c>
      <c r="G25" s="416" t="n">
        <f aca="false">IF(G3&gt;ProjectLife+1,0,IF(Operations!G30=0,0,VEP*((1+VEP_ESCAL)^('PPA Assumptions &amp;Summary'!G4-'Project Assumtions'!$N$6))))</f>
        <v>1.34878660914124</v>
      </c>
      <c r="H25" s="416" t="n">
        <f aca="false">IF(H3&gt;ProjectLife+1,0,IF(Operations!H30=0,0,VEP*((1+VEP_ESCAL)^('PPA Assumptions &amp;Summary'!H4-'Project Assumtions'!$N$6))))</f>
        <v>1.38925020741548</v>
      </c>
      <c r="I25" s="416" t="n">
        <f aca="false">IF(I3&gt;ProjectLife+1,0,IF(Operations!I30=0,0,VEP*((1+VEP_ESCAL)^('PPA Assumptions &amp;Summary'!I4-'Project Assumtions'!$N$6))))</f>
        <v>1.43092771363794</v>
      </c>
      <c r="J25" s="416" t="n">
        <f aca="false">IF(J3&gt;ProjectLife+1,0,IF(Operations!J30=0,0,VEP*((1+VEP_ESCAL)^('PPA Assumptions &amp;Summary'!J4-'Project Assumtions'!$N$6))))</f>
        <v>1.47385554504708</v>
      </c>
      <c r="K25" s="416" t="n">
        <f aca="false">IF(K3&gt;ProjectLife+1,0,IF(Operations!K30=0,0,VEP*((1+VEP_ESCAL)^('PPA Assumptions &amp;Summary'!K4-'Project Assumtions'!$N$6))))</f>
        <v>1.51807121139849</v>
      </c>
      <c r="L25" s="416" t="n">
        <f aca="false">IF(L3&gt;ProjectLife+1,0,IF(Operations!L30=0,0,VEP*((1+VEP_ESCAL)^('PPA Assumptions &amp;Summary'!L4-'Project Assumtions'!$N$6))))</f>
        <v>1.56361334774045</v>
      </c>
      <c r="M25" s="416" t="n">
        <f aca="false">IF(M3&gt;ProjectLife+1,0,IF(Operations!M30=0,0,VEP*((1+VEP_ESCAL)^('PPA Assumptions &amp;Summary'!M4-'Project Assumtions'!$N$6))))</f>
        <v>1.61052174817266</v>
      </c>
      <c r="N25" s="416" t="n">
        <f aca="false">IF(N3&gt;ProjectLife+1,0,IF(Operations!N30=0,0,VEP*((1+VEP_ESCAL)^('PPA Assumptions &amp;Summary'!N4-'Project Assumtions'!$N$6))))</f>
        <v>1.65883740061784</v>
      </c>
      <c r="O25" s="416" t="n">
        <f aca="false">IF(O3&gt;ProjectLife+1,0,IF(Operations!O30=0,0,VEP*((1+VEP_ESCAL)^('PPA Assumptions &amp;Summary'!O4-'Project Assumtions'!$N$6))))</f>
        <v>1.70860252263638</v>
      </c>
      <c r="P25" s="416" t="n">
        <f aca="false">IF(P3&gt;ProjectLife+1,0,IF(Operations!P30=0,0,VEP*((1+VEP_ESCAL)^('PPA Assumptions &amp;Summary'!P4-'Project Assumtions'!$N$6))))</f>
        <v>1.75986059831547</v>
      </c>
      <c r="Q25" s="416" t="n">
        <f aca="false">IF(Q3&gt;ProjectLife+1,0,IF(Operations!Q30=0,0,VEP*((1+VEP_ESCAL)^('PPA Assumptions &amp;Summary'!Q4-'Project Assumtions'!$N$6))))</f>
        <v>1.81265641626493</v>
      </c>
      <c r="R25" s="416" t="n">
        <f aca="false">IF(R3&gt;ProjectLife+1,0,IF(Operations!R30=0,0,VEP*((1+VEP_ESCAL)^('PPA Assumptions &amp;Summary'!R4-'Project Assumtions'!$N$6))))</f>
        <v>1.86703610875288</v>
      </c>
      <c r="S25" s="416" t="n">
        <f aca="false">IF(S3&gt;ProjectLife+1,0,IF(Operations!S30=0,0,VEP*((1+VEP_ESCAL)^('PPA Assumptions &amp;Summary'!S4-'Project Assumtions'!$N$6))))</f>
        <v>1.92304719201547</v>
      </c>
      <c r="T25" s="416" t="n">
        <f aca="false">IF(T3&gt;ProjectLife+1,0,IF(Operations!T30=0,0,VEP*((1+VEP_ESCAL)^('PPA Assumptions &amp;Summary'!T4-'Project Assumtions'!$N$6))))</f>
        <v>1.98073860777593</v>
      </c>
      <c r="U25" s="416" t="n">
        <f aca="false">IF(U3&gt;ProjectLife+1,0,IF(Operations!U30=0,0,VEP*((1+VEP_ESCAL)^('PPA Assumptions &amp;Summary'!U4-'Project Assumtions'!$N$6))))</f>
        <v>2.04016076600921</v>
      </c>
      <c r="V25" s="416" t="n">
        <f aca="false">IF(V3&gt;ProjectLife+1,0,IF(Operations!V30=0,0,VEP*((1+VEP_ESCAL)^('PPA Assumptions &amp;Summary'!V4-'Project Assumtions'!$N$6))))</f>
        <v>2.10136558898949</v>
      </c>
      <c r="W25" s="416" t="n">
        <f aca="false">IF(W3&gt;ProjectLife+1,0,IF(Operations!W30=0,0,VEP*((1+VEP_ESCAL)^('PPA Assumptions &amp;Summary'!W4-'Project Assumtions'!$N$6))))</f>
        <v>2.16440655665917</v>
      </c>
      <c r="X25" s="416" t="n">
        <f aca="false">IF(X3&gt;ProjectLife+1,0,IF(Operations!X30=0,0,VEP*((1+VEP_ESCAL)^('PPA Assumptions &amp;Summary'!X4-'Project Assumtions'!$N$6))))</f>
        <v>0</v>
      </c>
      <c r="Y25" s="416" t="n">
        <f aca="false">IF(Y3&gt;ProjectLife+1,0,IF(Operations!Y30=0,0,VEP*((1+VEP_ESCAL)^('PPA Assumptions &amp;Summary'!Y4-'Project Assumtions'!$N$6))))</f>
        <v>0</v>
      </c>
      <c r="Z25" s="416" t="n">
        <f aca="false">IF(Z3&gt;ProjectLife+1,0,IF(Operations!Z30=0,0,VEP*((1+VEP_ESCAL)^('PPA Assumptions &amp;Summary'!Z4-'Project Assumtions'!$N$6))))</f>
        <v>0</v>
      </c>
      <c r="AA25" s="417" t="n">
        <f aca="false">IF(AA3&gt;ProjectLife+1,0,IF(Operations!AA30=0,0,VEP*((1+VEP_ESCAL)^('PPA Assumptions &amp;Summary'!AA4-'Project Assumtions'!$N$6))))</f>
        <v>0</v>
      </c>
      <c r="AB25" s="410"/>
      <c r="AC25" s="410"/>
      <c r="AD25" s="410"/>
      <c r="AE25" s="410"/>
      <c r="AF25" s="410"/>
      <c r="AG25" s="410"/>
      <c r="AH25" s="410"/>
      <c r="AI25" s="410"/>
    </row>
    <row r="26" customFormat="false" ht="12.6" hidden="false" customHeight="true" outlineLevel="0" collapsed="false">
      <c r="A26" s="418" t="s">
        <v>362</v>
      </c>
      <c r="B26" s="419"/>
      <c r="C26" s="420" t="n">
        <f aca="false">IF(C3&gt;ProjectLife+1,0,SUM(C24:C25))</f>
        <v>30.5358794326241</v>
      </c>
      <c r="D26" s="420" t="n">
        <f aca="false">IF(D3&gt;ProjectLife+1,0,SUM(D24:D25))</f>
        <v>30.5718308156028</v>
      </c>
      <c r="E26" s="420" t="n">
        <f aca="false">IF(E3&gt;ProjectLife+1,0,SUM(E24:E25))</f>
        <v>30.6088607400709</v>
      </c>
      <c r="F26" s="420" t="n">
        <f aca="false">IF(F3&gt;ProjectLife+1,0,SUM(F24:F25))</f>
        <v>30.6470015622731</v>
      </c>
      <c r="G26" s="420" t="n">
        <f aca="false">IF(G3&gt;ProjectLife+1,0,SUM(G24:G25))</f>
        <v>30.6862866091412</v>
      </c>
      <c r="H26" s="420" t="n">
        <f aca="false">IF(H3&gt;ProjectLife+1,0,SUM(H24:H25))</f>
        <v>30.7267502074155</v>
      </c>
      <c r="I26" s="420" t="n">
        <f aca="false">IF(I3&gt;ProjectLife+1,0,SUM(I24:I25))</f>
        <v>30.7684277136379</v>
      </c>
      <c r="J26" s="420" t="n">
        <f aca="false">IF(J3&gt;ProjectLife+1,0,SUM(J24:J25))</f>
        <v>30.8113555450471</v>
      </c>
      <c r="K26" s="420" t="n">
        <f aca="false">IF(K3&gt;ProjectLife+1,0,SUM(K24:K25))</f>
        <v>30.8555712113985</v>
      </c>
      <c r="L26" s="420" t="n">
        <f aca="false">IF(L3&gt;ProjectLife+1,0,SUM(L24:L25))</f>
        <v>30.9011133477405</v>
      </c>
      <c r="M26" s="420" t="n">
        <f aca="false">IF(M3&gt;ProjectLife+1,0,SUM(M24:M25))</f>
        <v>30.9480217481727</v>
      </c>
      <c r="N26" s="420" t="n">
        <f aca="false">IF(N3&gt;ProjectLife+1,0,SUM(N24:N25))</f>
        <v>30.9963374006178</v>
      </c>
      <c r="O26" s="420" t="n">
        <f aca="false">IF(O3&gt;ProjectLife+1,0,SUM(O24:O25))</f>
        <v>31.0461025226364</v>
      </c>
      <c r="P26" s="420" t="n">
        <f aca="false">IF(P3&gt;ProjectLife+1,0,SUM(P24:P25))</f>
        <v>31.0973605983155</v>
      </c>
      <c r="Q26" s="420" t="n">
        <f aca="false">IF(Q3&gt;ProjectLife+1,0,SUM(Q24:Q25))</f>
        <v>31.1501564162649</v>
      </c>
      <c r="R26" s="420" t="n">
        <f aca="false">IF(R3&gt;ProjectLife+1,0,SUM(R24:R25))</f>
        <v>31.2045361087529</v>
      </c>
      <c r="S26" s="420" t="n">
        <f aca="false">IF(S3&gt;ProjectLife+1,0,SUM(S24:S25))</f>
        <v>31.2605471920155</v>
      </c>
      <c r="T26" s="420" t="n">
        <f aca="false">IF(T3&gt;ProjectLife+1,0,SUM(T24:T25))</f>
        <v>31.3182386077759</v>
      </c>
      <c r="U26" s="420" t="n">
        <f aca="false">IF(U3&gt;ProjectLife+1,0,SUM(U24:U25))</f>
        <v>31.3776607660092</v>
      </c>
      <c r="V26" s="420" t="n">
        <f aca="false">IF(V3&gt;ProjectLife+1,0,SUM(V24:V25))</f>
        <v>31.4388655889895</v>
      </c>
      <c r="W26" s="420" t="n">
        <f aca="false">IF(W3&gt;ProjectLife+1,0,SUM(W24:W25))</f>
        <v>31.5019065566592</v>
      </c>
      <c r="X26" s="420" t="n">
        <f aca="false">IF(X3&gt;ProjectLife+1,0,SUM(X24:X25))</f>
        <v>0</v>
      </c>
      <c r="Y26" s="420" t="n">
        <f aca="false">IF(Y3&gt;ProjectLife+1,0,SUM(Y24:Y25))</f>
        <v>0</v>
      </c>
      <c r="Z26" s="420" t="n">
        <f aca="false">IF(Z3&gt;ProjectLife+1,0,SUM(Z24:Z25))</f>
        <v>0</v>
      </c>
      <c r="AA26" s="421" t="n">
        <f aca="false">IF(AA3&gt;ProjectLife+1,0,SUM(AA24:AA25))</f>
        <v>0</v>
      </c>
      <c r="AB26" s="410"/>
      <c r="AC26" s="410"/>
      <c r="AD26" s="410"/>
      <c r="AE26" s="410"/>
      <c r="AF26" s="410"/>
      <c r="AG26" s="410"/>
      <c r="AH26" s="410"/>
      <c r="AI26" s="410"/>
    </row>
    <row r="27" customFormat="false" ht="12.6" hidden="false" customHeight="true" outlineLevel="0" collapsed="false">
      <c r="A27" s="422"/>
      <c r="B27" s="410"/>
      <c r="C27" s="423"/>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423"/>
      <c r="AB27" s="410"/>
      <c r="AC27" s="410"/>
      <c r="AD27" s="410"/>
      <c r="AE27" s="410"/>
      <c r="AF27" s="410"/>
      <c r="AG27" s="410"/>
      <c r="AH27" s="410"/>
      <c r="AI27" s="410"/>
    </row>
    <row r="28" customFormat="false" ht="15.75" hidden="false" customHeight="false" outlineLevel="0" collapsed="false">
      <c r="A28" s="424" t="s">
        <v>363</v>
      </c>
      <c r="B28" s="425"/>
      <c r="C28" s="425"/>
      <c r="D28" s="425"/>
      <c r="E28" s="425"/>
      <c r="F28" s="425"/>
      <c r="G28" s="425"/>
      <c r="H28" s="425"/>
      <c r="I28" s="425"/>
      <c r="J28" s="425"/>
      <c r="K28" s="425"/>
      <c r="L28" s="425"/>
      <c r="M28" s="425"/>
      <c r="N28" s="425"/>
      <c r="O28" s="425"/>
      <c r="P28" s="425"/>
      <c r="Q28" s="425"/>
      <c r="R28" s="425"/>
      <c r="S28" s="425"/>
      <c r="T28" s="425"/>
      <c r="U28" s="425"/>
      <c r="V28" s="425"/>
      <c r="W28" s="425"/>
      <c r="X28" s="425"/>
      <c r="Y28" s="425"/>
      <c r="Z28" s="425"/>
      <c r="AA28" s="426"/>
      <c r="AB28" s="378"/>
      <c r="AC28" s="378"/>
      <c r="AD28" s="378"/>
      <c r="AE28" s="378"/>
      <c r="AF28" s="378"/>
      <c r="AG28" s="378"/>
      <c r="AH28" s="378"/>
      <c r="AI28" s="378"/>
    </row>
    <row r="29" customFormat="false" ht="11.25" hidden="false" customHeight="false" outlineLevel="0" collapsed="false">
      <c r="A29" s="427" t="s">
        <v>364</v>
      </c>
      <c r="B29" s="428" t="s">
        <v>365</v>
      </c>
      <c r="C29" s="428"/>
      <c r="D29" s="428"/>
      <c r="E29" s="428"/>
      <c r="F29" s="428"/>
      <c r="G29" s="428"/>
      <c r="H29" s="428"/>
      <c r="I29" s="428"/>
      <c r="J29" s="428"/>
      <c r="K29" s="428"/>
      <c r="L29" s="428"/>
      <c r="M29" s="428"/>
      <c r="N29" s="428"/>
      <c r="O29" s="428"/>
      <c r="P29" s="428"/>
      <c r="Q29" s="428"/>
      <c r="R29" s="428"/>
      <c r="S29" s="428"/>
      <c r="T29" s="428"/>
      <c r="U29" s="428"/>
      <c r="V29" s="428"/>
      <c r="W29" s="428"/>
      <c r="X29" s="428"/>
      <c r="Y29" s="428"/>
      <c r="Z29" s="428"/>
      <c r="AA29" s="429"/>
      <c r="AB29" s="378"/>
      <c r="AC29" s="378"/>
      <c r="AD29" s="378"/>
      <c r="AE29" s="378"/>
      <c r="AF29" s="378"/>
      <c r="AG29" s="378"/>
      <c r="AH29" s="378"/>
      <c r="AI29" s="378"/>
    </row>
    <row r="30" customFormat="false" ht="12.75" hidden="false" customHeight="false" outlineLevel="0" collapsed="false">
      <c r="A30" s="403" t="s">
        <v>366</v>
      </c>
      <c r="B30" s="430" t="n">
        <f aca="false">AVERAGE(C30:V30)</f>
        <v>951.714154231</v>
      </c>
      <c r="C30" s="431" t="n">
        <f aca="false">'Book Income Statement'!D27</f>
        <v>394.266833333333</v>
      </c>
      <c r="D30" s="431" t="n">
        <f aca="false">'Book Income Statement'!E27</f>
        <v>696.16258</v>
      </c>
      <c r="E30" s="431" t="n">
        <f aca="false">'Book Income Statement'!F27</f>
        <v>717.0474574</v>
      </c>
      <c r="F30" s="431" t="n">
        <f aca="false">'Book Income Statement'!G27</f>
        <v>773.859634171814</v>
      </c>
      <c r="G30" s="431" t="n">
        <f aca="false">'Book Income Statement'!H27</f>
        <v>816.244652739361</v>
      </c>
      <c r="H30" s="431" t="n">
        <f aca="false">'Book Income Statement'!I27</f>
        <v>840.731992321542</v>
      </c>
      <c r="I30" s="431" t="n">
        <f aca="false">'Book Income Statement'!J27</f>
        <v>865.953952091188</v>
      </c>
      <c r="J30" s="431" t="n">
        <f aca="false">'Book Income Statement'!K27</f>
        <v>891.932570653924</v>
      </c>
      <c r="K30" s="431" t="n">
        <f aca="false">'Book Income Statement'!L27</f>
        <v>918.690547773542</v>
      </c>
      <c r="L30" s="431" t="n">
        <f aca="false">'Book Income Statement'!M27</f>
        <v>946.251264206748</v>
      </c>
      <c r="M30" s="431" t="n">
        <f aca="false">'Book Income Statement'!N27</f>
        <v>974.638802132951</v>
      </c>
      <c r="N30" s="431" t="n">
        <f aca="false">'Book Income Statement'!O27</f>
        <v>1003.87796619694</v>
      </c>
      <c r="O30" s="431" t="n">
        <f aca="false">'Book Income Statement'!P27</f>
        <v>1033.99430518285</v>
      </c>
      <c r="P30" s="431" t="n">
        <f aca="false">'Book Income Statement'!Q27</f>
        <v>1065.01413433833</v>
      </c>
      <c r="Q30" s="431" t="n">
        <f aca="false">'Book Income Statement'!R27</f>
        <v>1096.96455836848</v>
      </c>
      <c r="R30" s="431" t="n">
        <f aca="false">'Book Income Statement'!S27</f>
        <v>1129.87349511954</v>
      </c>
      <c r="S30" s="431" t="n">
        <f aca="false">'Book Income Statement'!T27</f>
        <v>1163.76969997312</v>
      </c>
      <c r="T30" s="431" t="n">
        <f aca="false">'Book Income Statement'!U27</f>
        <v>1198.68279097232</v>
      </c>
      <c r="U30" s="431" t="n">
        <f aca="false">'Book Income Statement'!V27</f>
        <v>1234.64327470149</v>
      </c>
      <c r="V30" s="431" t="n">
        <f aca="false">'Book Income Statement'!W27</f>
        <v>1271.68257294253</v>
      </c>
      <c r="W30" s="431" t="n">
        <f aca="false">'Book Income Statement'!X27</f>
        <v>1309.83305013081</v>
      </c>
      <c r="X30" s="431" t="n">
        <f aca="false">'Book Income Statement'!Y27</f>
        <v>0</v>
      </c>
      <c r="Y30" s="431" t="n">
        <f aca="false">'Book Income Statement'!Z27</f>
        <v>0</v>
      </c>
      <c r="Z30" s="431" t="n">
        <f aca="false">'Book Income Statement'!AA27</f>
        <v>0</v>
      </c>
      <c r="AA30" s="432" t="n">
        <f aca="false">'Book Income Statement'!AB27</f>
        <v>0</v>
      </c>
    </row>
    <row r="31" customFormat="false" ht="12.75" hidden="false" customHeight="false" outlineLevel="0" collapsed="false">
      <c r="A31" s="403" t="s">
        <v>367</v>
      </c>
      <c r="B31" s="433" t="n">
        <f aca="false">AVERAGE(C31:V31)</f>
        <v>2876.1403964017</v>
      </c>
      <c r="C31" s="431" t="n">
        <f aca="false">'Book Income Statement'!D33</f>
        <v>2140.752</v>
      </c>
      <c r="D31" s="431" t="n">
        <f aca="false">'Book Income Statement'!E33</f>
        <v>2204.97456</v>
      </c>
      <c r="E31" s="431" t="n">
        <f aca="false">'Book Income Statement'!F33</f>
        <v>2271.1237968</v>
      </c>
      <c r="F31" s="431" t="n">
        <f aca="false">'Book Income Statement'!G33</f>
        <v>2339.257510704</v>
      </c>
      <c r="G31" s="431" t="n">
        <f aca="false">'Book Income Statement'!H33</f>
        <v>2409.43523602512</v>
      </c>
      <c r="H31" s="431" t="n">
        <f aca="false">'Book Income Statement'!I33</f>
        <v>2481.71829310587</v>
      </c>
      <c r="I31" s="431" t="n">
        <f aca="false">'Book Income Statement'!J33</f>
        <v>2556.16984189905</v>
      </c>
      <c r="J31" s="431" t="n">
        <f aca="false">'Book Income Statement'!K33</f>
        <v>2632.85493715602</v>
      </c>
      <c r="K31" s="431" t="n">
        <f aca="false">'Book Income Statement'!L33</f>
        <v>2711.8405852707</v>
      </c>
      <c r="L31" s="431" t="n">
        <f aca="false">'Book Income Statement'!M33</f>
        <v>2793.19580282882</v>
      </c>
      <c r="M31" s="431" t="n">
        <f aca="false">'Book Income Statement'!N33</f>
        <v>2876.99167691369</v>
      </c>
      <c r="N31" s="431" t="n">
        <f aca="false">'Book Income Statement'!O33</f>
        <v>2963.3014272211</v>
      </c>
      <c r="O31" s="431" t="n">
        <f aca="false">'Book Income Statement'!P33</f>
        <v>3052.20047003773</v>
      </c>
      <c r="P31" s="431" t="n">
        <f aca="false">'Book Income Statement'!Q33</f>
        <v>3143.76648413886</v>
      </c>
      <c r="Q31" s="431" t="n">
        <f aca="false">'Book Income Statement'!R33</f>
        <v>3238.07947866303</v>
      </c>
      <c r="R31" s="431" t="n">
        <f aca="false">'Book Income Statement'!S33</f>
        <v>3335.22186302292</v>
      </c>
      <c r="S31" s="431" t="n">
        <f aca="false">'Book Income Statement'!T33</f>
        <v>3435.27851891361</v>
      </c>
      <c r="T31" s="431" t="n">
        <f aca="false">'Book Income Statement'!U33</f>
        <v>3538.33687448102</v>
      </c>
      <c r="U31" s="431" t="n">
        <f aca="false">'Book Income Statement'!V33</f>
        <v>3644.48698071545</v>
      </c>
      <c r="V31" s="431" t="n">
        <f aca="false">'Book Income Statement'!W33</f>
        <v>3753.82159013691</v>
      </c>
      <c r="W31" s="431" t="n">
        <f aca="false">'Book Income Statement'!X33</f>
        <v>3866.43623784102</v>
      </c>
      <c r="X31" s="431" t="n">
        <f aca="false">'Book Income Statement'!Y33</f>
        <v>0</v>
      </c>
      <c r="Y31" s="431" t="n">
        <f aca="false">'Book Income Statement'!Z33</f>
        <v>0</v>
      </c>
      <c r="Z31" s="431" t="n">
        <f aca="false">'Book Income Statement'!AA33</f>
        <v>0</v>
      </c>
      <c r="AA31" s="432" t="n">
        <f aca="false">'Book Income Statement'!AB33</f>
        <v>0</v>
      </c>
    </row>
    <row r="32" customFormat="false" ht="12.75" hidden="false" customHeight="false" outlineLevel="0" collapsed="false">
      <c r="A32" s="403" t="s">
        <v>368</v>
      </c>
      <c r="B32" s="433" t="n">
        <f aca="false">AVERAGE(C32:V32)</f>
        <v>3548.62506767649</v>
      </c>
      <c r="C32" s="431" t="n">
        <f aca="false">'Book Income Statement'!D41+'Book Income Statement'!D50</f>
        <v>1401.43587946944</v>
      </c>
      <c r="D32" s="431" t="n">
        <f aca="false">'Book Income Statement'!E41+'Book Income Statement'!E50</f>
        <v>2402.5457100346</v>
      </c>
      <c r="E32" s="431" t="n">
        <f aca="false">'Book Income Statement'!F41+'Book Income Statement'!F50</f>
        <v>2474.62208133564</v>
      </c>
      <c r="F32" s="431" t="n">
        <f aca="false">'Book Income Statement'!G41+'Book Income Statement'!G50</f>
        <v>2801.01474377571</v>
      </c>
      <c r="G32" s="431" t="n">
        <f aca="false">'Book Income Statement'!H41+'Book Income Statement'!H50</f>
        <v>3070.55848608898</v>
      </c>
      <c r="H32" s="431" t="n">
        <f aca="false">'Book Income Statement'!I41+'Book Income Statement'!I50</f>
        <v>3162.67524067165</v>
      </c>
      <c r="I32" s="431" t="n">
        <f aca="false">'Book Income Statement'!J41+'Book Income Statement'!J50</f>
        <v>3257.5554978918</v>
      </c>
      <c r="J32" s="431" t="n">
        <f aca="false">'Book Income Statement'!K41+'Book Income Statement'!K50</f>
        <v>3355.28216282855</v>
      </c>
      <c r="K32" s="431" t="n">
        <f aca="false">'Book Income Statement'!L41+'Book Income Statement'!L50</f>
        <v>3455.94062771341</v>
      </c>
      <c r="L32" s="431" t="n">
        <f aca="false">'Book Income Statement'!M41+'Book Income Statement'!M50</f>
        <v>3559.61884654481</v>
      </c>
      <c r="M32" s="431" t="n">
        <f aca="false">'Book Income Statement'!N41+'Book Income Statement'!N50</f>
        <v>3666.40741194116</v>
      </c>
      <c r="N32" s="431" t="n">
        <f aca="false">'Book Income Statement'!O41+'Book Income Statement'!O50</f>
        <v>3776.39963429939</v>
      </c>
      <c r="O32" s="431" t="n">
        <f aca="false">'Book Income Statement'!P41+'Book Income Statement'!P50</f>
        <v>3889.69162332837</v>
      </c>
      <c r="P32" s="431" t="n">
        <f aca="false">'Book Income Statement'!Q41+'Book Income Statement'!Q50</f>
        <v>4006.38237202823</v>
      </c>
      <c r="Q32" s="431" t="n">
        <f aca="false">'Book Income Statement'!R41+'Book Income Statement'!R50</f>
        <v>4126.57384318907</v>
      </c>
      <c r="R32" s="431" t="n">
        <f aca="false">'Book Income Statement'!S41+'Book Income Statement'!S50</f>
        <v>4250.37105848475</v>
      </c>
      <c r="S32" s="431" t="n">
        <f aca="false">'Book Income Statement'!T41+'Book Income Statement'!T50</f>
        <v>4377.88219023929</v>
      </c>
      <c r="T32" s="431" t="n">
        <f aca="false">'Book Income Statement'!U41+'Book Income Statement'!U50</f>
        <v>4509.21865594647</v>
      </c>
      <c r="U32" s="431" t="n">
        <f aca="false">'Book Income Statement'!V41+'Book Income Statement'!V50</f>
        <v>4644.49521562486</v>
      </c>
      <c r="V32" s="431" t="n">
        <f aca="false">'Book Income Statement'!W41+'Book Income Statement'!W50</f>
        <v>4783.83007209361</v>
      </c>
      <c r="W32" s="431" t="n">
        <f aca="false">'Book Income Statement'!X41+'Book Income Statement'!X50</f>
        <v>2156.15173012241</v>
      </c>
      <c r="X32" s="431" t="n">
        <f aca="false">'Book Income Statement'!Y41+'Book Income Statement'!Y50</f>
        <v>0</v>
      </c>
      <c r="Y32" s="431" t="n">
        <f aca="false">'Book Income Statement'!Z41+'Book Income Statement'!Z50</f>
        <v>0</v>
      </c>
      <c r="Z32" s="431" t="n">
        <f aca="false">'Book Income Statement'!AA41+'Book Income Statement'!AA50</f>
        <v>0</v>
      </c>
      <c r="AA32" s="432" t="n">
        <f aca="false">'Book Income Statement'!AB41+'Book Income Statement'!AB50</f>
        <v>0</v>
      </c>
    </row>
    <row r="33" customFormat="false" ht="12.75" hidden="false" customHeight="false" outlineLevel="0" collapsed="false">
      <c r="A33" s="403" t="s">
        <v>369</v>
      </c>
      <c r="B33" s="433"/>
      <c r="C33" s="431" t="n">
        <f aca="false">'Book Income Statement'!D53</f>
        <v>146.77966132968</v>
      </c>
      <c r="D33" s="431" t="n">
        <f aca="false">'Book Income Statement'!E53</f>
        <v>0</v>
      </c>
      <c r="E33" s="431" t="n">
        <f aca="false">'Book Income Statement'!F53</f>
        <v>87.3891860580519</v>
      </c>
      <c r="F33" s="431" t="n">
        <f aca="false">'Book Income Statement'!G53</f>
        <v>162.257228121825</v>
      </c>
      <c r="G33" s="431" t="n">
        <f aca="false">'Book Income Statement'!H53</f>
        <v>221.387675752945</v>
      </c>
      <c r="H33" s="431" t="n">
        <f aca="false">'Book Income Statement'!I53</f>
        <v>267.21788876867</v>
      </c>
      <c r="I33" s="431" t="n">
        <f aca="false">'Book Income Statement'!J53</f>
        <v>353.458281782708</v>
      </c>
      <c r="J33" s="431" t="n">
        <f aca="false">'Book Income Statement'!K53</f>
        <v>461.590474736253</v>
      </c>
      <c r="K33" s="431" t="n">
        <f aca="false">'Book Income Statement'!L53</f>
        <v>530.068172088748</v>
      </c>
      <c r="L33" s="431" t="n">
        <f aca="false">'Book Income Statement'!M53</f>
        <v>522.921422366245</v>
      </c>
      <c r="M33" s="431" t="n">
        <f aca="false">'Book Income Statement'!N53</f>
        <v>517.609895005798</v>
      </c>
      <c r="N33" s="431" t="n">
        <f aca="false">'Book Income Statement'!O53</f>
        <v>683.846840636165</v>
      </c>
      <c r="O33" s="431" t="n">
        <f aca="false">'Book Income Statement'!P53</f>
        <v>683.846840636165</v>
      </c>
      <c r="P33" s="431" t="n">
        <f aca="false">'Book Income Statement'!Q53</f>
        <v>683.846840636165</v>
      </c>
      <c r="Q33" s="431" t="n">
        <f aca="false">'Book Income Statement'!R53</f>
        <v>683.846840636165</v>
      </c>
      <c r="R33" s="431" t="n">
        <f aca="false">'Book Income Statement'!S53</f>
        <v>683.846840636165</v>
      </c>
      <c r="S33" s="431" t="n">
        <f aca="false">'Book Income Statement'!T53</f>
        <v>683.846840636165</v>
      </c>
      <c r="T33" s="431" t="n">
        <f aca="false">'Book Income Statement'!U53</f>
        <v>683.846840636165</v>
      </c>
      <c r="U33" s="431" t="n">
        <f aca="false">'Book Income Statement'!V53</f>
        <v>683.846840636165</v>
      </c>
      <c r="V33" s="431" t="n">
        <f aca="false">'Book Income Statement'!W53</f>
        <v>683.846840636165</v>
      </c>
      <c r="W33" s="431" t="n">
        <f aca="false">'Book Income Statement'!X53</f>
        <v>683.846840636165</v>
      </c>
      <c r="X33" s="431" t="n">
        <f aca="false">'Book Income Statement'!Y53</f>
        <v>0</v>
      </c>
      <c r="Y33" s="431" t="n">
        <f aca="false">'Book Income Statement'!Z53</f>
        <v>0</v>
      </c>
      <c r="Z33" s="431" t="n">
        <f aca="false">'Book Income Statement'!AA53</f>
        <v>0</v>
      </c>
      <c r="AA33" s="432" t="n">
        <f aca="false">'Book Income Statement'!AB53</f>
        <v>0</v>
      </c>
    </row>
    <row r="34" customFormat="false" ht="12.75" hidden="false" customHeight="false" outlineLevel="0" collapsed="false">
      <c r="A34" s="403" t="s">
        <v>370</v>
      </c>
      <c r="B34" s="433" t="n">
        <f aca="false">AVERAGE(C34:V34)</f>
        <v>0</v>
      </c>
      <c r="C34" s="431" t="n">
        <f aca="false">'Book Income Statement'!D58</f>
        <v>0</v>
      </c>
      <c r="D34" s="431" t="n">
        <f aca="false">'Book Income Statement'!E58</f>
        <v>0</v>
      </c>
      <c r="E34" s="431" t="n">
        <f aca="false">'Book Income Statement'!F58</f>
        <v>0</v>
      </c>
      <c r="F34" s="431" t="n">
        <f aca="false">'Book Income Statement'!G58</f>
        <v>0</v>
      </c>
      <c r="G34" s="431" t="n">
        <f aca="false">'Book Income Statement'!H58</f>
        <v>0</v>
      </c>
      <c r="H34" s="431" t="n">
        <f aca="false">'Book Income Statement'!I58</f>
        <v>0</v>
      </c>
      <c r="I34" s="431" t="n">
        <f aca="false">'Book Income Statement'!J58</f>
        <v>0</v>
      </c>
      <c r="J34" s="431" t="n">
        <f aca="false">'Book Income Statement'!K58</f>
        <v>0</v>
      </c>
      <c r="K34" s="431" t="n">
        <f aca="false">'Book Income Statement'!L58</f>
        <v>0</v>
      </c>
      <c r="L34" s="431" t="n">
        <f aca="false">'Book Income Statement'!M58</f>
        <v>0</v>
      </c>
      <c r="M34" s="431" t="n">
        <f aca="false">'Book Income Statement'!N58</f>
        <v>0</v>
      </c>
      <c r="N34" s="431" t="n">
        <f aca="false">'Book Income Statement'!O58</f>
        <v>0</v>
      </c>
      <c r="O34" s="431" t="n">
        <f aca="false">'Book Income Statement'!P58</f>
        <v>0</v>
      </c>
      <c r="P34" s="431" t="n">
        <f aca="false">'Book Income Statement'!Q58</f>
        <v>0</v>
      </c>
      <c r="Q34" s="431" t="n">
        <f aca="false">'Book Income Statement'!R58</f>
        <v>0</v>
      </c>
      <c r="R34" s="431" t="n">
        <f aca="false">'Book Income Statement'!S58</f>
        <v>0</v>
      </c>
      <c r="S34" s="431" t="n">
        <f aca="false">'Book Income Statement'!T58</f>
        <v>0</v>
      </c>
      <c r="T34" s="431" t="n">
        <f aca="false">'Book Income Statement'!U58</f>
        <v>0</v>
      </c>
      <c r="U34" s="431" t="n">
        <f aca="false">'Book Income Statement'!V58</f>
        <v>0</v>
      </c>
      <c r="V34" s="431" t="n">
        <f aca="false">'Book Income Statement'!W58</f>
        <v>0</v>
      </c>
      <c r="W34" s="431" t="n">
        <f aca="false">'Book Income Statement'!X58</f>
        <v>0</v>
      </c>
      <c r="X34" s="431" t="n">
        <f aca="false">'Book Income Statement'!Y58</f>
        <v>0</v>
      </c>
      <c r="Y34" s="434"/>
      <c r="Z34" s="434"/>
      <c r="AA34" s="435"/>
    </row>
    <row r="35" customFormat="false" ht="15" hidden="false" customHeight="false" outlineLevel="0" collapsed="false">
      <c r="A35" s="403" t="s">
        <v>371</v>
      </c>
      <c r="B35" s="436" t="n">
        <f aca="false">AVERAGE(C35:V35)</f>
        <v>0</v>
      </c>
      <c r="C35" s="437" t="n">
        <f aca="false">'Returns Summary'!C23</f>
        <v>0</v>
      </c>
      <c r="D35" s="437" t="n">
        <f aca="false">'Returns Summary'!D23</f>
        <v>0</v>
      </c>
      <c r="E35" s="437" t="n">
        <f aca="false">'Returns Summary'!E23</f>
        <v>0</v>
      </c>
      <c r="F35" s="437" t="n">
        <f aca="false">'Returns Summary'!F23</f>
        <v>0</v>
      </c>
      <c r="G35" s="437" t="n">
        <f aca="false">'Returns Summary'!G23</f>
        <v>0</v>
      </c>
      <c r="H35" s="437" t="n">
        <f aca="false">'Returns Summary'!H23</f>
        <v>0</v>
      </c>
      <c r="I35" s="437" t="n">
        <f aca="false">'Returns Summary'!I23</f>
        <v>0</v>
      </c>
      <c r="J35" s="437" t="n">
        <f aca="false">'Returns Summary'!J23</f>
        <v>0</v>
      </c>
      <c r="K35" s="437" t="n">
        <f aca="false">'Returns Summary'!K23</f>
        <v>0</v>
      </c>
      <c r="L35" s="437" t="n">
        <f aca="false">'Returns Summary'!L23</f>
        <v>0</v>
      </c>
      <c r="M35" s="437" t="n">
        <f aca="false">'Returns Summary'!M23</f>
        <v>0</v>
      </c>
      <c r="N35" s="437" t="n">
        <f aca="false">'Returns Summary'!N23</f>
        <v>0</v>
      </c>
      <c r="O35" s="437" t="n">
        <f aca="false">'Returns Summary'!O23</f>
        <v>0</v>
      </c>
      <c r="P35" s="437" t="n">
        <f aca="false">'Returns Summary'!P23</f>
        <v>0</v>
      </c>
      <c r="Q35" s="437" t="n">
        <f aca="false">'Returns Summary'!Q23</f>
        <v>0</v>
      </c>
      <c r="R35" s="437" t="n">
        <f aca="false">'Returns Summary'!R23</f>
        <v>0</v>
      </c>
      <c r="S35" s="437" t="n">
        <f aca="false">'Returns Summary'!S23</f>
        <v>0</v>
      </c>
      <c r="T35" s="437" t="n">
        <f aca="false">'Returns Summary'!T23</f>
        <v>0</v>
      </c>
      <c r="U35" s="437" t="n">
        <f aca="false">'Returns Summary'!U23</f>
        <v>0</v>
      </c>
      <c r="V35" s="437" t="n">
        <f aca="false">'Returns Summary'!V23</f>
        <v>0</v>
      </c>
      <c r="W35" s="437" t="n">
        <f aca="false">'Returns Summary'!W23</f>
        <v>0</v>
      </c>
      <c r="X35" s="437" t="n">
        <f aca="false">'Returns Summary'!X23</f>
        <v>0</v>
      </c>
      <c r="Y35" s="438" t="n">
        <f aca="false">'Returns Summary'!Y23</f>
        <v>0</v>
      </c>
      <c r="Z35" s="438" t="n">
        <f aca="false">'Returns Summary'!Z23</f>
        <v>0</v>
      </c>
      <c r="AA35" s="439" t="n">
        <f aca="false">'Returns Summary'!AA23</f>
        <v>0</v>
      </c>
    </row>
    <row r="36" customFormat="false" ht="12.75" hidden="false" customHeight="false" outlineLevel="0" collapsed="false">
      <c r="A36" s="403" t="s">
        <v>372</v>
      </c>
      <c r="B36" s="265"/>
      <c r="C36" s="431" t="n">
        <f aca="false">SUM(C30:C35)</f>
        <v>4083.23437413245</v>
      </c>
      <c r="D36" s="431" t="n">
        <f aca="false">SUM(D30:D35)</f>
        <v>5303.6828500346</v>
      </c>
      <c r="E36" s="431" t="n">
        <f aca="false">SUM(E30:E35)</f>
        <v>5550.18252159369</v>
      </c>
      <c r="F36" s="431" t="n">
        <f aca="false">SUM(F30:F35)</f>
        <v>6076.38911677335</v>
      </c>
      <c r="G36" s="431" t="n">
        <f aca="false">SUM(G30:G35)</f>
        <v>6517.62605060641</v>
      </c>
      <c r="H36" s="431" t="n">
        <f aca="false">SUM(H30:H35)</f>
        <v>6752.34341486774</v>
      </c>
      <c r="I36" s="431" t="n">
        <f aca="false">SUM(I30:I35)</f>
        <v>7033.13757366475</v>
      </c>
      <c r="J36" s="431" t="n">
        <f aca="false">SUM(J30:J35)</f>
        <v>7341.66014537475</v>
      </c>
      <c r="K36" s="431" t="n">
        <f aca="false">SUM(K30:K35)</f>
        <v>7616.5399328464</v>
      </c>
      <c r="L36" s="431" t="n">
        <f aca="false">SUM(L30:L35)</f>
        <v>7821.98733594663</v>
      </c>
      <c r="M36" s="431" t="n">
        <f aca="false">SUM(M30:M35)</f>
        <v>8035.6477859936</v>
      </c>
      <c r="N36" s="431" t="n">
        <f aca="false">SUM(N30:N35)</f>
        <v>8427.4258683536</v>
      </c>
      <c r="O36" s="431" t="n">
        <f aca="false">SUM(O30:O35)</f>
        <v>8659.73323918512</v>
      </c>
      <c r="P36" s="431" t="n">
        <f aca="false">SUM(P30:P35)</f>
        <v>8899.00983114159</v>
      </c>
      <c r="Q36" s="431" t="n">
        <f aca="false">SUM(Q30:Q35)</f>
        <v>9145.46472085675</v>
      </c>
      <c r="R36" s="431" t="n">
        <f aca="false">SUM(R30:R35)</f>
        <v>9399.31325726337</v>
      </c>
      <c r="S36" s="431" t="n">
        <f aca="false">SUM(S30:S35)</f>
        <v>9660.77724976219</v>
      </c>
      <c r="T36" s="431" t="n">
        <f aca="false">SUM(T30:T35)</f>
        <v>9930.08516203597</v>
      </c>
      <c r="U36" s="431" t="n">
        <f aca="false">SUM(U30:U35)</f>
        <v>10207.472311678</v>
      </c>
      <c r="V36" s="431" t="n">
        <f aca="false">SUM(V30:V35)</f>
        <v>10493.1810758092</v>
      </c>
      <c r="W36" s="431" t="n">
        <f aca="false">SUM(W30:W35)</f>
        <v>8016.2678587304</v>
      </c>
      <c r="X36" s="431" t="n">
        <f aca="false">SUM(X30:X35)</f>
        <v>0</v>
      </c>
      <c r="Y36" s="431" t="n">
        <f aca="false">SUM(Y30:Y35)</f>
        <v>0</v>
      </c>
      <c r="Z36" s="431" t="n">
        <f aca="false">SUM(Z30:Z35)</f>
        <v>0</v>
      </c>
      <c r="AA36" s="432" t="n">
        <f aca="false">SUM(AA30:AA35)</f>
        <v>0</v>
      </c>
    </row>
    <row r="37" customFormat="false" ht="12.75" hidden="false" customHeight="false" outlineLevel="0" collapsed="false">
      <c r="A37" s="403"/>
      <c r="B37" s="265"/>
      <c r="C37" s="431"/>
      <c r="D37" s="431"/>
      <c r="E37" s="431"/>
      <c r="F37" s="431"/>
      <c r="G37" s="431"/>
      <c r="H37" s="431"/>
      <c r="I37" s="431"/>
      <c r="J37" s="431"/>
      <c r="K37" s="431"/>
      <c r="L37" s="431"/>
      <c r="M37" s="431"/>
      <c r="N37" s="431"/>
      <c r="O37" s="431"/>
      <c r="P37" s="431"/>
      <c r="Q37" s="431"/>
      <c r="R37" s="431"/>
      <c r="S37" s="431"/>
      <c r="T37" s="431"/>
      <c r="U37" s="431"/>
      <c r="V37" s="431"/>
      <c r="W37" s="431"/>
      <c r="X37" s="431"/>
      <c r="Y37" s="431"/>
      <c r="Z37" s="431"/>
      <c r="AA37" s="432"/>
    </row>
    <row r="38" customFormat="false" ht="12.75" hidden="false" customHeight="false" outlineLevel="0" collapsed="false">
      <c r="A38" s="440" t="s">
        <v>373</v>
      </c>
      <c r="B38" s="428" t="s">
        <v>365</v>
      </c>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5"/>
    </row>
    <row r="39" customFormat="false" ht="12.75" hidden="false" customHeight="false" outlineLevel="0" collapsed="false">
      <c r="A39" s="403" t="s">
        <v>374</v>
      </c>
      <c r="B39" s="430" t="n">
        <f aca="false">AVERAGE(C39:V39)</f>
        <v>2149.30906820859</v>
      </c>
      <c r="C39" s="434" t="n">
        <f aca="false">'Book Income Statement'!D37+'Book Income Statement'!D36+'Book Income Statement'!D40+'Book Income Statement'!D38</f>
        <v>947.892546136102</v>
      </c>
      <c r="D39" s="434" t="n">
        <f aca="false">'Book Income Statement'!E37+'Book Income Statement'!E36+'Book Income Statement'!E40+'Book Income Statement'!E38</f>
        <v>1673.7074100346</v>
      </c>
      <c r="E39" s="434" t="n">
        <f aca="false">'Book Income Statement'!F37+'Book Income Statement'!F36+'Book Income Statement'!F40+'Book Income Statement'!F38</f>
        <v>1723.91863233564</v>
      </c>
      <c r="F39" s="434" t="n">
        <f aca="false">'Book Income Statement'!G37+'Book Income Statement'!G36+'Book Income Statement'!G40+'Book Income Statement'!G38</f>
        <v>1775.63619130571</v>
      </c>
      <c r="G39" s="434" t="n">
        <f aca="false">'Book Income Statement'!H37+'Book Income Statement'!H36+'Book Income Statement'!H40+'Book Income Statement'!H38</f>
        <v>1828.90527704488</v>
      </c>
      <c r="H39" s="434" t="n">
        <f aca="false">'Book Income Statement'!I37+'Book Income Statement'!I36+'Book Income Statement'!I40+'Book Income Statement'!I38</f>
        <v>1883.77243535623</v>
      </c>
      <c r="I39" s="434" t="n">
        <f aca="false">'Book Income Statement'!J37+'Book Income Statement'!J36+'Book Income Statement'!J40+'Book Income Statement'!J38</f>
        <v>1940.28560841691</v>
      </c>
      <c r="J39" s="434" t="n">
        <f aca="false">'Book Income Statement'!K37+'Book Income Statement'!K36+'Book Income Statement'!K40+'Book Income Statement'!K38</f>
        <v>1998.49417666942</v>
      </c>
      <c r="K39" s="434" t="n">
        <f aca="false">'Book Income Statement'!L37+'Book Income Statement'!L36+'Book Income Statement'!L40+'Book Income Statement'!L38</f>
        <v>2058.4490019695</v>
      </c>
      <c r="L39" s="434" t="n">
        <f aca="false">'Book Income Statement'!M37+'Book Income Statement'!M36+'Book Income Statement'!M40+'Book Income Statement'!M38</f>
        <v>2120.20247202859</v>
      </c>
      <c r="M39" s="434" t="n">
        <f aca="false">'Book Income Statement'!N37+'Book Income Statement'!N36+'Book Income Statement'!N40+'Book Income Statement'!N38</f>
        <v>2183.80854618945</v>
      </c>
      <c r="N39" s="434" t="n">
        <f aca="false">'Book Income Statement'!O37+'Book Income Statement'!O36+'Book Income Statement'!O40+'Book Income Statement'!O38</f>
        <v>2249.32280257513</v>
      </c>
      <c r="O39" s="434" t="n">
        <f aca="false">'Book Income Statement'!P37+'Book Income Statement'!P36+'Book Income Statement'!P40+'Book Income Statement'!P38</f>
        <v>2316.80248665238</v>
      </c>
      <c r="P39" s="434" t="n">
        <f aca="false">'Book Income Statement'!Q37+'Book Income Statement'!Q36+'Book Income Statement'!Q40+'Book Income Statement'!Q38</f>
        <v>2386.30656125196</v>
      </c>
      <c r="Q39" s="434" t="n">
        <f aca="false">'Book Income Statement'!R37+'Book Income Statement'!R36+'Book Income Statement'!R40+'Book Income Statement'!R38</f>
        <v>2457.89575808952</v>
      </c>
      <c r="R39" s="434" t="n">
        <f aca="false">'Book Income Statement'!S37+'Book Income Statement'!S36+'Book Income Statement'!S40+'Book Income Statement'!S38</f>
        <v>2531.6326308322</v>
      </c>
      <c r="S39" s="434" t="n">
        <f aca="false">'Book Income Statement'!T37+'Book Income Statement'!T36+'Book Income Statement'!T40+'Book Income Statement'!T38</f>
        <v>2607.58160975717</v>
      </c>
      <c r="T39" s="434" t="n">
        <f aca="false">'Book Income Statement'!U37+'Book Income Statement'!U36+'Book Income Statement'!U40+'Book Income Statement'!U38</f>
        <v>2685.80905804988</v>
      </c>
      <c r="U39" s="434" t="n">
        <f aca="false">'Book Income Statement'!V37+'Book Income Statement'!V36+'Book Income Statement'!V40+'Book Income Statement'!V38</f>
        <v>2766.38332979138</v>
      </c>
      <c r="V39" s="434" t="n">
        <f aca="false">'Book Income Statement'!W37+'Book Income Statement'!W36+'Book Income Statement'!W40+'Book Income Statement'!W38</f>
        <v>2849.37482968512</v>
      </c>
      <c r="W39" s="434" t="n">
        <f aca="false">'Book Income Statement'!X37+'Book Income Statement'!X36+'Book Income Statement'!X40+'Book Income Statement'!X38</f>
        <v>1222.85669773986</v>
      </c>
      <c r="X39" s="434" t="n">
        <f aca="false">'Book Income Statement'!Y37+'Book Income Statement'!Y36+'Book Income Statement'!Y40+'Book Income Statement'!Y38</f>
        <v>0</v>
      </c>
      <c r="Y39" s="434" t="n">
        <f aca="false">'Book Income Statement'!Z37+'Book Income Statement'!Z36+'Book Income Statement'!Z40+'Book Income Statement'!Z38</f>
        <v>0</v>
      </c>
      <c r="Z39" s="434" t="n">
        <f aca="false">'Book Income Statement'!AA37+'Book Income Statement'!AA36+'Book Income Statement'!AA40+'Book Income Statement'!AA38</f>
        <v>0</v>
      </c>
      <c r="AA39" s="435" t="n">
        <f aca="false">'Book Income Statement'!AB37+'Book Income Statement'!AB36+'Book Income Statement'!AB40+'Book Income Statement'!AB38</f>
        <v>0</v>
      </c>
    </row>
    <row r="40" customFormat="false" ht="12.75" hidden="false" customHeight="false" outlineLevel="0" collapsed="false">
      <c r="A40" s="403" t="s">
        <v>375</v>
      </c>
      <c r="B40" s="436" t="n">
        <f aca="false">AVERAGE(C40:V40)</f>
        <v>937.98395127404</v>
      </c>
      <c r="C40" s="434" t="n">
        <f aca="false">SUM('Book Income Statement'!D44:D49)</f>
        <v>453.543333333333</v>
      </c>
      <c r="D40" s="434" t="n">
        <f aca="false">SUM('Book Income Statement'!E44:E49)</f>
        <v>728.8383</v>
      </c>
      <c r="E40" s="434" t="n">
        <f aca="false">SUM('Book Income Statement'!F44:F49)</f>
        <v>750.703449</v>
      </c>
      <c r="F40" s="434" t="n">
        <f aca="false">SUM('Book Income Statement'!G44:G49)</f>
        <v>773.22455247</v>
      </c>
      <c r="G40" s="434" t="n">
        <f aca="false">SUM('Book Income Statement'!H44:H49)</f>
        <v>796.4212890441</v>
      </c>
      <c r="H40" s="434" t="n">
        <f aca="false">SUM('Book Income Statement'!I44:I49)</f>
        <v>820.313927715423</v>
      </c>
      <c r="I40" s="434" t="n">
        <f aca="false">SUM('Book Income Statement'!J44:J49)</f>
        <v>844.923345546886</v>
      </c>
      <c r="J40" s="434" t="n">
        <f aca="false">SUM('Book Income Statement'!K44:K49)</f>
        <v>870.271045913293</v>
      </c>
      <c r="K40" s="434" t="n">
        <f aca="false">SUM('Book Income Statement'!L44:L49)</f>
        <v>896.379177290691</v>
      </c>
      <c r="L40" s="434" t="n">
        <f aca="false">SUM('Book Income Statement'!M44:M49)</f>
        <v>923.270552609412</v>
      </c>
      <c r="M40" s="434" t="n">
        <f aca="false">SUM('Book Income Statement'!N44:N49)</f>
        <v>950.968669187694</v>
      </c>
      <c r="N40" s="434" t="n">
        <f aca="false">SUM('Book Income Statement'!O44:O49)</f>
        <v>979.497729263325</v>
      </c>
      <c r="O40" s="434" t="n">
        <f aca="false">SUM('Book Income Statement'!P44:P49)</f>
        <v>1008.88266114123</v>
      </c>
      <c r="P40" s="434" t="n">
        <f aca="false">SUM('Book Income Statement'!Q44:Q49)</f>
        <v>1039.14914097546</v>
      </c>
      <c r="Q40" s="434" t="n">
        <f aca="false">SUM('Book Income Statement'!R44:R49)</f>
        <v>1070.32361520473</v>
      </c>
      <c r="R40" s="434" t="n">
        <f aca="false">SUM('Book Income Statement'!S44:S49)</f>
        <v>1102.43332366087</v>
      </c>
      <c r="S40" s="434" t="n">
        <f aca="false">SUM('Book Income Statement'!T44:T49)</f>
        <v>1135.50632337069</v>
      </c>
      <c r="T40" s="434" t="n">
        <f aca="false">SUM('Book Income Statement'!U44:U49)</f>
        <v>1169.57151307181</v>
      </c>
      <c r="U40" s="434" t="n">
        <f aca="false">SUM('Book Income Statement'!V44:V49)</f>
        <v>1204.65865846397</v>
      </c>
      <c r="V40" s="434" t="n">
        <f aca="false">SUM('Book Income Statement'!W44:W49)</f>
        <v>1240.79841821789</v>
      </c>
      <c r="W40" s="434" t="n">
        <f aca="false">SUM('Book Income Statement'!X44:X49)</f>
        <v>635.600645334078</v>
      </c>
      <c r="X40" s="434" t="n">
        <f aca="false">SUM('Book Income Statement'!Y44:Y49)</f>
        <v>0</v>
      </c>
      <c r="Y40" s="434" t="n">
        <f aca="false">SUM('Book Income Statement'!Z44:Z49)</f>
        <v>0</v>
      </c>
      <c r="Z40" s="434" t="n">
        <f aca="false">SUM('Book Income Statement'!AA44:AA49)</f>
        <v>0</v>
      </c>
      <c r="AA40" s="435" t="n">
        <f aca="false">SUM('Book Income Statement'!AB44:AB49)</f>
        <v>0</v>
      </c>
    </row>
    <row r="41" customFormat="false" ht="12.75" hidden="false" customHeight="false" outlineLevel="0" collapsed="false">
      <c r="A41" s="393"/>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441"/>
    </row>
    <row r="42" customFormat="false" ht="12.75" hidden="false" customHeight="false" outlineLevel="0" collapsed="false">
      <c r="A42" s="427" t="s">
        <v>376</v>
      </c>
      <c r="B42" s="428" t="s">
        <v>365</v>
      </c>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5"/>
    </row>
    <row r="43" customFormat="false" ht="12.6" hidden="false" customHeight="true" outlineLevel="0" collapsed="false">
      <c r="A43" s="403" t="s">
        <v>377</v>
      </c>
      <c r="B43" s="442" t="n">
        <f aca="false">AVERAGE(C43:V43)</f>
        <v>0.171240268185166</v>
      </c>
      <c r="C43" s="443" t="n">
        <f aca="false">IF(Operations!C3&gt;'Project Assumtions'!$I$15+1,0,C30/'Project Assumtions'!$I$10/SUM('Book Income Statement'!D6:D8))</f>
        <v>0.119837943262411</v>
      </c>
      <c r="D43" s="443" t="n">
        <f aca="false">IF(Operations!D3&gt;'Project Assumtions'!$I$15+1,0,D30/'Project Assumtions'!$I$10/SUM('Book Income Statement'!E6:E8))</f>
        <v>0.123433081560284</v>
      </c>
      <c r="E43" s="443" t="n">
        <f aca="false">IF(Operations!E3&gt;'Project Assumtions'!$I$15+1,0,E30/'Project Assumtions'!$I$10/SUM('Book Income Statement'!F6:F8))</f>
        <v>0.127136074007092</v>
      </c>
      <c r="F43" s="443" t="n">
        <f aca="false">IF(Operations!F3&gt;'Project Assumtions'!$I$15+1,0,F30/'Project Assumtions'!$I$10/SUM('Book Income Statement'!G6:G8))</f>
        <v>0.137209154995003</v>
      </c>
      <c r="G43" s="443" t="n">
        <f aca="false">IF(Operations!G3&gt;'Project Assumtions'!$I$15+1,0,G30/'Project Assumtions'!$I$10/SUM('Book Income Statement'!H6:H8))</f>
        <v>0.144724229209107</v>
      </c>
      <c r="H43" s="443" t="n">
        <f aca="false">IF(Operations!H3&gt;'Project Assumtions'!$I$15+1,0,H30/'Project Assumtions'!$I$10/SUM('Book Income Statement'!I6:I8))</f>
        <v>0.14906595608538</v>
      </c>
      <c r="I43" s="443" t="n">
        <f aca="false">IF(Operations!I3&gt;'Project Assumtions'!$I$15+1,0,I30/'Project Assumtions'!$I$10/SUM('Book Income Statement'!J6:J8))</f>
        <v>0.153537934767941</v>
      </c>
      <c r="J43" s="443" t="n">
        <f aca="false">IF(Operations!J3&gt;'Project Assumtions'!$I$15+1,0,J30/'Project Assumtions'!$I$10/SUM('Book Income Statement'!K6:K8))</f>
        <v>0.158144072810979</v>
      </c>
      <c r="K43" s="443" t="n">
        <f aca="false">IF(Operations!K3&gt;'Project Assumtions'!$I$15+1,0,K30/'Project Assumtions'!$I$10/SUM('Book Income Statement'!L6:L8))</f>
        <v>0.162888394995309</v>
      </c>
      <c r="L43" s="443" t="n">
        <f aca="false">IF(Operations!L3&gt;'Project Assumtions'!$I$15+1,0,L30/'Project Assumtions'!$I$10/SUM('Book Income Statement'!M6:M8))</f>
        <v>0.167775046845168</v>
      </c>
      <c r="M43" s="443" t="n">
        <f aca="false">IF(Operations!M3&gt;'Project Assumtions'!$I$15+1,0,M30/'Project Assumtions'!$I$10/SUM('Book Income Statement'!N6:N8))</f>
        <v>0.172808298250523</v>
      </c>
      <c r="N43" s="443" t="n">
        <f aca="false">IF(Operations!N3&gt;'Project Assumtions'!$I$15+1,0,N30/'Project Assumtions'!$I$10/SUM('Book Income Statement'!O6:O8))</f>
        <v>0.177992547198039</v>
      </c>
      <c r="O43" s="443" t="n">
        <f aca="false">IF(Operations!O3&gt;'Project Assumtions'!$I$15+1,0,O30/'Project Assumtions'!$I$10/SUM('Book Income Statement'!P6:P8))</f>
        <v>0.18333232361398</v>
      </c>
      <c r="P43" s="443" t="n">
        <f aca="false">IF(Operations!P3&gt;'Project Assumtions'!$I$15+1,0,P30/'Project Assumtions'!$I$10/SUM('Book Income Statement'!Q6:Q8))</f>
        <v>0.188832293322399</v>
      </c>
      <c r="Q43" s="443" t="n">
        <f aca="false">IF(Operations!Q3&gt;'Project Assumtions'!$I$15+1,0,Q30/'Project Assumtions'!$I$10/SUM('Book Income Statement'!R6:R8))</f>
        <v>0.194497262122071</v>
      </c>
      <c r="R43" s="443" t="n">
        <f aca="false">IF(Operations!R3&gt;'Project Assumtions'!$I$15+1,0,R30/'Project Assumtions'!$I$10/SUM('Book Income Statement'!S6:S8))</f>
        <v>0.200332179985734</v>
      </c>
      <c r="S43" s="443" t="n">
        <f aca="false">IF(Operations!S3&gt;'Project Assumtions'!$I$15+1,0,S30/'Project Assumtions'!$I$10/SUM('Book Income Statement'!T6:T8))</f>
        <v>0.206342145385306</v>
      </c>
      <c r="T43" s="443" t="n">
        <f aca="false">IF(Operations!T3&gt;'Project Assumtions'!$I$15+1,0,T30/'Project Assumtions'!$I$10/SUM('Book Income Statement'!U6:U8))</f>
        <v>0.212532409746865</v>
      </c>
      <c r="U43" s="443" t="n">
        <f aca="false">IF(Operations!U3&gt;'Project Assumtions'!$I$15+1,0,U30/'Project Assumtions'!$I$10/SUM('Book Income Statement'!V6:V8))</f>
        <v>0.218908382039271</v>
      </c>
      <c r="V43" s="443" t="n">
        <f aca="false">IF(Operations!V3&gt;'Project Assumtions'!$I$15+1,0,V30/'Project Assumtions'!$I$10/SUM('Book Income Statement'!W6:W8))</f>
        <v>0.225475633500449</v>
      </c>
      <c r="W43" s="443" t="n">
        <f aca="false">IF(Operations!W3&gt;'Project Assumtions'!$I$15+1,0,W30/'Project Assumtions'!$I$10/SUM('Book Income Statement'!X6:X8))</f>
        <v>0.55737576601311</v>
      </c>
      <c r="X43" s="443" t="e">
        <f aca="false">IF(Operations!X3&gt;'Project Assumtions'!$I$15+1,0,X30/'Project Assumtions'!$I$10/SUM('Book Income Statement'!Y6:Y8))</f>
        <v>#DIV/0!</v>
      </c>
      <c r="Y43" s="443" t="e">
        <f aca="false">IF(Operations!Y3&gt;'Project Assumtions'!$I$15+1,0,Y30/'Project Assumtions'!$I$10/SUM('Book Income Statement'!Z6:Z8))</f>
        <v>#DIV/0!</v>
      </c>
      <c r="Z43" s="443" t="e">
        <f aca="false">IF(Operations!Z3&gt;'Project Assumtions'!$I$15+1,0,Z30/'Project Assumtions'!$I$10/SUM('Book Income Statement'!AA6:AA8))</f>
        <v>#DIV/0!</v>
      </c>
      <c r="AA43" s="444" t="e">
        <f aca="false">IF(Operations!AA3&gt;'Project Assumtions'!$I$15+1,0,AA30/'Project Assumtions'!$I$10/SUM('Book Income Statement'!AB6:AB8))</f>
        <v>#DIV/0!</v>
      </c>
      <c r="AB43" s="1"/>
      <c r="AC43" s="1"/>
      <c r="AD43" s="1"/>
      <c r="AE43" s="1"/>
      <c r="AF43" s="1"/>
      <c r="AG43" s="1"/>
      <c r="AH43" s="1"/>
      <c r="AI43" s="1"/>
    </row>
    <row r="44" customFormat="false" ht="12.6" hidden="false" customHeight="true" outlineLevel="0" collapsed="false">
      <c r="A44" s="403" t="s">
        <v>378</v>
      </c>
      <c r="B44" s="445" t="n">
        <f aca="false">AVERAGE(C44:V44)</f>
        <v>0.52350989804488</v>
      </c>
      <c r="C44" s="443" t="n">
        <f aca="false">IF(Operations!C3&gt;'Project Assumtions'!$I$15+1,0,C31/'Project Assumtions'!$I$10/SUM('Book Income Statement'!D6:D8))</f>
        <v>0.650684498480243</v>
      </c>
      <c r="D44" s="443" t="n">
        <f aca="false">IF(Operations!D3&gt;'Project Assumtions'!$I$15+1,0,D31/'Project Assumtions'!$I$10/SUM('Book Income Statement'!E6:E8))</f>
        <v>0.390952936170213</v>
      </c>
      <c r="E44" s="443" t="n">
        <f aca="false">IF(Operations!E3&gt;'Project Assumtions'!$I$15+1,0,E31/'Project Assumtions'!$I$10/SUM('Book Income Statement'!F6:F8))</f>
        <v>0.402681524255319</v>
      </c>
      <c r="F44" s="443" t="n">
        <f aca="false">IF(Operations!F3&gt;'Project Assumtions'!$I$15+1,0,F31/'Project Assumtions'!$I$10/SUM('Book Income Statement'!G6:G8))</f>
        <v>0.414761969982979</v>
      </c>
      <c r="G44" s="443" t="n">
        <f aca="false">IF(Operations!G3&gt;'Project Assumtions'!$I$15+1,0,G31/'Project Assumtions'!$I$10/SUM('Book Income Statement'!H6:H8))</f>
        <v>0.427204829082468</v>
      </c>
      <c r="H44" s="443" t="n">
        <f aca="false">IF(Operations!H3&gt;'Project Assumtions'!$I$15+1,0,H31/'Project Assumtions'!$I$10/SUM('Book Income Statement'!I6:I8))</f>
        <v>0.440020973954942</v>
      </c>
      <c r="I44" s="443" t="n">
        <f aca="false">IF(Operations!I3&gt;'Project Assumtions'!$I$15+1,0,I31/'Project Assumtions'!$I$10/SUM('Book Income Statement'!J6:J8))</f>
        <v>0.453221603173591</v>
      </c>
      <c r="J44" s="443" t="n">
        <f aca="false">IF(Operations!J3&gt;'Project Assumtions'!$I$15+1,0,J31/'Project Assumtions'!$I$10/SUM('Book Income Statement'!K6:K8))</f>
        <v>0.466818251268798</v>
      </c>
      <c r="K44" s="443" t="n">
        <f aca="false">IF(Operations!K3&gt;'Project Assumtions'!$I$15+1,0,K31/'Project Assumtions'!$I$10/SUM('Book Income Statement'!L6:L8))</f>
        <v>0.480822798806862</v>
      </c>
      <c r="L44" s="443" t="n">
        <f aca="false">IF(Operations!L3&gt;'Project Assumtions'!$I$15+1,0,L31/'Project Assumtions'!$I$10/SUM('Book Income Statement'!M6:M8))</f>
        <v>0.495247482771068</v>
      </c>
      <c r="M44" s="443" t="n">
        <f aca="false">IF(Operations!M3&gt;'Project Assumtions'!$I$15+1,0,M31/'Project Assumtions'!$I$10/SUM('Book Income Statement'!N6:N8))</f>
        <v>0.5101049072542</v>
      </c>
      <c r="N44" s="443" t="n">
        <f aca="false">IF(Operations!N3&gt;'Project Assumtions'!$I$15+1,0,N31/'Project Assumtions'!$I$10/SUM('Book Income Statement'!O6:O8))</f>
        <v>0.525408054471826</v>
      </c>
      <c r="O44" s="443" t="n">
        <f aca="false">IF(Operations!O3&gt;'Project Assumtions'!$I$15+1,0,O31/'Project Assumtions'!$I$10/SUM('Book Income Statement'!P6:P8))</f>
        <v>0.541170296105981</v>
      </c>
      <c r="P44" s="443" t="n">
        <f aca="false">IF(Operations!P3&gt;'Project Assumtions'!$I$15+1,0,P31/'Project Assumtions'!$I$10/SUM('Book Income Statement'!Q6:Q8))</f>
        <v>0.55740540498916</v>
      </c>
      <c r="Q44" s="443" t="n">
        <f aca="false">IF(Operations!Q3&gt;'Project Assumtions'!$I$15+1,0,Q31/'Project Assumtions'!$I$10/SUM('Book Income Statement'!R6:R8))</f>
        <v>0.574127567138835</v>
      </c>
      <c r="R44" s="443" t="n">
        <f aca="false">IF(Operations!R3&gt;'Project Assumtions'!$I$15+1,0,R31/'Project Assumtions'!$I$10/SUM('Book Income Statement'!S6:S8))</f>
        <v>0.591351394153</v>
      </c>
      <c r="S44" s="443" t="n">
        <f aca="false">IF(Operations!S3&gt;'Project Assumtions'!$I$15+1,0,S31/'Project Assumtions'!$I$10/SUM('Book Income Statement'!T6:T8))</f>
        <v>0.60909193597759</v>
      </c>
      <c r="T44" s="443" t="n">
        <f aca="false">IF(Operations!T3&gt;'Project Assumtions'!$I$15+1,0,T31/'Project Assumtions'!$I$10/SUM('Book Income Statement'!U6:U8))</f>
        <v>0.627364694056918</v>
      </c>
      <c r="U44" s="443" t="n">
        <f aca="false">IF(Operations!U3&gt;'Project Assumtions'!$I$15+1,0,U31/'Project Assumtions'!$I$10/SUM('Book Income Statement'!V6:V8))</f>
        <v>0.646185634878626</v>
      </c>
      <c r="V44" s="443" t="n">
        <f aca="false">IF(Operations!V3&gt;'Project Assumtions'!$I$15+1,0,V31/'Project Assumtions'!$I$10/SUM('Book Income Statement'!W6:W8))</f>
        <v>0.665571203924984</v>
      </c>
      <c r="W44" s="443" t="n">
        <f aca="false">IF(Operations!W3&gt;'Project Assumtions'!$I$15+1,0,W31/'Project Assumtions'!$I$10/SUM('Book Income Statement'!X6:X8))</f>
        <v>1.64529201610256</v>
      </c>
      <c r="X44" s="443" t="e">
        <f aca="false">IF(Operations!X3&gt;'Project Assumtions'!$I$15+1,0,X31/'Project Assumtions'!$I$10/SUM('Book Income Statement'!Y6:Y8))</f>
        <v>#DIV/0!</v>
      </c>
      <c r="Y44" s="443" t="e">
        <f aca="false">IF(Operations!Y3&gt;'Project Assumtions'!$I$15+1,0,Y31/'Project Assumtions'!$I$10/SUM('Book Income Statement'!Z6:Z8))</f>
        <v>#DIV/0!</v>
      </c>
      <c r="Z44" s="443" t="e">
        <f aca="false">IF(Operations!Z3&gt;'Project Assumtions'!$I$15+1,0,Z31/'Project Assumtions'!$I$10/SUM('Book Income Statement'!AA6:AA8))</f>
        <v>#DIV/0!</v>
      </c>
      <c r="AA44" s="444" t="e">
        <f aca="false">IF(Operations!AA3&gt;'Project Assumtions'!$I$15+1,0,AA31/'Project Assumtions'!$I$10/SUM('Book Income Statement'!AB6:AB8))</f>
        <v>#DIV/0!</v>
      </c>
      <c r="AB44" s="1"/>
      <c r="AC44" s="1"/>
      <c r="AD44" s="1"/>
      <c r="AE44" s="1"/>
      <c r="AF44" s="1"/>
      <c r="AG44" s="1"/>
      <c r="AH44" s="1"/>
      <c r="AI44" s="1"/>
    </row>
    <row r="45" customFormat="false" ht="14.25" hidden="false" customHeight="true" outlineLevel="0" collapsed="false">
      <c r="A45" s="403" t="s">
        <v>379</v>
      </c>
      <c r="B45" s="446" t="n">
        <f aca="false">AVERAGE(C45:V45)</f>
        <v>0.638063182462077</v>
      </c>
      <c r="C45" s="447" t="n">
        <f aca="false">IF(Operations!C3&gt;'Project Assumtions'!$I$15+1,0,C32/('Project Assumtions'!$I$10*SUM('Book Income Statement'!D6:D8)))</f>
        <v>0.425968352422321</v>
      </c>
      <c r="D45" s="447" t="n">
        <f aca="false">IF(Operations!D3&gt;'Project Assumtions'!$I$15+1,0,D32/('Project Assumtions'!$I$10*SUM('Book Income Statement'!E6:E8)))</f>
        <v>0.425983281921029</v>
      </c>
      <c r="E45" s="447" t="n">
        <f aca="false">IF(Operations!E3&gt;'Project Assumtions'!$I$15+1,0,E32/('Project Assumtions'!$I$10*SUM('Book Income Statement'!F6:F8)))</f>
        <v>0.43876278037866</v>
      </c>
      <c r="F45" s="447" t="n">
        <f aca="false">IF(Operations!F3&gt;'Project Assumtions'!$I$15+1,0,F32/('Project Assumtions'!$I$10*SUM('Book Income Statement'!G6:G8)))</f>
        <v>0.496633819818388</v>
      </c>
      <c r="G45" s="447" t="n">
        <f aca="false">IF(Operations!G3&gt;'Project Assumtions'!$I$15+1,0,G32/('Project Assumtions'!$I$10*SUM('Book Income Statement'!H6:H8)))</f>
        <v>0.544425263490954</v>
      </c>
      <c r="H45" s="447" t="n">
        <f aca="false">IF(Operations!H3&gt;'Project Assumtions'!$I$15+1,0,H32/('Project Assumtions'!$I$10*SUM('Book Income Statement'!I6:I8)))</f>
        <v>0.560758021395683</v>
      </c>
      <c r="I45" s="447" t="n">
        <f aca="false">IF(Operations!I3&gt;'Project Assumtions'!$I$15+1,0,I32/('Project Assumtions'!$I$10*SUM('Book Income Statement'!J6:J8)))</f>
        <v>0.577580762037553</v>
      </c>
      <c r="J45" s="447" t="n">
        <f aca="false">IF(Operations!J3&gt;'Project Assumtions'!$I$15+1,0,J32/('Project Assumtions'!$I$10*SUM('Book Income Statement'!K6:K8)))</f>
        <v>0.59490818489868</v>
      </c>
      <c r="K45" s="447" t="n">
        <f aca="false">IF(Operations!K3&gt;'Project Assumtions'!$I$15+1,0,K32/('Project Assumtions'!$I$10*SUM('Book Income Statement'!L6:L8)))</f>
        <v>0.61275543044564</v>
      </c>
      <c r="L45" s="447" t="n">
        <f aca="false">IF(Operations!L3&gt;'Project Assumtions'!$I$15+1,0,L32/('Project Assumtions'!$I$10*SUM('Book Income Statement'!M6:M8)))</f>
        <v>0.631138093359009</v>
      </c>
      <c r="M45" s="447" t="n">
        <f aca="false">IF(Operations!M3&gt;'Project Assumtions'!$I$15+1,0,M32/('Project Assumtions'!$I$10*SUM('Book Income Statement'!N6:N8)))</f>
        <v>0.65007223615978</v>
      </c>
      <c r="N45" s="447" t="n">
        <f aca="false">IF(Operations!N3&gt;'Project Assumtions'!$I$15+1,0,N32/('Project Assumtions'!$I$10*SUM('Book Income Statement'!O6:O8)))</f>
        <v>0.669574403244573</v>
      </c>
      <c r="O45" s="447" t="n">
        <f aca="false">IF(Operations!O3&gt;'Project Assumtions'!$I$15+1,0,O32/('Project Assumtions'!$I$10*SUM('Book Income Statement'!P6:P8)))</f>
        <v>0.68966163534191</v>
      </c>
      <c r="P45" s="447" t="n">
        <f aca="false">IF(Operations!P3&gt;'Project Assumtions'!$I$15+1,0,P32/('Project Assumtions'!$I$10*SUM('Book Income Statement'!Q6:Q8)))</f>
        <v>0.710351484402168</v>
      </c>
      <c r="Q45" s="447" t="n">
        <f aca="false">IF(Operations!Q3&gt;'Project Assumtions'!$I$15+1,0,Q32/('Project Assumtions'!$I$10*SUM('Book Income Statement'!R6:R8)))</f>
        <v>0.731662028934233</v>
      </c>
      <c r="R45" s="447" t="n">
        <f aca="false">IF(Operations!R3&gt;'Project Assumtions'!$I$15+1,0,R32/('Project Assumtions'!$I$10*SUM('Book Income Statement'!S6:S8)))</f>
        <v>0.75361188980226</v>
      </c>
      <c r="S45" s="447" t="n">
        <f aca="false">IF(Operations!S3&gt;'Project Assumtions'!$I$15+1,0,S32/('Project Assumtions'!$I$10*SUM('Book Income Statement'!T6:T8)))</f>
        <v>0.776220246496328</v>
      </c>
      <c r="T45" s="447" t="n">
        <f aca="false">IF(Operations!T3&gt;'Project Assumtions'!$I$15+1,0,T32/('Project Assumtions'!$I$10*SUM('Book Income Statement'!U6:U8)))</f>
        <v>0.799506853891218</v>
      </c>
      <c r="U45" s="447" t="n">
        <f aca="false">IF(Operations!U3&gt;'Project Assumtions'!$I$15+1,0,U32/('Project Assumtions'!$I$10*SUM('Book Income Statement'!V6:V8)))</f>
        <v>0.823492059507954</v>
      </c>
      <c r="V45" s="447" t="n">
        <f aca="false">IF(Operations!V3&gt;'Project Assumtions'!$I$15+1,0,V32/('Project Assumtions'!$I$10*SUM('Book Income Statement'!W6:W8)))</f>
        <v>0.848196821293193</v>
      </c>
      <c r="W45" s="447" t="n">
        <f aca="false">IF(Operations!W3&gt;'Project Assumtions'!$I$15+1,0,W32/('Project Assumtions'!$I$10*SUM('Book Income Statement'!X6:X8)))</f>
        <v>0.917511374520173</v>
      </c>
      <c r="X45" s="447" t="e">
        <f aca="false">IF(Operations!X3&gt;'Project Assumtions'!$I$15+1,0,X32/('Project Assumtions'!$I$10*SUM('Book Income Statement'!Y6:Y8)))</f>
        <v>#DIV/0!</v>
      </c>
      <c r="Y45" s="447" t="e">
        <f aca="false">IF(Operations!Y3&gt;'Project Assumtions'!$I$15+1,0,Y32/('Project Assumtions'!$I$10*SUM('Book Income Statement'!Z6:Z8)))</f>
        <v>#DIV/0!</v>
      </c>
      <c r="Z45" s="447" t="e">
        <f aca="false">IF(Operations!Z3&gt;'Project Assumtions'!$I$15+1,0,Z32/('Project Assumtions'!$I$10*SUM('Book Income Statement'!AA6:AA8)))</f>
        <v>#DIV/0!</v>
      </c>
      <c r="AA45" s="448" t="e">
        <f aca="false">IF(Operations!AA3&gt;'Project Assumtions'!$I$15+1,0,AA32/('Project Assumtions'!$I$10*SUM('Book Income Statement'!AB6:AB8)))</f>
        <v>#DIV/0!</v>
      </c>
      <c r="AB45" s="1"/>
      <c r="AC45" s="1"/>
      <c r="AD45" s="1"/>
      <c r="AE45" s="1"/>
      <c r="AF45" s="1"/>
      <c r="AG45" s="1"/>
      <c r="AH45" s="1"/>
      <c r="AI45" s="1"/>
    </row>
    <row r="46" customFormat="false" ht="12.6" hidden="false" customHeight="true" outlineLevel="0" collapsed="false">
      <c r="A46" s="403" t="s">
        <v>380</v>
      </c>
      <c r="B46" s="445" t="n">
        <f aca="false">AVERAGE(C46:V46)</f>
        <v>1.33281334869212</v>
      </c>
      <c r="C46" s="443" t="n">
        <f aca="false">SUM(C43:C45)</f>
        <v>1.19649079416498</v>
      </c>
      <c r="D46" s="443" t="n">
        <f aca="false">SUM(D43:D45)</f>
        <v>0.940369299651525</v>
      </c>
      <c r="E46" s="443" t="n">
        <f aca="false">SUM(E43:E45)</f>
        <v>0.968580378641071</v>
      </c>
      <c r="F46" s="443" t="n">
        <f aca="false">SUM(F43:F45)</f>
        <v>1.04860494479637</v>
      </c>
      <c r="G46" s="443" t="n">
        <f aca="false">SUM(G43:G45)</f>
        <v>1.11635432178253</v>
      </c>
      <c r="H46" s="443" t="n">
        <f aca="false">SUM(H43:H45)</f>
        <v>1.149844951436</v>
      </c>
      <c r="I46" s="443" t="n">
        <f aca="false">SUM(I43:I45)</f>
        <v>1.18434029997908</v>
      </c>
      <c r="J46" s="443" t="n">
        <f aca="false">SUM(J43:J45)</f>
        <v>1.21987050897846</v>
      </c>
      <c r="K46" s="443" t="n">
        <f aca="false">SUM(K43:K45)</f>
        <v>1.25646662424781</v>
      </c>
      <c r="L46" s="443" t="n">
        <f aca="false">SUM(L43:L45)</f>
        <v>1.29416062297525</v>
      </c>
      <c r="M46" s="443" t="n">
        <f aca="false">SUM(M43:M45)</f>
        <v>1.3329854416645</v>
      </c>
      <c r="N46" s="443" t="n">
        <f aca="false">SUM(N43:N45)</f>
        <v>1.37297500491444</v>
      </c>
      <c r="O46" s="443" t="n">
        <f aca="false">SUM(O43:O45)</f>
        <v>1.41416425506187</v>
      </c>
      <c r="P46" s="443" t="n">
        <f aca="false">SUM(P43:P45)</f>
        <v>1.45658918271373</v>
      </c>
      <c r="Q46" s="443" t="n">
        <f aca="false">SUM(Q43:Q45)</f>
        <v>1.50028685819514</v>
      </c>
      <c r="R46" s="443" t="n">
        <f aca="false">SUM(R43:R45)</f>
        <v>1.54529546394099</v>
      </c>
      <c r="S46" s="443" t="n">
        <f aca="false">SUM(S43:S45)</f>
        <v>1.59165432785922</v>
      </c>
      <c r="T46" s="443" t="n">
        <f aca="false">SUM(T43:T45)</f>
        <v>1.639403957695</v>
      </c>
      <c r="U46" s="443" t="n">
        <f aca="false">SUM(U43:U45)</f>
        <v>1.68858607642585</v>
      </c>
      <c r="V46" s="443" t="n">
        <f aca="false">SUM(V43:V45)</f>
        <v>1.73924365871863</v>
      </c>
      <c r="W46" s="443" t="n">
        <f aca="false">SUM(W43:W45)</f>
        <v>3.12017915663584</v>
      </c>
      <c r="X46" s="443" t="e">
        <f aca="false">SUM(X43:X45)</f>
        <v>#DIV/0!</v>
      </c>
      <c r="Y46" s="443" t="e">
        <f aca="false">SUM(Y43:Y45)</f>
        <v>#DIV/0!</v>
      </c>
      <c r="Z46" s="443" t="e">
        <f aca="false">SUM(Z43:Z45)</f>
        <v>#DIV/0!</v>
      </c>
      <c r="AA46" s="444" t="e">
        <f aca="false">SUM(AA43:AA45)</f>
        <v>#DIV/0!</v>
      </c>
      <c r="AB46" s="1"/>
      <c r="AC46" s="1"/>
      <c r="AD46" s="1"/>
      <c r="AE46" s="1"/>
      <c r="AF46" s="1"/>
      <c r="AG46" s="1"/>
      <c r="AH46" s="1"/>
      <c r="AI46" s="1"/>
    </row>
    <row r="47" customFormat="false" ht="12.6" hidden="false" customHeight="true" outlineLevel="0" collapsed="false">
      <c r="A47" s="403"/>
      <c r="B47" s="449"/>
      <c r="C47" s="450"/>
      <c r="D47" s="450"/>
      <c r="E47" s="450"/>
      <c r="F47" s="450"/>
      <c r="G47" s="450"/>
      <c r="H47" s="450"/>
      <c r="I47" s="450"/>
      <c r="J47" s="450"/>
      <c r="K47" s="450"/>
      <c r="L47" s="450"/>
      <c r="M47" s="450"/>
      <c r="N47" s="450"/>
      <c r="O47" s="450"/>
      <c r="P47" s="450"/>
      <c r="Q47" s="450"/>
      <c r="R47" s="450"/>
      <c r="S47" s="450"/>
      <c r="T47" s="450"/>
      <c r="U47" s="450"/>
      <c r="V47" s="450"/>
      <c r="W47" s="450"/>
      <c r="X47" s="450"/>
      <c r="Y47" s="450"/>
      <c r="Z47" s="450"/>
      <c r="AA47" s="451"/>
      <c r="AB47" s="1"/>
      <c r="AC47" s="1"/>
      <c r="AD47" s="1"/>
      <c r="AE47" s="1"/>
      <c r="AF47" s="1"/>
      <c r="AG47" s="1"/>
      <c r="AH47" s="1"/>
      <c r="AI47" s="1"/>
    </row>
    <row r="48" customFormat="false" ht="12.6" hidden="false" customHeight="true" outlineLevel="0" collapsed="false">
      <c r="A48" s="403" t="s">
        <v>381</v>
      </c>
      <c r="B48" s="445" t="n">
        <f aca="false">AVERAGE(C48:V48)</f>
        <v>1.33281334869212</v>
      </c>
      <c r="C48" s="443" t="n">
        <f aca="false">C46</f>
        <v>1.19649079416498</v>
      </c>
      <c r="D48" s="443" t="n">
        <f aca="false">D46</f>
        <v>0.940369299651525</v>
      </c>
      <c r="E48" s="443" t="n">
        <f aca="false">E46</f>
        <v>0.968580378641071</v>
      </c>
      <c r="F48" s="443" t="n">
        <f aca="false">F46</f>
        <v>1.04860494479637</v>
      </c>
      <c r="G48" s="443" t="n">
        <f aca="false">G46</f>
        <v>1.11635432178253</v>
      </c>
      <c r="H48" s="443" t="n">
        <f aca="false">H46</f>
        <v>1.149844951436</v>
      </c>
      <c r="I48" s="443" t="n">
        <f aca="false">I46</f>
        <v>1.18434029997908</v>
      </c>
      <c r="J48" s="443" t="n">
        <f aca="false">J46</f>
        <v>1.21987050897846</v>
      </c>
      <c r="K48" s="443" t="n">
        <f aca="false">K46</f>
        <v>1.25646662424781</v>
      </c>
      <c r="L48" s="443" t="n">
        <f aca="false">L46</f>
        <v>1.29416062297525</v>
      </c>
      <c r="M48" s="443" t="n">
        <f aca="false">M46</f>
        <v>1.3329854416645</v>
      </c>
      <c r="N48" s="443" t="n">
        <f aca="false">N46</f>
        <v>1.37297500491444</v>
      </c>
      <c r="O48" s="443" t="n">
        <f aca="false">O46</f>
        <v>1.41416425506187</v>
      </c>
      <c r="P48" s="443" t="n">
        <f aca="false">P46</f>
        <v>1.45658918271373</v>
      </c>
      <c r="Q48" s="443" t="n">
        <f aca="false">Q46</f>
        <v>1.50028685819514</v>
      </c>
      <c r="R48" s="443" t="n">
        <f aca="false">R46</f>
        <v>1.54529546394099</v>
      </c>
      <c r="S48" s="443" t="n">
        <f aca="false">S46</f>
        <v>1.59165432785922</v>
      </c>
      <c r="T48" s="443" t="n">
        <f aca="false">T46</f>
        <v>1.639403957695</v>
      </c>
      <c r="U48" s="443" t="n">
        <f aca="false">U46</f>
        <v>1.68858607642585</v>
      </c>
      <c r="V48" s="443" t="n">
        <f aca="false">V46</f>
        <v>1.73924365871863</v>
      </c>
      <c r="W48" s="443" t="n">
        <f aca="false">W46</f>
        <v>3.12017915663584</v>
      </c>
      <c r="X48" s="443" t="e">
        <f aca="false">X46</f>
        <v>#DIV/0!</v>
      </c>
      <c r="Y48" s="443" t="e">
        <f aca="false">Y46</f>
        <v>#DIV/0!</v>
      </c>
      <c r="Z48" s="443" t="e">
        <f aca="false">Z46</f>
        <v>#DIV/0!</v>
      </c>
      <c r="AA48" s="444" t="e">
        <f aca="false">AA46</f>
        <v>#DIV/0!</v>
      </c>
      <c r="AB48" s="1"/>
      <c r="AC48" s="1"/>
      <c r="AD48" s="1"/>
      <c r="AE48" s="1"/>
      <c r="AF48" s="1"/>
      <c r="AG48" s="1"/>
      <c r="AH48" s="1"/>
      <c r="AI48" s="1"/>
    </row>
    <row r="49" customFormat="false" ht="12.6" hidden="false" customHeight="true" outlineLevel="0" collapsed="false">
      <c r="A49" s="403" t="s">
        <v>382</v>
      </c>
      <c r="B49" s="445" t="n">
        <f aca="false">AVERAGE(C49:V49)</f>
        <v>0.084487092792304</v>
      </c>
      <c r="C49" s="452" t="n">
        <f aca="false">IF(Operations!C3&gt;'Project Assumtions'!$I$15+1,0,C33/'Project Assumtions'!$I$10/SUM('Book Income Statement'!D6:D8))</f>
        <v>0.0446138788236109</v>
      </c>
      <c r="D49" s="452" t="n">
        <f aca="false">IF(Operations!D3&gt;'Project Assumtions'!$I$15+1,0,D33/'Project Assumtions'!$I$10/SUM('Book Income Statement'!E6:E8))</f>
        <v>0</v>
      </c>
      <c r="E49" s="452" t="n">
        <f aca="false">IF(Operations!E3&gt;'Project Assumtions'!$I$15+1,0,E33/'Project Assumtions'!$I$10/SUM('Book Income Statement'!F6:F8))</f>
        <v>0.0154945365351156</v>
      </c>
      <c r="F49" s="452" t="n">
        <f aca="false">IF(Operations!F3&gt;'Project Assumtions'!$I$15+1,0,F33/'Project Assumtions'!$I$10/SUM('Book Income Statement'!G6:G8))</f>
        <v>0.0287690120783377</v>
      </c>
      <c r="G49" s="452" t="n">
        <f aca="false">IF(Operations!G3&gt;'Project Assumtions'!$I$15+1,0,G33/'Project Assumtions'!$I$10/SUM('Book Income Statement'!H6:H8))</f>
        <v>0.0392531339987492</v>
      </c>
      <c r="H49" s="452" t="n">
        <f aca="false">IF(Operations!H3&gt;'Project Assumtions'!$I$15+1,0,H33/'Project Assumtions'!$I$10/SUM('Book Income Statement'!I6:I8))</f>
        <v>0.0473790582923174</v>
      </c>
      <c r="I49" s="452" t="n">
        <f aca="false">IF(Operations!I3&gt;'Project Assumtions'!$I$15+1,0,I33/'Project Assumtions'!$I$10/SUM('Book Income Statement'!J6:J8))</f>
        <v>0.0626699081175015</v>
      </c>
      <c r="J49" s="452" t="n">
        <f aca="false">IF(Operations!J3&gt;'Project Assumtions'!$I$15+1,0,J33/'Project Assumtions'!$I$10/SUM('Book Income Statement'!K6:K8))</f>
        <v>0.0818422827546549</v>
      </c>
      <c r="K49" s="452" t="n">
        <f aca="false">IF(Operations!K3&gt;'Project Assumtions'!$I$15+1,0,K33/'Project Assumtions'!$I$10/SUM('Book Income Statement'!L6:L8))</f>
        <v>0.0939837184554518</v>
      </c>
      <c r="L49" s="452" t="n">
        <f aca="false">IF(Operations!L3&gt;'Project Assumtions'!$I$15+1,0,L33/'Project Assumtions'!$I$10/SUM('Book Income Statement'!M6:M8))</f>
        <v>0.0927165642493342</v>
      </c>
      <c r="M49" s="452" t="n">
        <f aca="false">IF(Operations!M3&gt;'Project Assumtions'!$I$15+1,0,M33/'Project Assumtions'!$I$10/SUM('Book Income Statement'!N6:N8))</f>
        <v>0.0917748040790421</v>
      </c>
      <c r="N49" s="452" t="n">
        <f aca="false">IF(Operations!N3&gt;'Project Assumtions'!$I$15+1,0,N33/'Project Assumtions'!$I$10/SUM('Book Income Statement'!O6:O8))</f>
        <v>0.121249439829107</v>
      </c>
      <c r="O49" s="452" t="n">
        <f aca="false">IF(Operations!O3&gt;'Project Assumtions'!$I$15+1,0,O33/'Project Assumtions'!$I$10/SUM('Book Income Statement'!P6:P8))</f>
        <v>0.121249439829107</v>
      </c>
      <c r="P49" s="452" t="n">
        <f aca="false">IF(Operations!P3&gt;'Project Assumtions'!$I$15+1,0,P33/'Project Assumtions'!$I$10/SUM('Book Income Statement'!Q6:Q8))</f>
        <v>0.121249439829107</v>
      </c>
      <c r="Q49" s="452" t="n">
        <f aca="false">IF(Operations!Q3&gt;'Project Assumtions'!$I$15+1,0,Q33/'Project Assumtions'!$I$10/SUM('Book Income Statement'!R6:R8))</f>
        <v>0.121249439829107</v>
      </c>
      <c r="R49" s="452" t="n">
        <f aca="false">IF(Operations!R3&gt;'Project Assumtions'!$I$15+1,0,R33/'Project Assumtions'!$I$10/SUM('Book Income Statement'!S6:S8))</f>
        <v>0.121249439829107</v>
      </c>
      <c r="S49" s="452" t="n">
        <f aca="false">IF(Operations!S3&gt;'Project Assumtions'!$I$15+1,0,S33/'Project Assumtions'!$I$10/SUM('Book Income Statement'!T6:T8))</f>
        <v>0.121249439829107</v>
      </c>
      <c r="T49" s="452" t="n">
        <f aca="false">IF(Operations!T3&gt;'Project Assumtions'!$I$15+1,0,T33/'Project Assumtions'!$I$10/SUM('Book Income Statement'!U6:U8))</f>
        <v>0.121249439829107</v>
      </c>
      <c r="U49" s="452" t="n">
        <f aca="false">IF(Operations!U3&gt;'Project Assumtions'!$I$15+1,0,U33/'Project Assumtions'!$I$10/SUM('Book Income Statement'!V6:V8))</f>
        <v>0.121249439829107</v>
      </c>
      <c r="V49" s="452" t="n">
        <f aca="false">IF(Operations!V3&gt;'Project Assumtions'!$I$15+1,0,V33/'Project Assumtions'!$I$10/SUM('Book Income Statement'!W6:W8))</f>
        <v>0.121249439829107</v>
      </c>
      <c r="W49" s="452" t="n">
        <f aca="false">IF(Operations!W3&gt;'Project Assumtions'!$I$15+1,0,W33/'Project Assumtions'!$I$10/SUM('Book Income Statement'!X6:X8))</f>
        <v>0.290998655589857</v>
      </c>
      <c r="X49" s="452" t="e">
        <f aca="false">IF(Operations!X3&gt;'Project Assumtions'!$I$15+1,0,X33/'Project Assumtions'!$I$10/SUM('Book Income Statement'!Y6:Y8))</f>
        <v>#DIV/0!</v>
      </c>
      <c r="Y49" s="452" t="e">
        <f aca="false">IF(Operations!Y3&gt;'Project Assumtions'!$I$15+1,0,Y33/'Project Assumtions'!$I$10/SUM('Book Income Statement'!Z6:Z8))</f>
        <v>#DIV/0!</v>
      </c>
      <c r="Z49" s="452" t="e">
        <f aca="false">IF(Operations!Z3&gt;'Project Assumtions'!$I$15+1,0,Z33/'Project Assumtions'!$I$10/SUM('Book Income Statement'!AA6:AA8))</f>
        <v>#DIV/0!</v>
      </c>
      <c r="AA49" s="453" t="e">
        <f aca="false">IF(Operations!AA3&gt;'Project Assumtions'!$I$15+1,0,AA33/'Project Assumtions'!$I$10/SUM('Book Income Statement'!AB6:AB8))</f>
        <v>#DIV/0!</v>
      </c>
      <c r="AB49" s="1"/>
      <c r="AC49" s="1"/>
      <c r="AD49" s="1"/>
      <c r="AE49" s="1"/>
      <c r="AF49" s="1"/>
      <c r="AG49" s="1"/>
      <c r="AH49" s="1"/>
      <c r="AI49" s="1"/>
    </row>
    <row r="50" customFormat="false" ht="12.6" hidden="false" customHeight="true" outlineLevel="0" collapsed="false">
      <c r="A50" s="403" t="s">
        <v>383</v>
      </c>
      <c r="B50" s="445" t="n">
        <f aca="false">AVERAGE(C50:V50)</f>
        <v>0</v>
      </c>
      <c r="C50" s="452" t="n">
        <f aca="false">IF(Operations!C3&gt;'Project Assumtions'!$I$15+1,0,C34/'Project Assumtions'!$I$10/SUM('Book Income Statement'!D6:D8))</f>
        <v>0</v>
      </c>
      <c r="D50" s="452" t="n">
        <f aca="false">IF(Operations!D3&gt;'Project Assumtions'!$I$15+1,0,D34/'Project Assumtions'!$I$10/SUM('Book Income Statement'!E6:E8))</f>
        <v>0</v>
      </c>
      <c r="E50" s="452" t="n">
        <f aca="false">IF(Operations!E3&gt;'Project Assumtions'!$I$15+1,0,E34/'Project Assumtions'!$I$10/SUM('Book Income Statement'!F6:F8))</f>
        <v>0</v>
      </c>
      <c r="F50" s="452" t="n">
        <f aca="false">IF(Operations!F3&gt;'Project Assumtions'!$I$15+1,0,F34/'Project Assumtions'!$I$10/SUM('Book Income Statement'!G6:G8))</f>
        <v>0</v>
      </c>
      <c r="G50" s="452" t="n">
        <f aca="false">IF(Operations!G3&gt;'Project Assumtions'!$I$15+1,0,G34/'Project Assumtions'!$I$10/SUM('Book Income Statement'!H6:H8))</f>
        <v>0</v>
      </c>
      <c r="H50" s="452" t="n">
        <f aca="false">IF(Operations!H3&gt;'Project Assumtions'!$I$15+1,0,H34/'Project Assumtions'!$I$10/SUM('Book Income Statement'!I6:I8))</f>
        <v>0</v>
      </c>
      <c r="I50" s="452" t="n">
        <f aca="false">IF(Operations!I3&gt;'Project Assumtions'!$I$15+1,0,I34/'Project Assumtions'!$I$10/SUM('Book Income Statement'!J6:J8))</f>
        <v>0</v>
      </c>
      <c r="J50" s="452" t="n">
        <f aca="false">IF(Operations!J3&gt;'Project Assumtions'!$I$15+1,0,J34/'Project Assumtions'!$I$10/SUM('Book Income Statement'!K6:K8))</f>
        <v>0</v>
      </c>
      <c r="K50" s="452" t="n">
        <f aca="false">IF(Operations!K3&gt;'Project Assumtions'!$I$15+1,0,K34/'Project Assumtions'!$I$10/SUM('Book Income Statement'!L6:L8))</f>
        <v>0</v>
      </c>
      <c r="L50" s="452" t="n">
        <f aca="false">IF(Operations!L3&gt;'Project Assumtions'!$I$15+1,0,L34/'Project Assumtions'!$I$10/SUM('Book Income Statement'!M6:M8))</f>
        <v>0</v>
      </c>
      <c r="M50" s="452" t="n">
        <f aca="false">IF(Operations!M3&gt;'Project Assumtions'!$I$15+1,0,M34/'Project Assumtions'!$I$10/SUM('Book Income Statement'!N6:N8))</f>
        <v>0</v>
      </c>
      <c r="N50" s="452" t="n">
        <f aca="false">IF(Operations!N3&gt;'Project Assumtions'!$I$15+1,0,N34/'Project Assumtions'!$I$10/SUM('Book Income Statement'!O6:O8))</f>
        <v>0</v>
      </c>
      <c r="O50" s="452" t="n">
        <f aca="false">IF(Operations!O3&gt;'Project Assumtions'!$I$15+1,0,O34/'Project Assumtions'!$I$10/SUM('Book Income Statement'!P6:P8))</f>
        <v>0</v>
      </c>
      <c r="P50" s="452" t="n">
        <f aca="false">IF(Operations!P3&gt;'Project Assumtions'!$I$15+1,0,P34/'Project Assumtions'!$I$10/SUM('Book Income Statement'!Q6:Q8))</f>
        <v>0</v>
      </c>
      <c r="Q50" s="452" t="n">
        <f aca="false">IF(Operations!Q3&gt;'Project Assumtions'!$I$15+1,0,Q34/'Project Assumtions'!$I$10/SUM('Book Income Statement'!R6:R8))</f>
        <v>0</v>
      </c>
      <c r="R50" s="452" t="n">
        <f aca="false">IF(Operations!R3&gt;'Project Assumtions'!$I$15+1,0,R34/'Project Assumtions'!$I$10/SUM('Book Income Statement'!S6:S8))</f>
        <v>0</v>
      </c>
      <c r="S50" s="452" t="n">
        <f aca="false">IF(Operations!S3&gt;'Project Assumtions'!$I$15+1,0,S34/'Project Assumtions'!$I$10/SUM('Book Income Statement'!T6:T8))</f>
        <v>0</v>
      </c>
      <c r="T50" s="452" t="n">
        <f aca="false">IF(Operations!T3&gt;'Project Assumtions'!$I$15+1,0,T34/'Project Assumtions'!$I$10/SUM('Book Income Statement'!U6:U8))</f>
        <v>0</v>
      </c>
      <c r="U50" s="452" t="n">
        <f aca="false">IF(Operations!U3&gt;'Project Assumtions'!$I$15+1,0,U34/'Project Assumtions'!$I$10/SUM('Book Income Statement'!V6:V8))</f>
        <v>0</v>
      </c>
      <c r="V50" s="452" t="n">
        <f aca="false">IF(Operations!V3&gt;'Project Assumtions'!$I$15+1,0,V34/'Project Assumtions'!$I$10/SUM('Book Income Statement'!W6:W8))</f>
        <v>0</v>
      </c>
      <c r="W50" s="452" t="n">
        <f aca="false">IF(Operations!W3&gt;'Project Assumtions'!$I$15+1,0,W34/'Project Assumtions'!$I$10/SUM('Book Income Statement'!X6:X8))</f>
        <v>0</v>
      </c>
      <c r="X50" s="443"/>
      <c r="Y50" s="443"/>
      <c r="Z50" s="443"/>
      <c r="AA50" s="444"/>
      <c r="AB50" s="1"/>
      <c r="AC50" s="1"/>
      <c r="AD50" s="1"/>
      <c r="AE50" s="1"/>
      <c r="AF50" s="1"/>
      <c r="AG50" s="1"/>
      <c r="AH50" s="1"/>
      <c r="AI50" s="1"/>
    </row>
    <row r="51" customFormat="false" ht="15" hidden="false" customHeight="true" outlineLevel="0" collapsed="false">
      <c r="A51" s="403" t="s">
        <v>384</v>
      </c>
      <c r="B51" s="446" t="n">
        <f aca="false">AVERAGE(C51:V51)</f>
        <v>0</v>
      </c>
      <c r="C51" s="447" t="n">
        <f aca="false">IF(Operations!C3&gt;'Project Assumtions'!$I$15+1,0,'Returns Summary'!C23/'Project Assumtions'!$I$10/SUM('Book Income Statement'!D6:D8))</f>
        <v>0</v>
      </c>
      <c r="D51" s="447" t="n">
        <f aca="false">IF(Operations!D3&gt;'Project Assumtions'!$I$15+1,0,'Returns Summary'!D23/'Project Assumtions'!$I$10/SUM('Book Income Statement'!E6:E8))</f>
        <v>0</v>
      </c>
      <c r="E51" s="447" t="n">
        <f aca="false">IF(Operations!E3&gt;'Project Assumtions'!$I$15+1,0,'Returns Summary'!E23/'Project Assumtions'!$I$10/SUM('Book Income Statement'!F6:F8))</f>
        <v>0</v>
      </c>
      <c r="F51" s="447" t="n">
        <f aca="false">IF(Operations!F3&gt;'Project Assumtions'!$I$15+1,0,'Returns Summary'!F23/'Project Assumtions'!$I$10/SUM('Book Income Statement'!G6:G8))</f>
        <v>0</v>
      </c>
      <c r="G51" s="447" t="n">
        <f aca="false">IF(Operations!G3&gt;'Project Assumtions'!$I$15+1,0,'Returns Summary'!G23/'Project Assumtions'!$I$10/SUM('Book Income Statement'!H6:H8))</f>
        <v>0</v>
      </c>
      <c r="H51" s="447" t="n">
        <f aca="false">IF(Operations!H3&gt;'Project Assumtions'!$I$15+1,0,'Returns Summary'!H23/'Project Assumtions'!$I$10/SUM('Book Income Statement'!I6:I8))</f>
        <v>0</v>
      </c>
      <c r="I51" s="447" t="n">
        <f aca="false">IF(Operations!I3&gt;'Project Assumtions'!$I$15+1,0,'Returns Summary'!I23/'Project Assumtions'!$I$10/SUM('Book Income Statement'!J6:J8))</f>
        <v>0</v>
      </c>
      <c r="J51" s="447" t="n">
        <f aca="false">IF(Operations!J3&gt;'Project Assumtions'!$I$15+1,0,'Returns Summary'!J23/'Project Assumtions'!$I$10/SUM('Book Income Statement'!K6:K8))</f>
        <v>0</v>
      </c>
      <c r="K51" s="447" t="n">
        <f aca="false">IF(Operations!K3&gt;'Project Assumtions'!$I$15+1,0,'Returns Summary'!K23/'Project Assumtions'!$I$10/SUM('Book Income Statement'!L6:L8))</f>
        <v>0</v>
      </c>
      <c r="L51" s="447" t="n">
        <f aca="false">IF(Operations!L3&gt;'Project Assumtions'!$I$15+1,0,'Returns Summary'!L23/'Project Assumtions'!$I$10/SUM('Book Income Statement'!M6:M8))</f>
        <v>0</v>
      </c>
      <c r="M51" s="447" t="n">
        <f aca="false">IF(Operations!M3&gt;'Project Assumtions'!$I$15+1,0,'Returns Summary'!M23/'Project Assumtions'!$I$10/SUM('Book Income Statement'!N6:N8))</f>
        <v>0</v>
      </c>
      <c r="N51" s="447" t="n">
        <f aca="false">IF(Operations!N3&gt;'Project Assumtions'!$I$15+1,0,'Returns Summary'!N23/'Project Assumtions'!$I$10/SUM('Book Income Statement'!O6:O8))</f>
        <v>0</v>
      </c>
      <c r="O51" s="447" t="n">
        <f aca="false">IF(Operations!O3&gt;'Project Assumtions'!$I$15+1,0,'Returns Summary'!O23/'Project Assumtions'!$I$10/SUM('Book Income Statement'!P6:P8))</f>
        <v>0</v>
      </c>
      <c r="P51" s="447" t="n">
        <f aca="false">IF(Operations!P3&gt;'Project Assumtions'!$I$15+1,0,'Returns Summary'!P23/'Project Assumtions'!$I$10/SUM('Book Income Statement'!Q6:Q8))</f>
        <v>0</v>
      </c>
      <c r="Q51" s="447" t="n">
        <f aca="false">IF(Operations!Q3&gt;'Project Assumtions'!$I$15+1,0,'Returns Summary'!Q23/'Project Assumtions'!$I$10/SUM('Book Income Statement'!R6:R8))</f>
        <v>0</v>
      </c>
      <c r="R51" s="447" t="n">
        <f aca="false">IF(Operations!R3&gt;'Project Assumtions'!$I$15+1,0,'Returns Summary'!R23/'Project Assumtions'!$I$10/SUM('Book Income Statement'!S6:S8))</f>
        <v>0</v>
      </c>
      <c r="S51" s="447" t="n">
        <f aca="false">IF(Operations!S3&gt;'Project Assumtions'!$I$15+1,0,'Returns Summary'!S23/'Project Assumtions'!$I$10/SUM('Book Income Statement'!T6:T8))</f>
        <v>0</v>
      </c>
      <c r="T51" s="447" t="n">
        <f aca="false">IF(Operations!T3&gt;'Project Assumtions'!$I$15+1,0,'Returns Summary'!T23/'Project Assumtions'!$I$10/SUM('Book Income Statement'!U6:U8))</f>
        <v>0</v>
      </c>
      <c r="U51" s="447" t="n">
        <f aca="false">IF(Operations!U3&gt;'Project Assumtions'!$I$15+1,0,'Returns Summary'!U23/'Project Assumtions'!$I$10/SUM('Book Income Statement'!V6:V8))</f>
        <v>0</v>
      </c>
      <c r="V51" s="447" t="n">
        <f aca="false">IF(Operations!V3&gt;'Project Assumtions'!$I$15+1,0,'Returns Summary'!V23/'Project Assumtions'!$I$10/SUM('Book Income Statement'!W6:W8))</f>
        <v>0</v>
      </c>
      <c r="W51" s="447" t="n">
        <f aca="false">IF(Operations!W3&gt;'Project Assumtions'!$I$15+1,0,'Returns Summary'!W23/'Project Assumtions'!$I$10/SUM('Book Income Statement'!X6:X8))</f>
        <v>0</v>
      </c>
      <c r="X51" s="447" t="e">
        <f aca="false">IF(Operations!X3&gt;'Project Assumtions'!$I$15+1,0,'Returns Summary'!X23/'Project Assumtions'!$I$10/SUM('Book Income Statement'!Y6:Y8))</f>
        <v>#DIV/0!</v>
      </c>
      <c r="Y51" s="447" t="e">
        <f aca="false">IF(Operations!Y3&gt;'Project Assumtions'!$I$15+1,0,'Returns Summary'!Y23/'Project Assumtions'!$I$10/SUM('Book Income Statement'!Z6:Z8))</f>
        <v>#DIV/0!</v>
      </c>
      <c r="Z51" s="447" t="e">
        <f aca="false">IF(Operations!Z3&gt;'Project Assumtions'!$I$15+1,0,'Returns Summary'!Z23/'Project Assumtions'!$I$10/SUM('Book Income Statement'!AA6:AA8))</f>
        <v>#DIV/0!</v>
      </c>
      <c r="AA51" s="448" t="e">
        <f aca="false">IF(Operations!AA3&gt;'Project Assumtions'!$I$15+1,0,'Returns Summary'!AA23/'Project Assumtions'!$I$10/SUM('Book Income Statement'!AB6:AB8))</f>
        <v>#DIV/0!</v>
      </c>
      <c r="AB51" s="1"/>
      <c r="AC51" s="1"/>
      <c r="AD51" s="1"/>
      <c r="AE51" s="1"/>
      <c r="AF51" s="1"/>
      <c r="AG51" s="1"/>
      <c r="AH51" s="1"/>
      <c r="AI51" s="1"/>
    </row>
    <row r="52" customFormat="false" ht="12.6" hidden="false" customHeight="true" outlineLevel="0" collapsed="false">
      <c r="A52" s="403" t="s">
        <v>385</v>
      </c>
      <c r="B52" s="445" t="n">
        <f aca="false">AVERAGE(C52:V52)</f>
        <v>1.41730044148443</v>
      </c>
      <c r="C52" s="443" t="n">
        <f aca="false">SUM(C48:C51)</f>
        <v>1.24110467298859</v>
      </c>
      <c r="D52" s="443" t="n">
        <f aca="false">SUM(D48:D51)</f>
        <v>0.940369299651525</v>
      </c>
      <c r="E52" s="443" t="n">
        <f aca="false">SUM(E48:E51)</f>
        <v>0.984074915176187</v>
      </c>
      <c r="F52" s="443" t="n">
        <f aca="false">SUM(F48:F51)</f>
        <v>1.07737395687471</v>
      </c>
      <c r="G52" s="443" t="n">
        <f aca="false">SUM(G48:G51)</f>
        <v>1.15560745578128</v>
      </c>
      <c r="H52" s="443" t="n">
        <f aca="false">SUM(H48:H51)</f>
        <v>1.19722400972832</v>
      </c>
      <c r="I52" s="443" t="n">
        <f aca="false">SUM(I48:I51)</f>
        <v>1.24701020809659</v>
      </c>
      <c r="J52" s="443" t="n">
        <f aca="false">SUM(J48:J51)</f>
        <v>1.30171279173311</v>
      </c>
      <c r="K52" s="443" t="n">
        <f aca="false">SUM(K48:K51)</f>
        <v>1.35045034270326</v>
      </c>
      <c r="L52" s="443" t="n">
        <f aca="false">SUM(L48:L51)</f>
        <v>1.38687718722458</v>
      </c>
      <c r="M52" s="443" t="n">
        <f aca="false">SUM(M48:M51)</f>
        <v>1.42476024574355</v>
      </c>
      <c r="N52" s="443" t="n">
        <f aca="false">SUM(N48:N51)</f>
        <v>1.49422444474355</v>
      </c>
      <c r="O52" s="443" t="n">
        <f aca="false">SUM(O48:O51)</f>
        <v>1.53541369489098</v>
      </c>
      <c r="P52" s="443" t="n">
        <f aca="false">SUM(P48:P51)</f>
        <v>1.57783862254283</v>
      </c>
      <c r="Q52" s="443" t="n">
        <f aca="false">SUM(Q48:Q51)</f>
        <v>1.62153629802425</v>
      </c>
      <c r="R52" s="443" t="n">
        <f aca="false">SUM(R48:R51)</f>
        <v>1.6665449037701</v>
      </c>
      <c r="S52" s="443" t="n">
        <f aca="false">SUM(S48:S51)</f>
        <v>1.71290376768833</v>
      </c>
      <c r="T52" s="443" t="n">
        <f aca="false">SUM(T48:T51)</f>
        <v>1.76065339752411</v>
      </c>
      <c r="U52" s="443" t="n">
        <f aca="false">SUM(U48:U51)</f>
        <v>1.80983551625496</v>
      </c>
      <c r="V52" s="443" t="n">
        <f aca="false">SUM(V48:V51)</f>
        <v>1.86049309854773</v>
      </c>
      <c r="W52" s="443" t="n">
        <f aca="false">SUM(W48:W51)</f>
        <v>3.4111778122257</v>
      </c>
      <c r="X52" s="443" t="e">
        <f aca="false">SUM(X48:X51)</f>
        <v>#DIV/0!</v>
      </c>
      <c r="Y52" s="443" t="e">
        <f aca="false">SUM(Y48:Y51)</f>
        <v>#DIV/0!</v>
      </c>
      <c r="Z52" s="443" t="e">
        <f aca="false">SUM(Z48:Z51)</f>
        <v>#DIV/0!</v>
      </c>
      <c r="AA52" s="444" t="e">
        <f aca="false">SUM(AA48:AA51)</f>
        <v>#DIV/0!</v>
      </c>
      <c r="AB52" s="1"/>
      <c r="AC52" s="1"/>
      <c r="AD52" s="1"/>
      <c r="AE52" s="1"/>
      <c r="AF52" s="1"/>
      <c r="AG52" s="1"/>
      <c r="AH52" s="1"/>
      <c r="AI52" s="1"/>
    </row>
    <row r="53" customFormat="false" ht="12.6" hidden="false" customHeight="true" outlineLevel="0" collapsed="false">
      <c r="A53" s="403"/>
      <c r="B53" s="449"/>
      <c r="C53" s="454"/>
      <c r="D53" s="454"/>
      <c r="E53" s="454"/>
      <c r="F53" s="454"/>
      <c r="G53" s="454"/>
      <c r="H53" s="454"/>
      <c r="I53" s="454"/>
      <c r="J53" s="454"/>
      <c r="K53" s="454"/>
      <c r="L53" s="454"/>
      <c r="M53" s="454"/>
      <c r="N53" s="454"/>
      <c r="O53" s="454"/>
      <c r="P53" s="454"/>
      <c r="Q53" s="454"/>
      <c r="R53" s="454"/>
      <c r="S53" s="454"/>
      <c r="T53" s="454"/>
      <c r="U53" s="454"/>
      <c r="V53" s="454"/>
      <c r="W53" s="454"/>
      <c r="X53" s="454"/>
      <c r="Y53" s="454"/>
      <c r="Z53" s="454"/>
      <c r="AA53" s="455"/>
      <c r="AB53" s="1"/>
      <c r="AC53" s="1"/>
      <c r="AD53" s="1"/>
      <c r="AE53" s="1"/>
      <c r="AF53" s="1"/>
      <c r="AG53" s="1"/>
      <c r="AH53" s="1"/>
      <c r="AI53" s="1"/>
    </row>
    <row r="54" customFormat="false" ht="12.6" hidden="false" customHeight="true" outlineLevel="0" collapsed="false">
      <c r="A54" s="403" t="s">
        <v>374</v>
      </c>
      <c r="B54" s="445" t="n">
        <f aca="false">AVERAGE(C54:V54)</f>
        <v>0.387085527203499</v>
      </c>
      <c r="C54" s="454" t="n">
        <f aca="false">C39/'Project Assumtions'!$I$10/SUM('Book Income Statement'!D6:D8)</f>
        <v>0.28811323590763</v>
      </c>
      <c r="D54" s="454" t="n">
        <f aca="false">D39/'Project Assumtions'!$I$10/SUM('Book Income Statement'!E6:E8)</f>
        <v>0.296756632984859</v>
      </c>
      <c r="E54" s="454" t="n">
        <f aca="false">E39/'Project Assumtions'!$I$10/SUM('Book Income Statement'!F6:F8)</f>
        <v>0.305659331974404</v>
      </c>
      <c r="F54" s="454" t="n">
        <f aca="false">F39/'Project Assumtions'!$I$10/SUM('Book Income Statement'!G6:G8)</f>
        <v>0.314829111933636</v>
      </c>
      <c r="G54" s="454" t="n">
        <f aca="false">G39/'Project Assumtions'!$I$10/SUM('Book Income Statement'!H6:H8)</f>
        <v>0.324273985291646</v>
      </c>
      <c r="H54" s="454" t="n">
        <f aca="false">H39/'Project Assumtions'!$I$10/SUM('Book Income Statement'!I6:I8)</f>
        <v>0.334002204850395</v>
      </c>
      <c r="I54" s="454" t="n">
        <f aca="false">I39/'Project Assumtions'!$I$10/SUM('Book Income Statement'!J6:J8)</f>
        <v>0.344022270995907</v>
      </c>
      <c r="J54" s="454" t="n">
        <f aca="false">J39/'Project Assumtions'!$I$10/SUM('Book Income Statement'!K6:K8)</f>
        <v>0.354342939125784</v>
      </c>
      <c r="K54" s="454" t="n">
        <f aca="false">K39/'Project Assumtions'!$I$10/SUM('Book Income Statement'!L6:L8)</f>
        <v>0.364973227299558</v>
      </c>
      <c r="L54" s="454" t="n">
        <f aca="false">L39/'Project Assumtions'!$I$10/SUM('Book Income Statement'!M6:M8)</f>
        <v>0.375922424118544</v>
      </c>
      <c r="M54" s="454" t="n">
        <f aca="false">M39/'Project Assumtions'!$I$10/SUM('Book Income Statement'!N6:N8)</f>
        <v>0.387200096842101</v>
      </c>
      <c r="N54" s="454" t="n">
        <f aca="false">N39/'Project Assumtions'!$I$10/SUM('Book Income Statement'!O6:O8)</f>
        <v>0.398816099747364</v>
      </c>
      <c r="O54" s="454" t="n">
        <f aca="false">O39/'Project Assumtions'!$I$10/SUM('Book Income Statement'!P6:P8)</f>
        <v>0.410780582739785</v>
      </c>
      <c r="P54" s="454" t="n">
        <f aca="false">P39/'Project Assumtions'!$I$10/SUM('Book Income Statement'!Q6:Q8)</f>
        <v>0.423104000221978</v>
      </c>
      <c r="Q54" s="454" t="n">
        <f aca="false">Q39/'Project Assumtions'!$I$10/SUM('Book Income Statement'!R6:R8)</f>
        <v>0.435797120228637</v>
      </c>
      <c r="R54" s="454" t="n">
        <f aca="false">R39/'Project Assumtions'!$I$10/SUM('Book Income Statement'!S6:S8)</f>
        <v>0.448871033835497</v>
      </c>
      <c r="S54" s="454" t="n">
        <f aca="false">S39/'Project Assumtions'!$I$10/SUM('Book Income Statement'!T6:T8)</f>
        <v>0.462337164850562</v>
      </c>
      <c r="T54" s="454" t="n">
        <f aca="false">T39/'Project Assumtions'!$I$10/SUM('Book Income Statement'!U6:U8)</f>
        <v>0.476207279796078</v>
      </c>
      <c r="U54" s="454" t="n">
        <f aca="false">U39/'Project Assumtions'!$I$10/SUM('Book Income Statement'!V6:V8)</f>
        <v>0.490493498189961</v>
      </c>
      <c r="V54" s="454" t="n">
        <f aca="false">V39/'Project Assumtions'!$I$10/SUM('Book Income Statement'!W6:W8)</f>
        <v>0.50520830313566</v>
      </c>
      <c r="W54" s="454" t="n">
        <f aca="false">W39/'Project Assumtions'!$I$10/SUM('Book Income Statement'!X6:X8)</f>
        <v>0.520364552229729</v>
      </c>
      <c r="X54" s="454" t="e">
        <f aca="false">X39/'Project Assumtions'!$I$10/SUM('Book Income Statement'!Y6:Y8)</f>
        <v>#DIV/0!</v>
      </c>
      <c r="Y54" s="454" t="e">
        <f aca="false">Y39/'Project Assumtions'!$I$10/SUM('Book Income Statement'!Z6:Z8)</f>
        <v>#DIV/0!</v>
      </c>
      <c r="Z54" s="454" t="e">
        <f aca="false">Z39/'Project Assumtions'!$I$10/SUM('Book Income Statement'!AA6:AA8)</f>
        <v>#DIV/0!</v>
      </c>
      <c r="AA54" s="455" t="e">
        <f aca="false">AA39/'Project Assumtions'!$I$10/SUM('Book Income Statement'!AB6:AB8)</f>
        <v>#DIV/0!</v>
      </c>
      <c r="AB54" s="1"/>
      <c r="AC54" s="1"/>
      <c r="AD54" s="1"/>
      <c r="AE54" s="1"/>
      <c r="AF54" s="1"/>
      <c r="AG54" s="1"/>
      <c r="AH54" s="1"/>
      <c r="AI54" s="1"/>
    </row>
    <row r="55" customFormat="false" ht="12.6" hidden="false" customHeight="true" outlineLevel="0" collapsed="false">
      <c r="A55" s="403" t="s">
        <v>375</v>
      </c>
      <c r="B55" s="456" t="n">
        <f aca="false">AVERAGE(C55:V55)</f>
        <v>0.169181192812858</v>
      </c>
      <c r="C55" s="454" t="n">
        <f aca="false">C40/'Project Assumtions'!$I$10/SUM('Book Income Statement'!D6:D8)</f>
        <v>0.137855116514691</v>
      </c>
      <c r="D55" s="454" t="n">
        <f aca="false">D40/'Project Assumtions'!$I$10/SUM('Book Income Statement'!E6:E8)</f>
        <v>0.12922664893617</v>
      </c>
      <c r="E55" s="454" t="n">
        <f aca="false">E40/'Project Assumtions'!$I$10/SUM('Book Income Statement'!F6:F8)</f>
        <v>0.133103448404255</v>
      </c>
      <c r="F55" s="454" t="n">
        <f aca="false">F40/'Project Assumtions'!$I$10/SUM('Book Income Statement'!G6:G8)</f>
        <v>0.137096551856383</v>
      </c>
      <c r="G55" s="454" t="n">
        <f aca="false">G40/'Project Assumtions'!$I$10/SUM('Book Income Statement'!H6:H8)</f>
        <v>0.141209448412074</v>
      </c>
      <c r="H55" s="454" t="n">
        <f aca="false">H40/'Project Assumtions'!$I$10/SUM('Book Income Statement'!I6:I8)</f>
        <v>0.145445731864437</v>
      </c>
      <c r="I55" s="454" t="n">
        <f aca="false">I40/'Project Assumtions'!$I$10/SUM('Book Income Statement'!J6:J8)</f>
        <v>0.14980910382037</v>
      </c>
      <c r="J55" s="454" t="n">
        <f aca="false">J40/'Project Assumtions'!$I$10/SUM('Book Income Statement'!K6:K8)</f>
        <v>0.154303376934981</v>
      </c>
      <c r="K55" s="454" t="n">
        <f aca="false">K40/'Project Assumtions'!$I$10/SUM('Book Income Statement'!L6:L8)</f>
        <v>0.15893247824303</v>
      </c>
      <c r="L55" s="454" t="n">
        <f aca="false">L40/'Project Assumtions'!$I$10/SUM('Book Income Statement'!M6:M8)</f>
        <v>0.163700452590321</v>
      </c>
      <c r="M55" s="454" t="n">
        <f aca="false">M40/'Project Assumtions'!$I$10/SUM('Book Income Statement'!N6:N8)</f>
        <v>0.168611466168031</v>
      </c>
      <c r="N55" s="454" t="n">
        <f aca="false">N40/'Project Assumtions'!$I$10/SUM('Book Income Statement'!O6:O8)</f>
        <v>0.173669810153072</v>
      </c>
      <c r="O55" s="454" t="n">
        <f aca="false">O40/'Project Assumtions'!$I$10/SUM('Book Income Statement'!P6:P8)</f>
        <v>0.178879904457664</v>
      </c>
      <c r="P55" s="454" t="n">
        <f aca="false">P40/'Project Assumtions'!$I$10/SUM('Book Income Statement'!Q6:Q8)</f>
        <v>0.184246301591394</v>
      </c>
      <c r="Q55" s="454" t="n">
        <f aca="false">Q40/'Project Assumtions'!$I$10/SUM('Book Income Statement'!R6:R8)</f>
        <v>0.189773690639136</v>
      </c>
      <c r="R55" s="454" t="n">
        <f aca="false">R40/'Project Assumtions'!$I$10/SUM('Book Income Statement'!S6:S8)</f>
        <v>0.19546690135831</v>
      </c>
      <c r="S55" s="454" t="n">
        <f aca="false">S40/'Project Assumtions'!$I$10/SUM('Book Income Statement'!T6:T8)</f>
        <v>0.201330908399059</v>
      </c>
      <c r="T55" s="454" t="n">
        <f aca="false">T40/'Project Assumtions'!$I$10/SUM('Book Income Statement'!U6:U8)</f>
        <v>0.207370835651031</v>
      </c>
      <c r="U55" s="454" t="n">
        <f aca="false">U40/'Project Assumtions'!$I$10/SUM('Book Income Statement'!V6:V8)</f>
        <v>0.213591960720562</v>
      </c>
      <c r="V55" s="454" t="n">
        <f aca="false">V40/'Project Assumtions'!$I$10/SUM('Book Income Statement'!W6:W8)</f>
        <v>0.219999719542179</v>
      </c>
      <c r="W55" s="454" t="n">
        <f aca="false">W40/'Project Assumtions'!$I$10/SUM('Book Income Statement'!X6:X8)</f>
        <v>0.270468359716629</v>
      </c>
      <c r="X55" s="454" t="e">
        <f aca="false">X40/'Project Assumtions'!$I$10/SUM('Book Income Statement'!Y6:Y8)</f>
        <v>#DIV/0!</v>
      </c>
      <c r="Y55" s="454" t="e">
        <f aca="false">Y40/'Project Assumtions'!$I$10/SUM('Book Income Statement'!Z6:Z8)</f>
        <v>#DIV/0!</v>
      </c>
      <c r="Z55" s="454" t="e">
        <f aca="false">Z40/'Project Assumtions'!$I$10/SUM('Book Income Statement'!AA6:AA8)</f>
        <v>#DIV/0!</v>
      </c>
      <c r="AA55" s="455" t="e">
        <f aca="false">AA40/'Project Assumtions'!$I$10/SUM('Book Income Statement'!AB6:AB8)</f>
        <v>#DIV/0!</v>
      </c>
      <c r="AB55" s="1"/>
      <c r="AC55" s="1"/>
      <c r="AD55" s="1"/>
      <c r="AE55" s="1"/>
      <c r="AF55" s="1"/>
      <c r="AG55" s="1"/>
      <c r="AH55" s="1"/>
      <c r="AI55" s="1"/>
    </row>
    <row r="56" customFormat="false" ht="12.6" hidden="false" customHeight="true" outlineLevel="0" collapsed="false">
      <c r="A56" s="403"/>
      <c r="B56" s="378"/>
      <c r="C56" s="454"/>
      <c r="D56" s="454"/>
      <c r="E56" s="454"/>
      <c r="F56" s="454"/>
      <c r="G56" s="454"/>
      <c r="H56" s="454"/>
      <c r="I56" s="454"/>
      <c r="J56" s="454"/>
      <c r="K56" s="454"/>
      <c r="L56" s="454"/>
      <c r="M56" s="454"/>
      <c r="N56" s="454"/>
      <c r="O56" s="454"/>
      <c r="P56" s="454"/>
      <c r="Q56" s="454"/>
      <c r="R56" s="454"/>
      <c r="S56" s="454"/>
      <c r="T56" s="454"/>
      <c r="U56" s="454"/>
      <c r="V56" s="454"/>
      <c r="W56" s="454"/>
      <c r="X56" s="454"/>
      <c r="Y56" s="454"/>
      <c r="Z56" s="454"/>
      <c r="AA56" s="455"/>
      <c r="AB56" s="1"/>
      <c r="AC56" s="1"/>
      <c r="AD56" s="1"/>
      <c r="AE56" s="1"/>
      <c r="AF56" s="1"/>
      <c r="AG56" s="1"/>
      <c r="AH56" s="1"/>
      <c r="AI56" s="1"/>
    </row>
    <row r="57" customFormat="false" ht="12.75" hidden="false" customHeight="false" outlineLevel="0" collapsed="false">
      <c r="A57" s="427" t="s">
        <v>386</v>
      </c>
      <c r="B57" s="428" t="s">
        <v>365</v>
      </c>
      <c r="C57" s="434"/>
      <c r="D57" s="434"/>
      <c r="E57" s="434"/>
      <c r="F57" s="434"/>
      <c r="G57" s="434"/>
      <c r="H57" s="434"/>
      <c r="I57" s="434"/>
      <c r="J57" s="434"/>
      <c r="K57" s="434"/>
      <c r="L57" s="434"/>
      <c r="M57" s="434"/>
      <c r="N57" s="434"/>
      <c r="O57" s="434"/>
      <c r="P57" s="434"/>
      <c r="Q57" s="434"/>
      <c r="R57" s="434"/>
      <c r="S57" s="434"/>
      <c r="T57" s="434"/>
      <c r="U57" s="434"/>
      <c r="V57" s="434"/>
      <c r="W57" s="434"/>
      <c r="X57" s="434"/>
      <c r="Y57" s="434"/>
      <c r="Z57" s="434"/>
      <c r="AA57" s="435"/>
    </row>
    <row r="58" customFormat="false" ht="12.6" hidden="false" customHeight="true" outlineLevel="0" collapsed="false">
      <c r="A58" s="403" t="s">
        <v>387</v>
      </c>
      <c r="B58" s="442" t="n">
        <f aca="false">AVERAGE(C58:V58)</f>
        <v>1.61004520672509</v>
      </c>
      <c r="C58" s="443" t="n">
        <f aca="false">IF(Operations!C3&gt;'Project Assumtions'!$I$15+1,0,C30*1000/(Operations!C30))</f>
        <v>1.19837943262411</v>
      </c>
      <c r="D58" s="443" t="n">
        <f aca="false">IF(Operations!D3&gt;'Project Assumtions'!$I$15+1,0,D30*1000/(Operations!D30))</f>
        <v>1.23433081560284</v>
      </c>
      <c r="E58" s="443" t="n">
        <f aca="false">IF(Operations!E3&gt;'Project Assumtions'!$I$15+1,0,E30*1000/(Operations!E30))</f>
        <v>1.27136074007092</v>
      </c>
      <c r="F58" s="443" t="n">
        <f aca="false">IF(Operations!F3&gt;'Project Assumtions'!$I$15+1,0,F30*1000/(Operations!F30))</f>
        <v>1.30950156227305</v>
      </c>
      <c r="G58" s="443" t="n">
        <f aca="false">IF(Operations!G3&gt;'Project Assumtions'!$I$15+1,0,G30*1000/(Operations!G30))</f>
        <v>1.34878660914124</v>
      </c>
      <c r="H58" s="443" t="n">
        <f aca="false">IF(Operations!H3&gt;'Project Assumtions'!$I$15+1,0,H30*1000/(Operations!H30))</f>
        <v>1.38925020741548</v>
      </c>
      <c r="I58" s="443" t="n">
        <f aca="false">IF(Operations!I3&gt;'Project Assumtions'!$I$15+1,0,I30*1000/(Operations!I30))</f>
        <v>1.43092771363794</v>
      </c>
      <c r="J58" s="443" t="n">
        <f aca="false">IF(Operations!J3&gt;'Project Assumtions'!$I$15+1,0,J30*1000/(Operations!J30))</f>
        <v>1.47385554504708</v>
      </c>
      <c r="K58" s="443" t="n">
        <f aca="false">IF(Operations!K3&gt;'Project Assumtions'!$I$15+1,0,K30*1000/(Operations!K30))</f>
        <v>1.51807121139849</v>
      </c>
      <c r="L58" s="443" t="n">
        <f aca="false">IF(Operations!L3&gt;'Project Assumtions'!$I$15+1,0,L30*1000/(Operations!L30))</f>
        <v>1.56361334774045</v>
      </c>
      <c r="M58" s="443" t="n">
        <f aca="false">IF(Operations!M3&gt;'Project Assumtions'!$I$15+1,0,M30*1000/(Operations!M30))</f>
        <v>1.61052174817266</v>
      </c>
      <c r="N58" s="443" t="n">
        <f aca="false">IF(Operations!N3&gt;'Project Assumtions'!$I$15+1,0,N30*1000/(Operations!N30))</f>
        <v>1.65883740061784</v>
      </c>
      <c r="O58" s="443" t="n">
        <f aca="false">IF(Operations!O3&gt;'Project Assumtions'!$I$15+1,0,O30*1000/(Operations!O30))</f>
        <v>1.70860252263638</v>
      </c>
      <c r="P58" s="443" t="n">
        <f aca="false">IF(Operations!P3&gt;'Project Assumtions'!$I$15+1,0,P30*1000/(Operations!P30))</f>
        <v>1.75986059831547</v>
      </c>
      <c r="Q58" s="443" t="n">
        <f aca="false">IF(Operations!Q3&gt;'Project Assumtions'!$I$15+1,0,Q30*1000/(Operations!Q30))</f>
        <v>1.81265641626493</v>
      </c>
      <c r="R58" s="443" t="n">
        <f aca="false">IF(Operations!R3&gt;'Project Assumtions'!$I$15+1,0,R30*1000/(Operations!R30))</f>
        <v>1.86703610875288</v>
      </c>
      <c r="S58" s="443" t="n">
        <f aca="false">IF(Operations!S3&gt;'Project Assumtions'!$I$15+1,0,S30*1000/(Operations!S30))</f>
        <v>1.92304719201547</v>
      </c>
      <c r="T58" s="443" t="n">
        <f aca="false">IF(Operations!T3&gt;'Project Assumtions'!$I$15+1,0,T30*1000/(Operations!T30))</f>
        <v>1.98073860777593</v>
      </c>
      <c r="U58" s="443" t="n">
        <f aca="false">IF(Operations!U3&gt;'Project Assumtions'!$I$15+1,0,U30*1000/(Operations!U30))</f>
        <v>2.04016076600921</v>
      </c>
      <c r="V58" s="443" t="n">
        <f aca="false">IF(Operations!V3&gt;'Project Assumtions'!$I$15+1,0,V30*1000/(Operations!V30))</f>
        <v>2.10136558898949</v>
      </c>
      <c r="W58" s="443" t="n">
        <f aca="false">IF(Operations!W3&gt;'Project Assumtions'!$I$15+1,0,W30*1000/(Operations!W30))</f>
        <v>2.16440655665917</v>
      </c>
      <c r="X58" s="443" t="e">
        <f aca="false">IF(Operations!X3&gt;'Project Assumtions'!$I$15+1,0,X30*1000/(Operations!X30))</f>
        <v>#DIV/0!</v>
      </c>
      <c r="Y58" s="443" t="e">
        <f aca="false">IF(Operations!Y3&gt;'Project Assumtions'!$I$15+1,0,Y30*1000/(Operations!Y30))</f>
        <v>#DIV/0!</v>
      </c>
      <c r="Z58" s="443" t="e">
        <f aca="false">IF(Operations!Z3&gt;'Project Assumtions'!$I$15+1,0,Z30*1000/(Operations!Z30))</f>
        <v>#DIV/0!</v>
      </c>
      <c r="AA58" s="444" t="e">
        <f aca="false">IF(Operations!AA3&gt;'Project Assumtions'!$I$15+1,0,AA30*1000/(Operations!AA30))</f>
        <v>#DIV/0!</v>
      </c>
      <c r="AB58" s="1"/>
      <c r="AC58" s="1"/>
      <c r="AD58" s="1"/>
      <c r="AE58" s="1"/>
      <c r="AF58" s="1"/>
      <c r="AG58" s="1"/>
      <c r="AH58" s="1"/>
      <c r="AI58" s="1"/>
    </row>
    <row r="59" customFormat="false" ht="12.6" hidden="false" customHeight="true" outlineLevel="0" collapsed="false">
      <c r="A59" s="403" t="s">
        <v>388</v>
      </c>
      <c r="B59" s="445" t="n">
        <f aca="false">AVERAGE(C59:V59)</f>
        <v>4.93273246920084</v>
      </c>
      <c r="C59" s="443" t="n">
        <f aca="false">IF(Operations!C3&gt;'Project Assumtions'!$I$15+1,0,C31*1000/(Operations!C30))</f>
        <v>6.50684498480243</v>
      </c>
      <c r="D59" s="443" t="n">
        <f aca="false">IF(Operations!D3&gt;'Project Assumtions'!$I$15+1,0,D31*1000/(Operations!D30))</f>
        <v>3.90952936170213</v>
      </c>
      <c r="E59" s="443" t="n">
        <f aca="false">IF(Operations!E3&gt;'Project Assumtions'!$I$15+1,0,E31*1000/(Operations!E30))</f>
        <v>4.02681524255319</v>
      </c>
      <c r="F59" s="443" t="n">
        <f aca="false">IF(Operations!F3&gt;'Project Assumtions'!$I$15+1,0,F31*1000/(Operations!F30))</f>
        <v>3.9584198859321</v>
      </c>
      <c r="G59" s="443" t="n">
        <f aca="false">IF(Operations!G3&gt;'Project Assumtions'!$I$15+1,0,G31*1000/(Operations!G30))</f>
        <v>3.98142146602394</v>
      </c>
      <c r="H59" s="443" t="n">
        <f aca="false">IF(Operations!H3&gt;'Project Assumtions'!$I$15+1,0,H31*1000/(Operations!H30))</f>
        <v>4.10086411000466</v>
      </c>
      <c r="I59" s="443" t="n">
        <f aca="false">IF(Operations!I3&gt;'Project Assumtions'!$I$15+1,0,I31*1000/(Operations!I30))</f>
        <v>4.2238900333048</v>
      </c>
      <c r="J59" s="443" t="n">
        <f aca="false">IF(Operations!J3&gt;'Project Assumtions'!$I$15+1,0,J31*1000/(Operations!J30))</f>
        <v>4.35060673430394</v>
      </c>
      <c r="K59" s="443" t="n">
        <f aca="false">IF(Operations!K3&gt;'Project Assumtions'!$I$15+1,0,K31*1000/(Operations!K30))</f>
        <v>4.48112493633306</v>
      </c>
      <c r="L59" s="443" t="n">
        <f aca="false">IF(Operations!L3&gt;'Project Assumtions'!$I$15+1,0,L31*1000/(Operations!L30))</f>
        <v>4.61555868442305</v>
      </c>
      <c r="M59" s="443" t="n">
        <f aca="false">IF(Operations!M3&gt;'Project Assumtions'!$I$15+1,0,M31*1000/(Operations!M30))</f>
        <v>4.75402544495574</v>
      </c>
      <c r="N59" s="443" t="n">
        <f aca="false">IF(Operations!N3&gt;'Project Assumtions'!$I$15+1,0,N31*1000/(Operations!N30))</f>
        <v>4.89664620830441</v>
      </c>
      <c r="O59" s="443" t="n">
        <f aca="false">IF(Operations!O3&gt;'Project Assumtions'!$I$15+1,0,O31*1000/(Operations!O30))</f>
        <v>5.04354559455355</v>
      </c>
      <c r="P59" s="443" t="n">
        <f aca="false">IF(Operations!P3&gt;'Project Assumtions'!$I$15+1,0,P31*1000/(Operations!P30))</f>
        <v>5.19485196239015</v>
      </c>
      <c r="Q59" s="443" t="n">
        <f aca="false">IF(Operations!Q3&gt;'Project Assumtions'!$I$15+1,0,Q31*1000/(Operations!Q30))</f>
        <v>5.35069752126186</v>
      </c>
      <c r="R59" s="443" t="n">
        <f aca="false">IF(Operations!R3&gt;'Project Assumtions'!$I$15+1,0,R31*1000/(Operations!R30))</f>
        <v>5.51121844689971</v>
      </c>
      <c r="S59" s="443" t="n">
        <f aca="false">IF(Operations!S3&gt;'Project Assumtions'!$I$15+1,0,S31*1000/(Operations!S30))</f>
        <v>5.67655500030671</v>
      </c>
      <c r="T59" s="443" t="n">
        <f aca="false">IF(Operations!T3&gt;'Project Assumtions'!$I$15+1,0,T31*1000/(Operations!T30))</f>
        <v>5.84685165031591</v>
      </c>
      <c r="U59" s="443" t="n">
        <f aca="false">IF(Operations!U3&gt;'Project Assumtions'!$I$15+1,0,U31*1000/(Operations!U30))</f>
        <v>6.02225719982538</v>
      </c>
      <c r="V59" s="443" t="n">
        <f aca="false">IF(Operations!V3&gt;'Project Assumtions'!$I$15+1,0,V31*1000/(Operations!V30))</f>
        <v>6.20292491582015</v>
      </c>
      <c r="W59" s="443" t="n">
        <f aca="false">IF(Operations!W3&gt;'Project Assumtions'!$I$15+1,0,W31*1000/(Operations!W30))</f>
        <v>6.38901266329475</v>
      </c>
      <c r="X59" s="443" t="e">
        <f aca="false">IF(Operations!X3&gt;'Project Assumtions'!$I$15+1,0,X31*1000/(Operations!X30))</f>
        <v>#DIV/0!</v>
      </c>
      <c r="Y59" s="443" t="e">
        <f aca="false">IF(Operations!Y3&gt;'Project Assumtions'!$I$15+1,0,Y31*1000/(Operations!Y30))</f>
        <v>#DIV/0!</v>
      </c>
      <c r="Z59" s="443" t="e">
        <f aca="false">IF(Operations!Z3&gt;'Project Assumtions'!$I$15+1,0,Z31*1000/(Operations!Z30))</f>
        <v>#DIV/0!</v>
      </c>
      <c r="AA59" s="444" t="e">
        <f aca="false">IF(Operations!AA3&gt;'Project Assumtions'!$I$15+1,0,AA31*1000/(Operations!AA30))</f>
        <v>#DIV/0!</v>
      </c>
      <c r="AB59" s="1"/>
      <c r="AC59" s="1"/>
      <c r="AD59" s="1"/>
      <c r="AE59" s="1"/>
      <c r="AF59" s="1"/>
      <c r="AG59" s="1"/>
      <c r="AH59" s="1"/>
      <c r="AI59" s="1"/>
    </row>
    <row r="60" customFormat="false" ht="15" hidden="false" customHeight="true" outlineLevel="0" collapsed="false">
      <c r="A60" s="403" t="s">
        <v>389</v>
      </c>
      <c r="B60" s="446" t="n">
        <f aca="false">AVERAGE(C60:V60)</f>
        <v>5.99602754513056</v>
      </c>
      <c r="C60" s="447" t="n">
        <f aca="false">IF(Operations!C3&gt;'Project Assumtions'!$I$15+1,0,C32*1000/Operations!C30)</f>
        <v>4.25968352422321</v>
      </c>
      <c r="D60" s="447" t="n">
        <f aca="false">IF(Operations!D3&gt;'Project Assumtions'!$I$15+1,0,D32*1000/Operations!D30)</f>
        <v>4.25983281921029</v>
      </c>
      <c r="E60" s="447" t="n">
        <f aca="false">IF(Operations!E3&gt;'Project Assumtions'!$I$15+1,0,E32*1000/Operations!E30)</f>
        <v>4.3876278037866</v>
      </c>
      <c r="F60" s="447" t="n">
        <f aca="false">IF(Operations!F3&gt;'Project Assumtions'!$I$15+1,0,F32*1000/Operations!F30)</f>
        <v>4.73979132772517</v>
      </c>
      <c r="G60" s="447" t="n">
        <f aca="false">IF(Operations!G3&gt;'Project Assumtions'!$I$15+1,0,G32*1000/Operations!G30)</f>
        <v>5.07388091881843</v>
      </c>
      <c r="H60" s="447" t="n">
        <f aca="false">IF(Operations!H3&gt;'Project Assumtions'!$I$15+1,0,H32*1000/Operations!H30)</f>
        <v>5.22609734638298</v>
      </c>
      <c r="I60" s="447" t="n">
        <f aca="false">IF(Operations!I3&gt;'Project Assumtions'!$I$15+1,0,I32*1000/Operations!I30)</f>
        <v>5.38288026677447</v>
      </c>
      <c r="J60" s="447" t="n">
        <f aca="false">IF(Operations!J3&gt;'Project Assumtions'!$I$15+1,0,J32*1000/Operations!J30)</f>
        <v>5.54436667477771</v>
      </c>
      <c r="K60" s="447" t="n">
        <f aca="false">IF(Operations!K3&gt;'Project Assumtions'!$I$15+1,0,K32*1000/Operations!K30)</f>
        <v>5.71069767502104</v>
      </c>
      <c r="L60" s="447" t="n">
        <f aca="false">IF(Operations!L3&gt;'Project Assumtions'!$I$15+1,0,L32*1000/Operations!L30)</f>
        <v>5.88201860527167</v>
      </c>
      <c r="M60" s="447" t="n">
        <f aca="false">IF(Operations!M3&gt;'Project Assumtions'!$I$15+1,0,M32*1000/Operations!M30)</f>
        <v>6.05847916342982</v>
      </c>
      <c r="N60" s="447" t="n">
        <f aca="false">IF(Operations!N3&gt;'Project Assumtions'!$I$15+1,0,N32*1000/Operations!N30)</f>
        <v>6.24023353833271</v>
      </c>
      <c r="O60" s="447" t="n">
        <f aca="false">IF(Operations!O3&gt;'Project Assumtions'!$I$15+1,0,O32*1000/Operations!O30)</f>
        <v>6.4274405444827</v>
      </c>
      <c r="P60" s="447" t="n">
        <f aca="false">IF(Operations!P3&gt;'Project Assumtions'!$I$15+1,0,P32*1000/Operations!P30)</f>
        <v>6.62026376081718</v>
      </c>
      <c r="Q60" s="447" t="n">
        <f aca="false">IF(Operations!Q3&gt;'Project Assumtions'!$I$15+1,0,Q32*1000/Operations!Q30)</f>
        <v>6.81887167364169</v>
      </c>
      <c r="R60" s="447" t="n">
        <f aca="false">IF(Operations!R3&gt;'Project Assumtions'!$I$15+1,0,R32*1000/Operations!R30)</f>
        <v>7.02343782385094</v>
      </c>
      <c r="S60" s="447" t="n">
        <f aca="false">IF(Operations!S3&gt;'Project Assumtions'!$I$15+1,0,S32*1000/Operations!S30)</f>
        <v>7.23414095856647</v>
      </c>
      <c r="T60" s="447" t="n">
        <f aca="false">IF(Operations!T3&gt;'Project Assumtions'!$I$15+1,0,T32*1000/Operations!T30)</f>
        <v>7.45116518732347</v>
      </c>
      <c r="U60" s="447" t="n">
        <f aca="false">IF(Operations!U3&gt;'Project Assumtions'!$I$15+1,0,U32*1000/Operations!U30)</f>
        <v>7.67470014294317</v>
      </c>
      <c r="V60" s="447" t="n">
        <f aca="false">IF(Operations!V3&gt;'Project Assumtions'!$I$15+1,0,V32*1000/Operations!V30)</f>
        <v>7.90494114723146</v>
      </c>
      <c r="W60" s="447" t="n">
        <f aca="false">IF(Operations!W3&gt;'Project Assumtions'!$I$15+1,0,W32*1000/Operations!W30)</f>
        <v>3.562888370669</v>
      </c>
      <c r="X60" s="447" t="e">
        <f aca="false">IF(Operations!X3&gt;'Project Assumtions'!$I$15+1,0,X32*1000/Operations!X30)</f>
        <v>#DIV/0!</v>
      </c>
      <c r="Y60" s="447" t="e">
        <f aca="false">IF(Operations!Y3&gt;'Project Assumtions'!$I$15+1,0,Y32*1000/Operations!Y30)</f>
        <v>#DIV/0!</v>
      </c>
      <c r="Z60" s="447" t="e">
        <f aca="false">IF(Operations!Z3&gt;'Project Assumtions'!$I$15+1,0,Z32*1000/Operations!Z30)</f>
        <v>#DIV/0!</v>
      </c>
      <c r="AA60" s="448" t="e">
        <f aca="false">IF(Operations!AA3&gt;'Project Assumtions'!$I$15+1,0,AA32*1000/Operations!AA30)</f>
        <v>#DIV/0!</v>
      </c>
      <c r="AB60" s="1"/>
      <c r="AC60" s="1"/>
      <c r="AD60" s="1"/>
      <c r="AE60" s="1"/>
      <c r="AF60" s="1"/>
      <c r="AG60" s="1"/>
      <c r="AH60" s="1"/>
      <c r="AI60" s="1"/>
    </row>
    <row r="61" customFormat="false" ht="12.6" hidden="false" customHeight="true" outlineLevel="0" collapsed="false">
      <c r="A61" s="457" t="s">
        <v>390</v>
      </c>
      <c r="B61" s="458" t="n">
        <f aca="false">SUM(B58:B60)</f>
        <v>12.5388052210565</v>
      </c>
      <c r="C61" s="459" t="n">
        <f aca="false">IF(Operations!C3&gt;'Project Assumtions'!$I$15+1,0,SUM(C58:C60))</f>
        <v>11.9649079416498</v>
      </c>
      <c r="D61" s="460" t="n">
        <f aca="false">IF(Operations!D3&gt;'Project Assumtions'!$I$15+1,0,SUM(D58:D60))</f>
        <v>9.40369299651525</v>
      </c>
      <c r="E61" s="460" t="n">
        <f aca="false">IF(Operations!E3&gt;'Project Assumtions'!$I$15+1,0,SUM(E58:E60))</f>
        <v>9.68580378641071</v>
      </c>
      <c r="F61" s="460" t="n">
        <f aca="false">IF(Operations!F3&gt;'Project Assumtions'!$I$15+1,0,SUM(F58:F60))</f>
        <v>10.0077127759303</v>
      </c>
      <c r="G61" s="460" t="n">
        <f aca="false">IF(Operations!G3&gt;'Project Assumtions'!$I$15+1,0,SUM(G58:G60))</f>
        <v>10.4040889939836</v>
      </c>
      <c r="H61" s="460" t="n">
        <f aca="false">IF(Operations!H3&gt;'Project Assumtions'!$I$15+1,0,SUM(H58:H60))</f>
        <v>10.7162116638031</v>
      </c>
      <c r="I61" s="460" t="n">
        <f aca="false">IF(Operations!I3&gt;'Project Assumtions'!$I$15+1,0,SUM(I58:I60))</f>
        <v>11.0376980137172</v>
      </c>
      <c r="J61" s="460" t="n">
        <f aca="false">IF(Operations!J3&gt;'Project Assumtions'!$I$15+1,0,SUM(J58:J60))</f>
        <v>11.3688289541287</v>
      </c>
      <c r="K61" s="460" t="n">
        <f aca="false">IF(Operations!K3&gt;'Project Assumtions'!$I$15+1,0,SUM(K58:K60))</f>
        <v>11.7098938227526</v>
      </c>
      <c r="L61" s="460" t="n">
        <f aca="false">IF(Operations!L3&gt;'Project Assumtions'!$I$15+1,0,SUM(L58:L60))</f>
        <v>12.0611906374352</v>
      </c>
      <c r="M61" s="460" t="n">
        <f aca="false">IF(Operations!M3&gt;'Project Assumtions'!$I$15+1,0,SUM(M58:M60))</f>
        <v>12.4230263565582</v>
      </c>
      <c r="N61" s="460" t="n">
        <f aca="false">IF(Operations!N3&gt;'Project Assumtions'!$I$15+1,0,SUM(N58:N60))</f>
        <v>12.795717147255</v>
      </c>
      <c r="O61" s="460" t="n">
        <f aca="false">IF(Operations!O3&gt;'Project Assumtions'!$I$15+1,0,SUM(O58:O60))</f>
        <v>13.1795886616726</v>
      </c>
      <c r="P61" s="460" t="n">
        <f aca="false">IF(Operations!P3&gt;'Project Assumtions'!$I$15+1,0,SUM(P58:P60))</f>
        <v>13.5749763215228</v>
      </c>
      <c r="Q61" s="460" t="n">
        <f aca="false">IF(Operations!Q3&gt;'Project Assumtions'!$I$15+1,0,SUM(Q58:Q60))</f>
        <v>13.9822256111685</v>
      </c>
      <c r="R61" s="460" t="n">
        <f aca="false">IF(Operations!R3&gt;'Project Assumtions'!$I$15+1,0,SUM(R58:R60))</f>
        <v>14.4016923795035</v>
      </c>
      <c r="S61" s="460" t="n">
        <f aca="false">IF(Operations!S3&gt;'Project Assumtions'!$I$15+1,0,SUM(S58:S60))</f>
        <v>14.8337431508886</v>
      </c>
      <c r="T61" s="460" t="n">
        <f aca="false">IF(Operations!T3&gt;'Project Assumtions'!$I$15+1,0,SUM(T58:T60))</f>
        <v>15.2787554454153</v>
      </c>
      <c r="U61" s="460" t="n">
        <f aca="false">IF(Operations!U3&gt;'Project Assumtions'!$I$15+1,0,SUM(U58:U60))</f>
        <v>15.7371181087778</v>
      </c>
      <c r="V61" s="460" t="n">
        <f aca="false">IF(Operations!V3&gt;'Project Assumtions'!$I$15+1,0,SUM(V58:V60))</f>
        <v>16.2092316520411</v>
      </c>
      <c r="W61" s="460" t="n">
        <f aca="false">IF(Operations!W3&gt;'Project Assumtions'!$I$15+1,0,SUM(W58:W60))</f>
        <v>12.1163075906229</v>
      </c>
      <c r="X61" s="460" t="e">
        <f aca="false">IF(Operations!X3&gt;'Project Assumtions'!$I$15+1,0,SUM(X58:X60))</f>
        <v>#DIV/0!</v>
      </c>
      <c r="Y61" s="460" t="e">
        <f aca="false">IF(Operations!Y3&gt;'Project Assumtions'!$I$15+1,0,SUM(Y58:Y60))</f>
        <v>#DIV/0!</v>
      </c>
      <c r="Z61" s="460" t="e">
        <f aca="false">IF(Operations!Z3&gt;'Project Assumtions'!$I$15+1,0,SUM(Z58:Z60))</f>
        <v>#DIV/0!</v>
      </c>
      <c r="AA61" s="461" t="e">
        <f aca="false">IF(Operations!AA3&gt;'Project Assumtions'!$I$15+1,0,SUM(AA58:AA60))</f>
        <v>#DIV/0!</v>
      </c>
      <c r="AB61" s="1"/>
      <c r="AC61" s="1"/>
      <c r="AD61" s="1"/>
      <c r="AE61" s="1"/>
      <c r="AF61" s="1"/>
      <c r="AG61" s="1"/>
      <c r="AH61" s="1"/>
      <c r="AI61" s="1"/>
    </row>
    <row r="62" customFormat="false" ht="12.6" hidden="false" customHeight="true" outlineLevel="0" collapsed="false">
      <c r="A62" s="1"/>
      <c r="B62" s="1"/>
      <c r="C62" s="462"/>
      <c r="D62" s="443"/>
      <c r="E62" s="443"/>
      <c r="F62" s="443"/>
      <c r="G62" s="443"/>
      <c r="H62" s="443"/>
      <c r="I62" s="443"/>
      <c r="J62" s="443"/>
      <c r="K62" s="443"/>
      <c r="L62" s="443"/>
      <c r="M62" s="443"/>
      <c r="N62" s="443"/>
      <c r="O62" s="443"/>
      <c r="P62" s="443"/>
      <c r="Q62" s="443"/>
      <c r="R62" s="443"/>
      <c r="S62" s="443"/>
      <c r="T62" s="443"/>
      <c r="U62" s="443"/>
      <c r="V62" s="443"/>
      <c r="W62" s="443"/>
      <c r="X62" s="443"/>
      <c r="Y62" s="443"/>
      <c r="Z62" s="443"/>
      <c r="AA62" s="443"/>
      <c r="AB62" s="1"/>
      <c r="AC62" s="1"/>
      <c r="AD62" s="1"/>
      <c r="AE62" s="1"/>
      <c r="AF62" s="1"/>
      <c r="AG62" s="1"/>
      <c r="AH62" s="1"/>
      <c r="AI62" s="1"/>
    </row>
    <row r="63" customFormat="false" ht="12.6" hidden="false" customHeight="true" outlineLevel="0" collapsed="false">
      <c r="A63" s="1"/>
      <c r="B63" s="1"/>
      <c r="C63" s="462"/>
      <c r="D63" s="443"/>
      <c r="E63" s="443"/>
      <c r="F63" s="443"/>
      <c r="G63" s="443"/>
      <c r="H63" s="443"/>
      <c r="I63" s="443"/>
      <c r="J63" s="443"/>
      <c r="K63" s="443"/>
      <c r="L63" s="443"/>
      <c r="M63" s="443"/>
      <c r="N63" s="443"/>
      <c r="O63" s="443"/>
      <c r="P63" s="443"/>
      <c r="Q63" s="443"/>
      <c r="R63" s="443"/>
      <c r="S63" s="443"/>
      <c r="T63" s="443"/>
      <c r="U63" s="443"/>
      <c r="V63" s="443"/>
      <c r="W63" s="443"/>
      <c r="X63" s="443"/>
      <c r="Y63" s="443"/>
      <c r="Z63" s="443"/>
      <c r="AA63" s="443"/>
      <c r="AB63" s="1"/>
      <c r="AC63" s="1"/>
      <c r="AD63" s="1"/>
      <c r="AE63" s="1"/>
      <c r="AF63" s="1"/>
      <c r="AG63" s="1"/>
      <c r="AH63" s="1"/>
      <c r="AI63" s="1"/>
    </row>
    <row r="64" customFormat="false" ht="12.6" hidden="false" customHeight="true" outlineLevel="0" collapsed="false">
      <c r="A64" s="424" t="s">
        <v>391</v>
      </c>
      <c r="B64" s="463"/>
      <c r="C64" s="463"/>
      <c r="D64" s="463"/>
      <c r="E64" s="463"/>
      <c r="F64" s="463"/>
      <c r="G64" s="463"/>
      <c r="H64" s="463"/>
      <c r="I64" s="463"/>
      <c r="J64" s="463"/>
      <c r="K64" s="463"/>
      <c r="L64" s="463"/>
      <c r="M64" s="463"/>
      <c r="N64" s="463"/>
      <c r="O64" s="463"/>
      <c r="P64" s="463"/>
      <c r="Q64" s="463"/>
      <c r="R64" s="463"/>
      <c r="S64" s="463"/>
      <c r="T64" s="463"/>
      <c r="U64" s="463"/>
      <c r="V64" s="463"/>
      <c r="W64" s="463"/>
      <c r="X64" s="463"/>
      <c r="Y64" s="463"/>
      <c r="Z64" s="463"/>
      <c r="AA64" s="464"/>
    </row>
    <row r="65" customFormat="false" ht="12.6" hidden="false" customHeight="true" outlineLevel="0" collapsed="false">
      <c r="A65" s="393" t="s">
        <v>392</v>
      </c>
      <c r="B65" s="465" t="n">
        <v>0.03</v>
      </c>
      <c r="C65" s="401" t="n">
        <f aca="false">C70*(1+$B$65)^('PPA Assumptions &amp;Summary'!C4-1998)/12</f>
        <v>5.83495</v>
      </c>
      <c r="D65" s="401" t="n">
        <f aca="false">D70*(1+$B$65)^('PPA Assumptions &amp;Summary'!D4-1998)/12</f>
        <v>6.0099985</v>
      </c>
      <c r="E65" s="401" t="n">
        <f aca="false">E70*(1+$B$65)^('PPA Assumptions &amp;Summary'!E4-1998)/12</f>
        <v>6.09650605416667</v>
      </c>
      <c r="F65" s="401" t="n">
        <f aca="false">F70*(1+$B$65)^('PPA Assumptions &amp;Summary'!F4-1998)/12</f>
        <v>6.27940123579167</v>
      </c>
      <c r="G65" s="401" t="n">
        <f aca="false">G70*(1+$B$65)^('PPA Assumptions &amp;Summary'!G4-1998)/12</f>
        <v>6.46778327286542</v>
      </c>
      <c r="H65" s="401" t="n">
        <f aca="false">H70*(1+$B$65)^('PPA Assumptions &amp;Summary'!H4-1998)/12</f>
        <v>6.66181677105138</v>
      </c>
      <c r="I65" s="401" t="n">
        <f aca="false">I70*(1+$B$65)^('PPA Assumptions &amp;Summary'!I4-1998)/12</f>
        <v>6.75610710073395</v>
      </c>
      <c r="J65" s="401" t="n">
        <f aca="false">J70*(1+$B$65)^('PPA Assumptions &amp;Summary'!J4-1998)/12</f>
        <v>6.85005921510354</v>
      </c>
      <c r="K65" s="401" t="n">
        <f aca="false">K70*(1+$B$65)^('PPA Assumptions &amp;Summary'!K4-1998)/12</f>
        <v>6.94356795994463</v>
      </c>
      <c r="L65" s="401" t="n">
        <f aca="false">L70*(1+$B$65)^('PPA Assumptions &amp;Summary'!L4-1998)/12</f>
        <v>7.0365221761826</v>
      </c>
      <c r="M65" s="401" t="n">
        <f aca="false">M70*(1+$B$65)^('PPA Assumptions &amp;Summary'!M4-1998)/12</f>
        <v>7.1288044342309</v>
      </c>
      <c r="N65" s="401" t="n">
        <f aca="false">N70*(1+$B$65)^('PPA Assumptions &amp;Summary'!N4-1998)/12</f>
        <v>7.22029075780353</v>
      </c>
      <c r="O65" s="401" t="n">
        <f aca="false">O70*(1+$B$65)^('PPA Assumptions &amp;Summary'!O4-1998)/12</f>
        <v>7.31085033679971</v>
      </c>
      <c r="P65" s="401" t="n">
        <f aca="false">P70*(1+$B$65)^('PPA Assumptions &amp;Summary'!P4-1998)/12</f>
        <v>7.27051461080357</v>
      </c>
      <c r="Q65" s="401" t="n">
        <f aca="false">Q70*(1+$B$65)^('PPA Assumptions &amp;Summary'!Q4-1998)/12</f>
        <v>7.35490451253611</v>
      </c>
      <c r="R65" s="401" t="n">
        <f aca="false">R70*(1+$B$65)^('PPA Assumptions &amp;Summary'!R4-1998)/12</f>
        <v>7.43781434522288</v>
      </c>
      <c r="S65" s="401" t="n">
        <f aca="false">S70*(1+$B$65)^('PPA Assumptions &amp;Summary'!S4-1998)/12</f>
        <v>7.51907935380958</v>
      </c>
      <c r="T65" s="401" t="n">
        <f aca="false">T70*(1+$B$65)^('PPA Assumptions &amp;Summary'!T4-1998)/12</f>
        <v>7.59852623000077</v>
      </c>
      <c r="U65" s="401" t="n">
        <f aca="false">U70*(1+$B$65)^('PPA Assumptions &amp;Summary'!U4-1998)/12</f>
        <v>7.67597274734501</v>
      </c>
      <c r="V65" s="401" t="n">
        <f aca="false">V70*(1+$B$65)^('PPA Assumptions &amp;Summary'!V4-1998)/12</f>
        <v>7.59620283448045</v>
      </c>
      <c r="W65" s="401" t="n">
        <f aca="false">W70*(1+$B$65)^('PPA Assumptions &amp;Summary'!W4-1998)/12</f>
        <v>7.66441363544313</v>
      </c>
      <c r="X65" s="265"/>
      <c r="Y65" s="265"/>
      <c r="Z65" s="265"/>
      <c r="AA65" s="441"/>
    </row>
    <row r="66" customFormat="false" ht="12.6" hidden="false" customHeight="true" outlineLevel="0" collapsed="false">
      <c r="A66" s="393" t="s">
        <v>393</v>
      </c>
      <c r="B66" s="265"/>
      <c r="C66" s="401" t="n">
        <f aca="false">C71*(1+'Project Assumtions'!$I$31)^('PPA Assumptions &amp;Summary'!C4-1998)/12</f>
        <v>4.77405</v>
      </c>
      <c r="D66" s="401" t="n">
        <f aca="false">D71*(1+'Project Assumtions'!$I$31)^('PPA Assumptions &amp;Summary'!D4-1998)/12</f>
        <v>4.9172715</v>
      </c>
      <c r="E66" s="401" t="n">
        <f aca="false">E71*(1+'Project Assumtions'!$I$31)^('PPA Assumptions &amp;Summary'!E4-1998)/12</f>
        <v>5.064789645</v>
      </c>
      <c r="F66" s="401" t="n">
        <f aca="false">F71*(1+'Project Assumtions'!$I$31)^('PPA Assumptions &amp;Summary'!F4-1998)/12</f>
        <v>5.21673333435</v>
      </c>
      <c r="G66" s="401" t="n">
        <f aca="false">G71*(1+'Project Assumtions'!$I$31)^('PPA Assumptions &amp;Summary'!G4-1998)/12</f>
        <v>5.3732353343805</v>
      </c>
      <c r="H66" s="401" t="n">
        <f aca="false">H71*(1+'Project Assumtions'!$I$31)^('PPA Assumptions &amp;Summary'!H4-1998)/12</f>
        <v>5.43194290562651</v>
      </c>
      <c r="I66" s="401" t="n">
        <f aca="false">I71*(1+'Project Assumtions'!$I$31)^('PPA Assumptions &amp;Summary'!I4-1998)/12</f>
        <v>5.59490119279531</v>
      </c>
      <c r="J66" s="401" t="n">
        <f aca="false">J71*(1+'Project Assumtions'!$I$31)^('PPA Assumptions &amp;Summary'!J4-1998)/12</f>
        <v>5.65401712992673</v>
      </c>
      <c r="K66" s="401" t="n">
        <f aca="false">K71*(1+'Project Assumtions'!$I$31)^('PPA Assumptions &amp;Summary'!K4-1998)/12</f>
        <v>5.71164461221252</v>
      </c>
      <c r="L66" s="401" t="n">
        <f aca="false">L71*(1+'Project Assumtions'!$I$31)^('PPA Assumptions &amp;Summary'!L4-1998)/12</f>
        <v>5.76764112801853</v>
      </c>
      <c r="M66" s="401" t="n">
        <f aca="false">M71*(1+'Project Assumtions'!$I$31)^('PPA Assumptions &amp;Summary'!M4-1998)/12</f>
        <v>5.8218569546219</v>
      </c>
      <c r="N66" s="401" t="n">
        <f aca="false">N71*(1+'Project Assumtions'!$I$31)^('PPA Assumptions &amp;Summary'!N4-1998)/12</f>
        <v>5.87413485380626</v>
      </c>
      <c r="O66" s="401" t="n">
        <f aca="false">O71*(1+'Project Assumtions'!$I$31)^('PPA Assumptions &amp;Summary'!O4-1998)/12</f>
        <v>5.7982606119446</v>
      </c>
      <c r="P66" s="401" t="n">
        <f aca="false">P71*(1+'Project Assumtions'!$I$31)^('PPA Assumptions &amp;Summary'!P4-1998)/12</f>
        <v>5.71254719420281</v>
      </c>
      <c r="Q66" s="401" t="n">
        <f aca="false">Q71*(1+'Project Assumtions'!$I$31)^('PPA Assumptions &amp;Summary'!Q4-1998)/12</f>
        <v>5.75019807343733</v>
      </c>
      <c r="R66" s="401" t="n">
        <f aca="false">R71*(1+'Project Assumtions'!$I$31)^('PPA Assumptions &amp;Summary'!R4-1998)/12</f>
        <v>5.64722941026182</v>
      </c>
      <c r="S66" s="401" t="n">
        <f aca="false">S71*(1+'Project Assumtions'!$I$31)^('PPA Assumptions &amp;Summary'!S4-1998)/12</f>
        <v>5.67477687079968</v>
      </c>
      <c r="T66" s="401" t="n">
        <f aca="false">T71*(1+'Project Assumtions'!$I$31)^('PPA Assumptions &amp;Summary'!T4-1998)/12</f>
        <v>5.69889467250058</v>
      </c>
      <c r="U66" s="401" t="n">
        <f aca="false">U71*(1+'Project Assumtions'!$I$31)^('PPA Assumptions &amp;Summary'!U4-1998)/12</f>
        <v>5.8698615126756</v>
      </c>
      <c r="V66" s="401" t="n">
        <f aca="false">V71*(1+'Project Assumtions'!$I$31)^('PPA Assumptions &amp;Summary'!V4-1998)/12</f>
        <v>5.89093281041341</v>
      </c>
      <c r="W66" s="401" t="n">
        <f aca="false">W71*(1+'Project Assumtions'!$I$31)^('PPA Assumptions &amp;Summary'!W4-1998)/12</f>
        <v>5.90798551065408</v>
      </c>
      <c r="X66" s="466"/>
      <c r="Y66" s="265"/>
      <c r="Z66" s="265"/>
      <c r="AA66" s="441"/>
    </row>
    <row r="67" customFormat="false" ht="12.6" hidden="false" customHeight="true" outlineLevel="0" collapsed="false">
      <c r="A67" s="393" t="s">
        <v>394</v>
      </c>
      <c r="B67" s="265"/>
      <c r="C67" s="401" t="n">
        <f aca="false">AVERAGE(C65,C66)</f>
        <v>5.3045</v>
      </c>
      <c r="D67" s="401" t="n">
        <f aca="false">AVERAGE(D65,D66)</f>
        <v>5.463635</v>
      </c>
      <c r="E67" s="401" t="n">
        <f aca="false">AVERAGE(E65,E66)</f>
        <v>5.58064784958333</v>
      </c>
      <c r="F67" s="401" t="n">
        <f aca="false">AVERAGE(F65,F66)</f>
        <v>5.74806728507083</v>
      </c>
      <c r="G67" s="401" t="n">
        <f aca="false">AVERAGE(G65,G66)</f>
        <v>5.92050930362296</v>
      </c>
      <c r="H67" s="401" t="n">
        <f aca="false">AVERAGE(H65,H66)</f>
        <v>6.04687983833895</v>
      </c>
      <c r="I67" s="401" t="n">
        <f aca="false">AVERAGE(I65,I66)</f>
        <v>6.17550414676463</v>
      </c>
      <c r="J67" s="401" t="n">
        <f aca="false">AVERAGE(J65,J66)</f>
        <v>6.25203817251513</v>
      </c>
      <c r="K67" s="401" t="n">
        <f aca="false">AVERAGE(K65,K66)</f>
        <v>6.32760628607858</v>
      </c>
      <c r="L67" s="401" t="n">
        <f aca="false">AVERAGE(L65,L66)</f>
        <v>6.40208165210056</v>
      </c>
      <c r="M67" s="401" t="n">
        <f aca="false">AVERAGE(M65,M66)</f>
        <v>6.4753306944264</v>
      </c>
      <c r="N67" s="401" t="n">
        <f aca="false">AVERAGE(N65,N66)</f>
        <v>6.54721280580489</v>
      </c>
      <c r="O67" s="401" t="n">
        <f aca="false">AVERAGE(O65,O66)</f>
        <v>6.55455547437215</v>
      </c>
      <c r="P67" s="401" t="n">
        <f aca="false">AVERAGE(P65,P66)</f>
        <v>6.49153090250319</v>
      </c>
      <c r="Q67" s="401" t="n">
        <f aca="false">AVERAGE(Q65,Q66)</f>
        <v>6.55255129298672</v>
      </c>
      <c r="R67" s="401" t="n">
        <f aca="false">AVERAGE(R65,R66)</f>
        <v>6.54252187774235</v>
      </c>
      <c r="S67" s="401" t="n">
        <f aca="false">AVERAGE(S65,S66)</f>
        <v>6.59692811230463</v>
      </c>
      <c r="T67" s="401" t="n">
        <f aca="false">AVERAGE(T65,T66)</f>
        <v>6.64871045125068</v>
      </c>
      <c r="U67" s="401" t="n">
        <f aca="false">AVERAGE(U65,U66)</f>
        <v>6.77291713001031</v>
      </c>
      <c r="V67" s="401" t="n">
        <f aca="false">AVERAGE(V65,V66)</f>
        <v>6.74356782244693</v>
      </c>
      <c r="W67" s="401"/>
      <c r="X67" s="265"/>
      <c r="Y67" s="265"/>
      <c r="Z67" s="265"/>
      <c r="AA67" s="441"/>
    </row>
    <row r="68" customFormat="false" ht="12.6" hidden="false" customHeight="true" outlineLevel="0" collapsed="false">
      <c r="A68" s="393" t="s">
        <v>395</v>
      </c>
      <c r="B68" s="265"/>
      <c r="C68" s="401" t="n">
        <f aca="false">C66+(C67-C66)*'Project Assumtions'!$C$75</f>
        <v>5.039275</v>
      </c>
      <c r="D68" s="401" t="n">
        <f aca="false">D66+(D67-D66)*'Project Assumtions'!$C$75</f>
        <v>5.19045325</v>
      </c>
      <c r="E68" s="401" t="n">
        <f aca="false">E66+(E67-E66)*'Project Assumtions'!$C$75</f>
        <v>5.32271874729167</v>
      </c>
      <c r="F68" s="401" t="n">
        <f aca="false">F66+(F67-F66)*'Project Assumtions'!$C$75</f>
        <v>5.48240030971042</v>
      </c>
      <c r="G68" s="401" t="n">
        <f aca="false">G66+(G67-G66)*'Project Assumtions'!$C$75</f>
        <v>5.64687231900173</v>
      </c>
      <c r="H68" s="401" t="n">
        <f aca="false">H66+(H67-H66)*'Project Assumtions'!$C$75</f>
        <v>5.73941137198273</v>
      </c>
      <c r="I68" s="401" t="n">
        <f aca="false">I66+(I67-I66)*'Project Assumtions'!$C$75</f>
        <v>5.88520266977997</v>
      </c>
      <c r="J68" s="401" t="n">
        <f aca="false">J66+(J67-J66)*'Project Assumtions'!$C$75</f>
        <v>5.95302765122093</v>
      </c>
      <c r="K68" s="401" t="n">
        <f aca="false">K66+(K67-K66)*'Project Assumtions'!$C$75</f>
        <v>6.01962544914555</v>
      </c>
      <c r="L68" s="401" t="n">
        <f aca="false">L66+(L67-L66)*'Project Assumtions'!$C$75</f>
        <v>6.08486139005954</v>
      </c>
      <c r="M68" s="401" t="n">
        <f aca="false">M66+(M67-M66)*'Project Assumtions'!$C$75</f>
        <v>6.14859382452415</v>
      </c>
      <c r="N68" s="401" t="n">
        <f aca="false">N66+(N67-N66)*'Project Assumtions'!$C$75</f>
        <v>6.21067382980558</v>
      </c>
      <c r="O68" s="401" t="n">
        <f aca="false">O66+(O67-O66)*'Project Assumtions'!$C$75</f>
        <v>6.17640804315837</v>
      </c>
      <c r="P68" s="401" t="n">
        <f aca="false">P66+(P67-P66)*'Project Assumtions'!$C$75</f>
        <v>6.102039048353</v>
      </c>
      <c r="Q68" s="401" t="n">
        <f aca="false">Q66+(Q67-Q66)*'Project Assumtions'!$C$75</f>
        <v>6.15137468321202</v>
      </c>
      <c r="R68" s="401" t="n">
        <f aca="false">R66+(R67-R66)*'Project Assumtions'!$C$75</f>
        <v>6.09487564400209</v>
      </c>
      <c r="S68" s="401" t="n">
        <f aca="false">S66+(S67-S66)*'Project Assumtions'!$C$75</f>
        <v>6.13585249155216</v>
      </c>
      <c r="T68" s="401" t="n">
        <f aca="false">T66+(T67-T66)*'Project Assumtions'!$C$75</f>
        <v>6.17380256187563</v>
      </c>
      <c r="U68" s="401" t="n">
        <f aca="false">U66+(U67-U66)*'Project Assumtions'!$C$75</f>
        <v>6.32138932134295</v>
      </c>
      <c r="V68" s="401" t="n">
        <f aca="false">V66+(V67-V66)*'Project Assumtions'!$C$75</f>
        <v>6.31725031643017</v>
      </c>
      <c r="W68" s="401"/>
      <c r="X68" s="265"/>
      <c r="Y68" s="265"/>
      <c r="Z68" s="265"/>
      <c r="AA68" s="441"/>
    </row>
    <row r="69" customFormat="false" ht="12.6" hidden="false" customHeight="true" outlineLevel="0" collapsed="false">
      <c r="A69" s="403"/>
      <c r="B69" s="378"/>
      <c r="C69" s="401"/>
      <c r="D69" s="401"/>
      <c r="E69" s="401"/>
      <c r="F69" s="401"/>
      <c r="G69" s="401"/>
      <c r="H69" s="401"/>
      <c r="I69" s="401"/>
      <c r="J69" s="401"/>
      <c r="K69" s="401"/>
      <c r="L69" s="401"/>
      <c r="M69" s="401"/>
      <c r="N69" s="401"/>
      <c r="O69" s="401"/>
      <c r="P69" s="401"/>
      <c r="Q69" s="401"/>
      <c r="R69" s="401"/>
      <c r="S69" s="401"/>
      <c r="T69" s="401"/>
      <c r="U69" s="401"/>
      <c r="V69" s="401"/>
      <c r="W69" s="401"/>
      <c r="X69" s="401"/>
      <c r="Y69" s="401"/>
      <c r="Z69" s="401"/>
      <c r="AA69" s="402"/>
      <c r="AB69" s="1"/>
      <c r="AC69" s="1"/>
      <c r="AD69" s="1"/>
      <c r="AE69" s="1"/>
      <c r="AF69" s="1"/>
      <c r="AG69" s="1"/>
      <c r="AH69" s="1"/>
      <c r="AI69" s="1"/>
    </row>
    <row r="70" customFormat="false" ht="12.6" hidden="false" customHeight="true" outlineLevel="0" collapsed="false">
      <c r="A70" s="467" t="s">
        <v>396</v>
      </c>
      <c r="B70" s="378" t="s">
        <v>397</v>
      </c>
      <c r="C70" s="468" t="n">
        <v>66</v>
      </c>
      <c r="D70" s="468" t="n">
        <v>66</v>
      </c>
      <c r="E70" s="468" t="n">
        <v>65</v>
      </c>
      <c r="F70" s="468" t="n">
        <v>65</v>
      </c>
      <c r="G70" s="468" t="n">
        <v>65</v>
      </c>
      <c r="H70" s="468" t="n">
        <v>65</v>
      </c>
      <c r="I70" s="468" t="n">
        <v>64</v>
      </c>
      <c r="J70" s="468" t="n">
        <v>63</v>
      </c>
      <c r="K70" s="468" t="n">
        <v>62</v>
      </c>
      <c r="L70" s="468" t="n">
        <v>61</v>
      </c>
      <c r="M70" s="468" t="n">
        <v>60</v>
      </c>
      <c r="N70" s="468" t="n">
        <v>59</v>
      </c>
      <c r="O70" s="468" t="n">
        <v>58</v>
      </c>
      <c r="P70" s="468" t="n">
        <v>56</v>
      </c>
      <c r="Q70" s="468" t="n">
        <v>55</v>
      </c>
      <c r="R70" s="468" t="n">
        <v>54</v>
      </c>
      <c r="S70" s="468" t="n">
        <v>53</v>
      </c>
      <c r="T70" s="468" t="n">
        <v>52</v>
      </c>
      <c r="U70" s="468" t="n">
        <v>51</v>
      </c>
      <c r="V70" s="468" t="n">
        <v>49</v>
      </c>
      <c r="W70" s="468" t="n">
        <v>48</v>
      </c>
      <c r="X70" s="468" t="n">
        <v>36.99</v>
      </c>
      <c r="Y70" s="265"/>
      <c r="Z70" s="265"/>
      <c r="AA70" s="441"/>
    </row>
    <row r="71" customFormat="false" ht="12.6" hidden="false" customHeight="true" outlineLevel="0" collapsed="false">
      <c r="A71" s="467" t="s">
        <v>398</v>
      </c>
      <c r="B71" s="378" t="s">
        <v>397</v>
      </c>
      <c r="C71" s="468" t="n">
        <v>54</v>
      </c>
      <c r="D71" s="468" t="n">
        <v>54</v>
      </c>
      <c r="E71" s="468" t="n">
        <v>54</v>
      </c>
      <c r="F71" s="468" t="n">
        <v>54</v>
      </c>
      <c r="G71" s="468" t="n">
        <v>54</v>
      </c>
      <c r="H71" s="468" t="n">
        <v>53</v>
      </c>
      <c r="I71" s="468" t="n">
        <v>53</v>
      </c>
      <c r="J71" s="468" t="n">
        <v>52</v>
      </c>
      <c r="K71" s="468" t="n">
        <v>51</v>
      </c>
      <c r="L71" s="468" t="n">
        <v>50</v>
      </c>
      <c r="M71" s="468" t="n">
        <v>49</v>
      </c>
      <c r="N71" s="468" t="n">
        <v>48</v>
      </c>
      <c r="O71" s="468" t="n">
        <v>46</v>
      </c>
      <c r="P71" s="468" t="n">
        <v>44</v>
      </c>
      <c r="Q71" s="468" t="n">
        <v>43</v>
      </c>
      <c r="R71" s="468" t="n">
        <v>41</v>
      </c>
      <c r="S71" s="468" t="n">
        <v>40</v>
      </c>
      <c r="T71" s="468" t="n">
        <v>39</v>
      </c>
      <c r="U71" s="468" t="n">
        <v>39</v>
      </c>
      <c r="V71" s="468" t="n">
        <v>38</v>
      </c>
      <c r="W71" s="468" t="n">
        <v>37</v>
      </c>
      <c r="X71" s="468"/>
      <c r="Y71" s="265"/>
      <c r="Z71" s="265"/>
      <c r="AA71" s="441"/>
    </row>
    <row r="72" customFormat="false" ht="12.6" hidden="false" customHeight="true" outlineLevel="0" collapsed="false">
      <c r="A72" s="409"/>
      <c r="B72" s="410"/>
      <c r="C72" s="423"/>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69"/>
      <c r="AB72" s="410"/>
      <c r="AC72" s="410"/>
      <c r="AD72" s="410"/>
      <c r="AE72" s="410"/>
      <c r="AF72" s="410"/>
      <c r="AG72" s="410"/>
      <c r="AH72" s="410"/>
      <c r="AI72" s="410"/>
    </row>
    <row r="73" customFormat="false" ht="12.6" hidden="false" customHeight="true" outlineLevel="0" collapsed="false">
      <c r="A73" s="407" t="s">
        <v>399</v>
      </c>
      <c r="B73" s="378"/>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c r="AA73" s="441"/>
    </row>
    <row r="74" customFormat="false" ht="12.6" hidden="false" customHeight="true" outlineLevel="0" collapsed="false">
      <c r="A74" s="409" t="s">
        <v>400</v>
      </c>
      <c r="B74" s="410"/>
      <c r="C74" s="470" t="n">
        <f aca="false">D74/(1+B65)</f>
        <v>42.170775</v>
      </c>
      <c r="D74" s="423" t="n">
        <f aca="false">D79*((1+$B$65)^3)</f>
        <v>43.43589825</v>
      </c>
      <c r="E74" s="423" t="n">
        <f aca="false">E79*((1+$B$65)^3)</f>
        <v>46.36440661</v>
      </c>
      <c r="F74" s="423" t="n">
        <f aca="false">F79*((1+$B$65)^3)</f>
        <v>49.48960583</v>
      </c>
      <c r="G74" s="423" t="n">
        <f aca="false">G79*((1+$B$65)^3)</f>
        <v>52.82242318</v>
      </c>
      <c r="H74" s="423" t="n">
        <f aca="false">H79*((1+$B$65)^3)</f>
        <v>56.37378593</v>
      </c>
      <c r="I74" s="423" t="n">
        <f aca="false">I79*((1+$B$65)^3)</f>
        <v>60.17647589</v>
      </c>
      <c r="J74" s="423" t="n">
        <f aca="false">J79*((1+$B$65)^3)</f>
        <v>60.66820304</v>
      </c>
      <c r="K74" s="423" t="n">
        <f aca="false">K79*((1+$B$65)^3)</f>
        <v>61.15993019</v>
      </c>
      <c r="L74" s="423" t="n">
        <f aca="false">L79*((1+$B$65)^3)</f>
        <v>61.66258461</v>
      </c>
      <c r="M74" s="423" t="n">
        <f aca="false">M79*((1+$B$65)^3)</f>
        <v>62.16523903</v>
      </c>
      <c r="N74" s="423" t="n">
        <f aca="false">N79*((1+$B$65)^3)</f>
        <v>62.67882072</v>
      </c>
      <c r="O74" s="423" t="n">
        <f aca="false">O79*((1+$B$65)^3)</f>
        <v>60.26389405</v>
      </c>
      <c r="P74" s="423" t="n">
        <f aca="false">P79*((1+$B$65)^3)</f>
        <v>57.95824008</v>
      </c>
      <c r="Q74" s="423" t="n">
        <f aca="false">Q79*((1+$B$65)^3)</f>
        <v>55.729077</v>
      </c>
      <c r="R74" s="423" t="n">
        <f aca="false">R79*((1+$B$65)^3)</f>
        <v>53.58733208</v>
      </c>
      <c r="S74" s="423" t="n">
        <f aca="false">S79*((1+$B$65)^3)</f>
        <v>51.53300532</v>
      </c>
      <c r="T74" s="423" t="n">
        <f aca="false">T79*((1+$B$65)^3)</f>
        <v>52.2323506</v>
      </c>
      <c r="U74" s="423" t="n">
        <f aca="false">U79*((1+$B$65)^3)</f>
        <v>52.93169588</v>
      </c>
      <c r="V74" s="423" t="n">
        <f aca="false">V79*((1+$B$65)^3)</f>
        <v>53.6528957</v>
      </c>
      <c r="W74" s="423"/>
      <c r="X74" s="423"/>
      <c r="Y74" s="423"/>
      <c r="Z74" s="423"/>
      <c r="AA74" s="469"/>
      <c r="AB74" s="410"/>
      <c r="AC74" s="410"/>
      <c r="AD74" s="410"/>
      <c r="AE74" s="410"/>
      <c r="AF74" s="410"/>
      <c r="AG74" s="410"/>
      <c r="AH74" s="410"/>
      <c r="AI74" s="410"/>
    </row>
    <row r="75" customFormat="false" ht="12.75" hidden="false" customHeight="false" outlineLevel="0" collapsed="false">
      <c r="A75" s="409" t="s">
        <v>401</v>
      </c>
      <c r="B75" s="378"/>
      <c r="C75" s="470" t="n">
        <f aca="false">D75/(1+B65)</f>
        <v>42.255647</v>
      </c>
      <c r="D75" s="423" t="n">
        <f aca="false">D80*((1+$B$65)^3)</f>
        <v>43.52331641</v>
      </c>
      <c r="E75" s="423" t="n">
        <f aca="false">E80*((1+$B$65)^3)</f>
        <v>46.25513391</v>
      </c>
      <c r="F75" s="423" t="n">
        <f aca="false">F80*((1+$B$65)^3)</f>
        <v>49.15086046</v>
      </c>
      <c r="G75" s="423" t="n">
        <f aca="false">G80*((1+$B$65)^3)</f>
        <v>52.2323506</v>
      </c>
      <c r="H75" s="423" t="n">
        <f aca="false">H80*((1+$B$65)^3)</f>
        <v>55.5105316</v>
      </c>
      <c r="I75" s="423" t="n">
        <f aca="false">I80*((1+$B$65)^3)</f>
        <v>58.98540346</v>
      </c>
      <c r="J75" s="423" t="n">
        <f aca="false">J80*((1+$B$65)^3)</f>
        <v>59.37878518</v>
      </c>
      <c r="K75" s="423" t="n">
        <f aca="false">K80*((1+$B$65)^3)</f>
        <v>59.7721669</v>
      </c>
      <c r="L75" s="423" t="n">
        <f aca="false">L80*((1+$B$65)^3)</f>
        <v>60.17647589</v>
      </c>
      <c r="M75" s="423" t="n">
        <f aca="false">M80*((1+$B$65)^3)</f>
        <v>60.58078488</v>
      </c>
      <c r="N75" s="423" t="n">
        <f aca="false">N80*((1+$B$65)^3)</f>
        <v>60.98509387</v>
      </c>
      <c r="O75" s="423" t="n">
        <f aca="false">O80*((1+$B$65)^3)</f>
        <v>57.87082192</v>
      </c>
      <c r="P75" s="423" t="n">
        <f aca="false">P80*((1+$B$65)^3)</f>
        <v>54.90953175</v>
      </c>
      <c r="Q75" s="423" t="n">
        <f aca="false">Q80*((1+$B$65)^3)</f>
        <v>52.10122336</v>
      </c>
      <c r="R75" s="423" t="n">
        <f aca="false">R80*((1+$B$65)^3)</f>
        <v>49.44589675</v>
      </c>
      <c r="S75" s="423" t="n">
        <f aca="false">S80*((1+$B$65)^3)</f>
        <v>46.92169738</v>
      </c>
      <c r="T75" s="423" t="n">
        <f aca="false">T80*((1+$B$65)^3)</f>
        <v>47.29322456</v>
      </c>
      <c r="U75" s="423" t="n">
        <f aca="false">U80*((1+$B$65)^3)</f>
        <v>47.66475174</v>
      </c>
      <c r="V75" s="423" t="n">
        <f aca="false">V80*((1+$B$65)^3)</f>
        <v>48.03627892</v>
      </c>
      <c r="W75" s="265"/>
      <c r="X75" s="265"/>
      <c r="Y75" s="265"/>
      <c r="Z75" s="265"/>
      <c r="AA75" s="441"/>
    </row>
    <row r="76" customFormat="false" ht="12.75" hidden="false" customHeight="false" outlineLevel="0" collapsed="false">
      <c r="A76" s="409" t="s">
        <v>402</v>
      </c>
      <c r="B76" s="378"/>
      <c r="C76" s="423" t="n">
        <v>0</v>
      </c>
      <c r="D76" s="423" t="n">
        <v>0</v>
      </c>
      <c r="E76" s="423" t="n">
        <v>0</v>
      </c>
      <c r="F76" s="423" t="n">
        <v>0</v>
      </c>
      <c r="G76" s="423" t="n">
        <v>0</v>
      </c>
      <c r="H76" s="423" t="n">
        <v>0</v>
      </c>
      <c r="I76" s="423" t="n">
        <v>0</v>
      </c>
      <c r="J76" s="423" t="n">
        <v>0</v>
      </c>
      <c r="K76" s="423" t="n">
        <v>0</v>
      </c>
      <c r="L76" s="423" t="n">
        <v>0</v>
      </c>
      <c r="M76" s="423" t="n">
        <v>0</v>
      </c>
      <c r="N76" s="423" t="n">
        <v>0</v>
      </c>
      <c r="O76" s="423" t="n">
        <v>0</v>
      </c>
      <c r="P76" s="423" t="n">
        <v>0</v>
      </c>
      <c r="Q76" s="423" t="n">
        <v>0</v>
      </c>
      <c r="R76" s="423" t="n">
        <v>0</v>
      </c>
      <c r="S76" s="423" t="n">
        <v>0</v>
      </c>
      <c r="T76" s="423" t="n">
        <v>0</v>
      </c>
      <c r="U76" s="423" t="n">
        <v>0</v>
      </c>
      <c r="V76" s="423" t="n">
        <v>0</v>
      </c>
      <c r="W76" s="265"/>
      <c r="X76" s="265"/>
      <c r="Y76" s="265"/>
      <c r="Z76" s="265"/>
      <c r="AA76" s="441"/>
    </row>
    <row r="77" customFormat="false" ht="12.75" hidden="false" customHeight="false" outlineLevel="0" collapsed="false">
      <c r="A77" s="409" t="s">
        <v>322</v>
      </c>
      <c r="B77" s="378"/>
      <c r="C77" s="423" t="n">
        <f aca="false">IF('Project Assumtions'!$C$77="yes",C26,C24)</f>
        <v>29.3375</v>
      </c>
      <c r="D77" s="423" t="n">
        <f aca="false">IF('Project Assumtions'!$C$77="yes",D26,D24)</f>
        <v>29.3375</v>
      </c>
      <c r="E77" s="423" t="n">
        <f aca="false">IF('Project Assumtions'!$C$77="yes",E26,E24)</f>
        <v>29.3375</v>
      </c>
      <c r="F77" s="423" t="n">
        <f aca="false">IF('Project Assumtions'!$C$77="yes",F26,F24)</f>
        <v>29.3375</v>
      </c>
      <c r="G77" s="423" t="n">
        <f aca="false">IF('Project Assumtions'!$C$77="yes",G26,G24)</f>
        <v>29.3375</v>
      </c>
      <c r="H77" s="423" t="n">
        <f aca="false">IF('Project Assumtions'!$C$77="yes",H26,H24)</f>
        <v>29.3375</v>
      </c>
      <c r="I77" s="423" t="n">
        <f aca="false">IF('Project Assumtions'!$C$77="yes",I26,I24)</f>
        <v>29.3375</v>
      </c>
      <c r="J77" s="423" t="n">
        <f aca="false">IF('Project Assumtions'!$C$77="yes",J26,J24)</f>
        <v>29.3375</v>
      </c>
      <c r="K77" s="423" t="n">
        <f aca="false">IF('Project Assumtions'!$C$77="yes",K26,K24)</f>
        <v>29.3375</v>
      </c>
      <c r="L77" s="423" t="n">
        <f aca="false">IF('Project Assumtions'!$C$77="yes",L26,L24)</f>
        <v>29.3375</v>
      </c>
      <c r="M77" s="423" t="n">
        <f aca="false">IF('Project Assumtions'!$C$77="yes",M26,M24)</f>
        <v>29.3375</v>
      </c>
      <c r="N77" s="423" t="n">
        <f aca="false">IF('Project Assumtions'!$C$77="yes",N26,N24)</f>
        <v>29.3375</v>
      </c>
      <c r="O77" s="423" t="n">
        <f aca="false">IF('Project Assumtions'!$C$77="yes",O26,O24)</f>
        <v>29.3375</v>
      </c>
      <c r="P77" s="423" t="n">
        <f aca="false">IF('Project Assumtions'!$C$77="yes",P26,P24)</f>
        <v>29.3375</v>
      </c>
      <c r="Q77" s="423" t="n">
        <f aca="false">IF('Project Assumtions'!$C$77="yes",Q26,Q24)</f>
        <v>29.3375</v>
      </c>
      <c r="R77" s="423" t="n">
        <f aca="false">IF('Project Assumtions'!$C$77="yes",R26,R24)</f>
        <v>29.3375</v>
      </c>
      <c r="S77" s="423" t="n">
        <f aca="false">IF('Project Assumtions'!$C$77="yes",S26,S24)</f>
        <v>29.3375</v>
      </c>
      <c r="T77" s="423" t="n">
        <f aca="false">IF('Project Assumtions'!$C$77="yes",T26,T24)</f>
        <v>29.3375</v>
      </c>
      <c r="U77" s="423" t="n">
        <f aca="false">IF('Project Assumtions'!$C$77="yes",U26,U24)</f>
        <v>29.3375</v>
      </c>
      <c r="V77" s="423" t="n">
        <f aca="false">IF('Project Assumtions'!$C$77="yes",V26,V24)</f>
        <v>29.3375</v>
      </c>
      <c r="W77" s="423"/>
      <c r="X77" s="265"/>
      <c r="Y77" s="265"/>
      <c r="Z77" s="265"/>
      <c r="AA77" s="441"/>
    </row>
    <row r="78" customFormat="false" ht="12.75" hidden="false" customHeight="false" outlineLevel="0" collapsed="false">
      <c r="A78" s="393"/>
      <c r="B78" s="265"/>
      <c r="C78" s="265"/>
      <c r="D78" s="265"/>
      <c r="E78" s="265"/>
      <c r="F78" s="265"/>
      <c r="G78" s="265"/>
      <c r="H78" s="265"/>
      <c r="I78" s="265"/>
      <c r="J78" s="265"/>
      <c r="K78" s="265"/>
      <c r="L78" s="265"/>
      <c r="M78" s="265"/>
      <c r="N78" s="265"/>
      <c r="O78" s="265"/>
      <c r="P78" s="265"/>
      <c r="Q78" s="265"/>
      <c r="R78" s="265"/>
      <c r="S78" s="265"/>
      <c r="T78" s="265"/>
      <c r="U78" s="265"/>
      <c r="V78" s="265"/>
      <c r="W78" s="265"/>
      <c r="X78" s="265"/>
      <c r="Y78" s="265"/>
      <c r="Z78" s="265"/>
      <c r="AA78" s="441"/>
    </row>
    <row r="79" customFormat="false" ht="12.75" hidden="false" customHeight="false" outlineLevel="0" collapsed="false">
      <c r="A79" s="471" t="s">
        <v>403</v>
      </c>
      <c r="B79" s="378" t="s">
        <v>397</v>
      </c>
      <c r="C79" s="265"/>
      <c r="D79" s="472" t="n">
        <v>39.75</v>
      </c>
      <c r="E79" s="472" t="n">
        <v>42.43</v>
      </c>
      <c r="F79" s="472" t="n">
        <v>45.29</v>
      </c>
      <c r="G79" s="472" t="n">
        <v>48.34</v>
      </c>
      <c r="H79" s="472" t="n">
        <v>51.59</v>
      </c>
      <c r="I79" s="472" t="n">
        <v>55.07</v>
      </c>
      <c r="J79" s="472" t="n">
        <v>55.52</v>
      </c>
      <c r="K79" s="472" t="n">
        <v>55.97</v>
      </c>
      <c r="L79" s="472" t="n">
        <v>56.43</v>
      </c>
      <c r="M79" s="472" t="n">
        <v>56.89</v>
      </c>
      <c r="N79" s="472" t="n">
        <v>57.36</v>
      </c>
      <c r="O79" s="472" t="n">
        <v>55.15</v>
      </c>
      <c r="P79" s="472" t="n">
        <v>53.04</v>
      </c>
      <c r="Q79" s="472" t="n">
        <v>51</v>
      </c>
      <c r="R79" s="472" t="n">
        <v>49.04</v>
      </c>
      <c r="S79" s="472" t="n">
        <v>47.16</v>
      </c>
      <c r="T79" s="472" t="n">
        <v>47.8</v>
      </c>
      <c r="U79" s="472" t="n">
        <v>48.44</v>
      </c>
      <c r="V79" s="472" t="n">
        <v>49.1</v>
      </c>
      <c r="W79" s="265"/>
      <c r="X79" s="265"/>
      <c r="Y79" s="265"/>
      <c r="Z79" s="265"/>
      <c r="AA79" s="441"/>
    </row>
    <row r="80" customFormat="false" ht="12.75" hidden="false" customHeight="false" outlineLevel="0" collapsed="false">
      <c r="A80" s="471" t="s">
        <v>404</v>
      </c>
      <c r="B80" s="378" t="s">
        <v>397</v>
      </c>
      <c r="C80" s="265"/>
      <c r="D80" s="472" t="n">
        <v>39.83</v>
      </c>
      <c r="E80" s="472" t="n">
        <v>42.33</v>
      </c>
      <c r="F80" s="472" t="n">
        <v>44.98</v>
      </c>
      <c r="G80" s="472" t="n">
        <v>47.8</v>
      </c>
      <c r="H80" s="472" t="n">
        <v>50.8</v>
      </c>
      <c r="I80" s="472" t="n">
        <v>53.98</v>
      </c>
      <c r="J80" s="472" t="n">
        <v>54.34</v>
      </c>
      <c r="K80" s="472" t="n">
        <v>54.7</v>
      </c>
      <c r="L80" s="472" t="n">
        <v>55.07</v>
      </c>
      <c r="M80" s="472" t="n">
        <v>55.44</v>
      </c>
      <c r="N80" s="472" t="n">
        <v>55.81</v>
      </c>
      <c r="O80" s="472" t="n">
        <v>52.96</v>
      </c>
      <c r="P80" s="472" t="n">
        <v>50.25</v>
      </c>
      <c r="Q80" s="472" t="n">
        <v>47.68</v>
      </c>
      <c r="R80" s="472" t="n">
        <v>45.25</v>
      </c>
      <c r="S80" s="472" t="n">
        <v>42.94</v>
      </c>
      <c r="T80" s="472" t="n">
        <v>43.28</v>
      </c>
      <c r="U80" s="472" t="n">
        <v>43.62</v>
      </c>
      <c r="V80" s="472" t="n">
        <v>43.96</v>
      </c>
      <c r="W80" s="265"/>
      <c r="X80" s="265"/>
      <c r="Y80" s="265"/>
      <c r="Z80" s="265"/>
      <c r="AA80" s="441"/>
    </row>
    <row r="81" customFormat="false" ht="12.75" hidden="false" customHeight="false" outlineLevel="0" collapsed="false">
      <c r="A81" s="393"/>
      <c r="B81" s="265"/>
      <c r="C81" s="265"/>
      <c r="D81" s="265"/>
      <c r="E81" s="265"/>
      <c r="F81" s="265"/>
      <c r="G81" s="265"/>
      <c r="H81" s="265"/>
      <c r="I81" s="265"/>
      <c r="J81" s="265"/>
      <c r="K81" s="265"/>
      <c r="L81" s="265"/>
      <c r="M81" s="265"/>
      <c r="N81" s="265"/>
      <c r="O81" s="265"/>
      <c r="P81" s="265"/>
      <c r="Q81" s="265"/>
      <c r="R81" s="265"/>
      <c r="S81" s="265"/>
      <c r="T81" s="265"/>
      <c r="U81" s="265"/>
      <c r="V81" s="265"/>
      <c r="W81" s="265"/>
      <c r="X81" s="265"/>
      <c r="Y81" s="265"/>
      <c r="Z81" s="265"/>
      <c r="AA81" s="441"/>
    </row>
    <row r="82" customFormat="false" ht="12.6" hidden="false" customHeight="true" outlineLevel="0" collapsed="false">
      <c r="A82" s="393"/>
      <c r="B82" s="265"/>
      <c r="C82" s="265"/>
      <c r="D82" s="265"/>
      <c r="E82" s="265"/>
      <c r="F82" s="265"/>
      <c r="G82" s="265"/>
      <c r="H82" s="265"/>
      <c r="I82" s="265"/>
      <c r="J82" s="265"/>
      <c r="K82" s="265"/>
      <c r="L82" s="265"/>
      <c r="M82" s="265"/>
      <c r="N82" s="265"/>
      <c r="O82" s="265"/>
      <c r="P82" s="265"/>
      <c r="Q82" s="265"/>
      <c r="R82" s="265"/>
      <c r="S82" s="265"/>
      <c r="T82" s="265"/>
      <c r="U82" s="265"/>
      <c r="V82" s="265"/>
      <c r="W82" s="265"/>
      <c r="X82" s="265"/>
      <c r="Y82" s="265"/>
      <c r="Z82" s="265"/>
      <c r="AA82" s="441"/>
    </row>
    <row r="83" customFormat="false" ht="12.75" hidden="false" customHeight="false" outlineLevel="0" collapsed="false">
      <c r="A83" s="393" t="s">
        <v>405</v>
      </c>
      <c r="B83" s="265"/>
      <c r="C83" s="473" t="n">
        <f aca="false">C70</f>
        <v>66</v>
      </c>
      <c r="D83" s="473" t="n">
        <f aca="false">D70</f>
        <v>66</v>
      </c>
      <c r="E83" s="473" t="n">
        <f aca="false">E70</f>
        <v>65</v>
      </c>
      <c r="F83" s="473" t="n">
        <f aca="false">F70</f>
        <v>65</v>
      </c>
      <c r="G83" s="473" t="n">
        <f aca="false">G70</f>
        <v>65</v>
      </c>
      <c r="H83" s="473" t="n">
        <f aca="false">H70</f>
        <v>65</v>
      </c>
      <c r="I83" s="473" t="n">
        <f aca="false">I70</f>
        <v>64</v>
      </c>
      <c r="J83" s="473" t="n">
        <f aca="false">J70</f>
        <v>63</v>
      </c>
      <c r="K83" s="473" t="n">
        <f aca="false">K70</f>
        <v>62</v>
      </c>
      <c r="L83" s="473" t="n">
        <f aca="false">L70</f>
        <v>61</v>
      </c>
      <c r="M83" s="473" t="n">
        <f aca="false">M70</f>
        <v>60</v>
      </c>
      <c r="N83" s="473" t="n">
        <f aca="false">N70</f>
        <v>59</v>
      </c>
      <c r="O83" s="473" t="n">
        <f aca="false">O70</f>
        <v>58</v>
      </c>
      <c r="P83" s="473" t="n">
        <f aca="false">P70</f>
        <v>56</v>
      </c>
      <c r="Q83" s="473" t="n">
        <f aca="false">Q70</f>
        <v>55</v>
      </c>
      <c r="R83" s="473" t="n">
        <f aca="false">R70</f>
        <v>54</v>
      </c>
      <c r="S83" s="473" t="n">
        <f aca="false">S70</f>
        <v>53</v>
      </c>
      <c r="T83" s="473" t="n">
        <f aca="false">T70</f>
        <v>52</v>
      </c>
      <c r="U83" s="473" t="n">
        <f aca="false">U70</f>
        <v>51</v>
      </c>
      <c r="V83" s="473" t="n">
        <f aca="false">V70</f>
        <v>49</v>
      </c>
      <c r="W83" s="265"/>
      <c r="X83" s="265"/>
      <c r="Y83" s="265"/>
      <c r="Z83" s="265"/>
      <c r="AA83" s="441"/>
    </row>
    <row r="84" customFormat="false" ht="12.6" hidden="false" customHeight="true" outlineLevel="0" collapsed="false">
      <c r="A84" s="403" t="s">
        <v>406</v>
      </c>
      <c r="B84" s="69"/>
      <c r="C84" s="401" t="n">
        <v>55.8</v>
      </c>
      <c r="D84" s="401" t="n">
        <v>55.19</v>
      </c>
      <c r="E84" s="401" t="n">
        <v>54.58</v>
      </c>
      <c r="F84" s="401" t="n">
        <v>53.98</v>
      </c>
      <c r="G84" s="401" t="n">
        <v>53.39</v>
      </c>
      <c r="H84" s="401" t="n">
        <v>52.8</v>
      </c>
      <c r="I84" s="401" t="n">
        <v>52.22</v>
      </c>
      <c r="J84" s="401" t="n">
        <v>51.65</v>
      </c>
      <c r="K84" s="401" t="n">
        <v>51.08</v>
      </c>
      <c r="L84" s="401" t="n">
        <v>50.52</v>
      </c>
      <c r="M84" s="401" t="n">
        <v>47.5</v>
      </c>
      <c r="N84" s="401" t="n">
        <v>46.98</v>
      </c>
      <c r="O84" s="401" t="n">
        <v>46.46</v>
      </c>
      <c r="P84" s="401" t="n">
        <v>45.67</v>
      </c>
      <c r="Q84" s="401" t="n">
        <v>44</v>
      </c>
      <c r="R84" s="401" t="n">
        <v>39.5</v>
      </c>
      <c r="S84" s="401" t="n">
        <v>39.07</v>
      </c>
      <c r="T84" s="401" t="n">
        <v>38.64</v>
      </c>
      <c r="U84" s="401" t="n">
        <v>38.21</v>
      </c>
      <c r="V84" s="401" t="n">
        <v>37.79</v>
      </c>
      <c r="W84" s="401"/>
      <c r="X84" s="401"/>
      <c r="Y84" s="401"/>
      <c r="Z84" s="401"/>
      <c r="AA84" s="402"/>
      <c r="AB84" s="1"/>
      <c r="AC84" s="1"/>
      <c r="AD84" s="1"/>
      <c r="AE84" s="1"/>
      <c r="AF84" s="1"/>
      <c r="AG84" s="1"/>
      <c r="AH84" s="1"/>
      <c r="AI84" s="1"/>
    </row>
    <row r="85" customFormat="false" ht="12.6" hidden="false" customHeight="true" outlineLevel="0" collapsed="false">
      <c r="A85" s="427"/>
      <c r="B85" s="378"/>
      <c r="C85" s="378"/>
      <c r="D85" s="378"/>
      <c r="E85" s="378"/>
      <c r="F85" s="378"/>
      <c r="G85" s="378"/>
      <c r="H85" s="378"/>
      <c r="I85" s="378"/>
      <c r="J85" s="378"/>
      <c r="K85" s="378"/>
      <c r="L85" s="378"/>
      <c r="M85" s="378"/>
      <c r="N85" s="378"/>
      <c r="O85" s="378"/>
      <c r="P85" s="378"/>
      <c r="Q85" s="378"/>
      <c r="R85" s="378"/>
      <c r="S85" s="378"/>
      <c r="T85" s="378"/>
      <c r="U85" s="378"/>
      <c r="V85" s="378"/>
      <c r="W85" s="378"/>
      <c r="X85" s="378"/>
      <c r="Y85" s="378"/>
      <c r="Z85" s="378"/>
      <c r="AA85" s="408"/>
      <c r="AB85" s="1"/>
      <c r="AC85" s="1"/>
      <c r="AD85" s="1"/>
      <c r="AE85" s="1"/>
      <c r="AF85" s="1"/>
      <c r="AG85" s="1"/>
      <c r="AH85" s="1"/>
      <c r="AI85" s="1"/>
    </row>
    <row r="86" customFormat="false" ht="12.75" hidden="false" customHeight="false" outlineLevel="0" collapsed="false">
      <c r="A86" s="474"/>
      <c r="B86" s="475"/>
      <c r="C86" s="476" t="n">
        <f aca="false">(C83-C84)/C84</f>
        <v>0.182795698924731</v>
      </c>
      <c r="D86" s="476" t="n">
        <f aca="false">(D83-D84)/D84</f>
        <v>0.19586881681464</v>
      </c>
      <c r="E86" s="476" t="n">
        <f aca="false">(E83-E84)/E84</f>
        <v>0.190912422132649</v>
      </c>
      <c r="F86" s="476" t="n">
        <f aca="false">(F83-F84)/F84</f>
        <v>0.204149685068544</v>
      </c>
      <c r="G86" s="476" t="n">
        <f aca="false">(G83-G84)/G84</f>
        <v>0.217456452519198</v>
      </c>
      <c r="H86" s="476" t="n">
        <f aca="false">(H83-H84)/H84</f>
        <v>0.231060606060606</v>
      </c>
      <c r="I86" s="476" t="n">
        <f aca="false">(I83-I84)/I84</f>
        <v>0.225584067407124</v>
      </c>
      <c r="J86" s="476" t="n">
        <f aca="false">(J83-J84)/J84</f>
        <v>0.219748305905131</v>
      </c>
      <c r="K86" s="476" t="n">
        <f aca="false">(K83-K84)/K84</f>
        <v>0.213782302270948</v>
      </c>
      <c r="L86" s="476" t="n">
        <f aca="false">(L83-L84)/L84</f>
        <v>0.207442596991291</v>
      </c>
      <c r="M86" s="476" t="n">
        <f aca="false">(M83-M84)/M84</f>
        <v>0.263157894736842</v>
      </c>
      <c r="N86" s="476" t="n">
        <f aca="false">(N83-N84)/N84</f>
        <v>0.25585355470413</v>
      </c>
      <c r="O86" s="476" t="n">
        <f aca="false">(O83-O84)/O84</f>
        <v>0.248385708136031</v>
      </c>
      <c r="P86" s="476" t="n">
        <f aca="false">(P83-P84)/P84</f>
        <v>0.226187869498577</v>
      </c>
      <c r="Q86" s="476" t="n">
        <f aca="false">(Q83-Q84)/Q84</f>
        <v>0.25</v>
      </c>
      <c r="R86" s="476" t="n">
        <f aca="false">(R83-R84)/R84</f>
        <v>0.367088607594937</v>
      </c>
      <c r="S86" s="476" t="n">
        <f aca="false">(S83-S84)/S84</f>
        <v>0.356539544407474</v>
      </c>
      <c r="T86" s="476" t="n">
        <f aca="false">(T83-T84)/T84</f>
        <v>0.345755693581781</v>
      </c>
      <c r="U86" s="476" t="n">
        <f aca="false">(U83-U84)/U84</f>
        <v>0.334729128500393</v>
      </c>
      <c r="V86" s="476" t="n">
        <f aca="false">(V83-V84)/V84</f>
        <v>0.296639322572109</v>
      </c>
      <c r="W86" s="475"/>
      <c r="X86" s="475"/>
      <c r="Y86" s="475"/>
      <c r="Z86" s="475"/>
      <c r="AA86" s="477"/>
    </row>
  </sheetData>
  <printOptions headings="false" gridLines="false" gridLinesSet="true" horizontalCentered="false" verticalCentered="false"/>
  <pageMargins left="0.5" right="0.5" top="0.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Z71"/>
  <sheetViews>
    <sheetView showFormulas="false" showGridLines="true" showRowColHeaders="true" showZeros="true" rightToLeft="false" tabSelected="false" showOutlineSymbols="true" defaultGridColor="true" view="normal" topLeftCell="A4" colorId="64" zoomScale="75" zoomScaleNormal="75" zoomScalePageLayoutView="100" workbookViewId="0">
      <selection pane="topLeft" activeCell="A17" activeCellId="0" sqref="A17"/>
    </sheetView>
  </sheetViews>
  <sheetFormatPr defaultColWidth="9.0546875" defaultRowHeight="12.75" customHeight="true" zeroHeight="false" outlineLevelRow="0" outlineLevelCol="0"/>
  <cols>
    <col collapsed="false" customWidth="true" hidden="false" outlineLevel="0" max="1" min="1" style="6" width="18.7"/>
    <col collapsed="false" customWidth="true" hidden="false" outlineLevel="0" max="2" min="2" style="6" width="15.85"/>
    <col collapsed="false" customWidth="true" hidden="false" outlineLevel="0" max="3" min="3" style="6" width="10.41"/>
    <col collapsed="false" customWidth="true" hidden="false" outlineLevel="0" max="30" min="4" style="6" width="9.14"/>
  </cols>
  <sheetData>
    <row r="1" customFormat="false" ht="20.25" hidden="false" customHeight="false" outlineLevel="0" collapsed="false">
      <c r="A1" s="367" t="str">
        <f aca="false">'Project Assumtions'!$A$2</f>
        <v>WHEATLAND POWER IN, L.L.C.</v>
      </c>
      <c r="B1" s="478"/>
      <c r="C1" s="478"/>
      <c r="D1" s="368"/>
    </row>
    <row r="2" customFormat="false" ht="12.75" hidden="false" customHeight="false" outlineLevel="0" collapsed="false">
      <c r="A2" s="370" t="s">
        <v>258</v>
      </c>
      <c r="B2" s="479"/>
      <c r="C2" s="479"/>
      <c r="D2" s="371"/>
    </row>
    <row r="3" customFormat="false" ht="12.6" hidden="false" customHeight="true" outlineLevel="0" collapsed="false">
      <c r="A3" s="480"/>
      <c r="C3" s="481" t="n">
        <f aca="false">'Book Income Statement'!D3</f>
        <v>1</v>
      </c>
      <c r="D3" s="481" t="n">
        <f aca="false">'Book Income Statement'!E3</f>
        <v>2</v>
      </c>
      <c r="E3" s="481" t="n">
        <f aca="false">'Book Income Statement'!F3</f>
        <v>3</v>
      </c>
      <c r="F3" s="481" t="n">
        <f aca="false">'Book Income Statement'!G3</f>
        <v>4</v>
      </c>
      <c r="G3" s="481" t="n">
        <f aca="false">'Book Income Statement'!H3</f>
        <v>5</v>
      </c>
      <c r="H3" s="481" t="n">
        <f aca="false">'Book Income Statement'!I3</f>
        <v>6</v>
      </c>
      <c r="I3" s="482" t="n">
        <f aca="false">'Book Income Statement'!J3</f>
        <v>7</v>
      </c>
      <c r="J3" s="481" t="n">
        <f aca="false">'Book Income Statement'!K3</f>
        <v>8</v>
      </c>
      <c r="K3" s="481" t="n">
        <f aca="false">'Book Income Statement'!L3</f>
        <v>9</v>
      </c>
      <c r="L3" s="481" t="n">
        <f aca="false">'Book Income Statement'!M3</f>
        <v>10</v>
      </c>
      <c r="M3" s="481" t="n">
        <f aca="false">'Book Income Statement'!N3</f>
        <v>11</v>
      </c>
      <c r="N3" s="481" t="n">
        <f aca="false">'Book Income Statement'!O3</f>
        <v>12</v>
      </c>
      <c r="O3" s="482" t="n">
        <f aca="false">'Book Income Statement'!P3</f>
        <v>13</v>
      </c>
      <c r="P3" s="481" t="n">
        <f aca="false">'Book Income Statement'!Q3</f>
        <v>14</v>
      </c>
      <c r="Q3" s="481" t="n">
        <f aca="false">'Book Income Statement'!R3</f>
        <v>15</v>
      </c>
      <c r="R3" s="481" t="n">
        <f aca="false">'Book Income Statement'!S3</f>
        <v>16</v>
      </c>
      <c r="S3" s="481" t="n">
        <f aca="false">'Book Income Statement'!T3</f>
        <v>17</v>
      </c>
      <c r="T3" s="481" t="n">
        <f aca="false">'Book Income Statement'!U3</f>
        <v>18</v>
      </c>
      <c r="U3" s="482" t="n">
        <f aca="false">'Book Income Statement'!V3</f>
        <v>19</v>
      </c>
      <c r="V3" s="481" t="n">
        <f aca="false">'Book Income Statement'!W3</f>
        <v>20</v>
      </c>
      <c r="W3" s="481" t="n">
        <f aca="false">'Book Income Statement'!X3</f>
        <v>21</v>
      </c>
      <c r="X3" s="481"/>
      <c r="Y3" s="481"/>
      <c r="Z3" s="481"/>
      <c r="AA3" s="482"/>
      <c r="AB3" s="481"/>
      <c r="AC3" s="483"/>
    </row>
    <row r="4" customFormat="false" ht="12.6" hidden="false" customHeight="true" outlineLevel="0" collapsed="false">
      <c r="A4" s="484"/>
      <c r="B4" s="485"/>
      <c r="C4" s="375" t="n">
        <f aca="false">'Book Income Statement'!D4</f>
        <v>2000</v>
      </c>
      <c r="D4" s="375" t="n">
        <f aca="false">'Book Income Statement'!E4</f>
        <v>2001</v>
      </c>
      <c r="E4" s="375" t="n">
        <f aca="false">'Book Income Statement'!F4</f>
        <v>2002</v>
      </c>
      <c r="F4" s="375" t="n">
        <f aca="false">'Book Income Statement'!G4</f>
        <v>2003</v>
      </c>
      <c r="G4" s="375" t="n">
        <f aca="false">'Book Income Statement'!H4</f>
        <v>2004</v>
      </c>
      <c r="H4" s="375" t="n">
        <f aca="false">'Book Income Statement'!I4</f>
        <v>2005</v>
      </c>
      <c r="I4" s="375" t="n">
        <f aca="false">'Book Income Statement'!J4</f>
        <v>2006</v>
      </c>
      <c r="J4" s="375" t="n">
        <f aca="false">'Book Income Statement'!K4</f>
        <v>2007</v>
      </c>
      <c r="K4" s="375" t="n">
        <f aca="false">'Book Income Statement'!L4</f>
        <v>2008</v>
      </c>
      <c r="L4" s="375" t="n">
        <f aca="false">'Book Income Statement'!M4</f>
        <v>2009</v>
      </c>
      <c r="M4" s="375" t="n">
        <f aca="false">'Book Income Statement'!N4</f>
        <v>2010</v>
      </c>
      <c r="N4" s="375" t="n">
        <f aca="false">'Book Income Statement'!O4</f>
        <v>2011</v>
      </c>
      <c r="O4" s="375" t="n">
        <f aca="false">'Book Income Statement'!P4</f>
        <v>2012</v>
      </c>
      <c r="P4" s="375" t="n">
        <f aca="false">'Book Income Statement'!Q4</f>
        <v>2013</v>
      </c>
      <c r="Q4" s="375" t="n">
        <f aca="false">'Book Income Statement'!R4</f>
        <v>2014</v>
      </c>
      <c r="R4" s="375" t="n">
        <f aca="false">'Book Income Statement'!S4</f>
        <v>2015</v>
      </c>
      <c r="S4" s="375" t="n">
        <f aca="false">'Book Income Statement'!T4</f>
        <v>2016</v>
      </c>
      <c r="T4" s="375" t="n">
        <f aca="false">'Book Income Statement'!U4</f>
        <v>2017</v>
      </c>
      <c r="U4" s="375" t="n">
        <f aca="false">'Book Income Statement'!V4</f>
        <v>2018</v>
      </c>
      <c r="V4" s="375" t="n">
        <f aca="false">'Book Income Statement'!W4</f>
        <v>2019</v>
      </c>
      <c r="W4" s="376" t="n">
        <f aca="false">'Book Income Statement'!X4</f>
        <v>2020</v>
      </c>
      <c r="X4" s="390"/>
      <c r="Y4" s="390"/>
      <c r="Z4" s="390"/>
      <c r="AA4" s="390"/>
      <c r="AB4" s="390"/>
      <c r="AC4" s="390"/>
      <c r="AE4" s="486"/>
      <c r="AF4" s="486"/>
      <c r="AG4" s="486"/>
      <c r="AH4" s="486"/>
      <c r="AI4" s="486"/>
      <c r="AJ4" s="486"/>
      <c r="AK4" s="486"/>
      <c r="AL4" s="486"/>
      <c r="AM4" s="486"/>
      <c r="AN4" s="486"/>
      <c r="AO4" s="486"/>
      <c r="AP4" s="486"/>
      <c r="AQ4" s="486"/>
      <c r="AR4" s="486"/>
      <c r="AS4" s="486"/>
      <c r="AT4" s="486"/>
      <c r="AU4" s="486"/>
      <c r="AV4" s="486"/>
      <c r="AW4" s="486"/>
      <c r="AX4" s="486"/>
      <c r="AY4" s="486"/>
      <c r="AZ4" s="486"/>
    </row>
    <row r="5" customFormat="false" ht="15.75" hidden="false" customHeight="false" outlineLevel="0" collapsed="false">
      <c r="A5" s="407" t="s">
        <v>407</v>
      </c>
      <c r="B5" s="428"/>
      <c r="C5" s="428"/>
      <c r="D5" s="428"/>
      <c r="E5" s="428"/>
      <c r="F5" s="428"/>
      <c r="G5" s="428"/>
      <c r="H5" s="428"/>
      <c r="I5" s="428"/>
      <c r="J5" s="428"/>
      <c r="K5" s="428"/>
      <c r="L5" s="428"/>
      <c r="M5" s="428"/>
      <c r="N5" s="428"/>
      <c r="O5" s="428"/>
      <c r="P5" s="428"/>
      <c r="Q5" s="428"/>
      <c r="R5" s="428"/>
      <c r="S5" s="428"/>
      <c r="T5" s="428"/>
      <c r="U5" s="428"/>
      <c r="V5" s="428"/>
      <c r="W5" s="429"/>
      <c r="X5" s="428"/>
      <c r="Y5" s="428"/>
      <c r="Z5" s="428"/>
      <c r="AA5" s="428"/>
      <c r="AB5" s="378"/>
      <c r="AC5" s="378"/>
      <c r="AD5" s="378"/>
    </row>
    <row r="6" customFormat="false" ht="12.6" hidden="false" customHeight="true" outlineLevel="0" collapsed="false">
      <c r="A6" s="409" t="s">
        <v>408</v>
      </c>
      <c r="B6" s="481"/>
      <c r="C6" s="487" t="n">
        <v>0</v>
      </c>
      <c r="D6" s="487" t="n">
        <v>0</v>
      </c>
      <c r="E6" s="487" t="n">
        <v>0</v>
      </c>
      <c r="F6" s="487" t="n">
        <v>0</v>
      </c>
      <c r="G6" s="487" t="n">
        <v>0</v>
      </c>
      <c r="H6" s="487" t="n">
        <v>0</v>
      </c>
      <c r="I6" s="487" t="n">
        <v>0</v>
      </c>
      <c r="J6" s="487" t="n">
        <v>0</v>
      </c>
      <c r="K6" s="487" t="n">
        <v>0</v>
      </c>
      <c r="L6" s="487" t="n">
        <v>0</v>
      </c>
      <c r="M6" s="487" t="n">
        <v>0</v>
      </c>
      <c r="N6" s="487" t="n">
        <v>0</v>
      </c>
      <c r="O6" s="487" t="n">
        <v>0</v>
      </c>
      <c r="P6" s="487" t="n">
        <v>0</v>
      </c>
      <c r="Q6" s="487" t="n">
        <v>0</v>
      </c>
      <c r="R6" s="487" t="n">
        <v>0</v>
      </c>
      <c r="S6" s="487" t="n">
        <v>0</v>
      </c>
      <c r="T6" s="487" t="n">
        <v>0</v>
      </c>
      <c r="U6" s="487" t="n">
        <v>0</v>
      </c>
      <c r="V6" s="487" t="n">
        <v>0</v>
      </c>
      <c r="W6" s="488" t="n">
        <v>0</v>
      </c>
      <c r="X6" s="487"/>
      <c r="Y6" s="487"/>
      <c r="Z6" s="487"/>
      <c r="AA6" s="487"/>
      <c r="AB6" s="481"/>
      <c r="AC6" s="481"/>
      <c r="AD6" s="481"/>
    </row>
    <row r="7" customFormat="false" ht="12.6" hidden="false" customHeight="true" outlineLevel="0" collapsed="false">
      <c r="A7" s="409" t="s">
        <v>409</v>
      </c>
      <c r="B7" s="481"/>
      <c r="C7" s="487" t="n">
        <v>0</v>
      </c>
      <c r="D7" s="487" t="n">
        <v>0</v>
      </c>
      <c r="E7" s="487" t="n">
        <v>0</v>
      </c>
      <c r="F7" s="487" t="n">
        <v>0</v>
      </c>
      <c r="G7" s="487" t="n">
        <v>0</v>
      </c>
      <c r="H7" s="487" t="n">
        <v>0</v>
      </c>
      <c r="I7" s="487" t="n">
        <v>0</v>
      </c>
      <c r="J7" s="487" t="n">
        <v>0</v>
      </c>
      <c r="K7" s="487" t="n">
        <v>0</v>
      </c>
      <c r="L7" s="487" t="n">
        <v>0</v>
      </c>
      <c r="M7" s="487" t="n">
        <v>0</v>
      </c>
      <c r="N7" s="487" t="n">
        <v>0</v>
      </c>
      <c r="O7" s="487" t="n">
        <v>0</v>
      </c>
      <c r="P7" s="487" t="n">
        <v>0</v>
      </c>
      <c r="Q7" s="487" t="n">
        <v>0</v>
      </c>
      <c r="R7" s="487" t="n">
        <v>0</v>
      </c>
      <c r="S7" s="487" t="n">
        <v>0</v>
      </c>
      <c r="T7" s="487" t="n">
        <v>0</v>
      </c>
      <c r="U7" s="487" t="n">
        <v>0</v>
      </c>
      <c r="V7" s="487" t="n">
        <v>0</v>
      </c>
      <c r="W7" s="488" t="n">
        <v>0</v>
      </c>
      <c r="X7" s="487"/>
      <c r="Y7" s="487"/>
      <c r="Z7" s="487"/>
      <c r="AA7" s="487"/>
      <c r="AB7" s="481"/>
      <c r="AC7" s="481"/>
      <c r="AD7" s="481"/>
    </row>
    <row r="8" customFormat="false" ht="12.6" hidden="false" customHeight="true" outlineLevel="0" collapsed="false">
      <c r="A8" s="409" t="s">
        <v>410</v>
      </c>
      <c r="B8" s="481"/>
      <c r="C8" s="410" t="n">
        <f aca="false">'Project Assumtions'!$I$10*(1-C6)</f>
        <v>470</v>
      </c>
      <c r="D8" s="410" t="n">
        <f aca="false">'Project Assumtions'!$I$10*(1-D6)*'PPA Assumptions &amp;Summary'!D6/12</f>
        <v>470</v>
      </c>
      <c r="E8" s="410" t="n">
        <f aca="false">'Project Assumtions'!$I$10*(1-E6)*'PPA Assumptions &amp;Summary'!E6/12</f>
        <v>470</v>
      </c>
      <c r="F8" s="410" t="n">
        <f aca="false">'Project Assumtions'!$I$10*(1-F6)*'PPA Assumptions &amp;Summary'!F6/12</f>
        <v>195.833333333333</v>
      </c>
      <c r="G8" s="410" t="n">
        <f aca="false">'Project Assumtions'!$I$10*(1-G6)*'PPA Assumptions &amp;Summary'!G6/12</f>
        <v>0</v>
      </c>
      <c r="H8" s="410" t="n">
        <f aca="false">'Project Assumtions'!$I$10*(1-H6)*'PPA Assumptions &amp;Summary'!H6/12</f>
        <v>0</v>
      </c>
      <c r="I8" s="410" t="n">
        <f aca="false">'Project Assumtions'!$I$10*(1-I6)*'PPA Assumptions &amp;Summary'!I6/12</f>
        <v>0</v>
      </c>
      <c r="J8" s="410" t="n">
        <f aca="false">'Project Assumtions'!$I$10*(1-J6)*'PPA Assumptions &amp;Summary'!J6/12</f>
        <v>0</v>
      </c>
      <c r="K8" s="410" t="n">
        <f aca="false">'Project Assumtions'!$I$10*(1-K6)*'PPA Assumptions &amp;Summary'!K6/12</f>
        <v>0</v>
      </c>
      <c r="L8" s="410" t="n">
        <f aca="false">'Project Assumtions'!$I$10*(1-L6)*'PPA Assumptions &amp;Summary'!L6/12</f>
        <v>0</v>
      </c>
      <c r="M8" s="410" t="n">
        <f aca="false">'Project Assumtions'!$I$10*(1-M6)*'PPA Assumptions &amp;Summary'!M6/12</f>
        <v>0</v>
      </c>
      <c r="N8" s="410" t="n">
        <f aca="false">'Project Assumtions'!$I$10*(1-N6)*'PPA Assumptions &amp;Summary'!N6/12</f>
        <v>0</v>
      </c>
      <c r="O8" s="410" t="n">
        <f aca="false">'Project Assumtions'!$I$10*(1-O6)*'PPA Assumptions &amp;Summary'!O6/12</f>
        <v>0</v>
      </c>
      <c r="P8" s="410" t="n">
        <f aca="false">'Project Assumtions'!$I$10*(1-P6)*'PPA Assumptions &amp;Summary'!P6/12</f>
        <v>0</v>
      </c>
      <c r="Q8" s="410" t="n">
        <f aca="false">'Project Assumtions'!$I$10*(1-Q6)*'PPA Assumptions &amp;Summary'!Q6/12</f>
        <v>0</v>
      </c>
      <c r="R8" s="410" t="n">
        <f aca="false">'Project Assumtions'!$I$10*(1-R6)*'PPA Assumptions &amp;Summary'!R6/12</f>
        <v>0</v>
      </c>
      <c r="S8" s="410" t="n">
        <f aca="false">'Project Assumtions'!$I$10*(1-S6)*'PPA Assumptions &amp;Summary'!S6/12</f>
        <v>0</v>
      </c>
      <c r="T8" s="410" t="n">
        <f aca="false">'Project Assumtions'!$I$10*(1-T6)*'PPA Assumptions &amp;Summary'!T6/12</f>
        <v>0</v>
      </c>
      <c r="U8" s="410" t="n">
        <f aca="false">'Project Assumtions'!$I$10*(1-U6)*'PPA Assumptions &amp;Summary'!U6/12</f>
        <v>0</v>
      </c>
      <c r="V8" s="410" t="n">
        <f aca="false">'Project Assumtions'!$I$10*(1-V6)*'PPA Assumptions &amp;Summary'!V6/12</f>
        <v>0</v>
      </c>
      <c r="W8" s="489" t="n">
        <f aca="false">'Project Assumtions'!$I$10*(1-W6)*'PPA Assumptions &amp;Summary'!W6/12</f>
        <v>0</v>
      </c>
      <c r="X8" s="410"/>
      <c r="Y8" s="410"/>
      <c r="Z8" s="410"/>
      <c r="AA8" s="410"/>
      <c r="AB8" s="481"/>
      <c r="AC8" s="481"/>
      <c r="AD8" s="481"/>
    </row>
    <row r="9" customFormat="false" ht="12.6" hidden="false" customHeight="true" outlineLevel="0" collapsed="false">
      <c r="A9" s="409"/>
      <c r="B9" s="481"/>
      <c r="C9" s="410"/>
      <c r="D9" s="410"/>
      <c r="E9" s="410"/>
      <c r="F9" s="410"/>
      <c r="G9" s="410"/>
      <c r="H9" s="410"/>
      <c r="I9" s="410"/>
      <c r="J9" s="410"/>
      <c r="K9" s="410"/>
      <c r="L9" s="410"/>
      <c r="M9" s="410"/>
      <c r="N9" s="410"/>
      <c r="O9" s="410"/>
      <c r="P9" s="410"/>
      <c r="Q9" s="410"/>
      <c r="R9" s="410"/>
      <c r="S9" s="410"/>
      <c r="T9" s="410"/>
      <c r="U9" s="410"/>
      <c r="V9" s="410"/>
      <c r="W9" s="489"/>
      <c r="X9" s="410"/>
      <c r="Y9" s="410"/>
      <c r="Z9" s="410"/>
      <c r="AA9" s="410"/>
      <c r="AB9" s="481"/>
      <c r="AC9" s="481"/>
      <c r="AD9" s="481"/>
    </row>
    <row r="10" customFormat="false" ht="12.6" hidden="false" customHeight="true" outlineLevel="0" collapsed="false">
      <c r="A10" s="409" t="s">
        <v>411</v>
      </c>
      <c r="B10" s="481"/>
      <c r="C10" s="410" t="n">
        <f aca="false">IF(C3&gt;ProjectLife+1,0,C8)</f>
        <v>470</v>
      </c>
      <c r="D10" s="410" t="n">
        <f aca="false">IF(D3&gt;ProjectLife+1,0,D8)</f>
        <v>470</v>
      </c>
      <c r="E10" s="410" t="n">
        <f aca="false">IF(E3&gt;ProjectLife+1,0,E8)</f>
        <v>470</v>
      </c>
      <c r="F10" s="410" t="n">
        <f aca="false">IF(F3&gt;ProjectLife+1,0,F8)</f>
        <v>195.833333333333</v>
      </c>
      <c r="G10" s="410" t="n">
        <f aca="false">IF(G3&gt;ProjectLife+1,0,G8)</f>
        <v>0</v>
      </c>
      <c r="H10" s="410" t="n">
        <f aca="false">IF(H3&gt;ProjectLife+1,0,H8)</f>
        <v>0</v>
      </c>
      <c r="I10" s="410" t="n">
        <f aca="false">IF(I3&gt;ProjectLife+1,0,I8)</f>
        <v>0</v>
      </c>
      <c r="J10" s="410" t="n">
        <f aca="false">IF(J3&gt;ProjectLife+1,0,J8)</f>
        <v>0</v>
      </c>
      <c r="K10" s="410" t="n">
        <f aca="false">IF(K3&gt;ProjectLife+1,0,K8)</f>
        <v>0</v>
      </c>
      <c r="L10" s="410" t="n">
        <f aca="false">IF(L3&gt;ProjectLife+1,0,L8)</f>
        <v>0</v>
      </c>
      <c r="M10" s="410" t="n">
        <f aca="false">IF(M3&gt;ProjectLife+1,0,M8)</f>
        <v>0</v>
      </c>
      <c r="N10" s="410" t="n">
        <f aca="false">IF(N3&gt;ProjectLife+1,0,N8)</f>
        <v>0</v>
      </c>
      <c r="O10" s="410" t="n">
        <f aca="false">IF(O3&gt;ProjectLife+1,0,O8)</f>
        <v>0</v>
      </c>
      <c r="P10" s="410" t="n">
        <f aca="false">IF(P3&gt;ProjectLife+1,0,P8)</f>
        <v>0</v>
      </c>
      <c r="Q10" s="410" t="n">
        <f aca="false">IF(Q3&gt;ProjectLife+1,0,Q8)</f>
        <v>0</v>
      </c>
      <c r="R10" s="410" t="n">
        <f aca="false">IF(R3&gt;ProjectLife+1,0,R8)</f>
        <v>0</v>
      </c>
      <c r="S10" s="410" t="n">
        <f aca="false">IF(S3&gt;ProjectLife+1,0,S8)</f>
        <v>0</v>
      </c>
      <c r="T10" s="410" t="n">
        <f aca="false">IF(T3&gt;ProjectLife+1,0,T8)</f>
        <v>0</v>
      </c>
      <c r="U10" s="410" t="n">
        <f aca="false">IF(U3&gt;ProjectLife+1,0,U8)</f>
        <v>0</v>
      </c>
      <c r="V10" s="410" t="n">
        <f aca="false">IF(V3&gt;ProjectLife+1,0,V8)</f>
        <v>0</v>
      </c>
      <c r="W10" s="489" t="n">
        <f aca="false">IF(W3&gt;ProjectLife+1,0,W8)</f>
        <v>0</v>
      </c>
      <c r="X10" s="410"/>
      <c r="Y10" s="410"/>
      <c r="Z10" s="410"/>
      <c r="AA10" s="410"/>
      <c r="AB10" s="481"/>
      <c r="AC10" s="481"/>
      <c r="AD10" s="481"/>
    </row>
    <row r="11" customFormat="false" ht="12.6" hidden="false" customHeight="true" outlineLevel="0" collapsed="false">
      <c r="A11" s="409" t="s">
        <v>412</v>
      </c>
      <c r="B11" s="481"/>
      <c r="C11" s="438" t="n">
        <f aca="false">IF(C3&gt;'Project Assumtions'!$I$15+1,0,'Project Assumtions'!$G$14)</f>
        <v>1200</v>
      </c>
      <c r="D11" s="438" t="n">
        <f aca="false">IF(D3&gt;'Project Assumtions'!$I$15+1,0,'Project Assumtions'!$G$14)</f>
        <v>1200</v>
      </c>
      <c r="E11" s="438" t="n">
        <f aca="false">IF(E3&gt;'Project Assumtions'!$I$15+1,0,'Project Assumtions'!$G$14)</f>
        <v>1200</v>
      </c>
      <c r="F11" s="438" t="n">
        <f aca="false">IF(F3&gt;'Project Assumtions'!$I$15+1,0,'Project Assumtions'!$G$14)</f>
        <v>1200</v>
      </c>
      <c r="G11" s="438" t="n">
        <f aca="false">IF(G3&gt;'Project Assumtions'!$I$15+1,0,'Project Assumtions'!$G$14)</f>
        <v>1200</v>
      </c>
      <c r="H11" s="438" t="n">
        <f aca="false">IF(H3&gt;'Project Assumtions'!$I$15+1,0,'Project Assumtions'!$G$14)</f>
        <v>1200</v>
      </c>
      <c r="I11" s="438" t="n">
        <f aca="false">IF(I3&gt;'Project Assumtions'!$I$15+1,0,'Project Assumtions'!$G$14)</f>
        <v>1200</v>
      </c>
      <c r="J11" s="438" t="n">
        <f aca="false">IF(J3&gt;'Project Assumtions'!$I$15+1,0,'Project Assumtions'!$G$14)</f>
        <v>1200</v>
      </c>
      <c r="K11" s="438" t="n">
        <f aca="false">IF(K3&gt;'Project Assumtions'!$I$15+1,0,'Project Assumtions'!$G$14)</f>
        <v>1200</v>
      </c>
      <c r="L11" s="438" t="n">
        <f aca="false">IF(L3&gt;'Project Assumtions'!$I$15+1,0,'Project Assumtions'!$G$14)</f>
        <v>1200</v>
      </c>
      <c r="M11" s="438" t="n">
        <f aca="false">IF(M3&gt;'Project Assumtions'!$I$15+1,0,'Project Assumtions'!$G$14)</f>
        <v>1200</v>
      </c>
      <c r="N11" s="438" t="n">
        <f aca="false">IF(N3&gt;'Project Assumtions'!$I$15+1,0,'Project Assumtions'!$G$14)</f>
        <v>1200</v>
      </c>
      <c r="O11" s="438" t="n">
        <f aca="false">IF(O3&gt;'Project Assumtions'!$I$15+1,0,'Project Assumtions'!$G$14)</f>
        <v>1200</v>
      </c>
      <c r="P11" s="438" t="n">
        <f aca="false">IF(P3&gt;'Project Assumtions'!$I$15+1,0,'Project Assumtions'!$G$14)</f>
        <v>1200</v>
      </c>
      <c r="Q11" s="438" t="n">
        <f aca="false">IF(Q3&gt;'Project Assumtions'!$I$15+1,0,'Project Assumtions'!$G$14)</f>
        <v>1200</v>
      </c>
      <c r="R11" s="438" t="n">
        <f aca="false">IF(R3&gt;'Project Assumtions'!$I$15+1,0,'Project Assumtions'!$G$14)</f>
        <v>1200</v>
      </c>
      <c r="S11" s="438" t="n">
        <f aca="false">IF(S3&gt;'Project Assumtions'!$I$15+1,0,'Project Assumtions'!$G$14)</f>
        <v>1200</v>
      </c>
      <c r="T11" s="438" t="n">
        <f aca="false">IF(T3&gt;'Project Assumtions'!$I$15+1,0,'Project Assumtions'!$G$14)</f>
        <v>1200</v>
      </c>
      <c r="U11" s="438" t="n">
        <f aca="false">IF(U3&gt;'Project Assumtions'!$I$15+1,0,'Project Assumtions'!$G$14)</f>
        <v>1200</v>
      </c>
      <c r="V11" s="438" t="n">
        <f aca="false">IF(V3&gt;'Project Assumtions'!$I$15+1,0,'Project Assumtions'!$G$14)</f>
        <v>1200</v>
      </c>
      <c r="W11" s="439" t="n">
        <f aca="false">IF(W3&gt;'Project Assumtions'!$I$15+1,0,'Project Assumtions'!$G$14)</f>
        <v>1200</v>
      </c>
      <c r="X11" s="438"/>
      <c r="Y11" s="438"/>
      <c r="Z11" s="438"/>
      <c r="AA11" s="438"/>
      <c r="AB11" s="481"/>
      <c r="AC11" s="481"/>
      <c r="AD11" s="481"/>
    </row>
    <row r="12" customFormat="false" ht="12.6" hidden="false" customHeight="true" outlineLevel="0" collapsed="false">
      <c r="A12" s="418" t="s">
        <v>413</v>
      </c>
      <c r="B12" s="490"/>
      <c r="C12" s="491" t="n">
        <f aca="false">IF(C3&gt;'Project Assumtions'!$I$15+1,0,C11*C10*'PPA Assumptions &amp;Summary'!C5/12)</f>
        <v>329000</v>
      </c>
      <c r="D12" s="491" t="n">
        <f aca="false">IF(D3&gt;'Project Assumtions'!$I$15+1,0,D11*D10*'PPA Assumptions &amp;Summary'!D5/12)</f>
        <v>564000</v>
      </c>
      <c r="E12" s="491" t="n">
        <f aca="false">IF(E3&gt;'Project Assumtions'!$I$15+1,0,E11*E10*'PPA Assumptions &amp;Summary'!E5/12)</f>
        <v>564000</v>
      </c>
      <c r="F12" s="491" t="n">
        <f aca="false">IF(F3&gt;'Project Assumtions'!$I$15+1,0,F11*F10*'PPA Assumptions &amp;Summary'!F5/12)</f>
        <v>235000</v>
      </c>
      <c r="G12" s="491" t="n">
        <f aca="false">IF(G3&gt;'Project Assumtions'!$I$15+1,0,G11*G10*'PPA Assumptions &amp;Summary'!G5/12)</f>
        <v>0</v>
      </c>
      <c r="H12" s="491" t="n">
        <f aca="false">IF(H3&gt;'Project Assumtions'!$I$15+1,0,H11*H10*'PPA Assumptions &amp;Summary'!H5/12)</f>
        <v>0</v>
      </c>
      <c r="I12" s="491" t="n">
        <f aca="false">IF(I3&gt;'Project Assumtions'!$I$15+1,0,I11*I10*'PPA Assumptions &amp;Summary'!I5/12)</f>
        <v>0</v>
      </c>
      <c r="J12" s="491" t="n">
        <f aca="false">IF(J3&gt;'Project Assumtions'!$I$15+1,0,J11*J10*'PPA Assumptions &amp;Summary'!J5/12)</f>
        <v>0</v>
      </c>
      <c r="K12" s="491" t="n">
        <f aca="false">IF(K3&gt;'Project Assumtions'!$I$15+1,0,K11*K10*'PPA Assumptions &amp;Summary'!K5/12)</f>
        <v>0</v>
      </c>
      <c r="L12" s="491" t="n">
        <f aca="false">IF(L3&gt;'Project Assumtions'!$I$15+1,0,L11*L10*'PPA Assumptions &amp;Summary'!L5/12)</f>
        <v>0</v>
      </c>
      <c r="M12" s="491" t="n">
        <f aca="false">IF(M3&gt;'Project Assumtions'!$I$15+1,0,M11*M10*'PPA Assumptions &amp;Summary'!M5/12)</f>
        <v>0</v>
      </c>
      <c r="N12" s="491" t="n">
        <f aca="false">IF(N3&gt;'Project Assumtions'!$I$15+1,0,N11*N10*'PPA Assumptions &amp;Summary'!N5/12)</f>
        <v>0</v>
      </c>
      <c r="O12" s="491" t="n">
        <f aca="false">IF(O3&gt;'Project Assumtions'!$I$15+1,0,O11*O10*'PPA Assumptions &amp;Summary'!O5/12)</f>
        <v>0</v>
      </c>
      <c r="P12" s="491" t="n">
        <f aca="false">IF(P3&gt;'Project Assumtions'!$I$15+1,0,P11*P10*'PPA Assumptions &amp;Summary'!P5/12)</f>
        <v>0</v>
      </c>
      <c r="Q12" s="491" t="n">
        <f aca="false">IF(Q3&gt;'Project Assumtions'!$I$15+1,0,Q11*Q10*'PPA Assumptions &amp;Summary'!Q5/12)</f>
        <v>0</v>
      </c>
      <c r="R12" s="491" t="n">
        <f aca="false">IF(R3&gt;'Project Assumtions'!$I$15+1,0,R11*R10*'PPA Assumptions &amp;Summary'!R5/12)</f>
        <v>0</v>
      </c>
      <c r="S12" s="491" t="n">
        <f aca="false">IF(S3&gt;'Project Assumtions'!$I$15+1,0,S11*S10*'PPA Assumptions &amp;Summary'!S5/12)</f>
        <v>0</v>
      </c>
      <c r="T12" s="491" t="n">
        <f aca="false">IF(T3&gt;'Project Assumtions'!$I$15+1,0,T11*T10*'PPA Assumptions &amp;Summary'!T5/12)</f>
        <v>0</v>
      </c>
      <c r="U12" s="491" t="n">
        <f aca="false">IF(U3&gt;'Project Assumtions'!$I$15+1,0,U11*U10*'PPA Assumptions &amp;Summary'!U5/12)</f>
        <v>0</v>
      </c>
      <c r="V12" s="491" t="n">
        <f aca="false">IF(V3&gt;'Project Assumtions'!$I$15+1,0,V11*V10*'PPA Assumptions &amp;Summary'!V5/12)</f>
        <v>0</v>
      </c>
      <c r="W12" s="492" t="n">
        <f aca="false">IF(W3&gt;'Project Assumtions'!$I$15+1,0,W11*W10*'PPA Assumptions &amp;Summary'!W5/12)</f>
        <v>0</v>
      </c>
      <c r="X12" s="434"/>
      <c r="Y12" s="434"/>
      <c r="Z12" s="434"/>
      <c r="AA12" s="434"/>
      <c r="AB12" s="481"/>
      <c r="AC12" s="481"/>
      <c r="AD12" s="481"/>
    </row>
    <row r="13" customFormat="false" ht="12.6" hidden="false" customHeight="true" outlineLevel="0" collapsed="false">
      <c r="A13" s="422"/>
      <c r="B13" s="481"/>
      <c r="C13" s="434"/>
      <c r="D13" s="434"/>
      <c r="E13" s="434"/>
      <c r="F13" s="434"/>
      <c r="G13" s="434"/>
      <c r="H13" s="434"/>
      <c r="I13" s="434"/>
      <c r="J13" s="434"/>
      <c r="K13" s="434"/>
      <c r="L13" s="434"/>
      <c r="M13" s="434"/>
      <c r="N13" s="434"/>
      <c r="O13" s="434"/>
      <c r="P13" s="434"/>
      <c r="Q13" s="434"/>
      <c r="R13" s="434"/>
      <c r="S13" s="434"/>
      <c r="T13" s="434"/>
      <c r="U13" s="434"/>
      <c r="V13" s="434"/>
      <c r="W13" s="434"/>
      <c r="X13" s="434"/>
      <c r="Y13" s="434"/>
      <c r="Z13" s="434"/>
      <c r="AA13" s="434"/>
      <c r="AB13" s="481"/>
      <c r="AC13" s="481"/>
      <c r="AD13" s="481"/>
    </row>
    <row r="14" customFormat="false" ht="12.6" hidden="false" customHeight="true" outlineLevel="0" collapsed="false">
      <c r="A14" s="407" t="s">
        <v>414</v>
      </c>
      <c r="B14" s="428"/>
      <c r="C14" s="428"/>
      <c r="D14" s="428"/>
      <c r="E14" s="428"/>
      <c r="F14" s="428"/>
      <c r="G14" s="428"/>
      <c r="H14" s="428"/>
      <c r="I14" s="428"/>
      <c r="J14" s="428"/>
      <c r="K14" s="428"/>
      <c r="L14" s="428"/>
      <c r="M14" s="428"/>
      <c r="N14" s="428"/>
      <c r="O14" s="428"/>
      <c r="P14" s="428"/>
      <c r="Q14" s="428"/>
      <c r="R14" s="428"/>
      <c r="S14" s="428"/>
      <c r="T14" s="428"/>
      <c r="U14" s="428"/>
      <c r="V14" s="428"/>
      <c r="W14" s="429"/>
      <c r="X14" s="434"/>
      <c r="Y14" s="434"/>
      <c r="Z14" s="434"/>
      <c r="AA14" s="434"/>
      <c r="AB14" s="481"/>
      <c r="AC14" s="481"/>
      <c r="AD14" s="481"/>
    </row>
    <row r="15" customFormat="false" ht="12.6" hidden="false" customHeight="true" outlineLevel="0" collapsed="false">
      <c r="A15" s="409" t="s">
        <v>408</v>
      </c>
      <c r="B15" s="481"/>
      <c r="C15" s="493" t="n">
        <f aca="false">Deg_Rate*(1-'PPA Assumptions &amp;Summary'!C19)</f>
        <v>0.02</v>
      </c>
      <c r="D15" s="493" t="n">
        <f aca="false">Deg_Rate*(1-'PPA Assumptions &amp;Summary'!D19)</f>
        <v>0.02</v>
      </c>
      <c r="E15" s="493" t="n">
        <f aca="false">Deg_Rate*(1-'PPA Assumptions &amp;Summary'!E19)</f>
        <v>0.02</v>
      </c>
      <c r="F15" s="493" t="n">
        <f aca="false">Deg_Rate*(1-'PPA Assumptions &amp;Summary'!F19)</f>
        <v>0.02</v>
      </c>
      <c r="G15" s="493" t="n">
        <f aca="false">Deg_Rate*(1-'PPA Assumptions &amp;Summary'!G19)</f>
        <v>0.02</v>
      </c>
      <c r="H15" s="493" t="n">
        <f aca="false">Deg_Rate*(1-'PPA Assumptions &amp;Summary'!H19)</f>
        <v>0.02</v>
      </c>
      <c r="I15" s="493" t="n">
        <f aca="false">Deg_Rate*(1-'PPA Assumptions &amp;Summary'!I19)</f>
        <v>0.02</v>
      </c>
      <c r="J15" s="493" t="n">
        <f aca="false">Deg_Rate*(1-'PPA Assumptions &amp;Summary'!J19)</f>
        <v>0.02</v>
      </c>
      <c r="K15" s="493" t="n">
        <f aca="false">Deg_Rate*(1-'PPA Assumptions &amp;Summary'!K19)</f>
        <v>0.02</v>
      </c>
      <c r="L15" s="493" t="n">
        <f aca="false">Deg_Rate*(1-'PPA Assumptions &amp;Summary'!L19)</f>
        <v>0.02</v>
      </c>
      <c r="M15" s="493" t="n">
        <f aca="false">Deg_Rate*(1-'PPA Assumptions &amp;Summary'!M19)</f>
        <v>0.02</v>
      </c>
      <c r="N15" s="493" t="n">
        <f aca="false">Deg_Rate*(1-'PPA Assumptions &amp;Summary'!N19)</f>
        <v>0.02</v>
      </c>
      <c r="O15" s="493" t="n">
        <f aca="false">Deg_Rate*(1-'PPA Assumptions &amp;Summary'!O19)</f>
        <v>0.02</v>
      </c>
      <c r="P15" s="493" t="n">
        <f aca="false">Deg_Rate*(1-'PPA Assumptions &amp;Summary'!P19)</f>
        <v>0.02</v>
      </c>
      <c r="Q15" s="493" t="n">
        <f aca="false">Deg_Rate*(1-'PPA Assumptions &amp;Summary'!Q19)</f>
        <v>0.02</v>
      </c>
      <c r="R15" s="493" t="n">
        <f aca="false">Deg_Rate*(1-'PPA Assumptions &amp;Summary'!R19)</f>
        <v>0.02</v>
      </c>
      <c r="S15" s="493" t="n">
        <f aca="false">Deg_Rate*(1-'PPA Assumptions &amp;Summary'!S19)</f>
        <v>0.02</v>
      </c>
      <c r="T15" s="493" t="n">
        <f aca="false">Deg_Rate*(1-'PPA Assumptions &amp;Summary'!T19)</f>
        <v>0.02</v>
      </c>
      <c r="U15" s="493" t="n">
        <f aca="false">Deg_Rate*(1-'PPA Assumptions &amp;Summary'!U19)</f>
        <v>0.02</v>
      </c>
      <c r="V15" s="493" t="n">
        <f aca="false">Deg_Rate*(1-'PPA Assumptions &amp;Summary'!V19)</f>
        <v>0.02</v>
      </c>
      <c r="W15" s="494" t="n">
        <f aca="false">Deg_Rate*(1-'PPA Assumptions &amp;Summary'!W19)</f>
        <v>0.02</v>
      </c>
      <c r="X15" s="434"/>
      <c r="Y15" s="434"/>
      <c r="Z15" s="434"/>
      <c r="AA15" s="434"/>
      <c r="AB15" s="481"/>
      <c r="AC15" s="481"/>
      <c r="AD15" s="481"/>
    </row>
    <row r="16" customFormat="false" ht="12.6" hidden="false" customHeight="true" outlineLevel="0" collapsed="false">
      <c r="A16" s="409" t="s">
        <v>409</v>
      </c>
      <c r="B16" s="481"/>
      <c r="C16" s="487" t="n">
        <v>0</v>
      </c>
      <c r="D16" s="487" t="n">
        <v>0</v>
      </c>
      <c r="E16" s="487" t="n">
        <v>0</v>
      </c>
      <c r="F16" s="487" t="n">
        <v>0</v>
      </c>
      <c r="G16" s="487" t="n">
        <v>0</v>
      </c>
      <c r="H16" s="487" t="n">
        <v>0</v>
      </c>
      <c r="I16" s="487" t="n">
        <v>0</v>
      </c>
      <c r="J16" s="487" t="n">
        <v>0</v>
      </c>
      <c r="K16" s="487" t="n">
        <v>0</v>
      </c>
      <c r="L16" s="487" t="n">
        <v>0</v>
      </c>
      <c r="M16" s="487" t="n">
        <v>0</v>
      </c>
      <c r="N16" s="487" t="n">
        <v>0</v>
      </c>
      <c r="O16" s="487" t="n">
        <v>0</v>
      </c>
      <c r="P16" s="487" t="n">
        <v>0</v>
      </c>
      <c r="Q16" s="487" t="n">
        <v>0</v>
      </c>
      <c r="R16" s="487" t="n">
        <v>0</v>
      </c>
      <c r="S16" s="487" t="n">
        <v>0</v>
      </c>
      <c r="T16" s="487" t="n">
        <v>0</v>
      </c>
      <c r="U16" s="487" t="n">
        <v>0</v>
      </c>
      <c r="V16" s="487" t="n">
        <v>0</v>
      </c>
      <c r="W16" s="488" t="n">
        <v>0</v>
      </c>
      <c r="X16" s="434"/>
      <c r="Y16" s="434"/>
      <c r="Z16" s="434"/>
      <c r="AA16" s="434"/>
      <c r="AB16" s="481"/>
      <c r="AC16" s="481"/>
      <c r="AD16" s="481"/>
    </row>
    <row r="17" customFormat="false" ht="12.6" hidden="false" customHeight="true" outlineLevel="0" collapsed="false">
      <c r="A17" s="409" t="s">
        <v>410</v>
      </c>
      <c r="B17" s="481"/>
      <c r="C17" s="410" t="n">
        <f aca="false">ISO_NetMW*(1-C15)</f>
        <v>504.308</v>
      </c>
      <c r="D17" s="410" t="n">
        <f aca="false">ISO_NetMW*(1-D15)</f>
        <v>504.308</v>
      </c>
      <c r="E17" s="410" t="n">
        <f aca="false">ISO_NetMW*(1-E15)</f>
        <v>504.308</v>
      </c>
      <c r="F17" s="410" t="n">
        <f aca="false">ISO_NetMW*(1-F15)</f>
        <v>504.308</v>
      </c>
      <c r="G17" s="410" t="n">
        <f aca="false">ISO_NetMW*(1-G15)</f>
        <v>504.308</v>
      </c>
      <c r="H17" s="410" t="n">
        <f aca="false">ISO_NetMW*(1-H15)</f>
        <v>504.308</v>
      </c>
      <c r="I17" s="410" t="n">
        <f aca="false">ISO_NetMW*(1-I15)</f>
        <v>504.308</v>
      </c>
      <c r="J17" s="410" t="n">
        <f aca="false">ISO_NetMW*(1-J15)</f>
        <v>504.308</v>
      </c>
      <c r="K17" s="410" t="n">
        <f aca="false">ISO_NetMW*(1-K15)</f>
        <v>504.308</v>
      </c>
      <c r="L17" s="410" t="n">
        <f aca="false">ISO_NetMW*(1-L15)</f>
        <v>504.308</v>
      </c>
      <c r="M17" s="410" t="n">
        <f aca="false">ISO_NetMW*(1-M15)</f>
        <v>504.308</v>
      </c>
      <c r="N17" s="410" t="n">
        <f aca="false">ISO_NetMW*(1-N15)</f>
        <v>504.308</v>
      </c>
      <c r="O17" s="410" t="n">
        <f aca="false">ISO_NetMW*(1-O15)</f>
        <v>504.308</v>
      </c>
      <c r="P17" s="410" t="n">
        <f aca="false">ISO_NetMW*(1-P15)</f>
        <v>504.308</v>
      </c>
      <c r="Q17" s="410" t="n">
        <f aca="false">ISO_NetMW*(1-Q15)</f>
        <v>504.308</v>
      </c>
      <c r="R17" s="410" t="n">
        <f aca="false">ISO_NetMW*(1-R15)</f>
        <v>504.308</v>
      </c>
      <c r="S17" s="410" t="n">
        <f aca="false">ISO_NetMW*(1-S15)</f>
        <v>504.308</v>
      </c>
      <c r="T17" s="410" t="n">
        <f aca="false">ISO_NetMW*(1-T15)</f>
        <v>504.308</v>
      </c>
      <c r="U17" s="410" t="n">
        <f aca="false">ISO_NetMW*(1-U15)</f>
        <v>504.308</v>
      </c>
      <c r="V17" s="410" t="n">
        <f aca="false">ISO_NetMW*(1-V15)</f>
        <v>504.308</v>
      </c>
      <c r="W17" s="489" t="n">
        <f aca="false">ISO_NetMW*(1-W15)</f>
        <v>504.308</v>
      </c>
      <c r="X17" s="434"/>
      <c r="Y17" s="434"/>
      <c r="Z17" s="434"/>
      <c r="AA17" s="434"/>
      <c r="AB17" s="481"/>
      <c r="AC17" s="481"/>
      <c r="AD17" s="481"/>
    </row>
    <row r="18" customFormat="false" ht="12.6" hidden="false" customHeight="true" outlineLevel="0" collapsed="false">
      <c r="A18" s="409"/>
      <c r="B18" s="481"/>
      <c r="C18" s="410"/>
      <c r="D18" s="410"/>
      <c r="E18" s="410"/>
      <c r="F18" s="410"/>
      <c r="G18" s="410"/>
      <c r="H18" s="410"/>
      <c r="I18" s="410"/>
      <c r="J18" s="410"/>
      <c r="K18" s="410"/>
      <c r="L18" s="410"/>
      <c r="M18" s="410"/>
      <c r="N18" s="410"/>
      <c r="O18" s="410"/>
      <c r="P18" s="410"/>
      <c r="Q18" s="410"/>
      <c r="R18" s="410"/>
      <c r="S18" s="410"/>
      <c r="T18" s="410"/>
      <c r="U18" s="410"/>
      <c r="V18" s="410"/>
      <c r="W18" s="489"/>
      <c r="X18" s="434"/>
      <c r="Y18" s="434"/>
      <c r="Z18" s="434"/>
      <c r="AA18" s="434"/>
      <c r="AB18" s="481"/>
      <c r="AC18" s="481"/>
      <c r="AD18" s="481"/>
    </row>
    <row r="19" customFormat="false" ht="12.6" hidden="false" customHeight="true" outlineLevel="0" collapsed="false">
      <c r="A19" s="409" t="s">
        <v>411</v>
      </c>
      <c r="B19" s="481"/>
      <c r="C19" s="410" t="n">
        <f aca="false">IF(C3&gt;ProjectLife+1,0,(C17-C20)*'PPA Assumptions &amp;Summary'!C7/12)</f>
        <v>0</v>
      </c>
      <c r="D19" s="410" t="n">
        <f aca="false">IF(D3&gt;ProjectLife+1,0,(D17-D20)*'PPA Assumptions &amp;Summary'!D7/12)</f>
        <v>0</v>
      </c>
      <c r="E19" s="410" t="n">
        <f aca="false">IF(E3&gt;ProjectLife+1,0,(E17-E20)*'PPA Assumptions &amp;Summary'!E7/12)</f>
        <v>0</v>
      </c>
      <c r="F19" s="410" t="n">
        <f aca="false">IF(F3&gt;ProjectLife+1,0,(F17-F20)*'PPA Assumptions &amp;Summary'!F7/12)</f>
        <v>290.747570555556</v>
      </c>
      <c r="G19" s="410" t="n">
        <f aca="false">IF(G3&gt;ProjectLife+1,0,(G17-G20)*'PPA Assumptions &amp;Summary'!G7/12)</f>
        <v>494.22184</v>
      </c>
      <c r="H19" s="410" t="n">
        <f aca="false">IF(H3&gt;ProjectLife+1,0,(H17-H20)*'PPA Assumptions &amp;Summary'!H7/12)</f>
        <v>494.22184</v>
      </c>
      <c r="I19" s="410" t="n">
        <f aca="false">IF(I3&gt;ProjectLife+1,0,(I17-I20)*'PPA Assumptions &amp;Summary'!I7/12)</f>
        <v>494.22184</v>
      </c>
      <c r="J19" s="410" t="n">
        <f aca="false">IF(J3&gt;ProjectLife+1,0,(J17-J20)*'PPA Assumptions &amp;Summary'!J7/12)</f>
        <v>494.22184</v>
      </c>
      <c r="K19" s="410" t="n">
        <f aca="false">IF(K3&gt;ProjectLife+1,0,(K17-K20)*'PPA Assumptions &amp;Summary'!K7/12)</f>
        <v>494.22184</v>
      </c>
      <c r="L19" s="410" t="n">
        <f aca="false">IF(L3&gt;ProjectLife+1,0,(L17-L20)*'PPA Assumptions &amp;Summary'!L7/12)</f>
        <v>494.22184</v>
      </c>
      <c r="M19" s="410" t="n">
        <f aca="false">IF(M3&gt;ProjectLife+1,0,(M17-M20)*'PPA Assumptions &amp;Summary'!M7/12)</f>
        <v>494.22184</v>
      </c>
      <c r="N19" s="410" t="n">
        <f aca="false">IF(N3&gt;ProjectLife+1,0,(N17-N20)*'PPA Assumptions &amp;Summary'!N7/12)</f>
        <v>494.22184</v>
      </c>
      <c r="O19" s="410" t="n">
        <f aca="false">IF(O3&gt;ProjectLife+1,0,(O17-O20)*'PPA Assumptions &amp;Summary'!O7/12)</f>
        <v>494.22184</v>
      </c>
      <c r="P19" s="410" t="n">
        <f aca="false">IF(P3&gt;ProjectLife+1,0,(P17-P20)*'PPA Assumptions &amp;Summary'!P7/12)</f>
        <v>494.22184</v>
      </c>
      <c r="Q19" s="410" t="n">
        <f aca="false">IF(Q3&gt;ProjectLife+1,0,(Q17-Q20)*'PPA Assumptions &amp;Summary'!Q7/12)</f>
        <v>494.22184</v>
      </c>
      <c r="R19" s="410" t="n">
        <f aca="false">IF(R3&gt;ProjectLife+1,0,(R17-R20)*'PPA Assumptions &amp;Summary'!R7/12)</f>
        <v>494.22184</v>
      </c>
      <c r="S19" s="410" t="n">
        <f aca="false">IF(S3&gt;ProjectLife+1,0,(S17-S20)*'PPA Assumptions &amp;Summary'!S7/12)</f>
        <v>494.22184</v>
      </c>
      <c r="T19" s="410" t="n">
        <f aca="false">IF(T3&gt;ProjectLife+1,0,(T17-T20)*'PPA Assumptions &amp;Summary'!T7/12)</f>
        <v>494.22184</v>
      </c>
      <c r="U19" s="410" t="n">
        <f aca="false">IF(U3&gt;ProjectLife+1,0,(U17-U20)*'PPA Assumptions &amp;Summary'!U7/12)</f>
        <v>494.22184</v>
      </c>
      <c r="V19" s="410" t="n">
        <f aca="false">IF(V3&gt;ProjectLife+1,0,(V17-V20)*'PPA Assumptions &amp;Summary'!V7/12)</f>
        <v>494.22184</v>
      </c>
      <c r="W19" s="489" t="n">
        <f aca="false">IF(W3&gt;ProjectLife+1,0,(W17-W20))</f>
        <v>500.105433333333</v>
      </c>
      <c r="X19" s="434"/>
      <c r="Y19" s="434"/>
      <c r="Z19" s="434"/>
      <c r="AA19" s="434"/>
      <c r="AB19" s="481"/>
      <c r="AC19" s="481"/>
      <c r="AD19" s="481"/>
    </row>
    <row r="20" customFormat="false" ht="12.6" hidden="false" customHeight="true" outlineLevel="0" collapsed="false">
      <c r="A20" s="409" t="s">
        <v>415</v>
      </c>
      <c r="B20" s="481"/>
      <c r="C20" s="410" t="n">
        <f aca="false">C17*Cap_Factor_Energy*'PPA Assumptions &amp;Summary'!C7/12</f>
        <v>0</v>
      </c>
      <c r="D20" s="410" t="n">
        <f aca="false">D17*Cap_Factor_Energy*'PPA Assumptions &amp;Summary'!D7/12</f>
        <v>0</v>
      </c>
      <c r="E20" s="410" t="n">
        <f aca="false">E17*Cap_Factor_Energy*'PPA Assumptions &amp;Summary'!E7/12</f>
        <v>0</v>
      </c>
      <c r="F20" s="410" t="n">
        <f aca="false">F17*Cap_Factor_Energy*'PPA Assumptions &amp;Summary'!F7/12</f>
        <v>5.88359333333333</v>
      </c>
      <c r="G20" s="410" t="n">
        <f aca="false">G17*Cap_Factor_Energy*'PPA Assumptions &amp;Summary'!G7/12</f>
        <v>10.08616</v>
      </c>
      <c r="H20" s="410" t="n">
        <f aca="false">H17*Cap_Factor_Energy*'PPA Assumptions &amp;Summary'!H7/12</f>
        <v>10.08616</v>
      </c>
      <c r="I20" s="410" t="n">
        <f aca="false">I17*Cap_Factor_Energy*'PPA Assumptions &amp;Summary'!I7/12</f>
        <v>10.08616</v>
      </c>
      <c r="J20" s="410" t="n">
        <f aca="false">J17*Cap_Factor_Energy*'PPA Assumptions &amp;Summary'!J7/12</f>
        <v>10.08616</v>
      </c>
      <c r="K20" s="410" t="n">
        <f aca="false">K17*Cap_Factor_Energy*'PPA Assumptions &amp;Summary'!K7/12</f>
        <v>10.08616</v>
      </c>
      <c r="L20" s="410" t="n">
        <f aca="false">L17*Cap_Factor_Energy*'PPA Assumptions &amp;Summary'!L7/12</f>
        <v>10.08616</v>
      </c>
      <c r="M20" s="410" t="n">
        <f aca="false">M17*Cap_Factor_Energy*'PPA Assumptions &amp;Summary'!M7/12</f>
        <v>10.08616</v>
      </c>
      <c r="N20" s="410" t="n">
        <f aca="false">N17*Cap_Factor_Energy*'PPA Assumptions &amp;Summary'!N7/12</f>
        <v>10.08616</v>
      </c>
      <c r="O20" s="410" t="n">
        <f aca="false">O17*Cap_Factor_Energy*'PPA Assumptions &amp;Summary'!O7/12</f>
        <v>10.08616</v>
      </c>
      <c r="P20" s="410" t="n">
        <f aca="false">P17*Cap_Factor_Energy*'PPA Assumptions &amp;Summary'!P7/12</f>
        <v>10.08616</v>
      </c>
      <c r="Q20" s="410" t="n">
        <f aca="false">Q17*Cap_Factor_Energy*'PPA Assumptions &amp;Summary'!Q7/12</f>
        <v>10.08616</v>
      </c>
      <c r="R20" s="410" t="n">
        <f aca="false">R17*Cap_Factor_Energy*'PPA Assumptions &amp;Summary'!R7/12</f>
        <v>10.08616</v>
      </c>
      <c r="S20" s="410" t="n">
        <f aca="false">S17*Cap_Factor_Energy*'PPA Assumptions &amp;Summary'!S7/12</f>
        <v>10.08616</v>
      </c>
      <c r="T20" s="410" t="n">
        <f aca="false">T17*Cap_Factor_Energy*'PPA Assumptions &amp;Summary'!T7/12</f>
        <v>10.08616</v>
      </c>
      <c r="U20" s="410" t="n">
        <f aca="false">U17*Cap_Factor_Energy*'PPA Assumptions &amp;Summary'!U7/12</f>
        <v>10.08616</v>
      </c>
      <c r="V20" s="410" t="n">
        <f aca="false">V17*Cap_Factor_Energy*'PPA Assumptions &amp;Summary'!V7/12</f>
        <v>10.08616</v>
      </c>
      <c r="W20" s="489" t="n">
        <f aca="false">W17*Cap_Factor_Energy*'PPA Assumptions &amp;Summary'!W7/12</f>
        <v>4.20256666666667</v>
      </c>
      <c r="X20" s="434"/>
      <c r="Y20" s="434"/>
      <c r="Z20" s="434"/>
      <c r="AA20" s="434"/>
      <c r="AB20" s="481"/>
      <c r="AC20" s="481"/>
      <c r="AD20" s="481"/>
    </row>
    <row r="21" customFormat="false" ht="12.6" hidden="false" customHeight="true" outlineLevel="0" collapsed="false">
      <c r="A21" s="409" t="s">
        <v>412</v>
      </c>
      <c r="B21" s="481"/>
      <c r="C21" s="438" t="n">
        <f aca="false">IF(C3&gt;'Project Assumtions'!$I$15+1,0,'Project Assumtions'!$G$14)</f>
        <v>1200</v>
      </c>
      <c r="D21" s="438" t="n">
        <f aca="false">IF(D3&gt;'Project Assumtions'!$I$15+1,0,'Project Assumtions'!$G$14)</f>
        <v>1200</v>
      </c>
      <c r="E21" s="438" t="n">
        <f aca="false">IF(E3&gt;'Project Assumtions'!$I$15+1,0,'Project Assumtions'!$G$14)</f>
        <v>1200</v>
      </c>
      <c r="F21" s="438" t="n">
        <f aca="false">IF(F3&gt;'Project Assumtions'!$I$15+1,0,'Project Assumtions'!$G$14)</f>
        <v>1200</v>
      </c>
      <c r="G21" s="438" t="n">
        <f aca="false">IF(G3&gt;'Project Assumtions'!$I$15+1,0,'Project Assumtions'!$G$14)</f>
        <v>1200</v>
      </c>
      <c r="H21" s="438" t="n">
        <f aca="false">IF(H3&gt;'Project Assumtions'!$I$15+1,0,'Project Assumtions'!$G$14)</f>
        <v>1200</v>
      </c>
      <c r="I21" s="438" t="n">
        <f aca="false">IF(I3&gt;'Project Assumtions'!$I$15+1,0,'Project Assumtions'!$G$14)</f>
        <v>1200</v>
      </c>
      <c r="J21" s="438" t="n">
        <f aca="false">IF(J3&gt;'Project Assumtions'!$I$15+1,0,'Project Assumtions'!$G$14)</f>
        <v>1200</v>
      </c>
      <c r="K21" s="438" t="n">
        <f aca="false">IF(K3&gt;'Project Assumtions'!$I$15+1,0,'Project Assumtions'!$G$14)</f>
        <v>1200</v>
      </c>
      <c r="L21" s="438" t="n">
        <f aca="false">IF(L3&gt;'Project Assumtions'!$I$15+1,0,'Project Assumtions'!$G$14)</f>
        <v>1200</v>
      </c>
      <c r="M21" s="438" t="n">
        <f aca="false">IF(M3&gt;'Project Assumtions'!$I$15+1,0,'Project Assumtions'!$G$14)</f>
        <v>1200</v>
      </c>
      <c r="N21" s="438" t="n">
        <f aca="false">IF(N3&gt;'Project Assumtions'!$I$15+1,0,'Project Assumtions'!$G$14)</f>
        <v>1200</v>
      </c>
      <c r="O21" s="438" t="n">
        <f aca="false">IF(O3&gt;'Project Assumtions'!$I$15+1,0,'Project Assumtions'!$G$14)</f>
        <v>1200</v>
      </c>
      <c r="P21" s="438" t="n">
        <f aca="false">IF(P3&gt;'Project Assumtions'!$I$15+1,0,'Project Assumtions'!$G$14)</f>
        <v>1200</v>
      </c>
      <c r="Q21" s="438" t="n">
        <f aca="false">IF(Q3&gt;'Project Assumtions'!$I$15+1,0,'Project Assumtions'!$G$14)</f>
        <v>1200</v>
      </c>
      <c r="R21" s="438" t="n">
        <f aca="false">IF(R3&gt;'Project Assumtions'!$I$15+1,0,'Project Assumtions'!$G$14)</f>
        <v>1200</v>
      </c>
      <c r="S21" s="438" t="n">
        <f aca="false">IF(S3&gt;'Project Assumtions'!$I$15+1,0,'Project Assumtions'!$G$14)</f>
        <v>1200</v>
      </c>
      <c r="T21" s="438" t="n">
        <f aca="false">IF(T3&gt;'Project Assumtions'!$I$15+1,0,'Project Assumtions'!$G$14)</f>
        <v>1200</v>
      </c>
      <c r="U21" s="438" t="n">
        <f aca="false">IF(U3&gt;'Project Assumtions'!$I$15+1,0,'Project Assumtions'!$G$14)</f>
        <v>1200</v>
      </c>
      <c r="V21" s="438" t="n">
        <f aca="false">IF(V3&gt;'Project Assumtions'!$I$15+1,0,'Project Assumtions'!$G$14)</f>
        <v>1200</v>
      </c>
      <c r="W21" s="439" t="n">
        <f aca="false">IF(W3&gt;'Project Assumtions'!$I$15+1,0,'Project Assumtions'!$G$14)</f>
        <v>1200</v>
      </c>
      <c r="X21" s="434"/>
      <c r="Y21" s="434"/>
      <c r="Z21" s="434"/>
      <c r="AA21" s="434"/>
      <c r="AB21" s="481"/>
      <c r="AC21" s="481"/>
      <c r="AD21" s="481"/>
    </row>
    <row r="22" customFormat="false" ht="12.6" hidden="false" customHeight="true" outlineLevel="0" collapsed="false">
      <c r="A22" s="418" t="s">
        <v>413</v>
      </c>
      <c r="B22" s="490"/>
      <c r="C22" s="491" t="n">
        <f aca="false">IF(C3&gt;'Project Assumtions'!$I$15+1,0,C21*(C20+C19)*'PPA Assumptions &amp;Summary'!C7/12)</f>
        <v>0</v>
      </c>
      <c r="D22" s="491" t="n">
        <f aca="false">IF(D3&gt;'Project Assumtions'!$I$15+1,0,D21*(D20+D19)*'PPA Assumptions &amp;Summary'!D7/12)</f>
        <v>0</v>
      </c>
      <c r="E22" s="491" t="n">
        <f aca="false">IF(E3&gt;'Project Assumtions'!$I$15+1,0,E21*(E20+E19)*'PPA Assumptions &amp;Summary'!E7/12)</f>
        <v>0</v>
      </c>
      <c r="F22" s="491" t="n">
        <f aca="false">IF(F3&gt;'Project Assumtions'!$I$15+1,0,F21*(F20+F19))</f>
        <v>355957.396666667</v>
      </c>
      <c r="G22" s="491" t="n">
        <f aca="false">IF(G3&gt;'Project Assumtions'!$I$15+1,0,G21*(G20+G19))</f>
        <v>605169.6</v>
      </c>
      <c r="H22" s="491" t="n">
        <f aca="false">IF(H3&gt;'Project Assumtions'!$I$15+1,0,H21*(H20+H19))</f>
        <v>605169.6</v>
      </c>
      <c r="I22" s="491" t="n">
        <f aca="false">IF(I3&gt;'Project Assumtions'!$I$15+1,0,I21*(I20+I19))</f>
        <v>605169.6</v>
      </c>
      <c r="J22" s="491" t="n">
        <f aca="false">IF(J3&gt;'Project Assumtions'!$I$15+1,0,J21*(J20+J19))</f>
        <v>605169.6</v>
      </c>
      <c r="K22" s="491" t="n">
        <f aca="false">IF(K3&gt;'Project Assumtions'!$I$15+1,0,K21*(K20+K19))</f>
        <v>605169.6</v>
      </c>
      <c r="L22" s="491" t="n">
        <f aca="false">IF(L3&gt;'Project Assumtions'!$I$15+1,0,L21*(L20+L19))</f>
        <v>605169.6</v>
      </c>
      <c r="M22" s="491" t="n">
        <f aca="false">IF(M3&gt;'Project Assumtions'!$I$15+1,0,M21*(M20+M19))</f>
        <v>605169.6</v>
      </c>
      <c r="N22" s="491" t="n">
        <f aca="false">IF(N3&gt;'Project Assumtions'!$I$15+1,0,N21*(N20+N19))</f>
        <v>605169.6</v>
      </c>
      <c r="O22" s="491" t="n">
        <f aca="false">IF(O3&gt;'Project Assumtions'!$I$15+1,0,O21*(O20+O19))</f>
        <v>605169.6</v>
      </c>
      <c r="P22" s="491" t="n">
        <f aca="false">IF(P3&gt;'Project Assumtions'!$I$15+1,0,P21*(P20+P19))</f>
        <v>605169.6</v>
      </c>
      <c r="Q22" s="491" t="n">
        <f aca="false">IF(Q3&gt;'Project Assumtions'!$I$15+1,0,Q21*(Q20+Q19))</f>
        <v>605169.6</v>
      </c>
      <c r="R22" s="491" t="n">
        <f aca="false">IF(R3&gt;'Project Assumtions'!$I$15+1,0,R21*(R20+R19))</f>
        <v>605169.6</v>
      </c>
      <c r="S22" s="491" t="n">
        <f aca="false">IF(S3&gt;'Project Assumtions'!$I$15+1,0,S21*(S20+S19))</f>
        <v>605169.6</v>
      </c>
      <c r="T22" s="491" t="n">
        <f aca="false">IF(T3&gt;'Project Assumtions'!$I$15+1,0,T21*(T20+T19))</f>
        <v>605169.6</v>
      </c>
      <c r="U22" s="491" t="n">
        <f aca="false">IF(U3&gt;'Project Assumtions'!$I$15+1,0,U21*(U20+U19))</f>
        <v>605169.6</v>
      </c>
      <c r="V22" s="491" t="n">
        <f aca="false">IF(V3&gt;'Project Assumtions'!$I$15+1,0,V21*(V20+V19))</f>
        <v>605169.6</v>
      </c>
      <c r="W22" s="492" t="n">
        <f aca="false">IF(W3&gt;'Project Assumtions'!$I$15+1,0,W21*(W20+W19))</f>
        <v>605169.6</v>
      </c>
      <c r="X22" s="434"/>
      <c r="Y22" s="434"/>
      <c r="Z22" s="434"/>
      <c r="AA22" s="434"/>
      <c r="AB22" s="481"/>
      <c r="AC22" s="481"/>
      <c r="AD22" s="481"/>
    </row>
    <row r="23" customFormat="false" ht="12.6" hidden="false" customHeight="true" outlineLevel="0" collapsed="false">
      <c r="A23" s="422"/>
      <c r="B23" s="481"/>
      <c r="C23" s="410"/>
      <c r="D23" s="410"/>
      <c r="E23" s="410"/>
      <c r="F23" s="410"/>
      <c r="G23" s="410"/>
      <c r="H23" s="410"/>
      <c r="I23" s="410"/>
      <c r="J23" s="410"/>
      <c r="K23" s="410"/>
      <c r="L23" s="410"/>
      <c r="M23" s="410"/>
      <c r="N23" s="410"/>
      <c r="O23" s="410"/>
      <c r="P23" s="410"/>
      <c r="Q23" s="410"/>
      <c r="R23" s="410"/>
      <c r="S23" s="410"/>
      <c r="T23" s="410"/>
      <c r="U23" s="410"/>
      <c r="V23" s="410"/>
      <c r="W23" s="410"/>
      <c r="X23" s="410"/>
      <c r="Y23" s="410"/>
      <c r="Z23" s="410"/>
      <c r="AA23" s="410"/>
      <c r="AB23" s="481"/>
      <c r="AC23" s="481"/>
      <c r="AD23" s="481"/>
    </row>
    <row r="24" customFormat="false" ht="15.75" hidden="false" customHeight="false" outlineLevel="0" collapsed="false">
      <c r="A24" s="424" t="s">
        <v>416</v>
      </c>
      <c r="B24" s="485"/>
      <c r="C24" s="495"/>
      <c r="D24" s="495"/>
      <c r="E24" s="495"/>
      <c r="F24" s="495"/>
      <c r="G24" s="495"/>
      <c r="H24" s="495"/>
      <c r="I24" s="495"/>
      <c r="J24" s="495"/>
      <c r="K24" s="495"/>
      <c r="L24" s="495"/>
      <c r="M24" s="495"/>
      <c r="N24" s="495"/>
      <c r="O24" s="495"/>
      <c r="P24" s="495"/>
      <c r="Q24" s="495"/>
      <c r="R24" s="495"/>
      <c r="S24" s="495"/>
      <c r="T24" s="495"/>
      <c r="U24" s="495"/>
      <c r="V24" s="495"/>
      <c r="W24" s="496"/>
      <c r="X24" s="431"/>
      <c r="Y24" s="431"/>
      <c r="Z24" s="431"/>
      <c r="AA24" s="431"/>
      <c r="AB24" s="481"/>
      <c r="AC24" s="481"/>
      <c r="AD24" s="481"/>
    </row>
    <row r="25" customFormat="false" ht="12.6" hidden="false" customHeight="true" outlineLevel="0" collapsed="false">
      <c r="A25" s="403" t="s">
        <v>417</v>
      </c>
      <c r="B25" s="378"/>
      <c r="C25" s="450" t="n">
        <f aca="false">IF(C3&lt;=ProjectLife+1,IF('Project Assumtions'!$C$69="Assumed",(NetMW*AnnualHours)*'PPA Assumptions &amp;Summary'!C6/12,0),0)</f>
        <v>329000</v>
      </c>
      <c r="D25" s="450" t="n">
        <f aca="false">IF(D3&lt;=ProjectLife+1,IF('Project Assumtions'!$C$69="Assumed",(NetMW*AnnualHours)*'PPA Assumptions &amp;Summary'!D6/12,0),0)</f>
        <v>564000</v>
      </c>
      <c r="E25" s="450" t="n">
        <f aca="false">IF(E3&lt;=ProjectLife+1,IF('Project Assumtions'!$C$69="Assumed",(NetMW*AnnualHours)*'PPA Assumptions &amp;Summary'!E6/12,0),0)</f>
        <v>564000</v>
      </c>
      <c r="F25" s="450" t="n">
        <f aca="false">IF(F3&lt;=ProjectLife+1,IF('Project Assumtions'!$C$69="Assumed",(NetMW*AnnualHours)*'PPA Assumptions &amp;Summary'!F6/12,0),0)</f>
        <v>235000</v>
      </c>
      <c r="G25" s="450" t="n">
        <f aca="false">IF(G3&lt;=ProjectLife+1,IF('Project Assumtions'!$C$69="Assumed",(NetMW*AnnualHours)*'PPA Assumptions &amp;Summary'!G6/12,0),0)</f>
        <v>0</v>
      </c>
      <c r="H25" s="450" t="n">
        <f aca="false">IF(H3&lt;=ProjectLife+1,IF('Project Assumtions'!$C$69="Assumed",(NetMW*AnnualHours)*'PPA Assumptions &amp;Summary'!H6/12,0),0)</f>
        <v>0</v>
      </c>
      <c r="I25" s="450" t="n">
        <f aca="false">IF(I3&lt;=ProjectLife+1,IF('Project Assumtions'!$C$69="Assumed",(NetMW*AnnualHours)*'PPA Assumptions &amp;Summary'!I6/12,0),0)</f>
        <v>0</v>
      </c>
      <c r="J25" s="450" t="n">
        <f aca="false">IF(J3&lt;=ProjectLife+1,IF('Project Assumtions'!$C$69="Assumed",(NetMW*AnnualHours)*'PPA Assumptions &amp;Summary'!J6/12,0),0)</f>
        <v>0</v>
      </c>
      <c r="K25" s="450" t="n">
        <f aca="false">IF(K3&lt;=ProjectLife+1,IF('Project Assumtions'!$C$69="Assumed",(NetMW*AnnualHours)*'PPA Assumptions &amp;Summary'!K6/12,0),0)</f>
        <v>0</v>
      </c>
      <c r="L25" s="450" t="n">
        <f aca="false">IF(L3&lt;=ProjectLife+1,IF('Project Assumtions'!$C$69="Assumed",(NetMW*AnnualHours)*'PPA Assumptions &amp;Summary'!L6/12,0),0)</f>
        <v>0</v>
      </c>
      <c r="M25" s="450" t="n">
        <f aca="false">IF(M3&lt;=ProjectLife+1,IF('Project Assumtions'!$C$69="Assumed",(NetMW*AnnualHours)*'PPA Assumptions &amp;Summary'!M6/12,0),0)</f>
        <v>0</v>
      </c>
      <c r="N25" s="450" t="n">
        <f aca="false">IF(N3&lt;=ProjectLife+1,IF('Project Assumtions'!$C$69="Assumed",(NetMW*AnnualHours)*'PPA Assumptions &amp;Summary'!N6/12,0),0)</f>
        <v>0</v>
      </c>
      <c r="O25" s="450" t="n">
        <f aca="false">IF(O3&lt;=ProjectLife+1,IF('Project Assumtions'!$C$69="Assumed",(NetMW*AnnualHours)*'PPA Assumptions &amp;Summary'!O6/12,0),0)</f>
        <v>0</v>
      </c>
      <c r="P25" s="450" t="n">
        <f aca="false">IF(P3&lt;=ProjectLife+1,IF('Project Assumtions'!$C$69="Assumed",(NetMW*AnnualHours)*'PPA Assumptions &amp;Summary'!P6/12,0),0)</f>
        <v>0</v>
      </c>
      <c r="Q25" s="450" t="n">
        <f aca="false">IF(Q3&lt;=ProjectLife+1,IF('Project Assumtions'!$C$69="Assumed",(NetMW*AnnualHours)*'PPA Assumptions &amp;Summary'!Q6/12,0),0)</f>
        <v>0</v>
      </c>
      <c r="R25" s="450" t="n">
        <f aca="false">IF(R3&lt;=ProjectLife+1,IF('Project Assumtions'!$C$69="Assumed",(NetMW*AnnualHours)*'PPA Assumptions &amp;Summary'!R6/12,0),0)</f>
        <v>0</v>
      </c>
      <c r="S25" s="450" t="n">
        <f aca="false">IF(S3&lt;=ProjectLife+1,IF('Project Assumtions'!$C$69="Assumed",(NetMW*AnnualHours)*'PPA Assumptions &amp;Summary'!S6/12,0),0)</f>
        <v>0</v>
      </c>
      <c r="T25" s="450" t="n">
        <f aca="false">IF(T3&lt;=ProjectLife+1,IF('Project Assumtions'!$C$69="Assumed",(NetMW*AnnualHours)*'PPA Assumptions &amp;Summary'!T6/12,0),0)</f>
        <v>0</v>
      </c>
      <c r="U25" s="450" t="n">
        <f aca="false">IF(U3&lt;=ProjectLife+1,IF('Project Assumtions'!$C$69="Assumed",(NetMW*AnnualHours)*'PPA Assumptions &amp;Summary'!U6/12,0),0)</f>
        <v>0</v>
      </c>
      <c r="V25" s="450" t="n">
        <f aca="false">IF(V3&lt;=ProjectLife+1,IF('Project Assumtions'!$C$69="Assumed",(NetMW*AnnualHours)*'PPA Assumptions &amp;Summary'!V6/12,0),0)</f>
        <v>0</v>
      </c>
      <c r="W25" s="451" t="n">
        <f aca="false">IF(W3&lt;=ProjectLife+1,IF('Project Assumtions'!$C$69="Assumed",(NetMW*AnnualHours)*'PPA Assumptions &amp;Summary'!W6/12,0),0)</f>
        <v>0</v>
      </c>
      <c r="X25" s="497"/>
      <c r="Y25" s="497"/>
      <c r="Z25" s="497"/>
      <c r="AA25" s="497"/>
      <c r="AB25" s="1"/>
      <c r="AC25" s="1"/>
      <c r="AD25" s="1"/>
    </row>
    <row r="26" customFormat="false" ht="12.6" hidden="false" customHeight="true" outlineLevel="0" collapsed="false">
      <c r="A26" s="403" t="s">
        <v>418</v>
      </c>
      <c r="B26" s="378"/>
      <c r="C26" s="498" t="n">
        <f aca="false">IF(C3&gt;'Project Assumtions'!$I$15+1,0,C25/C30)</f>
        <v>1</v>
      </c>
      <c r="D26" s="498" t="n">
        <f aca="false">IF(D3&gt;'Project Assumtions'!$I$15+1,0,D25/D30)</f>
        <v>1</v>
      </c>
      <c r="E26" s="498" t="n">
        <f aca="false">IF(E3&gt;'Project Assumtions'!$I$15+1,0,E25/E30)</f>
        <v>1</v>
      </c>
      <c r="F26" s="498" t="n">
        <f aca="false">IF(F3&gt;'Project Assumtions'!$I$15+1,0,F25/F30)</f>
        <v>0.397659799717429</v>
      </c>
      <c r="G26" s="498" t="n">
        <f aca="false">IF(G3&gt;'Project Assumtions'!$I$15+1,0,G25/G30)</f>
        <v>0</v>
      </c>
      <c r="H26" s="498" t="n">
        <f aca="false">IF(H3&gt;'Project Assumtions'!$I$15+1,0,H25/H30)</f>
        <v>0</v>
      </c>
      <c r="I26" s="498" t="n">
        <f aca="false">IF(I3&gt;'Project Assumtions'!$I$15+1,0,I25/I30)</f>
        <v>0</v>
      </c>
      <c r="J26" s="498" t="n">
        <f aca="false">IF(J3&gt;'Project Assumtions'!$I$15+1,0,J25/J30)</f>
        <v>0</v>
      </c>
      <c r="K26" s="498" t="n">
        <f aca="false">IF(K3&gt;'Project Assumtions'!$I$15+1,0,K25/K30)</f>
        <v>0</v>
      </c>
      <c r="L26" s="498" t="n">
        <f aca="false">IF(L3&gt;'Project Assumtions'!$I$15+1,0,L25/L30)</f>
        <v>0</v>
      </c>
      <c r="M26" s="498" t="n">
        <f aca="false">IF(M3&gt;'Project Assumtions'!$I$15+1,0,M25/M30)</f>
        <v>0</v>
      </c>
      <c r="N26" s="498" t="n">
        <f aca="false">IF(N3&gt;'Project Assumtions'!$I$15+1,0,N25/N30)</f>
        <v>0</v>
      </c>
      <c r="O26" s="498" t="n">
        <f aca="false">IF(O3&gt;'Project Assumtions'!$I$15+1,0,O25/O30)</f>
        <v>0</v>
      </c>
      <c r="P26" s="498" t="n">
        <f aca="false">IF(P3&gt;'Project Assumtions'!$I$15+1,0,P25/P30)</f>
        <v>0</v>
      </c>
      <c r="Q26" s="498" t="n">
        <f aca="false">IF(Q3&gt;'Project Assumtions'!$I$15+1,0,Q25/Q30)</f>
        <v>0</v>
      </c>
      <c r="R26" s="498" t="n">
        <f aca="false">IF(R3&gt;'Project Assumtions'!$I$15+1,0,R25/R30)</f>
        <v>0</v>
      </c>
      <c r="S26" s="498" t="n">
        <f aca="false">IF(S3&gt;'Project Assumtions'!$I$15+1,0,S25/S30)</f>
        <v>0</v>
      </c>
      <c r="T26" s="498" t="n">
        <f aca="false">IF(T3&gt;'Project Assumtions'!$I$15+1,0,T25/T30)</f>
        <v>0</v>
      </c>
      <c r="U26" s="498" t="n">
        <f aca="false">IF(U3&gt;'Project Assumtions'!$I$15+1,0,U25/U30)</f>
        <v>0</v>
      </c>
      <c r="V26" s="498" t="n">
        <f aca="false">IF(V3&gt;'Project Assumtions'!$I$15+1,0,V25/V30)</f>
        <v>0</v>
      </c>
      <c r="W26" s="499" t="n">
        <f aca="false">IF(W3&gt;'Project Assumtions'!$I$15+1,0,W25/W30)</f>
        <v>0</v>
      </c>
      <c r="X26" s="498"/>
      <c r="Y26" s="498"/>
      <c r="Z26" s="498"/>
      <c r="AA26" s="498"/>
      <c r="AB26" s="1"/>
      <c r="AC26" s="1"/>
      <c r="AD26" s="1"/>
    </row>
    <row r="27" customFormat="false" ht="12.6" hidden="false" customHeight="true" outlineLevel="0" collapsed="false">
      <c r="A27" s="403" t="s">
        <v>419</v>
      </c>
      <c r="B27" s="378"/>
      <c r="C27" s="450" t="n">
        <f aca="false">IF(C3&gt;'Project Assumtions'!$I$15+1,0,IF('Project Assumtions'!$C$69="Assumed",C22,0))</f>
        <v>0</v>
      </c>
      <c r="D27" s="450" t="n">
        <f aca="false">IF(D3&gt;'Project Assumtions'!$I$15+1,0,IF('Project Assumtions'!$C$69="Assumed",D22,0))</f>
        <v>0</v>
      </c>
      <c r="E27" s="450" t="n">
        <f aca="false">IF(E3&gt;'Project Assumtions'!$I$15+1,0,IF('Project Assumtions'!$C$69="Assumed",E22,0))</f>
        <v>0</v>
      </c>
      <c r="F27" s="450" t="n">
        <f aca="false">IF(F3&gt;'Project Assumtions'!$I$15+1,0,IF('Project Assumtions'!$C$69="Assumed",F22,0))</f>
        <v>355957.396666667</v>
      </c>
      <c r="G27" s="450" t="n">
        <f aca="false">IF(G3&gt;'Project Assumtions'!$I$15+1,0,IF('Project Assumtions'!$C$69="Assumed",G22,0))</f>
        <v>605169.6</v>
      </c>
      <c r="H27" s="450" t="n">
        <f aca="false">IF(H3&gt;'Project Assumtions'!$I$15+1,0,IF('Project Assumtions'!$C$69="Assumed",H22,0))</f>
        <v>605169.6</v>
      </c>
      <c r="I27" s="450" t="n">
        <f aca="false">IF(I3&gt;'Project Assumtions'!$I$15+1,0,IF('Project Assumtions'!$C$69="Assumed",I22,0))</f>
        <v>605169.6</v>
      </c>
      <c r="J27" s="450" t="n">
        <f aca="false">IF(J3&gt;'Project Assumtions'!$I$15+1,0,IF('Project Assumtions'!$C$69="Assumed",J22,0))</f>
        <v>605169.6</v>
      </c>
      <c r="K27" s="450" t="n">
        <f aca="false">IF(K3&gt;'Project Assumtions'!$I$15+1,0,IF('Project Assumtions'!$C$69="Assumed",K22,0))</f>
        <v>605169.6</v>
      </c>
      <c r="L27" s="450" t="n">
        <f aca="false">IF(L3&gt;'Project Assumtions'!$I$15+1,0,IF('Project Assumtions'!$C$69="Assumed",L22,0))</f>
        <v>605169.6</v>
      </c>
      <c r="M27" s="450" t="n">
        <f aca="false">IF(M3&gt;'Project Assumtions'!$I$15+1,0,IF('Project Assumtions'!$C$69="Assumed",M22,0))</f>
        <v>605169.6</v>
      </c>
      <c r="N27" s="450" t="n">
        <f aca="false">IF(N3&gt;'Project Assumtions'!$I$15+1,0,IF('Project Assumtions'!$C$69="Assumed",N22,0))</f>
        <v>605169.6</v>
      </c>
      <c r="O27" s="450" t="n">
        <f aca="false">IF(O3&gt;'Project Assumtions'!$I$15+1,0,IF('Project Assumtions'!$C$69="Assumed",O22,0))</f>
        <v>605169.6</v>
      </c>
      <c r="P27" s="450" t="n">
        <f aca="false">IF(P3&gt;'Project Assumtions'!$I$15+1,0,IF('Project Assumtions'!$C$69="Assumed",P22,0))</f>
        <v>605169.6</v>
      </c>
      <c r="Q27" s="450" t="n">
        <f aca="false">IF(Q3&gt;'Project Assumtions'!$I$15+1,0,IF('Project Assumtions'!$C$69="Assumed",Q22,0))</f>
        <v>605169.6</v>
      </c>
      <c r="R27" s="450" t="n">
        <f aca="false">IF(R3&gt;'Project Assumtions'!$I$15+1,0,IF('Project Assumtions'!$C$69="Assumed",R22,0))</f>
        <v>605169.6</v>
      </c>
      <c r="S27" s="450" t="n">
        <f aca="false">IF(S3&gt;'Project Assumtions'!$I$15+1,0,IF('Project Assumtions'!$C$69="Assumed",S22,0))</f>
        <v>605169.6</v>
      </c>
      <c r="T27" s="450" t="n">
        <f aca="false">IF(T3&gt;'Project Assumtions'!$I$15+1,0,IF('Project Assumtions'!$C$69="Assumed",T22,0))</f>
        <v>605169.6</v>
      </c>
      <c r="U27" s="450" t="n">
        <f aca="false">IF(U3&gt;'Project Assumtions'!$I$15+1,0,IF('Project Assumtions'!$C$69="Assumed",U22,0))</f>
        <v>605169.6</v>
      </c>
      <c r="V27" s="450" t="n">
        <f aca="false">IF(V3&gt;'Project Assumtions'!$I$15+1,0,IF('Project Assumtions'!$C$69="Assumed",V22,0))</f>
        <v>605169.6</v>
      </c>
      <c r="W27" s="451" t="n">
        <f aca="false">IF(W3&gt;'Project Assumtions'!$I$15+1,0,IF('Project Assumtions'!$C$69="Assumed",W22,0))</f>
        <v>605169.6</v>
      </c>
      <c r="X27" s="500"/>
      <c r="Y27" s="500"/>
      <c r="Z27" s="500"/>
      <c r="AA27" s="500"/>
      <c r="AB27" s="1"/>
      <c r="AC27" s="1"/>
      <c r="AD27" s="1"/>
    </row>
    <row r="28" customFormat="false" ht="12.6" hidden="false" customHeight="true" outlineLevel="0" collapsed="false">
      <c r="A28" s="403" t="s">
        <v>418</v>
      </c>
      <c r="B28" s="378"/>
      <c r="C28" s="501" t="n">
        <f aca="false">IF(C3&gt;'Project Assumtions'!$I$15+1,0,C27/C30)</f>
        <v>0</v>
      </c>
      <c r="D28" s="501" t="n">
        <f aca="false">IF(D3&gt;'Project Assumtions'!$I$15+1,0,D27/D30)</f>
        <v>0</v>
      </c>
      <c r="E28" s="501" t="n">
        <f aca="false">IF(E3&gt;'Project Assumtions'!$I$15+1,0,E27/E30)</f>
        <v>0</v>
      </c>
      <c r="F28" s="501" t="n">
        <f aca="false">IF(F3&gt;'Project Assumtions'!$I$15+1,0,F27/F30)</f>
        <v>0.602340200282571</v>
      </c>
      <c r="G28" s="501" t="n">
        <f aca="false">IF(G3&gt;'Project Assumtions'!$I$15+1,0,G27/G30)</f>
        <v>1</v>
      </c>
      <c r="H28" s="501" t="n">
        <f aca="false">IF(H3&gt;'Project Assumtions'!$I$15+1,0,H27/H30)</f>
        <v>1</v>
      </c>
      <c r="I28" s="501" t="n">
        <f aca="false">IF(I3&gt;'Project Assumtions'!$I$15+1,0,I27/I30)</f>
        <v>1</v>
      </c>
      <c r="J28" s="501" t="n">
        <f aca="false">IF(J3&gt;'Project Assumtions'!$I$15+1,0,J27/J30)</f>
        <v>1</v>
      </c>
      <c r="K28" s="501" t="n">
        <f aca="false">IF(K3&gt;'Project Assumtions'!$I$15+1,0,K27/K30)</f>
        <v>1</v>
      </c>
      <c r="L28" s="501" t="n">
        <f aca="false">IF(L3&gt;'Project Assumtions'!$I$15+1,0,L27/L30)</f>
        <v>1</v>
      </c>
      <c r="M28" s="501" t="n">
        <f aca="false">IF(M3&gt;'Project Assumtions'!$I$15+1,0,M27/M30)</f>
        <v>1</v>
      </c>
      <c r="N28" s="501" t="n">
        <f aca="false">IF(N3&gt;'Project Assumtions'!$I$15+1,0,N27/N30)</f>
        <v>1</v>
      </c>
      <c r="O28" s="501" t="n">
        <f aca="false">IF(O3&gt;'Project Assumtions'!$I$15+1,0,O27/O30)</f>
        <v>1</v>
      </c>
      <c r="P28" s="501" t="n">
        <f aca="false">IF(P3&gt;'Project Assumtions'!$I$15+1,0,P27/P30)</f>
        <v>1</v>
      </c>
      <c r="Q28" s="501" t="n">
        <f aca="false">IF(Q3&gt;'Project Assumtions'!$I$15+1,0,Q27/Q30)</f>
        <v>1</v>
      </c>
      <c r="R28" s="501" t="n">
        <f aca="false">IF(R3&gt;'Project Assumtions'!$I$15+1,0,R27/R30)</f>
        <v>1</v>
      </c>
      <c r="S28" s="501" t="n">
        <f aca="false">IF(S3&gt;'Project Assumtions'!$I$15+1,0,S27/S30)</f>
        <v>1</v>
      </c>
      <c r="T28" s="501" t="n">
        <f aca="false">IF(T3&gt;'Project Assumtions'!$I$15+1,0,T27/T30)</f>
        <v>1</v>
      </c>
      <c r="U28" s="501" t="n">
        <f aca="false">IF(U3&gt;'Project Assumtions'!$I$15+1,0,U27/U30)</f>
        <v>1</v>
      </c>
      <c r="V28" s="501" t="n">
        <f aca="false">IF(V3&gt;'Project Assumtions'!$I$15+1,0,V27/V30)</f>
        <v>1</v>
      </c>
      <c r="W28" s="502" t="n">
        <f aca="false">IF(W3&gt;'Project Assumtions'!$I$15+1,0,W27/W30)</f>
        <v>1</v>
      </c>
      <c r="X28" s="501"/>
      <c r="Y28" s="501"/>
      <c r="Z28" s="501"/>
      <c r="AA28" s="501"/>
      <c r="AB28" s="1"/>
      <c r="AC28" s="1"/>
      <c r="AD28" s="1"/>
    </row>
    <row r="29" customFormat="false" ht="12.6" hidden="false" customHeight="true" outlineLevel="0" collapsed="false">
      <c r="A29" s="409"/>
      <c r="B29" s="481"/>
      <c r="C29" s="434"/>
      <c r="D29" s="434"/>
      <c r="E29" s="434"/>
      <c r="F29" s="434"/>
      <c r="G29" s="434"/>
      <c r="H29" s="434"/>
      <c r="I29" s="434"/>
      <c r="J29" s="434"/>
      <c r="K29" s="434"/>
      <c r="L29" s="434"/>
      <c r="M29" s="434"/>
      <c r="N29" s="434"/>
      <c r="O29" s="434"/>
      <c r="P29" s="434"/>
      <c r="Q29" s="434"/>
      <c r="R29" s="434"/>
      <c r="S29" s="434"/>
      <c r="T29" s="434"/>
      <c r="U29" s="434"/>
      <c r="V29" s="434"/>
      <c r="W29" s="435"/>
      <c r="X29" s="434"/>
      <c r="Y29" s="434"/>
      <c r="Z29" s="434"/>
      <c r="AA29" s="434"/>
      <c r="AB29" s="481"/>
      <c r="AC29" s="481"/>
      <c r="AD29" s="481"/>
    </row>
    <row r="30" customFormat="false" ht="12.6" hidden="false" customHeight="true" outlineLevel="0" collapsed="false">
      <c r="A30" s="403" t="s">
        <v>420</v>
      </c>
      <c r="B30" s="378"/>
      <c r="C30" s="450" t="n">
        <f aca="false">IF(C3&gt;'Project Assumtions'!$I$15+1,0,IF('Project Assumtions'!$C$69="Assumed",C25+C27,C25+C27))</f>
        <v>329000</v>
      </c>
      <c r="D30" s="450" t="n">
        <f aca="false">IF(D3&gt;'Project Assumtions'!$I$15+1,0,IF('Project Assumtions'!$C$69="Assumed",D25+D27,D25+D27))</f>
        <v>564000</v>
      </c>
      <c r="E30" s="450" t="n">
        <f aca="false">IF(E3&gt;'Project Assumtions'!$I$15+1,0,IF('Project Assumtions'!$C$69="Assumed",E25+E27,E25+E27))</f>
        <v>564000</v>
      </c>
      <c r="F30" s="450" t="n">
        <f aca="false">IF(F3&gt;'Project Assumtions'!$I$15+1,0,IF('Project Assumtions'!$C$69="Assumed",F25+F27,F25+F27))</f>
        <v>590957.396666667</v>
      </c>
      <c r="G30" s="450" t="n">
        <f aca="false">IF(G3&gt;'Project Assumtions'!$I$15+1,0,IF('Project Assumtions'!$C$69="Assumed",G25+G27,G25+G27))</f>
        <v>605169.6</v>
      </c>
      <c r="H30" s="450" t="n">
        <f aca="false">IF(H3&gt;'Project Assumtions'!$I$15+1,0,IF('Project Assumtions'!$C$69="Assumed",H25+H27,H25+H27))</f>
        <v>605169.6</v>
      </c>
      <c r="I30" s="450" t="n">
        <f aca="false">IF(I3&gt;'Project Assumtions'!$I$15+1,0,IF('Project Assumtions'!$C$69="Assumed",I25+I27,I25+I27))</f>
        <v>605169.6</v>
      </c>
      <c r="J30" s="450" t="n">
        <f aca="false">IF(J3&gt;'Project Assumtions'!$I$15+1,0,IF('Project Assumtions'!$C$69="Assumed",J25+J27,J25+J27))</f>
        <v>605169.6</v>
      </c>
      <c r="K30" s="450" t="n">
        <f aca="false">IF(K3&gt;'Project Assumtions'!$I$15+1,0,IF('Project Assumtions'!$C$69="Assumed",K25+K27,K25+K27))</f>
        <v>605169.6</v>
      </c>
      <c r="L30" s="450" t="n">
        <f aca="false">IF(L3&gt;'Project Assumtions'!$I$15+1,0,IF('Project Assumtions'!$C$69="Assumed",L25+L27,L25+L27))</f>
        <v>605169.6</v>
      </c>
      <c r="M30" s="450" t="n">
        <f aca="false">IF(M3&gt;'Project Assumtions'!$I$15+1,0,IF('Project Assumtions'!$C$69="Assumed",M25+M27,M25+M27))</f>
        <v>605169.6</v>
      </c>
      <c r="N30" s="450" t="n">
        <f aca="false">IF(N3&gt;'Project Assumtions'!$I$15+1,0,IF('Project Assumtions'!$C$69="Assumed",N25+N27,N25+N27))</f>
        <v>605169.6</v>
      </c>
      <c r="O30" s="450" t="n">
        <f aca="false">IF(O3&gt;'Project Assumtions'!$I$15+1,0,IF('Project Assumtions'!$C$69="Assumed",O25+O27,O25+O27))</f>
        <v>605169.6</v>
      </c>
      <c r="P30" s="450" t="n">
        <f aca="false">IF(P3&gt;'Project Assumtions'!$I$15+1,0,IF('Project Assumtions'!$C$69="Assumed",P25+P27,P25+P27))</f>
        <v>605169.6</v>
      </c>
      <c r="Q30" s="450" t="n">
        <f aca="false">IF(Q3&gt;'Project Assumtions'!$I$15+1,0,IF('Project Assumtions'!$C$69="Assumed",Q25+Q27,Q25+Q27))</f>
        <v>605169.6</v>
      </c>
      <c r="R30" s="450" t="n">
        <f aca="false">IF(R3&gt;'Project Assumtions'!$I$15+1,0,IF('Project Assumtions'!$C$69="Assumed",R25+R27,R25+R27))</f>
        <v>605169.6</v>
      </c>
      <c r="S30" s="450" t="n">
        <f aca="false">IF(S3&gt;'Project Assumtions'!$I$15+1,0,IF('Project Assumtions'!$C$69="Assumed",S25+S27,S25+S27))</f>
        <v>605169.6</v>
      </c>
      <c r="T30" s="450" t="n">
        <f aca="false">IF(T3&gt;'Project Assumtions'!$I$15+1,0,IF('Project Assumtions'!$C$69="Assumed",T25+T27,T25+T27))</f>
        <v>605169.6</v>
      </c>
      <c r="U30" s="450" t="n">
        <f aca="false">IF(U3&gt;'Project Assumtions'!$I$15+1,0,IF('Project Assumtions'!$C$69="Assumed",U25+U27,U25+U27))</f>
        <v>605169.6</v>
      </c>
      <c r="V30" s="450" t="n">
        <f aca="false">IF(V3&gt;'Project Assumtions'!$I$15+1,0,IF('Project Assumtions'!$C$69="Assumed",V25+V27,V25+V27))</f>
        <v>605169.6</v>
      </c>
      <c r="W30" s="451" t="n">
        <f aca="false">IF(W3&gt;'Project Assumtions'!$I$15+1,0,IF('Project Assumtions'!$C$69="Assumed",W25+W27,W25+W27))</f>
        <v>605169.6</v>
      </c>
      <c r="X30" s="500"/>
      <c r="Y30" s="500"/>
      <c r="Z30" s="500"/>
      <c r="AA30" s="500"/>
      <c r="AB30" s="1"/>
      <c r="AC30" s="1"/>
      <c r="AD30" s="1"/>
    </row>
    <row r="31" customFormat="false" ht="12.6" hidden="false" customHeight="true" outlineLevel="0" collapsed="false">
      <c r="A31" s="403" t="s">
        <v>421</v>
      </c>
      <c r="B31" s="378"/>
      <c r="C31" s="498" t="n">
        <f aca="false">IF(C3&gt;'Project Assumtions'!$I$15+1,0,C26+C28)</f>
        <v>1</v>
      </c>
      <c r="D31" s="498" t="n">
        <f aca="false">IF(D3&gt;'Project Assumtions'!$I$15+1,0,D26+D28)</f>
        <v>1</v>
      </c>
      <c r="E31" s="498" t="n">
        <f aca="false">IF(E3&gt;'Project Assumtions'!$I$15+1,0,E26+E28)</f>
        <v>1</v>
      </c>
      <c r="F31" s="498" t="n">
        <f aca="false">IF(F3&gt;'Project Assumtions'!$I$15+1,0,F26+F28)</f>
        <v>1</v>
      </c>
      <c r="G31" s="498" t="n">
        <f aca="false">IF(G3&gt;'Project Assumtions'!$I$15+1,0,G26+G28)</f>
        <v>1</v>
      </c>
      <c r="H31" s="498" t="n">
        <f aca="false">IF(H3&gt;'Project Assumtions'!$I$15+1,0,H26+H28)</f>
        <v>1</v>
      </c>
      <c r="I31" s="498" t="n">
        <f aca="false">IF(I3&gt;'Project Assumtions'!$I$15+1,0,I26+I28)</f>
        <v>1</v>
      </c>
      <c r="J31" s="498" t="n">
        <f aca="false">IF(J3&gt;'Project Assumtions'!$I$15+1,0,J26+J28)</f>
        <v>1</v>
      </c>
      <c r="K31" s="498" t="n">
        <f aca="false">IF(K3&gt;'Project Assumtions'!$I$15+1,0,K26+K28)</f>
        <v>1</v>
      </c>
      <c r="L31" s="498" t="n">
        <f aca="false">IF(L3&gt;'Project Assumtions'!$I$15+1,0,L26+L28)</f>
        <v>1</v>
      </c>
      <c r="M31" s="498" t="n">
        <f aca="false">IF(M3&gt;'Project Assumtions'!$I$15+1,0,M26+M28)</f>
        <v>1</v>
      </c>
      <c r="N31" s="498" t="n">
        <f aca="false">IF(N3&gt;'Project Assumtions'!$I$15+1,0,N26+N28)</f>
        <v>1</v>
      </c>
      <c r="O31" s="498" t="n">
        <f aca="false">IF(O3&gt;'Project Assumtions'!$I$15+1,0,O26+O28)</f>
        <v>1</v>
      </c>
      <c r="P31" s="498" t="n">
        <f aca="false">IF(P3&gt;'Project Assumtions'!$I$15+1,0,P26+P28)</f>
        <v>1</v>
      </c>
      <c r="Q31" s="498" t="n">
        <f aca="false">IF(Q3&gt;'Project Assumtions'!$I$15+1,0,Q26+Q28)</f>
        <v>1</v>
      </c>
      <c r="R31" s="498" t="n">
        <f aca="false">IF(R3&gt;'Project Assumtions'!$I$15+1,0,R26+R28)</f>
        <v>1</v>
      </c>
      <c r="S31" s="498" t="n">
        <f aca="false">IF(S3&gt;'Project Assumtions'!$I$15+1,0,S26+S28)</f>
        <v>1</v>
      </c>
      <c r="T31" s="498" t="n">
        <f aca="false">IF(T3&gt;'Project Assumtions'!$I$15+1,0,T26+T28)</f>
        <v>1</v>
      </c>
      <c r="U31" s="498" t="n">
        <f aca="false">IF(U3&gt;'Project Assumtions'!$I$15+1,0,U26+U28)</f>
        <v>1</v>
      </c>
      <c r="V31" s="498" t="n">
        <f aca="false">IF(V3&gt;'Project Assumtions'!$I$15+1,0,V26+V28)</f>
        <v>1</v>
      </c>
      <c r="W31" s="499" t="n">
        <f aca="false">IF(W3&gt;'Project Assumtions'!$I$15+1,0,W26+W28)</f>
        <v>1</v>
      </c>
      <c r="X31" s="498"/>
      <c r="Y31" s="498"/>
      <c r="Z31" s="498"/>
      <c r="AA31" s="498"/>
      <c r="AB31" s="1"/>
      <c r="AC31" s="1"/>
      <c r="AD31" s="1"/>
    </row>
    <row r="32" customFormat="false" ht="12.6" hidden="false" customHeight="true" outlineLevel="0" collapsed="false">
      <c r="A32" s="409" t="s">
        <v>422</v>
      </c>
      <c r="B32" s="481"/>
      <c r="C32" s="503" t="n">
        <f aca="false">IF(C3&gt;'Project Assumtions'!$I$15+1,0,'Project Assumtions'!$I$12*(1+C7))</f>
        <v>11735</v>
      </c>
      <c r="D32" s="503" t="n">
        <f aca="false">IF(D3&gt;'Project Assumtions'!$I$15+1,0,'Project Assumtions'!$I$12*(1+D7))</f>
        <v>11735</v>
      </c>
      <c r="E32" s="503" t="n">
        <f aca="false">IF(E3&gt;'Project Assumtions'!$I$15+1,0,'Project Assumtions'!$I$12*(1+E7))</f>
        <v>11735</v>
      </c>
      <c r="F32" s="503" t="n">
        <f aca="false">IF(F3&gt;'Project Assumtions'!$I$15+1,0,'Project Assumtions'!$I$12*(1+F7))</f>
        <v>11735</v>
      </c>
      <c r="G32" s="503" t="n">
        <f aca="false">IF(G3&gt;'Project Assumtions'!$I$15+1,0,'Project Assumtions'!$I$12*(1+G7))</f>
        <v>11735</v>
      </c>
      <c r="H32" s="503" t="n">
        <f aca="false">IF(H3&gt;'Project Assumtions'!$I$15+1,0,'Project Assumtions'!$I$12*(1+H7))</f>
        <v>11735</v>
      </c>
      <c r="I32" s="503" t="n">
        <f aca="false">IF(I3&gt;'Project Assumtions'!$I$15+1,0,'Project Assumtions'!$I$12*(1+I7))</f>
        <v>11735</v>
      </c>
      <c r="J32" s="503" t="n">
        <f aca="false">IF(J3&gt;'Project Assumtions'!$I$15+1,0,'Project Assumtions'!$I$12*(1+J7))</f>
        <v>11735</v>
      </c>
      <c r="K32" s="503" t="n">
        <f aca="false">IF(K3&gt;'Project Assumtions'!$I$15+1,0,'Project Assumtions'!$I$12*(1+K7))</f>
        <v>11735</v>
      </c>
      <c r="L32" s="503" t="n">
        <f aca="false">IF(L3&gt;'Project Assumtions'!$I$15+1,0,'Project Assumtions'!$I$12*(1+L7))</f>
        <v>11735</v>
      </c>
      <c r="M32" s="503" t="n">
        <f aca="false">IF(M3&gt;'Project Assumtions'!$I$15+1,0,'Project Assumtions'!$I$12*(1+M7))</f>
        <v>11735</v>
      </c>
      <c r="N32" s="503" t="n">
        <f aca="false">IF(N3&gt;'Project Assumtions'!$I$15+1,0,'Project Assumtions'!$I$12*(1+N7))</f>
        <v>11735</v>
      </c>
      <c r="O32" s="503" t="n">
        <f aca="false">IF(O3&gt;'Project Assumtions'!$I$15+1,0,'Project Assumtions'!$I$12*(1+O7))</f>
        <v>11735</v>
      </c>
      <c r="P32" s="503" t="n">
        <f aca="false">IF(P3&gt;'Project Assumtions'!$I$15+1,0,'Project Assumtions'!$I$12*(1+P7))</f>
        <v>11735</v>
      </c>
      <c r="Q32" s="503" t="n">
        <f aca="false">IF(Q3&gt;'Project Assumtions'!$I$15+1,0,'Project Assumtions'!$I$12*(1+Q7))</f>
        <v>11735</v>
      </c>
      <c r="R32" s="503" t="n">
        <f aca="false">IF(R3&gt;'Project Assumtions'!$I$15+1,0,'Project Assumtions'!$I$12*(1+R7))</f>
        <v>11735</v>
      </c>
      <c r="S32" s="503" t="n">
        <f aca="false">IF(S3&gt;'Project Assumtions'!$I$15+1,0,'Project Assumtions'!$I$12*(1+S7))</f>
        <v>11735</v>
      </c>
      <c r="T32" s="503" t="n">
        <f aca="false">IF(T3&gt;'Project Assumtions'!$I$15+1,0,'Project Assumtions'!$I$12*(1+T7))</f>
        <v>11735</v>
      </c>
      <c r="U32" s="503" t="n">
        <f aca="false">IF(U3&gt;'Project Assumtions'!$I$15+1,0,'Project Assumtions'!$I$12*(1+U7))</f>
        <v>11735</v>
      </c>
      <c r="V32" s="503" t="n">
        <f aca="false">IF(V3&gt;'Project Assumtions'!$I$15+1,0,'Project Assumtions'!$I$12*(1+V7))</f>
        <v>11735</v>
      </c>
      <c r="W32" s="504" t="n">
        <f aca="false">IF(W3&gt;'Project Assumtions'!$I$15+1,0,'Project Assumtions'!$I$12*(1+W7))</f>
        <v>11735</v>
      </c>
      <c r="X32" s="503"/>
      <c r="Y32" s="503"/>
      <c r="Z32" s="503"/>
      <c r="AA32" s="503"/>
      <c r="AB32" s="481"/>
      <c r="AC32" s="481"/>
      <c r="AD32" s="481"/>
    </row>
    <row r="33" customFormat="false" ht="12.6" hidden="false" customHeight="true" outlineLevel="0" collapsed="false">
      <c r="A33" s="409" t="s">
        <v>423</v>
      </c>
      <c r="B33" s="481"/>
      <c r="C33" s="434" t="n">
        <f aca="false">IF(C3&gt;'Project Assumtions'!$I$15+1,0,C32*C30/1000000)</f>
        <v>3860.815</v>
      </c>
      <c r="D33" s="434" t="n">
        <f aca="false">IF(D3&gt;'Project Assumtions'!$I$15+1,0,D32*D30/1000000)</f>
        <v>6618.54</v>
      </c>
      <c r="E33" s="434" t="n">
        <f aca="false">IF(E3&gt;'Project Assumtions'!$I$15+1,0,E32*E30/1000000)</f>
        <v>6618.54</v>
      </c>
      <c r="F33" s="434" t="n">
        <f aca="false">IF(F3&gt;'Project Assumtions'!$I$15+1,0,F32*F30/1000000)</f>
        <v>6934.88504988333</v>
      </c>
      <c r="G33" s="434" t="n">
        <f aca="false">IF(G3&gt;'Project Assumtions'!$I$15+1,0,G32*G30/1000000)</f>
        <v>7101.665256</v>
      </c>
      <c r="H33" s="434" t="n">
        <f aca="false">IF(H3&gt;'Project Assumtions'!$I$15+1,0,H32*H30/1000000)</f>
        <v>7101.665256</v>
      </c>
      <c r="I33" s="434" t="n">
        <f aca="false">IF(I3&gt;'Project Assumtions'!$I$15+1,0,I32*I30/1000000)</f>
        <v>7101.665256</v>
      </c>
      <c r="J33" s="434" t="n">
        <f aca="false">IF(J3&gt;'Project Assumtions'!$I$15+1,0,J32*J30/1000000)</f>
        <v>7101.665256</v>
      </c>
      <c r="K33" s="434" t="n">
        <f aca="false">IF(K3&gt;'Project Assumtions'!$I$15+1,0,K32*K30/1000000)</f>
        <v>7101.665256</v>
      </c>
      <c r="L33" s="434" t="n">
        <f aca="false">IF(L3&gt;'Project Assumtions'!$I$15+1,0,L32*L30/1000000)</f>
        <v>7101.665256</v>
      </c>
      <c r="M33" s="434" t="n">
        <f aca="false">IF(M3&gt;'Project Assumtions'!$I$15+1,0,M32*M30/1000000)</f>
        <v>7101.665256</v>
      </c>
      <c r="N33" s="434" t="n">
        <f aca="false">IF(N3&gt;'Project Assumtions'!$I$15+1,0,N32*N30/1000000)</f>
        <v>7101.665256</v>
      </c>
      <c r="O33" s="434" t="n">
        <f aca="false">IF(O3&gt;'Project Assumtions'!$I$15+1,0,O32*O30/1000000)</f>
        <v>7101.665256</v>
      </c>
      <c r="P33" s="434" t="n">
        <f aca="false">IF(P3&gt;'Project Assumtions'!$I$15+1,0,P32*P30/1000000)</f>
        <v>7101.665256</v>
      </c>
      <c r="Q33" s="434" t="n">
        <f aca="false">IF(Q3&gt;'Project Assumtions'!$I$15+1,0,Q32*Q30/1000000)</f>
        <v>7101.665256</v>
      </c>
      <c r="R33" s="434" t="n">
        <f aca="false">IF(R3&gt;'Project Assumtions'!$I$15+1,0,R32*R30/1000000)</f>
        <v>7101.665256</v>
      </c>
      <c r="S33" s="434" t="n">
        <f aca="false">IF(S3&gt;'Project Assumtions'!$I$15+1,0,S32*S30/1000000)</f>
        <v>7101.665256</v>
      </c>
      <c r="T33" s="434" t="n">
        <f aca="false">IF(T3&gt;'Project Assumtions'!$I$15+1,0,T32*T30/1000000)</f>
        <v>7101.665256</v>
      </c>
      <c r="U33" s="434" t="n">
        <f aca="false">IF(U3&gt;'Project Assumtions'!$I$15+1,0,U32*U30/1000000)</f>
        <v>7101.665256</v>
      </c>
      <c r="V33" s="434" t="n">
        <f aca="false">IF(V3&gt;'Project Assumtions'!$I$15+1,0,V32*V30/1000000)</f>
        <v>7101.665256</v>
      </c>
      <c r="W33" s="435" t="n">
        <f aca="false">IF(W3&gt;'Project Assumtions'!$I$15+1,0,W32*W30/1000000)</f>
        <v>7101.665256</v>
      </c>
      <c r="X33" s="434"/>
      <c r="Y33" s="434"/>
      <c r="Z33" s="434"/>
      <c r="AA33" s="434"/>
      <c r="AB33" s="481"/>
      <c r="AC33" s="481"/>
      <c r="AD33" s="481"/>
    </row>
    <row r="34" customFormat="false" ht="12.6" hidden="false" customHeight="true" outlineLevel="0" collapsed="false">
      <c r="A34" s="409"/>
      <c r="B34" s="481"/>
      <c r="C34" s="410"/>
      <c r="D34" s="410"/>
      <c r="E34" s="410"/>
      <c r="F34" s="410"/>
      <c r="G34" s="410"/>
      <c r="H34" s="410"/>
      <c r="I34" s="410"/>
      <c r="J34" s="410"/>
      <c r="K34" s="410"/>
      <c r="L34" s="410"/>
      <c r="M34" s="410"/>
      <c r="N34" s="410"/>
      <c r="O34" s="410"/>
      <c r="P34" s="410"/>
      <c r="Q34" s="410"/>
      <c r="R34" s="410"/>
      <c r="S34" s="410"/>
      <c r="T34" s="410"/>
      <c r="U34" s="410"/>
      <c r="V34" s="410"/>
      <c r="W34" s="489"/>
      <c r="X34" s="410"/>
      <c r="Y34" s="410"/>
      <c r="Z34" s="410"/>
      <c r="AA34" s="410"/>
      <c r="AB34" s="410"/>
      <c r="AC34" s="481"/>
      <c r="AD34" s="481"/>
    </row>
    <row r="35" customFormat="false" ht="12.6" hidden="false" customHeight="true" outlineLevel="0" collapsed="false">
      <c r="A35" s="409" t="s">
        <v>424</v>
      </c>
      <c r="B35" s="481"/>
      <c r="C35" s="431" t="n">
        <f aca="false">IF(C3&gt;'Project Assumtions'!$I$15+1,0,IF(AND('Project Assumtions'!$C$70="No",Operations!C3&gt;ProjectLife+1),0,Operations!C$43*C33))</f>
        <v>9652.0375</v>
      </c>
      <c r="D35" s="431" t="n">
        <f aca="false">IF(D3&gt;'Project Assumtions'!$I$15+1,0,IF(AND('Project Assumtions'!$C$70="No",Operations!D3&gt;ProjectLife+1),0,Operations!D$43*D33))</f>
        <v>16546.35</v>
      </c>
      <c r="E35" s="431" t="n">
        <f aca="false">IF(E3&gt;'Project Assumtions'!$I$15+1,0,IF(AND('Project Assumtions'!$C$70="No",Operations!E3&gt;ProjectLife+1),0,Operations!E$43*E33))</f>
        <v>16546.35</v>
      </c>
      <c r="F35" s="431" t="n">
        <f aca="false">IF(F3&gt;'Project Assumtions'!$I$15+1,0,IF(AND('Project Assumtions'!$C$70="No",Operations!F3&gt;ProjectLife+1),0,Operations!F$43*F33))</f>
        <v>17337.2126247083</v>
      </c>
      <c r="G35" s="431" t="n">
        <f aca="false">IF(G3&gt;'Project Assumtions'!$I$15+1,0,IF(AND('Project Assumtions'!$C$70="No",Operations!G3&gt;ProjectLife+1),0,Operations!G$43*G33))</f>
        <v>17754.16314</v>
      </c>
      <c r="H35" s="431" t="n">
        <f aca="false">IF(H3&gt;'Project Assumtions'!$I$15+1,0,IF(AND('Project Assumtions'!$C$70="No",Operations!H3&gt;ProjectLife+1),0,Operations!H$43*H33))</f>
        <v>17754.16314</v>
      </c>
      <c r="I35" s="431" t="n">
        <f aca="false">IF(I3&gt;'Project Assumtions'!$I$15+1,0,IF(AND('Project Assumtions'!$C$70="No",Operations!I3&gt;ProjectLife+1),0,Operations!I$43*I33))</f>
        <v>17754.16314</v>
      </c>
      <c r="J35" s="431" t="n">
        <f aca="false">IF(J3&gt;'Project Assumtions'!$I$15+1,0,IF(AND('Project Assumtions'!$C$70="No",Operations!J3&gt;ProjectLife+1),0,Operations!J$43*J33))</f>
        <v>17754.16314</v>
      </c>
      <c r="K35" s="431" t="n">
        <f aca="false">IF(K3&gt;'Project Assumtions'!$I$15+1,0,IF(AND('Project Assumtions'!$C$70="No",Operations!K3&gt;ProjectLife+1),0,Operations!K$43*K33))</f>
        <v>17754.16314</v>
      </c>
      <c r="L35" s="431" t="n">
        <f aca="false">IF(L3&gt;'Project Assumtions'!$I$15+1,0,IF(AND('Project Assumtions'!$C$70="No",Operations!L3&gt;ProjectLife+1),0,Operations!L$43*L33))</f>
        <v>17754.16314</v>
      </c>
      <c r="M35" s="431" t="n">
        <f aca="false">IF(M3&gt;'Project Assumtions'!$I$15+1,0,IF(AND('Project Assumtions'!$C$70="No",Operations!M3&gt;ProjectLife+1),0,Operations!M$43*M33))</f>
        <v>17754.16314</v>
      </c>
      <c r="N35" s="431" t="n">
        <f aca="false">IF(N3&gt;'Project Assumtions'!$I$15+1,0,IF(AND('Project Assumtions'!$C$70="No",Operations!N3&gt;ProjectLife+1),0,Operations!N$43*N33))</f>
        <v>17754.16314</v>
      </c>
      <c r="O35" s="431" t="n">
        <f aca="false">IF(O3&gt;'Project Assumtions'!$I$15+1,0,IF(AND('Project Assumtions'!$C$70="No",Operations!O3&gt;ProjectLife+1),0,Operations!O$43*O33))</f>
        <v>17754.16314</v>
      </c>
      <c r="P35" s="431" t="n">
        <f aca="false">IF(P3&gt;'Project Assumtions'!$I$15+1,0,IF(AND('Project Assumtions'!$C$70="No",Operations!P3&gt;ProjectLife+1),0,Operations!P$43*P33))</f>
        <v>17754.16314</v>
      </c>
      <c r="Q35" s="431" t="n">
        <f aca="false">IF(Q3&gt;'Project Assumtions'!$I$15+1,0,IF(AND('Project Assumtions'!$C$70="No",Operations!Q3&gt;ProjectLife+1),0,Operations!Q$43*Q33))</f>
        <v>17754.16314</v>
      </c>
      <c r="R35" s="431" t="n">
        <f aca="false">IF(R3&gt;'Project Assumtions'!$I$15+1,0,IF(AND('Project Assumtions'!$C$70="No",Operations!R3&gt;ProjectLife+1),0,Operations!R$43*R33))</f>
        <v>17754.16314</v>
      </c>
      <c r="S35" s="431" t="n">
        <f aca="false">IF(S3&gt;'Project Assumtions'!$I$15+1,0,IF(AND('Project Assumtions'!$C$70="No",Operations!S3&gt;ProjectLife+1),0,Operations!S$43*S33))</f>
        <v>17754.16314</v>
      </c>
      <c r="T35" s="431" t="n">
        <f aca="false">IF(T3&gt;'Project Assumtions'!$I$15+1,0,IF(AND('Project Assumtions'!$C$70="No",Operations!T3&gt;ProjectLife+1),0,Operations!T$43*T33))</f>
        <v>17754.16314</v>
      </c>
      <c r="U35" s="431" t="n">
        <f aca="false">IF(U3&gt;'Project Assumtions'!$I$15+1,0,IF(AND('Project Assumtions'!$C$70="No",Operations!U3&gt;ProjectLife+1),0,Operations!U$43*U33))</f>
        <v>17754.16314</v>
      </c>
      <c r="V35" s="431" t="n">
        <f aca="false">IF(V3&gt;'Project Assumtions'!$I$15+1,0,IF(AND('Project Assumtions'!$C$70="No",Operations!V3&gt;ProjectLife+1),0,Operations!V$43*V33))</f>
        <v>17754.16314</v>
      </c>
      <c r="W35" s="432" t="n">
        <f aca="false">IF(W3&gt;'Project Assumtions'!$I$15+1,0,IF(AND('Project Assumtions'!$C$70="No",Operations!W3&gt;ProjectLife+1),0,Operations!W$43*W33))</f>
        <v>17754.16314</v>
      </c>
      <c r="X35" s="431"/>
      <c r="Y35" s="431"/>
      <c r="Z35" s="431"/>
      <c r="AA35" s="431"/>
      <c r="AB35" s="481"/>
      <c r="AC35" s="481"/>
      <c r="AD35" s="481"/>
    </row>
    <row r="36" customFormat="false" ht="11.25" hidden="false" customHeight="false" outlineLevel="0" collapsed="false">
      <c r="A36" s="403" t="s">
        <v>425</v>
      </c>
      <c r="B36" s="378"/>
      <c r="C36" s="505" t="n">
        <f aca="false">C43*'Maintenance Reserves'!D7*'Project Assumtions'!$I$8*'Project Assumtions'!$N$61/1000</f>
        <v>0</v>
      </c>
      <c r="D36" s="505" t="n">
        <f aca="false">D43*'Maintenance Reserves'!E7*'Project Assumtions'!$I$8*'Project Assumtions'!$N$61/1000</f>
        <v>0</v>
      </c>
      <c r="E36" s="505" t="n">
        <f aca="false">E43*'Maintenance Reserves'!F7*'Project Assumtions'!$I$8*'Project Assumtions'!$N$61/1000</f>
        <v>0</v>
      </c>
      <c r="F36" s="505" t="n">
        <f aca="false">F43*'Maintenance Reserves'!G7*'Project Assumtions'!$I$8*'Project Assumtions'!$N$61/1000</f>
        <v>0</v>
      </c>
      <c r="G36" s="505" t="n">
        <f aca="false">G43*'Maintenance Reserves'!H7*'Project Assumtions'!$I$8*'Project Assumtions'!$N$61/1000</f>
        <v>0</v>
      </c>
      <c r="H36" s="505" t="n">
        <f aca="false">H43*'Maintenance Reserves'!I7*'Project Assumtions'!$I$8*'Project Assumtions'!$N$61/1000</f>
        <v>0</v>
      </c>
      <c r="I36" s="505" t="n">
        <f aca="false">I43*'Maintenance Reserves'!J7*'Project Assumtions'!$I$8*'Project Assumtions'!$N$61/1000</f>
        <v>0</v>
      </c>
      <c r="J36" s="505" t="n">
        <f aca="false">J43*'Maintenance Reserves'!K7*'Project Assumtions'!$I$8*'Project Assumtions'!$N$61/1000</f>
        <v>0</v>
      </c>
      <c r="K36" s="505" t="n">
        <f aca="false">K43*'Maintenance Reserves'!L7*'Project Assumtions'!$I$8*'Project Assumtions'!$N$61/1000</f>
        <v>0</v>
      </c>
      <c r="L36" s="505" t="n">
        <f aca="false">L43*'Maintenance Reserves'!M7*'Project Assumtions'!$I$8*'Project Assumtions'!$N$61/1000</f>
        <v>0</v>
      </c>
      <c r="M36" s="505" t="n">
        <f aca="false">M43*'Maintenance Reserves'!N7*'Project Assumtions'!$I$8*'Project Assumtions'!$N$61/1000</f>
        <v>0</v>
      </c>
      <c r="N36" s="505" t="n">
        <f aca="false">N43*'Maintenance Reserves'!O7*'Project Assumtions'!$I$8*'Project Assumtions'!$N$61/1000</f>
        <v>0</v>
      </c>
      <c r="O36" s="505" t="n">
        <f aca="false">O43*'Maintenance Reserves'!P7*'Project Assumtions'!$I$8*'Project Assumtions'!$N$61/1000</f>
        <v>0</v>
      </c>
      <c r="P36" s="505" t="n">
        <f aca="false">P43*'Maintenance Reserves'!Q7*'Project Assumtions'!$I$8*'Project Assumtions'!$N$61/1000</f>
        <v>0</v>
      </c>
      <c r="Q36" s="505" t="n">
        <f aca="false">Q43*'Maintenance Reserves'!R7*'Project Assumtions'!$I$8*'Project Assumtions'!$N$61/1000</f>
        <v>0</v>
      </c>
      <c r="R36" s="505" t="n">
        <f aca="false">R43*'Maintenance Reserves'!S7*'Project Assumtions'!$I$8*'Project Assumtions'!$N$61/1000</f>
        <v>0</v>
      </c>
      <c r="S36" s="505" t="n">
        <f aca="false">S43*'Maintenance Reserves'!T7*'Project Assumtions'!$I$8*'Project Assumtions'!$N$61/1000</f>
        <v>0</v>
      </c>
      <c r="T36" s="505" t="n">
        <f aca="false">T43*'Maintenance Reserves'!U7*'Project Assumtions'!$I$8*'Project Assumtions'!$N$61/1000</f>
        <v>0</v>
      </c>
      <c r="U36" s="505" t="n">
        <f aca="false">U43*'Maintenance Reserves'!V7*'Project Assumtions'!$I$8*'Project Assumtions'!$N$61/1000</f>
        <v>0</v>
      </c>
      <c r="V36" s="505" t="n">
        <f aca="false">V43*'Maintenance Reserves'!W7*'Project Assumtions'!$I$8*'Project Assumtions'!$N$61/1000</f>
        <v>0</v>
      </c>
      <c r="W36" s="506" t="n">
        <f aca="false">W43*'Maintenance Reserves'!X7*'Project Assumtions'!$I$8*'Project Assumtions'!$N$61/1000</f>
        <v>0</v>
      </c>
      <c r="X36" s="507"/>
      <c r="Y36" s="507"/>
      <c r="Z36" s="507"/>
      <c r="AA36" s="507"/>
      <c r="AB36" s="1"/>
      <c r="AC36" s="1"/>
      <c r="AD36" s="1"/>
    </row>
    <row r="37" customFormat="false" ht="12.75" hidden="false" customHeight="false" outlineLevel="0" collapsed="false">
      <c r="A37" s="457" t="s">
        <v>426</v>
      </c>
      <c r="B37" s="475"/>
      <c r="C37" s="508" t="n">
        <f aca="false">SUM(C35:C36)</f>
        <v>9652.0375</v>
      </c>
      <c r="D37" s="508" t="n">
        <f aca="false">SUM(D35:D36)</f>
        <v>16546.35</v>
      </c>
      <c r="E37" s="508" t="n">
        <f aca="false">SUM(E35:E36)</f>
        <v>16546.35</v>
      </c>
      <c r="F37" s="508" t="n">
        <f aca="false">SUM(F35:F36)</f>
        <v>17337.2126247083</v>
      </c>
      <c r="G37" s="508" t="n">
        <f aca="false">SUM(G35:G36)</f>
        <v>17754.16314</v>
      </c>
      <c r="H37" s="508" t="n">
        <f aca="false">SUM(H35:H36)</f>
        <v>17754.16314</v>
      </c>
      <c r="I37" s="508" t="n">
        <f aca="false">SUM(I35:I36)</f>
        <v>17754.16314</v>
      </c>
      <c r="J37" s="508" t="n">
        <f aca="false">SUM(J35:J36)</f>
        <v>17754.16314</v>
      </c>
      <c r="K37" s="508" t="n">
        <f aca="false">SUM(K35:K36)</f>
        <v>17754.16314</v>
      </c>
      <c r="L37" s="508" t="n">
        <f aca="false">SUM(L35:L36)</f>
        <v>17754.16314</v>
      </c>
      <c r="M37" s="508" t="n">
        <f aca="false">SUM(M35:M36)</f>
        <v>17754.16314</v>
      </c>
      <c r="N37" s="508" t="n">
        <f aca="false">SUM(N35:N36)</f>
        <v>17754.16314</v>
      </c>
      <c r="O37" s="508" t="n">
        <f aca="false">SUM(O35:O36)</f>
        <v>17754.16314</v>
      </c>
      <c r="P37" s="508" t="n">
        <f aca="false">SUM(P35:P36)</f>
        <v>17754.16314</v>
      </c>
      <c r="Q37" s="508" t="n">
        <f aca="false">SUM(Q35:Q36)</f>
        <v>17754.16314</v>
      </c>
      <c r="R37" s="508" t="n">
        <f aca="false">SUM(R35:R36)</f>
        <v>17754.16314</v>
      </c>
      <c r="S37" s="508" t="n">
        <f aca="false">SUM(S35:S36)</f>
        <v>17754.16314</v>
      </c>
      <c r="T37" s="508" t="n">
        <f aca="false">SUM(T35:T36)</f>
        <v>17754.16314</v>
      </c>
      <c r="U37" s="508" t="n">
        <f aca="false">SUM(U35:U36)</f>
        <v>17754.16314</v>
      </c>
      <c r="V37" s="508" t="n">
        <f aca="false">SUM(V35:V36)</f>
        <v>17754.16314</v>
      </c>
      <c r="W37" s="509" t="n">
        <f aca="false">SUM(W35:W36)</f>
        <v>17754.16314</v>
      </c>
      <c r="X37" s="510"/>
      <c r="Y37" s="510"/>
      <c r="Z37" s="510"/>
      <c r="AA37" s="510"/>
    </row>
    <row r="38" customFormat="false" ht="12.6" hidden="false" customHeight="true" outlineLevel="0" collapsed="false">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row>
    <row r="39" customFormat="false" ht="15.75" hidden="false" customHeight="false" outlineLevel="0" collapsed="false">
      <c r="A39" s="424" t="s">
        <v>427</v>
      </c>
      <c r="B39" s="374"/>
      <c r="C39" s="374"/>
      <c r="D39" s="374"/>
      <c r="E39" s="374"/>
      <c r="F39" s="374"/>
      <c r="G39" s="374"/>
      <c r="H39" s="374"/>
      <c r="I39" s="374"/>
      <c r="J39" s="374"/>
      <c r="K39" s="374"/>
      <c r="L39" s="374"/>
      <c r="M39" s="374"/>
      <c r="N39" s="374"/>
      <c r="O39" s="374"/>
      <c r="P39" s="374"/>
      <c r="Q39" s="374"/>
      <c r="R39" s="374"/>
      <c r="S39" s="374"/>
      <c r="T39" s="374"/>
      <c r="U39" s="374"/>
      <c r="V39" s="374"/>
      <c r="W39" s="511"/>
      <c r="X39" s="512"/>
      <c r="Y39" s="512"/>
      <c r="Z39" s="512"/>
      <c r="AA39" s="512"/>
      <c r="AB39" s="512"/>
      <c r="AC39" s="512"/>
      <c r="AD39" s="512"/>
    </row>
    <row r="40" customFormat="false" ht="12.6" hidden="false" customHeight="true" outlineLevel="0" collapsed="false">
      <c r="A40" s="409" t="s">
        <v>428</v>
      </c>
      <c r="B40" s="481"/>
      <c r="C40" s="513" t="n">
        <v>2.00713208333333</v>
      </c>
      <c r="D40" s="513" t="n">
        <v>2.30475916666667</v>
      </c>
      <c r="E40" s="513" t="n">
        <v>2.34312666666667</v>
      </c>
      <c r="F40" s="513" t="n">
        <v>2.37128</v>
      </c>
      <c r="G40" s="513" t="n">
        <v>2.408875</v>
      </c>
      <c r="H40" s="513" t="n">
        <v>2.45711333333333</v>
      </c>
      <c r="I40" s="513" t="n">
        <v>2.51530833333333</v>
      </c>
      <c r="J40" s="513" t="n">
        <v>2.5888675</v>
      </c>
      <c r="K40" s="513" t="n">
        <v>2.67753333333333</v>
      </c>
      <c r="L40" s="513" t="n">
        <v>2.7819925</v>
      </c>
      <c r="M40" s="513" t="n">
        <v>2.906365</v>
      </c>
      <c r="N40" s="513" t="n">
        <v>3.05193833333333</v>
      </c>
      <c r="O40" s="513" t="n">
        <v>3.21811166666667</v>
      </c>
      <c r="P40" s="513" t="n">
        <v>3.39544333333333</v>
      </c>
      <c r="Q40" s="513" t="n">
        <v>3.583075</v>
      </c>
      <c r="R40" s="513" t="n">
        <v>3.77628583333333</v>
      </c>
      <c r="S40" s="513" t="n">
        <v>3.97705</v>
      </c>
      <c r="T40" s="513" t="n">
        <v>4.2069975</v>
      </c>
      <c r="U40" s="513" t="n">
        <v>4.40458583333333</v>
      </c>
      <c r="V40" s="513" t="n">
        <v>4.60517833333333</v>
      </c>
      <c r="W40" s="514" t="n">
        <v>4.71246586666667</v>
      </c>
      <c r="X40" s="515"/>
      <c r="Y40" s="515"/>
      <c r="Z40" s="515"/>
      <c r="AA40" s="515"/>
      <c r="AB40" s="410"/>
      <c r="AC40" s="410"/>
      <c r="AD40" s="410"/>
    </row>
    <row r="41" customFormat="false" ht="12.6" hidden="false" customHeight="true" outlineLevel="0" collapsed="false">
      <c r="A41" s="409" t="s">
        <v>429</v>
      </c>
      <c r="B41" s="481"/>
      <c r="C41" s="515" t="n">
        <f aca="false">IF('PPA Assumptions &amp;Summary'!C3&gt;'Project Assumtions'!$I$15+1,0,'Project Assumtions'!$C$65)</f>
        <v>2.5</v>
      </c>
      <c r="D41" s="515" t="n">
        <f aca="false">IF('PPA Assumptions &amp;Summary'!D3&gt;'Project Assumtions'!$I$15+1,0,'Project Assumtions'!$C$65)</f>
        <v>2.5</v>
      </c>
      <c r="E41" s="515" t="n">
        <f aca="false">IF('PPA Assumptions &amp;Summary'!E3&gt;'Project Assumtions'!$I$15+1,0,'Project Assumtions'!$C$65)</f>
        <v>2.5</v>
      </c>
      <c r="F41" s="515" t="n">
        <f aca="false">IF('PPA Assumptions &amp;Summary'!F3&gt;'Project Assumtions'!$I$15+1,0,'Project Assumtions'!$C$65)</f>
        <v>2.5</v>
      </c>
      <c r="G41" s="515" t="n">
        <f aca="false">IF('PPA Assumptions &amp;Summary'!G3&gt;'Project Assumtions'!$I$15+1,0,'Project Assumtions'!$C$65)</f>
        <v>2.5</v>
      </c>
      <c r="H41" s="515" t="n">
        <f aca="false">IF('PPA Assumptions &amp;Summary'!H3&gt;'Project Assumtions'!$I$15+1,0,'Project Assumtions'!$C$65)</f>
        <v>2.5</v>
      </c>
      <c r="I41" s="515" t="n">
        <f aca="false">IF('PPA Assumptions &amp;Summary'!I3&gt;'Project Assumtions'!$I$15+1,0,'Project Assumtions'!$C$65)</f>
        <v>2.5</v>
      </c>
      <c r="J41" s="515" t="n">
        <f aca="false">IF('PPA Assumptions &amp;Summary'!J3&gt;'Project Assumtions'!$I$15+1,0,'Project Assumtions'!$C$65)</f>
        <v>2.5</v>
      </c>
      <c r="K41" s="515" t="n">
        <f aca="false">IF('PPA Assumptions &amp;Summary'!K3&gt;'Project Assumtions'!$I$15+1,0,'Project Assumtions'!$C$65)</f>
        <v>2.5</v>
      </c>
      <c r="L41" s="515" t="n">
        <f aca="false">IF('PPA Assumptions &amp;Summary'!L3&gt;'Project Assumtions'!$I$15+1,0,'Project Assumtions'!$C$65)</f>
        <v>2.5</v>
      </c>
      <c r="M41" s="515" t="n">
        <f aca="false">IF('PPA Assumptions &amp;Summary'!M3&gt;'Project Assumtions'!$I$15+1,0,'Project Assumtions'!$C$65)</f>
        <v>2.5</v>
      </c>
      <c r="N41" s="515" t="n">
        <f aca="false">IF('PPA Assumptions &amp;Summary'!N3&gt;'Project Assumtions'!$I$15+1,0,'Project Assumtions'!$C$65)</f>
        <v>2.5</v>
      </c>
      <c r="O41" s="515" t="n">
        <f aca="false">IF('PPA Assumptions &amp;Summary'!O3&gt;'Project Assumtions'!$I$15+1,0,'Project Assumtions'!$C$65)</f>
        <v>2.5</v>
      </c>
      <c r="P41" s="515" t="n">
        <f aca="false">IF('PPA Assumptions &amp;Summary'!P3&gt;'Project Assumtions'!$I$15+1,0,'Project Assumtions'!$C$65)</f>
        <v>2.5</v>
      </c>
      <c r="Q41" s="515" t="n">
        <f aca="false">IF('PPA Assumptions &amp;Summary'!Q3&gt;'Project Assumtions'!$I$15+1,0,'Project Assumtions'!$C$65)</f>
        <v>2.5</v>
      </c>
      <c r="R41" s="515" t="n">
        <f aca="false">IF('PPA Assumptions &amp;Summary'!R3&gt;'Project Assumtions'!$I$15+1,0,'Project Assumtions'!$C$65)</f>
        <v>2.5</v>
      </c>
      <c r="S41" s="515" t="n">
        <f aca="false">IF('PPA Assumptions &amp;Summary'!S3&gt;'Project Assumtions'!$I$15+1,0,'Project Assumtions'!$C$65)</f>
        <v>2.5</v>
      </c>
      <c r="T41" s="515" t="n">
        <f aca="false">IF('PPA Assumptions &amp;Summary'!T3&gt;'Project Assumtions'!$I$15+1,0,'Project Assumtions'!$C$65)</f>
        <v>2.5</v>
      </c>
      <c r="U41" s="515" t="n">
        <f aca="false">IF('PPA Assumptions &amp;Summary'!U3&gt;'Project Assumtions'!$I$15+1,0,'Project Assumtions'!$C$65)</f>
        <v>2.5</v>
      </c>
      <c r="V41" s="515" t="n">
        <f aca="false">IF('PPA Assumptions &amp;Summary'!V3&gt;'Project Assumtions'!$I$15+1,0,'Project Assumtions'!$C$65)</f>
        <v>2.5</v>
      </c>
      <c r="W41" s="516" t="n">
        <f aca="false">IF('PPA Assumptions &amp;Summary'!W3&gt;'Project Assumtions'!$I$15+1,0,'Project Assumtions'!$C$65)</f>
        <v>2.5</v>
      </c>
      <c r="X41" s="515"/>
      <c r="Y41" s="515"/>
      <c r="Z41" s="515"/>
      <c r="AA41" s="515"/>
      <c r="AB41" s="481"/>
      <c r="AC41" s="1"/>
      <c r="AD41" s="481"/>
    </row>
    <row r="42" customFormat="false" ht="12.6" hidden="false" customHeight="true" outlineLevel="0" collapsed="false">
      <c r="A42" s="413" t="s">
        <v>430</v>
      </c>
      <c r="B42" s="410"/>
      <c r="C42" s="465" t="n">
        <f aca="false">IF('PPA Assumptions &amp;Summary'!C3&gt;'Project Assumtions'!$I$15+1,0,IF('Project Assumtions'!$N$71&gt;0,'Project Assumtions'!$N$71,0))</f>
        <v>0</v>
      </c>
      <c r="D42" s="465" t="n">
        <f aca="false">IF('PPA Assumptions &amp;Summary'!D3&gt;'Project Assumtions'!$I$15+1,0,IF('Project Assumtions'!$N$71&gt;0,'Project Assumtions'!$N$71,0))</f>
        <v>0</v>
      </c>
      <c r="E42" s="465" t="n">
        <f aca="false">IF('PPA Assumptions &amp;Summary'!E3&gt;'Project Assumtions'!$I$15+1,0,IF('Project Assumtions'!$N$71&gt;0,'Project Assumtions'!$N$71,0))</f>
        <v>0</v>
      </c>
      <c r="F42" s="465" t="n">
        <f aca="false">IF('PPA Assumptions &amp;Summary'!F3&gt;'Project Assumtions'!$I$15+1,0,IF('Project Assumtions'!$N$71&gt;0,'Project Assumtions'!$N$71,0))</f>
        <v>0</v>
      </c>
      <c r="G42" s="465" t="n">
        <f aca="false">IF('PPA Assumptions &amp;Summary'!G3&gt;'Project Assumtions'!$I$15+1,0,IF('Project Assumtions'!$N$71&gt;0,'Project Assumtions'!$N$71,0))</f>
        <v>0</v>
      </c>
      <c r="H42" s="465" t="n">
        <f aca="false">IF('PPA Assumptions &amp;Summary'!H3&gt;'Project Assumtions'!$I$15+1,0,IF('Project Assumtions'!$N$71&gt;0,'Project Assumtions'!$N$71,0))</f>
        <v>0</v>
      </c>
      <c r="I42" s="465" t="n">
        <f aca="false">IF('PPA Assumptions &amp;Summary'!I3&gt;'Project Assumtions'!$I$15+1,0,IF('Project Assumtions'!$N$71&gt;0,'Project Assumtions'!$N$71,0))</f>
        <v>0</v>
      </c>
      <c r="J42" s="465" t="n">
        <f aca="false">IF('PPA Assumptions &amp;Summary'!J3&gt;'Project Assumtions'!$I$15+1,0,IF('Project Assumtions'!$N$71&gt;0,'Project Assumtions'!$N$71,0))</f>
        <v>0</v>
      </c>
      <c r="K42" s="465" t="n">
        <f aca="false">IF('PPA Assumptions &amp;Summary'!K3&gt;'Project Assumtions'!$I$15+1,0,IF('Project Assumtions'!$N$71&gt;0,'Project Assumtions'!$N$71,0))</f>
        <v>0</v>
      </c>
      <c r="L42" s="465" t="n">
        <f aca="false">IF('PPA Assumptions &amp;Summary'!L3&gt;'Project Assumtions'!$I$15+1,0,IF('Project Assumtions'!$N$71&gt;0,'Project Assumtions'!$N$71,0))</f>
        <v>0</v>
      </c>
      <c r="M42" s="465" t="n">
        <f aca="false">IF('PPA Assumptions &amp;Summary'!M3&gt;'Project Assumtions'!$I$15+1,0,IF('Project Assumtions'!$N$71&gt;0,'Project Assumtions'!$N$71,0))</f>
        <v>0</v>
      </c>
      <c r="N42" s="465" t="n">
        <f aca="false">IF('PPA Assumptions &amp;Summary'!N3&gt;'Project Assumtions'!$I$15+1,0,IF('Project Assumtions'!$N$71&gt;0,'Project Assumtions'!$N$71,0))</f>
        <v>0</v>
      </c>
      <c r="O42" s="465" t="n">
        <f aca="false">IF('PPA Assumptions &amp;Summary'!O3&gt;'Project Assumtions'!$I$15+1,0,IF('Project Assumtions'!$N$71&gt;0,'Project Assumtions'!$N$71,0))</f>
        <v>0</v>
      </c>
      <c r="P42" s="465" t="n">
        <f aca="false">IF('PPA Assumptions &amp;Summary'!P3&gt;'Project Assumtions'!$I$15+1,0,IF('Project Assumtions'!$N$71&gt;0,'Project Assumtions'!$N$71,0))</f>
        <v>0</v>
      </c>
      <c r="Q42" s="465" t="n">
        <f aca="false">IF('PPA Assumptions &amp;Summary'!Q3&gt;'Project Assumtions'!$I$15+1,0,IF('Project Assumtions'!$N$71&gt;0,'Project Assumtions'!$N$71,0))</f>
        <v>0</v>
      </c>
      <c r="R42" s="465" t="n">
        <f aca="false">IF('PPA Assumptions &amp;Summary'!R3&gt;'Project Assumtions'!$I$15+1,0,IF('Project Assumtions'!$N$71&gt;0,'Project Assumtions'!$N$71,0))</f>
        <v>0</v>
      </c>
      <c r="S42" s="465" t="n">
        <f aca="false">IF('PPA Assumptions &amp;Summary'!S3&gt;'Project Assumtions'!$I$15+1,0,IF('Project Assumtions'!$N$71&gt;0,'Project Assumtions'!$N$71,0))</f>
        <v>0</v>
      </c>
      <c r="T42" s="465" t="n">
        <f aca="false">IF('PPA Assumptions &amp;Summary'!T3&gt;'Project Assumtions'!$I$15+1,0,IF('Project Assumtions'!$N$71&gt;0,'Project Assumtions'!$N$71,0))</f>
        <v>0</v>
      </c>
      <c r="U42" s="465" t="n">
        <f aca="false">IF('PPA Assumptions &amp;Summary'!U3&gt;'Project Assumtions'!$I$15+1,0,IF('Project Assumtions'!$N$71&gt;0,'Project Assumtions'!$N$71,0))</f>
        <v>0</v>
      </c>
      <c r="V42" s="465" t="n">
        <f aca="false">IF('PPA Assumptions &amp;Summary'!V3&gt;'Project Assumtions'!$I$15+1,0,IF('Project Assumtions'!$N$71&gt;0,'Project Assumtions'!$N$71,0))</f>
        <v>0</v>
      </c>
      <c r="W42" s="517" t="n">
        <f aca="false">IF('PPA Assumptions &amp;Summary'!W3&gt;'Project Assumtions'!$I$15+1,0,IF('Project Assumtions'!$N$71&gt;0,'Project Assumtions'!$N$71,0))</f>
        <v>0</v>
      </c>
      <c r="X42" s="465"/>
      <c r="Y42" s="465"/>
      <c r="Z42" s="465"/>
      <c r="AA42" s="465"/>
      <c r="AB42" s="410"/>
      <c r="AC42" s="410"/>
      <c r="AD42" s="410"/>
    </row>
    <row r="43" customFormat="false" ht="12.6" hidden="false" customHeight="true" outlineLevel="0" collapsed="false">
      <c r="A43" s="413" t="s">
        <v>431</v>
      </c>
      <c r="B43" s="410"/>
      <c r="C43" s="518" t="n">
        <f aca="false">IF(AND('Project Assumtions'!$C$64="Fixed",C42&gt;0),C41*(1+C42),IF(AND('Project Assumtions'!$C$64="Index",C42&gt;0),C40*(1+C42),IF('Project Assumtions'!$C$64="Fixed",C41,C40)))</f>
        <v>2.5</v>
      </c>
      <c r="D43" s="518" t="n">
        <f aca="false">IF(AND('Project Assumtions'!$C$64="Fixed",D42&gt;0),D41*(1+D42),IF(AND('Project Assumtions'!$C$64="Index",D42&gt;0),D40*(1+D42),IF('Project Assumtions'!$C$64="Fixed",D41,D40)))</f>
        <v>2.5</v>
      </c>
      <c r="E43" s="518" t="n">
        <f aca="false">IF(AND('Project Assumtions'!$C$64="Fixed",E42&gt;0),E41*(1+E42),IF(AND('Project Assumtions'!$C$64="Index",E42&gt;0),E40*(1+E42),IF('Project Assumtions'!$C$64="Fixed",E41,E40)))</f>
        <v>2.5</v>
      </c>
      <c r="F43" s="518" t="n">
        <f aca="false">IF(AND('Project Assumtions'!$C$64="Fixed",F42&gt;0),F41*(1+F42),IF(AND('Project Assumtions'!$C$64="Index",F42&gt;0),F40*(1+F42),IF('Project Assumtions'!$C$64="Fixed",F41,F40)))</f>
        <v>2.5</v>
      </c>
      <c r="G43" s="518" t="n">
        <f aca="false">IF(AND('Project Assumtions'!$C$64="Fixed",G42&gt;0),G41*(1+G42),IF(AND('Project Assumtions'!$C$64="Index",G42&gt;0),G40*(1+G42),IF('Project Assumtions'!$C$64="Fixed",G41,G40)))</f>
        <v>2.5</v>
      </c>
      <c r="H43" s="518" t="n">
        <f aca="false">IF(AND('Project Assumtions'!$C$64="Fixed",H42&gt;0),H41*(1+H42),IF(AND('Project Assumtions'!$C$64="Index",H42&gt;0),H40*(1+H42),IF('Project Assumtions'!$C$64="Fixed",H41,H40)))</f>
        <v>2.5</v>
      </c>
      <c r="I43" s="518" t="n">
        <f aca="false">IF(AND('Project Assumtions'!$C$64="Fixed",I42&gt;0),I41*(1+I42),IF(AND('Project Assumtions'!$C$64="Index",I42&gt;0),I40*(1+I42),IF('Project Assumtions'!$C$64="Fixed",I41,I40)))</f>
        <v>2.5</v>
      </c>
      <c r="J43" s="518" t="n">
        <f aca="false">IF(AND('Project Assumtions'!$C$64="Fixed",J42&gt;0),J41*(1+J42),IF(AND('Project Assumtions'!$C$64="Index",J42&gt;0),J40*(1+J42),IF('Project Assumtions'!$C$64="Fixed",J41,J40)))</f>
        <v>2.5</v>
      </c>
      <c r="K43" s="518" t="n">
        <f aca="false">IF(AND('Project Assumtions'!$C$64="Fixed",K42&gt;0),K41*(1+K42),IF(AND('Project Assumtions'!$C$64="Index",K42&gt;0),K40*(1+K42),IF('Project Assumtions'!$C$64="Fixed",K41,K40)))</f>
        <v>2.5</v>
      </c>
      <c r="L43" s="518" t="n">
        <f aca="false">IF(AND('Project Assumtions'!$C$64="Fixed",L42&gt;0),L41*(1+L42),IF(AND('Project Assumtions'!$C$64="Index",L42&gt;0),L40*(1+L42),IF('Project Assumtions'!$C$64="Fixed",L41,L40)))</f>
        <v>2.5</v>
      </c>
      <c r="M43" s="518" t="n">
        <f aca="false">IF(AND('Project Assumtions'!$C$64="Fixed",M42&gt;0),M41*(1+M42),IF(AND('Project Assumtions'!$C$64="Index",M42&gt;0),M40*(1+M42),IF('Project Assumtions'!$C$64="Fixed",M41,M40)))</f>
        <v>2.5</v>
      </c>
      <c r="N43" s="518" t="n">
        <f aca="false">IF(AND('Project Assumtions'!$C$64="Fixed",N42&gt;0),N41*(1+N42),IF(AND('Project Assumtions'!$C$64="Index",N42&gt;0),N40*(1+N42),IF('Project Assumtions'!$C$64="Fixed",N41,N40)))</f>
        <v>2.5</v>
      </c>
      <c r="O43" s="518" t="n">
        <f aca="false">IF(AND('Project Assumtions'!$C$64="Fixed",O42&gt;0),O41*(1+O42),IF(AND('Project Assumtions'!$C$64="Index",O42&gt;0),O40*(1+O42),IF('Project Assumtions'!$C$64="Fixed",O41,O40)))</f>
        <v>2.5</v>
      </c>
      <c r="P43" s="518" t="n">
        <f aca="false">IF(AND('Project Assumtions'!$C$64="Fixed",P42&gt;0),P41*(1+P42),IF(AND('Project Assumtions'!$C$64="Index",P42&gt;0),P40*(1+P42),IF('Project Assumtions'!$C$64="Fixed",P41,P40)))</f>
        <v>2.5</v>
      </c>
      <c r="Q43" s="518" t="n">
        <f aca="false">IF(AND('Project Assumtions'!$C$64="Fixed",Q42&gt;0),Q41*(1+Q42),IF(AND('Project Assumtions'!$C$64="Index",Q42&gt;0),Q40*(1+Q42),IF('Project Assumtions'!$C$64="Fixed",Q41,Q40)))</f>
        <v>2.5</v>
      </c>
      <c r="R43" s="518" t="n">
        <f aca="false">IF(AND('Project Assumtions'!$C$64="Fixed",R42&gt;0),R41*(1+R42),IF(AND('Project Assumtions'!$C$64="Index",R42&gt;0),R40*(1+R42),IF('Project Assumtions'!$C$64="Fixed",R41,R40)))</f>
        <v>2.5</v>
      </c>
      <c r="S43" s="518" t="n">
        <f aca="false">IF(AND('Project Assumtions'!$C$64="Fixed",S42&gt;0),S41*(1+S42),IF(AND('Project Assumtions'!$C$64="Index",S42&gt;0),S40*(1+S42),IF('Project Assumtions'!$C$64="Fixed",S41,S40)))</f>
        <v>2.5</v>
      </c>
      <c r="T43" s="518" t="n">
        <f aca="false">IF(AND('Project Assumtions'!$C$64="Fixed",T42&gt;0),T41*(1+T42),IF(AND('Project Assumtions'!$C$64="Index",T42&gt;0),T40*(1+T42),IF('Project Assumtions'!$C$64="Fixed",T41,T40)))</f>
        <v>2.5</v>
      </c>
      <c r="U43" s="518" t="n">
        <f aca="false">IF(AND('Project Assumtions'!$C$64="Fixed",U42&gt;0),U41*(1+U42),IF(AND('Project Assumtions'!$C$64="Index",U42&gt;0),U40*(1+U42),IF('Project Assumtions'!$C$64="Fixed",U41,U40)))</f>
        <v>2.5</v>
      </c>
      <c r="V43" s="518" t="n">
        <f aca="false">IF(AND('Project Assumtions'!$C$64="Fixed",V42&gt;0),V41*(1+V42),IF(AND('Project Assumtions'!$C$64="Index",V42&gt;0),V40*(1+V42),IF('Project Assumtions'!$C$64="Fixed",V41,V40)))</f>
        <v>2.5</v>
      </c>
      <c r="W43" s="519" t="n">
        <f aca="false">IF(AND('Project Assumtions'!$C$64="Fixed",W42&gt;0),W41*(1+W42),IF(AND('Project Assumtions'!$C$64="Index",W42&gt;0),W40*(1+W42),IF('Project Assumtions'!$C$64="Fixed",W41,W40)))</f>
        <v>2.5</v>
      </c>
      <c r="X43" s="518"/>
      <c r="Y43" s="518"/>
      <c r="Z43" s="518"/>
      <c r="AA43" s="518"/>
      <c r="AB43" s="410"/>
      <c r="AC43" s="410"/>
      <c r="AD43" s="410"/>
    </row>
    <row r="44" customFormat="false" ht="12.6" hidden="false" customHeight="true" outlineLevel="0" collapsed="false">
      <c r="A44" s="413"/>
      <c r="B44" s="410"/>
      <c r="C44" s="518"/>
      <c r="D44" s="518"/>
      <c r="E44" s="518"/>
      <c r="F44" s="518"/>
      <c r="G44" s="518"/>
      <c r="H44" s="518"/>
      <c r="I44" s="518"/>
      <c r="J44" s="518"/>
      <c r="K44" s="518"/>
      <c r="L44" s="518"/>
      <c r="M44" s="518"/>
      <c r="N44" s="518"/>
      <c r="O44" s="518"/>
      <c r="P44" s="518"/>
      <c r="Q44" s="518"/>
      <c r="R44" s="518"/>
      <c r="S44" s="518"/>
      <c r="T44" s="518"/>
      <c r="U44" s="518"/>
      <c r="V44" s="518"/>
      <c r="W44" s="519"/>
      <c r="X44" s="518"/>
      <c r="Y44" s="518"/>
      <c r="Z44" s="518"/>
      <c r="AA44" s="518"/>
      <c r="AB44" s="410"/>
      <c r="AC44" s="410"/>
      <c r="AD44" s="410"/>
    </row>
    <row r="45" customFormat="false" ht="12.6" hidden="false" customHeight="true" outlineLevel="0" collapsed="false">
      <c r="A45" s="409" t="s">
        <v>432</v>
      </c>
      <c r="B45" s="481"/>
      <c r="C45" s="515" t="n">
        <v>21.1797</v>
      </c>
      <c r="D45" s="515" t="n">
        <v>22.01295</v>
      </c>
      <c r="E45" s="515" t="n">
        <v>23.55825</v>
      </c>
      <c r="F45" s="515" t="n">
        <v>24.58845</v>
      </c>
      <c r="G45" s="515" t="n">
        <v>26.462</v>
      </c>
      <c r="H45" s="515" t="n">
        <v>29.110725</v>
      </c>
      <c r="I45" s="515" t="n">
        <v>31.221625</v>
      </c>
      <c r="J45" s="515" t="n">
        <v>32.913375</v>
      </c>
      <c r="K45" s="515" t="n">
        <v>31.893275</v>
      </c>
      <c r="L45" s="515" t="n">
        <v>34.744</v>
      </c>
      <c r="M45" s="515" t="n">
        <v>38.104775</v>
      </c>
      <c r="N45" s="515" t="n">
        <v>40.0566</v>
      </c>
      <c r="O45" s="515" t="n">
        <v>39.882375</v>
      </c>
      <c r="P45" s="515" t="n">
        <v>39.331925</v>
      </c>
      <c r="Q45" s="515" t="n">
        <v>46.321125</v>
      </c>
      <c r="R45" s="515" t="n">
        <v>44.642</v>
      </c>
      <c r="S45" s="515" t="n">
        <v>50.891375</v>
      </c>
      <c r="T45" s="515" t="n">
        <v>50.096</v>
      </c>
      <c r="U45" s="515" t="n">
        <v>49.431925</v>
      </c>
      <c r="V45" s="515" t="n">
        <v>56.320125</v>
      </c>
      <c r="W45" s="516" t="n">
        <v>52.0453</v>
      </c>
      <c r="X45" s="515"/>
      <c r="Y45" s="515"/>
      <c r="Z45" s="515"/>
      <c r="AA45" s="515"/>
      <c r="AB45" s="481"/>
      <c r="AC45" s="481"/>
      <c r="AD45" s="481"/>
    </row>
    <row r="46" customFormat="false" ht="12.75" hidden="false" customHeight="false" outlineLevel="0" collapsed="false">
      <c r="A46" s="418" t="s">
        <v>433</v>
      </c>
      <c r="B46" s="475"/>
      <c r="C46" s="520" t="str">
        <f aca="false">IF('PPA Assumptions &amp;Summary'!C3&gt;ProjectLife+1,'Project Assumtions'!$C$72,"")</f>
        <v/>
      </c>
      <c r="D46" s="520" t="str">
        <f aca="false">IF('PPA Assumptions &amp;Summary'!D3&gt;ProjectLife+1,'Project Assumtions'!$C$72,"")</f>
        <v/>
      </c>
      <c r="E46" s="520" t="str">
        <f aca="false">IF('PPA Assumptions &amp;Summary'!E3&gt;ProjectLife+1,'Project Assumtions'!$C$72,"")</f>
        <v/>
      </c>
      <c r="F46" s="520" t="str">
        <f aca="false">IF('PPA Assumptions &amp;Summary'!F3&gt;ProjectLife+1,'Project Assumtions'!$C$72,"")</f>
        <v/>
      </c>
      <c r="G46" s="520" t="str">
        <f aca="false">IF('PPA Assumptions &amp;Summary'!G3&gt;ProjectLife+1,'Project Assumtions'!$C$72,"")</f>
        <v/>
      </c>
      <c r="H46" s="520" t="str">
        <f aca="false">IF('PPA Assumptions &amp;Summary'!H3&gt;ProjectLife+1,'Project Assumtions'!$C$72,"")</f>
        <v/>
      </c>
      <c r="I46" s="520" t="str">
        <f aca="false">IF('PPA Assumptions &amp;Summary'!I3&gt;ProjectLife+1,'Project Assumtions'!$C$72,"")</f>
        <v/>
      </c>
      <c r="J46" s="520" t="str">
        <f aca="false">IF('PPA Assumptions &amp;Summary'!J3&gt;ProjectLife+1,'Project Assumtions'!$C$72,"")</f>
        <v/>
      </c>
      <c r="K46" s="520" t="str">
        <f aca="false">IF('PPA Assumptions &amp;Summary'!K3&gt;ProjectLife+1,'Project Assumtions'!$C$72,"")</f>
        <v/>
      </c>
      <c r="L46" s="520" t="str">
        <f aca="false">IF('PPA Assumptions &amp;Summary'!L3&gt;ProjectLife+1,'Project Assumtions'!$C$72,"")</f>
        <v/>
      </c>
      <c r="M46" s="520" t="str">
        <f aca="false">IF('PPA Assumptions &amp;Summary'!M3&gt;ProjectLife+1,'Project Assumtions'!$C$72,"")</f>
        <v/>
      </c>
      <c r="N46" s="520" t="str">
        <f aca="false">IF('PPA Assumptions &amp;Summary'!N3&gt;ProjectLife+1,'Project Assumtions'!$C$72,"")</f>
        <v/>
      </c>
      <c r="O46" s="520" t="str">
        <f aca="false">IF('PPA Assumptions &amp;Summary'!O3&gt;ProjectLife+1,'Project Assumtions'!$C$72,"")</f>
        <v/>
      </c>
      <c r="P46" s="520" t="str">
        <f aca="false">IF('PPA Assumptions &amp;Summary'!P3&gt;ProjectLife+1,'Project Assumtions'!$C$72,"")</f>
        <v/>
      </c>
      <c r="Q46" s="520" t="str">
        <f aca="false">IF('PPA Assumptions &amp;Summary'!Q3&gt;ProjectLife+1,'Project Assumtions'!$C$72,"")</f>
        <v/>
      </c>
      <c r="R46" s="520" t="str">
        <f aca="false">IF('PPA Assumptions &amp;Summary'!R3&gt;ProjectLife+1,'Project Assumtions'!$C$72,"")</f>
        <v/>
      </c>
      <c r="S46" s="520" t="str">
        <f aca="false">IF('PPA Assumptions &amp;Summary'!S3&gt;ProjectLife+1,'Project Assumtions'!$C$72,"")</f>
        <v/>
      </c>
      <c r="T46" s="520" t="str">
        <f aca="false">IF('PPA Assumptions &amp;Summary'!T3&gt;ProjectLife+1,'Project Assumtions'!$C$72,"")</f>
        <v/>
      </c>
      <c r="U46" s="520" t="str">
        <f aca="false">IF('PPA Assumptions &amp;Summary'!U3&gt;ProjectLife+1,'Project Assumtions'!$C$72,"")</f>
        <v/>
      </c>
      <c r="V46" s="520" t="str">
        <f aca="false">IF('PPA Assumptions &amp;Summary'!V3&gt;ProjectLife+1,'Project Assumtions'!$C$72,"")</f>
        <v/>
      </c>
      <c r="W46" s="521" t="str">
        <f aca="false">IF('PPA Assumptions &amp;Summary'!W3&gt;ProjectLife+1,'Project Assumtions'!$C$72,"")</f>
        <v/>
      </c>
      <c r="X46" s="515"/>
      <c r="Y46" s="515"/>
      <c r="Z46" s="515"/>
      <c r="AA46" s="515"/>
    </row>
    <row r="69" customFormat="false" ht="12.75" hidden="false" customHeight="false" outlineLevel="0" collapsed="false">
      <c r="C69" s="522"/>
      <c r="D69" s="522"/>
      <c r="E69" s="522"/>
      <c r="F69" s="522"/>
      <c r="G69" s="522"/>
      <c r="H69" s="522"/>
      <c r="I69" s="522"/>
      <c r="J69" s="522"/>
    </row>
    <row r="71"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3" manualBreakCount="3">
    <brk id="14" man="true" max="65535" min="0"/>
    <brk id="31" man="true" max="65535" min="0"/>
    <brk id="48" man="true" max="65535" min="0"/>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A281"/>
  <sheetViews>
    <sheetView showFormulas="false" showGridLines="true" showRowColHeaders="true" showZeros="true" rightToLeft="false" tabSelected="false" showOutlineSymbols="true" defaultGridColor="true" view="normal" topLeftCell="A25" colorId="64" zoomScale="75" zoomScaleNormal="75" zoomScalePageLayoutView="85" workbookViewId="0">
      <selection pane="topLeft" activeCell="E56" activeCellId="0" sqref="E56"/>
    </sheetView>
  </sheetViews>
  <sheetFormatPr defaultColWidth="9.0546875" defaultRowHeight="12.75" customHeight="true" zeroHeight="false" outlineLevelRow="0" outlineLevelCol="0"/>
  <cols>
    <col collapsed="false" customWidth="true" hidden="false" outlineLevel="0" max="1" min="1" style="6" width="36.28"/>
    <col collapsed="false" customWidth="true" hidden="false" outlineLevel="0" max="3" min="2" style="6" width="12.42"/>
    <col collapsed="false" customWidth="true" hidden="false" outlineLevel="0" max="4" min="4" style="6" width="9.14"/>
    <col collapsed="false" customWidth="true" hidden="false" outlineLevel="0" max="12" min="5" style="6" width="11.42"/>
    <col collapsed="false" customWidth="true" hidden="false" outlineLevel="0" max="13" min="13" style="6" width="9.85"/>
    <col collapsed="false" customWidth="true" hidden="false" outlineLevel="0" max="26" min="14" style="6" width="11.42"/>
    <col collapsed="false" customWidth="true" hidden="true" outlineLevel="0" max="28" min="27" style="6" width="11.42"/>
    <col collapsed="false" customWidth="true" hidden="false" outlineLevel="0" max="29" min="29" style="6" width="11.42"/>
    <col collapsed="false" customWidth="true" hidden="false" outlineLevel="0" max="32" min="30" style="6" width="9.14"/>
  </cols>
  <sheetData>
    <row r="1" customFormat="false" ht="20.25" hidden="false" customHeight="false" outlineLevel="0" collapsed="false">
      <c r="A1" s="367" t="str">
        <f aca="false">'Project Assumtions'!$A$2</f>
        <v>WHEATLAND POWER IN, L.L.C.</v>
      </c>
      <c r="B1" s="478"/>
      <c r="C1" s="368"/>
    </row>
    <row r="2" customFormat="false" ht="15.6" hidden="false" customHeight="true" outlineLevel="0" collapsed="false">
      <c r="A2" s="370" t="s">
        <v>434</v>
      </c>
      <c r="B2" s="479"/>
      <c r="C2" s="371"/>
      <c r="E2" s="481"/>
    </row>
    <row r="3" customFormat="false" ht="12.6" hidden="false" customHeight="true" outlineLevel="0" collapsed="false">
      <c r="A3" s="30"/>
      <c r="B3" s="1"/>
      <c r="C3" s="1"/>
      <c r="D3" s="1"/>
      <c r="E3" s="481"/>
      <c r="F3" s="1"/>
      <c r="G3" s="1"/>
      <c r="H3" s="1"/>
      <c r="I3" s="1"/>
      <c r="J3" s="1"/>
      <c r="K3" s="1"/>
      <c r="L3" s="1"/>
      <c r="M3" s="1"/>
      <c r="N3" s="1"/>
      <c r="O3" s="1"/>
      <c r="P3" s="1"/>
      <c r="Q3" s="1"/>
      <c r="R3" s="1"/>
      <c r="S3" s="1"/>
      <c r="T3" s="1"/>
      <c r="U3" s="1"/>
      <c r="V3" s="1"/>
      <c r="W3" s="1"/>
      <c r="X3" s="1"/>
      <c r="Y3" s="1"/>
      <c r="Z3" s="1"/>
      <c r="AA3" s="1"/>
      <c r="AB3" s="1"/>
      <c r="AC3" s="1"/>
      <c r="AD3" s="1"/>
      <c r="AE3" s="1"/>
      <c r="AF3" s="1"/>
    </row>
    <row r="4" customFormat="false" ht="12.6" hidden="false" customHeight="true" outlineLevel="0" collapsed="false">
      <c r="A4" s="1"/>
      <c r="B4" s="1"/>
      <c r="C4" s="1"/>
      <c r="D4" s="481"/>
      <c r="E4" s="481" t="n">
        <f aca="false">'Book Income Statement'!D3</f>
        <v>1</v>
      </c>
      <c r="F4" s="481" t="n">
        <f aca="false">'Book Income Statement'!E3</f>
        <v>2</v>
      </c>
      <c r="G4" s="481" t="n">
        <f aca="false">'Book Income Statement'!F3</f>
        <v>3</v>
      </c>
      <c r="H4" s="481" t="n">
        <f aca="false">'Book Income Statement'!G3</f>
        <v>4</v>
      </c>
      <c r="I4" s="481" t="n">
        <f aca="false">'Book Income Statement'!H3</f>
        <v>5</v>
      </c>
      <c r="J4" s="481" t="n">
        <f aca="false">'Book Income Statement'!I3</f>
        <v>6</v>
      </c>
      <c r="K4" s="481" t="n">
        <f aca="false">'Book Income Statement'!J3</f>
        <v>7</v>
      </c>
      <c r="L4" s="481" t="n">
        <f aca="false">'Book Income Statement'!K3</f>
        <v>8</v>
      </c>
      <c r="M4" s="481" t="n">
        <f aca="false">'Book Income Statement'!L3</f>
        <v>9</v>
      </c>
      <c r="N4" s="481" t="n">
        <f aca="false">'Book Income Statement'!M3</f>
        <v>10</v>
      </c>
      <c r="O4" s="481" t="n">
        <f aca="false">'Book Income Statement'!N3</f>
        <v>11</v>
      </c>
      <c r="P4" s="481" t="n">
        <f aca="false">'Book Income Statement'!O3</f>
        <v>12</v>
      </c>
      <c r="Q4" s="481" t="n">
        <f aca="false">'Book Income Statement'!P3</f>
        <v>13</v>
      </c>
      <c r="R4" s="481" t="n">
        <f aca="false">'Book Income Statement'!Q3</f>
        <v>14</v>
      </c>
      <c r="S4" s="481" t="n">
        <f aca="false">'Book Income Statement'!R3</f>
        <v>15</v>
      </c>
      <c r="T4" s="481" t="n">
        <f aca="false">'Book Income Statement'!S3</f>
        <v>16</v>
      </c>
      <c r="U4" s="481" t="n">
        <f aca="false">'Book Income Statement'!T3</f>
        <v>17</v>
      </c>
      <c r="V4" s="481" t="n">
        <f aca="false">'Book Income Statement'!U3</f>
        <v>18</v>
      </c>
      <c r="W4" s="481" t="n">
        <f aca="false">'Book Income Statement'!V3</f>
        <v>19</v>
      </c>
      <c r="X4" s="481" t="n">
        <f aca="false">'Book Income Statement'!W3</f>
        <v>20</v>
      </c>
      <c r="Y4" s="481" t="n">
        <f aca="false">'Book Income Statement'!X3</f>
        <v>21</v>
      </c>
      <c r="Z4" s="481" t="n">
        <f aca="false">'Book Income Statement'!Y3</f>
        <v>22</v>
      </c>
      <c r="AA4" s="481" t="n">
        <f aca="false">'Book Income Statement'!Z3</f>
        <v>23</v>
      </c>
      <c r="AB4" s="481" t="n">
        <f aca="false">'Book Income Statement'!AA3</f>
        <v>24</v>
      </c>
      <c r="AC4" s="481" t="n">
        <f aca="false">'Book Income Statement'!AB3</f>
        <v>25</v>
      </c>
    </row>
    <row r="5" customFormat="false" ht="12.6" hidden="false" customHeight="true" outlineLevel="0" collapsed="false">
      <c r="A5" s="484"/>
      <c r="B5" s="523"/>
      <c r="C5" s="485"/>
      <c r="D5" s="485"/>
      <c r="E5" s="524" t="n">
        <f aca="false">YEAR('Project Assumtions'!$G$16)</f>
        <v>2000</v>
      </c>
      <c r="F5" s="524" t="n">
        <f aca="false">E5+1</f>
        <v>2001</v>
      </c>
      <c r="G5" s="524" t="n">
        <f aca="false">F5+1</f>
        <v>2002</v>
      </c>
      <c r="H5" s="524" t="n">
        <f aca="false">G5+1</f>
        <v>2003</v>
      </c>
      <c r="I5" s="524" t="n">
        <f aca="false">H5+1</f>
        <v>2004</v>
      </c>
      <c r="J5" s="524" t="n">
        <f aca="false">I5+1</f>
        <v>2005</v>
      </c>
      <c r="K5" s="524" t="n">
        <f aca="false">J5+1</f>
        <v>2006</v>
      </c>
      <c r="L5" s="524" t="n">
        <f aca="false">K5+1</f>
        <v>2007</v>
      </c>
      <c r="M5" s="524" t="n">
        <f aca="false">L5+1</f>
        <v>2008</v>
      </c>
      <c r="N5" s="524" t="n">
        <f aca="false">M5+1</f>
        <v>2009</v>
      </c>
      <c r="O5" s="524" t="n">
        <f aca="false">N5+1</f>
        <v>2010</v>
      </c>
      <c r="P5" s="524" t="n">
        <f aca="false">O5+1</f>
        <v>2011</v>
      </c>
      <c r="Q5" s="524" t="n">
        <f aca="false">P5+1</f>
        <v>2012</v>
      </c>
      <c r="R5" s="524" t="n">
        <f aca="false">Q5+1</f>
        <v>2013</v>
      </c>
      <c r="S5" s="524" t="n">
        <f aca="false">R5+1</f>
        <v>2014</v>
      </c>
      <c r="T5" s="524" t="n">
        <f aca="false">S5+1</f>
        <v>2015</v>
      </c>
      <c r="U5" s="524" t="n">
        <f aca="false">T5+1</f>
        <v>2016</v>
      </c>
      <c r="V5" s="524" t="n">
        <f aca="false">U5+1</f>
        <v>2017</v>
      </c>
      <c r="W5" s="524" t="n">
        <f aca="false">V5+1</f>
        <v>2018</v>
      </c>
      <c r="X5" s="524" t="n">
        <f aca="false">W5+1</f>
        <v>2019</v>
      </c>
      <c r="Y5" s="524" t="n">
        <f aca="false">X5+1</f>
        <v>2020</v>
      </c>
      <c r="Z5" s="524" t="n">
        <f aca="false">Y5+1</f>
        <v>2021</v>
      </c>
      <c r="AA5" s="524" t="n">
        <f aca="false">Z5+1</f>
        <v>2022</v>
      </c>
      <c r="AB5" s="524" t="n">
        <f aca="false">AA5+1</f>
        <v>2023</v>
      </c>
      <c r="AC5" s="525" t="n">
        <f aca="false">AB5+1</f>
        <v>2024</v>
      </c>
      <c r="AD5" s="390"/>
      <c r="AE5" s="390"/>
      <c r="AF5" s="390"/>
      <c r="AG5" s="486"/>
      <c r="AH5" s="486"/>
      <c r="AI5" s="486"/>
      <c r="AJ5" s="486"/>
      <c r="AK5" s="486"/>
      <c r="AL5" s="486"/>
      <c r="AM5" s="486"/>
      <c r="AN5" s="486"/>
      <c r="AO5" s="486"/>
      <c r="AP5" s="486"/>
      <c r="AQ5" s="486"/>
      <c r="AR5" s="486"/>
      <c r="AS5" s="486"/>
      <c r="AT5" s="486"/>
      <c r="AU5" s="486"/>
      <c r="AV5" s="486"/>
      <c r="AW5" s="486"/>
      <c r="AX5" s="486"/>
      <c r="AY5" s="486"/>
      <c r="AZ5" s="486"/>
      <c r="BA5" s="486"/>
    </row>
    <row r="6" customFormat="false" ht="12.6" hidden="false" customHeight="true" outlineLevel="0" collapsed="false">
      <c r="A6" s="377" t="s">
        <v>435</v>
      </c>
      <c r="B6" s="526"/>
      <c r="C6" s="526"/>
      <c r="D6" s="527"/>
      <c r="E6" s="528" t="n">
        <f aca="false">'Book Income Statement'!D63</f>
        <v>11611.7844592009</v>
      </c>
      <c r="F6" s="528" t="n">
        <f aca="false">'Book Income Statement'!E63</f>
        <v>20157.4542899654</v>
      </c>
      <c r="G6" s="528" t="n">
        <f aca="false">'Book Income Statement'!F63</f>
        <v>19997.9887326063</v>
      </c>
      <c r="H6" s="528" t="n">
        <f aca="false">'Book Income Statement'!G63</f>
        <v>27255.0559192318</v>
      </c>
      <c r="I6" s="528" t="n">
        <f aca="false">'Book Income Statement'!H63</f>
        <v>33472.1040708492</v>
      </c>
      <c r="J6" s="528" t="n">
        <f aca="false">'Book Income Statement'!I63</f>
        <v>34436.7155084716</v>
      </c>
      <c r="K6" s="528" t="n">
        <f aca="false">'Book Income Statement'!J63</f>
        <v>34765.1645751344</v>
      </c>
      <c r="L6" s="528" t="n">
        <f aca="false">'Book Income Statement'!K63</f>
        <v>35065.3805624336</v>
      </c>
      <c r="M6" s="528" t="n">
        <f aca="false">'Book Income Statement'!L63</f>
        <v>35398.1560686306</v>
      </c>
      <c r="N6" s="528" t="n">
        <f aca="false">'Book Income Statement'!M63</f>
        <v>35798.667833235</v>
      </c>
      <c r="O6" s="528" t="n">
        <f aca="false">'Book Income Statement'!N63</f>
        <v>36188.6217676063</v>
      </c>
      <c r="P6" s="528" t="n">
        <f aca="false">'Book Income Statement'!O63</f>
        <v>36397.4272361302</v>
      </c>
      <c r="Q6" s="528" t="n">
        <f aca="false">'Book Income Statement'!P63</f>
        <v>36761.9474796902</v>
      </c>
      <c r="R6" s="528" t="n">
        <f aca="false">'Book Income Statement'!Q63</f>
        <v>36344.9951609551</v>
      </c>
      <c r="S6" s="528" t="n">
        <f aca="false">'Book Income Statement'!R63</f>
        <v>36662.4163502515</v>
      </c>
      <c r="T6" s="528" t="n">
        <f aca="false">'Book Income Statement'!S63</f>
        <v>36965.5677461572</v>
      </c>
      <c r="U6" s="528" t="n">
        <f aca="false">'Book Income Statement'!T63</f>
        <v>37253.3074819982</v>
      </c>
      <c r="V6" s="528" t="n">
        <f aca="false">'Book Income Statement'!U63</f>
        <v>37524.4380219143</v>
      </c>
      <c r="W6" s="528" t="n">
        <f aca="false">'Book Income Statement'!V63</f>
        <v>37777.7038483878</v>
      </c>
      <c r="X6" s="528" t="n">
        <f aca="false">'Book Income Statement'!W63</f>
        <v>37092.390854954</v>
      </c>
      <c r="Y6" s="528" t="n">
        <f aca="false">'Book Income Statement'!X63</f>
        <v>13524.081601163</v>
      </c>
      <c r="Z6" s="528" t="n">
        <f aca="false">'Book Income Statement'!Y63</f>
        <v>0</v>
      </c>
      <c r="AA6" s="528" t="n">
        <f aca="false">'Book Income Statement'!Z63</f>
        <v>0</v>
      </c>
      <c r="AB6" s="528" t="n">
        <f aca="false">'Book Income Statement'!AA63</f>
        <v>0</v>
      </c>
      <c r="AC6" s="529" t="n">
        <f aca="false">'Book Income Statement'!AB63</f>
        <v>0</v>
      </c>
      <c r="AD6" s="527"/>
      <c r="AE6" s="527"/>
    </row>
    <row r="7" customFormat="false" ht="12.6" hidden="false" customHeight="true" outlineLevel="0" collapsed="false">
      <c r="A7" s="409"/>
      <c r="B7" s="530"/>
      <c r="C7" s="481"/>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531"/>
      <c r="AD7" s="481"/>
      <c r="AF7" s="481"/>
    </row>
    <row r="8" customFormat="false" ht="12.75" hidden="false" customHeight="false" outlineLevel="0" collapsed="false">
      <c r="A8" s="532" t="s">
        <v>436</v>
      </c>
      <c r="B8" s="533"/>
      <c r="C8" s="533"/>
      <c r="D8" s="533"/>
      <c r="E8" s="534" t="n">
        <f aca="false">IF(E4&lt;='Project Assumtions'!$F$39,'Project Assumtions'!$F$41,0)</f>
        <v>1.3</v>
      </c>
      <c r="F8" s="534" t="n">
        <f aca="false">IF(F4&lt;='Project Assumtions'!$F$39,'Project Assumtions'!$F$41,0)</f>
        <v>1.3</v>
      </c>
      <c r="G8" s="534" t="n">
        <f aca="false">IF(G4&lt;='Project Assumtions'!$F$39,'Project Assumtions'!$F$41,0)</f>
        <v>1.3</v>
      </c>
      <c r="H8" s="534" t="n">
        <f aca="false">IF(H4&lt;='Project Assumtions'!$F$39,'Project Assumtions'!$F$41,0)</f>
        <v>1.3</v>
      </c>
      <c r="I8" s="534" t="n">
        <f aca="false">IF(I4&lt;='Project Assumtions'!$F$39,'Project Assumtions'!$F$41,0)</f>
        <v>0</v>
      </c>
      <c r="J8" s="534" t="n">
        <f aca="false">IF(J4&lt;='Project Assumtions'!$F$39,'Project Assumtions'!$F$41,0)</f>
        <v>0</v>
      </c>
      <c r="K8" s="534" t="n">
        <f aca="false">IF(K4&lt;='Project Assumtions'!$F$39,'Project Assumtions'!$F$41,0)</f>
        <v>0</v>
      </c>
      <c r="L8" s="534" t="n">
        <f aca="false">IF(L4&lt;='Project Assumtions'!$F$39,'Project Assumtions'!$F$41,0)</f>
        <v>0</v>
      </c>
      <c r="M8" s="534" t="n">
        <f aca="false">IF(M4&lt;='Project Assumtions'!$F$39,'Project Assumtions'!$F$41,0)</f>
        <v>0</v>
      </c>
      <c r="N8" s="534" t="n">
        <f aca="false">IF(N4&lt;='Project Assumtions'!$F$39,'Project Assumtions'!$F$41,0)</f>
        <v>0</v>
      </c>
      <c r="O8" s="534" t="n">
        <f aca="false">IF(O4&lt;='Project Assumtions'!$F$39,'Project Assumtions'!$F$41,0)</f>
        <v>0</v>
      </c>
      <c r="P8" s="534" t="n">
        <f aca="false">IF(P4&lt;='Project Assumtions'!$F$39,'Project Assumtions'!$F$41,0)</f>
        <v>0</v>
      </c>
      <c r="Q8" s="534" t="n">
        <f aca="false">IF(Q4&lt;='Project Assumtions'!$F$39,'Project Assumtions'!$F$41,0)</f>
        <v>0</v>
      </c>
      <c r="R8" s="534" t="n">
        <f aca="false">IF(R4&lt;='Project Assumtions'!$F$39,'Project Assumtions'!$F$41,0)</f>
        <v>0</v>
      </c>
      <c r="S8" s="534" t="n">
        <f aca="false">IF(S4&lt;='Project Assumtions'!$F$39,'Project Assumtions'!$F$41,0)</f>
        <v>0</v>
      </c>
      <c r="T8" s="534" t="n">
        <f aca="false">IF(T4&lt;='Project Assumtions'!$F$39,'Project Assumtions'!$F$41,0)</f>
        <v>0</v>
      </c>
      <c r="U8" s="534" t="n">
        <f aca="false">IF(U4&lt;='Project Assumtions'!$F$39,'Project Assumtions'!$F$41,0)</f>
        <v>0</v>
      </c>
      <c r="V8" s="534" t="n">
        <f aca="false">IF(V4&lt;='Project Assumtions'!$F$39,'Project Assumtions'!$F$41,0)</f>
        <v>0</v>
      </c>
      <c r="W8" s="534" t="n">
        <f aca="false">IF(W4&lt;='Project Assumtions'!$F$39,'Project Assumtions'!$F$41,0)</f>
        <v>0</v>
      </c>
      <c r="X8" s="534" t="n">
        <f aca="false">IF(X4&lt;='Project Assumtions'!$F$39,'Project Assumtions'!$F$41,0)</f>
        <v>0</v>
      </c>
      <c r="Y8" s="534" t="n">
        <f aca="false">IF(Y4&lt;='Project Assumtions'!$F$39,'Project Assumtions'!$F$41,0)</f>
        <v>0</v>
      </c>
      <c r="Z8" s="534" t="n">
        <f aca="false">IF(Z4&lt;='Project Assumtions'!$F$39,'Project Assumtions'!$F$41,0)</f>
        <v>0</v>
      </c>
      <c r="AA8" s="534" t="n">
        <f aca="false">IF(AA4&lt;='Project Assumtions'!$F$39,'Project Assumtions'!$F$41,0)</f>
        <v>0</v>
      </c>
      <c r="AB8" s="534" t="n">
        <f aca="false">IF(AB4&lt;='Project Assumtions'!$F$39,'Project Assumtions'!$F$41,0)</f>
        <v>0</v>
      </c>
      <c r="AC8" s="535" t="n">
        <f aca="false">IF(AC4&lt;='Project Assumtions'!$F$39,'Project Assumtions'!$F$41,0)</f>
        <v>0</v>
      </c>
      <c r="AD8" s="536"/>
      <c r="AE8" s="537"/>
      <c r="AF8" s="537"/>
    </row>
    <row r="9" customFormat="false" ht="12.75" hidden="false" customHeight="false" outlineLevel="0" collapsed="false">
      <c r="A9" s="532" t="s">
        <v>437</v>
      </c>
      <c r="B9" s="533"/>
      <c r="C9" s="533"/>
      <c r="D9" s="533"/>
      <c r="E9" s="534" t="n">
        <f aca="false">IF(AND(E4&gt;'Project Assumtions'!$F$39,E4&lt;='Project Assumtions'!$G$39),'Project Assumtions'!$G$41,0)</f>
        <v>0</v>
      </c>
      <c r="F9" s="534" t="n">
        <f aca="false">IF(AND(F4&gt;'Project Assumtions'!$F$39,F4&lt;='Project Assumtions'!$G$39),'Project Assumtions'!$G$41,0)</f>
        <v>0</v>
      </c>
      <c r="G9" s="534" t="n">
        <f aca="false">IF(AND(G4&gt;'Project Assumtions'!$F$39,G4&lt;='Project Assumtions'!$G$39),'Project Assumtions'!$G$41,0)</f>
        <v>0</v>
      </c>
      <c r="H9" s="534" t="n">
        <f aca="false">IF(AND(H4&gt;'Project Assumtions'!$F$39,H4&lt;='Project Assumtions'!$G$39),'Project Assumtions'!$G$41,0)</f>
        <v>0</v>
      </c>
      <c r="I9" s="534" t="n">
        <f aca="false">IF(AND(I4&gt;'Project Assumtions'!$F$39,I4&lt;='Project Assumtions'!$G$39),'Project Assumtions'!$G$41,0)</f>
        <v>2.5</v>
      </c>
      <c r="J9" s="534" t="n">
        <f aca="false">IF(AND(J4&gt;'Project Assumtions'!$F$39,J4&lt;='Project Assumtions'!$G$39),'Project Assumtions'!$G$41,0)</f>
        <v>2.5</v>
      </c>
      <c r="K9" s="534" t="n">
        <f aca="false">IF(AND(K4&gt;'Project Assumtions'!$F$39,K4&lt;='Project Assumtions'!$G$39),'Project Assumtions'!$G$41,0)</f>
        <v>2.5</v>
      </c>
      <c r="L9" s="534" t="n">
        <f aca="false">IF(AND(L4&gt;'Project Assumtions'!$F$39,L4&lt;='Project Assumtions'!$G$39),'Project Assumtions'!$G$41,0)</f>
        <v>2.5</v>
      </c>
      <c r="M9" s="534" t="n">
        <f aca="false">IF(AND(M4&gt;'Project Assumtions'!$F$39,M4&lt;='Project Assumtions'!$G$39),'Project Assumtions'!$G$41,0)</f>
        <v>2.5</v>
      </c>
      <c r="N9" s="534" t="n">
        <f aca="false">IF(AND(N4&gt;'Project Assumtions'!$F$39,N4&lt;='Project Assumtions'!$G$39),'Project Assumtions'!$G$41,0)</f>
        <v>2.5</v>
      </c>
      <c r="O9" s="534" t="n">
        <f aca="false">IF(AND(O4&gt;'Project Assumtions'!$F$39,O4&lt;='Project Assumtions'!$G$39),'Project Assumtions'!$G$41,0)</f>
        <v>0</v>
      </c>
      <c r="P9" s="534" t="n">
        <f aca="false">IF(AND(P4&gt;'Project Assumtions'!$F$39,P4&lt;='Project Assumtions'!$G$39),'Project Assumtions'!$G$41,0)</f>
        <v>0</v>
      </c>
      <c r="Q9" s="534" t="n">
        <f aca="false">IF(AND(Q4&gt;'Project Assumtions'!$F$39,Q4&lt;='Project Assumtions'!$G$39),'Project Assumtions'!$G$41,0)</f>
        <v>0</v>
      </c>
      <c r="R9" s="534" t="n">
        <f aca="false">IF(AND(R4&gt;'Project Assumtions'!$F$39,R4&lt;='Project Assumtions'!$G$39),'Project Assumtions'!$G$41,0)</f>
        <v>0</v>
      </c>
      <c r="S9" s="534" t="n">
        <f aca="false">IF(AND(S4&gt;'Project Assumtions'!$F$39,S4&lt;='Project Assumtions'!$G$39),'Project Assumtions'!$G$41,0)</f>
        <v>0</v>
      </c>
      <c r="T9" s="534" t="n">
        <f aca="false">IF(AND(T4&gt;'Project Assumtions'!$F$39,T4&lt;='Project Assumtions'!$G$39),'Project Assumtions'!$G$41,0)</f>
        <v>0</v>
      </c>
      <c r="U9" s="534" t="n">
        <f aca="false">IF(AND(U4&gt;'Project Assumtions'!$F$39,U4&lt;='Project Assumtions'!$G$39),'Project Assumtions'!$G$41,0)</f>
        <v>0</v>
      </c>
      <c r="V9" s="534" t="n">
        <f aca="false">IF(AND(V4&gt;'Project Assumtions'!$F$39,V4&lt;='Project Assumtions'!$G$39),'Project Assumtions'!$G$41,0)</f>
        <v>0</v>
      </c>
      <c r="W9" s="534" t="n">
        <f aca="false">IF(AND(W4&gt;'Project Assumtions'!$F$39,W4&lt;='Project Assumtions'!$G$39),'Project Assumtions'!$G$41,0)</f>
        <v>0</v>
      </c>
      <c r="X9" s="534" t="n">
        <f aca="false">IF(AND(X4&gt;'Project Assumtions'!$F$39,X4&lt;='Project Assumtions'!$G$39),'Project Assumtions'!$G$41,0)</f>
        <v>0</v>
      </c>
      <c r="Y9" s="534" t="n">
        <f aca="false">IF(AND(Y4&gt;'Project Assumtions'!$F$39,Y4&lt;='Project Assumtions'!$G$39),'Project Assumtions'!$G$41,0)</f>
        <v>0</v>
      </c>
      <c r="Z9" s="534" t="n">
        <f aca="false">IF(AND(Z4&gt;'Project Assumtions'!$F$39,Z4&lt;='Project Assumtions'!$G$39),'Project Assumtions'!$G$41,0)</f>
        <v>0</v>
      </c>
      <c r="AA9" s="534" t="n">
        <f aca="false">IF(AND(AA4&gt;'Project Assumtions'!$F$39,AA4&lt;='Project Assumtions'!$G$39),'Project Assumtions'!$G$41,0)</f>
        <v>0</v>
      </c>
      <c r="AB9" s="534" t="n">
        <f aca="false">IF(AND(AB4&gt;'Project Assumtions'!$F$39,AB4&lt;='Project Assumtions'!$G$39),'Project Assumtions'!$G$41,0)</f>
        <v>0</v>
      </c>
      <c r="AC9" s="535" t="n">
        <f aca="false">IF(AND(AC4&gt;'Project Assumtions'!$F$39,AC4&lt;='Project Assumtions'!$G$39),'Project Assumtions'!$G$41,0)</f>
        <v>0</v>
      </c>
      <c r="AD9" s="536"/>
      <c r="AE9" s="537"/>
      <c r="AF9" s="537"/>
    </row>
    <row r="10" customFormat="false" ht="12.75" hidden="false" customHeight="false" outlineLevel="0" collapsed="false">
      <c r="A10" s="532" t="s">
        <v>438</v>
      </c>
      <c r="B10" s="533"/>
      <c r="C10" s="533"/>
      <c r="D10" s="533"/>
      <c r="E10" s="534" t="n">
        <f aca="false">IF(AND(E4&gt;'Project Assumtions'!$G$39,E4&lt;='Project Assumtions'!$H$39),'Project Assumtions'!$H$41,0)</f>
        <v>0</v>
      </c>
      <c r="F10" s="534" t="n">
        <f aca="false">IF(AND(F4&gt;'Project Assumtions'!$G$39,F4&lt;='Project Assumtions'!$H$39),'Project Assumtions'!$H$41,0)</f>
        <v>0</v>
      </c>
      <c r="G10" s="534" t="n">
        <f aca="false">IF(AND(G4&gt;'Project Assumtions'!$G$39,G4&lt;='Project Assumtions'!$H$39),'Project Assumtions'!$H$41,0)</f>
        <v>0</v>
      </c>
      <c r="H10" s="534" t="n">
        <f aca="false">IF(AND(H4&gt;'Project Assumtions'!$G$39,H4&lt;='Project Assumtions'!$H$39),'Project Assumtions'!$H$41,0)</f>
        <v>0</v>
      </c>
      <c r="I10" s="534" t="n">
        <f aca="false">IF(AND(I4&gt;'Project Assumtions'!$G$39,I4&lt;='Project Assumtions'!$H$39),'Project Assumtions'!$H$41,0)</f>
        <v>0</v>
      </c>
      <c r="J10" s="534" t="n">
        <f aca="false">IF(AND(J4&gt;'Project Assumtions'!$G$39,J4&lt;='Project Assumtions'!$H$39),'Project Assumtions'!$H$41,0)</f>
        <v>0</v>
      </c>
      <c r="K10" s="534" t="n">
        <f aca="false">IF(AND(K4&gt;'Project Assumtions'!$G$39,K4&lt;='Project Assumtions'!$H$39),'Project Assumtions'!$H$41,0)</f>
        <v>0</v>
      </c>
      <c r="L10" s="534" t="n">
        <f aca="false">IF(AND(L4&gt;'Project Assumtions'!$G$39,L4&lt;='Project Assumtions'!$H$39),'Project Assumtions'!$H$41,0)</f>
        <v>0</v>
      </c>
      <c r="M10" s="534" t="n">
        <f aca="false">IF(AND(M4&gt;'Project Assumtions'!$G$39,M4&lt;='Project Assumtions'!$H$39),'Project Assumtions'!$H$41,0)</f>
        <v>0</v>
      </c>
      <c r="N10" s="534" t="n">
        <f aca="false">IF(AND(N4&gt;'Project Assumtions'!$G$39,N4&lt;='Project Assumtions'!$H$39),'Project Assumtions'!$H$41,0)</f>
        <v>0</v>
      </c>
      <c r="O10" s="534" t="n">
        <f aca="false">IF(AND(O4&gt;'Project Assumtions'!$G$39,O4&lt;='Project Assumtions'!$H$39),'Project Assumtions'!$H$41,0)</f>
        <v>2.5</v>
      </c>
      <c r="P10" s="534" t="n">
        <f aca="false">IF(AND(P4&gt;'Project Assumtions'!$G$39,P4&lt;='Project Assumtions'!$H$39),'Project Assumtions'!$H$41,0)</f>
        <v>2.5</v>
      </c>
      <c r="Q10" s="534" t="n">
        <f aca="false">IF(AND(Q4&gt;'Project Assumtions'!$G$39,Q4&lt;='Project Assumtions'!$H$39),'Project Assumtions'!$H$41,0)</f>
        <v>2.5</v>
      </c>
      <c r="R10" s="534" t="n">
        <f aca="false">IF(AND(R4&gt;'Project Assumtions'!$G$39,R4&lt;='Project Assumtions'!$H$39),'Project Assumtions'!$H$41,0)</f>
        <v>2.5</v>
      </c>
      <c r="S10" s="534" t="n">
        <f aca="false">IF(AND(S4&gt;'Project Assumtions'!$G$39,S4&lt;='Project Assumtions'!$H$39),'Project Assumtions'!$H$41,0)</f>
        <v>2.5</v>
      </c>
      <c r="T10" s="534" t="n">
        <f aca="false">IF(AND(T4&gt;'Project Assumtions'!$G$39,T4&lt;='Project Assumtions'!$H$39),'Project Assumtions'!$H$41,0)</f>
        <v>2.5</v>
      </c>
      <c r="U10" s="534" t="n">
        <f aca="false">IF(AND(U4&gt;'Project Assumtions'!$G$39,U4&lt;='Project Assumtions'!$H$39),'Project Assumtions'!$H$41,0)</f>
        <v>2.5</v>
      </c>
      <c r="V10" s="534" t="n">
        <f aca="false">IF(AND(V4&gt;'Project Assumtions'!$G$39,V4&lt;='Project Assumtions'!$H$39),'Project Assumtions'!$H$41,0)</f>
        <v>2.5</v>
      </c>
      <c r="W10" s="534" t="n">
        <f aca="false">IF(AND(W4&gt;'Project Assumtions'!$G$39,W4&lt;='Project Assumtions'!$H$39),'Project Assumtions'!$H$41,0)</f>
        <v>2.5</v>
      </c>
      <c r="X10" s="534" t="n">
        <f aca="false">IF(AND(X4&gt;'Project Assumtions'!$G$39,X4&lt;='Project Assumtions'!$H$39),'Project Assumtions'!$H$41,0)</f>
        <v>2.5</v>
      </c>
      <c r="Y10" s="534" t="n">
        <f aca="false">IF(AND(Y4&gt;'Project Assumtions'!$G$39,Y4&lt;='Project Assumtions'!$H$39),'Project Assumtions'!$H$41,0)</f>
        <v>0</v>
      </c>
      <c r="Z10" s="534" t="n">
        <f aca="false">IF(AND(Z4&gt;'Project Assumtions'!$G$39,Z4&lt;='Project Assumtions'!$H$39),'Project Assumtions'!$H$41,0)</f>
        <v>0</v>
      </c>
      <c r="AA10" s="534" t="n">
        <f aca="false">IF(AND(AA4&gt;'Project Assumtions'!$G$39,AA4&lt;='Project Assumtions'!$H$39),'Project Assumtions'!$H$41,0)</f>
        <v>0</v>
      </c>
      <c r="AB10" s="534" t="n">
        <f aca="false">IF(AND(AB4&gt;'Project Assumtions'!$G$39,AB4&lt;='Project Assumtions'!$H$39),'Project Assumtions'!$H$41,0)</f>
        <v>0</v>
      </c>
      <c r="AC10" s="535" t="n">
        <f aca="false">IF(AND(AC4&gt;'Project Assumtions'!$G$39,AC4&lt;='Project Assumtions'!$H$39),'Project Assumtions'!$H$41,0)</f>
        <v>0</v>
      </c>
      <c r="AD10" s="536"/>
      <c r="AE10" s="537"/>
      <c r="AF10" s="537"/>
    </row>
    <row r="11" customFormat="false" ht="12.75" hidden="false" customHeight="false" outlineLevel="0" collapsed="false">
      <c r="A11" s="532"/>
      <c r="B11" s="533"/>
      <c r="C11" s="533"/>
      <c r="D11" s="533"/>
      <c r="E11" s="534"/>
      <c r="F11" s="534"/>
      <c r="G11" s="534"/>
      <c r="H11" s="534"/>
      <c r="I11" s="534"/>
      <c r="J11" s="534"/>
      <c r="K11" s="534"/>
      <c r="L11" s="534"/>
      <c r="M11" s="534"/>
      <c r="N11" s="534"/>
      <c r="O11" s="534"/>
      <c r="P11" s="534"/>
      <c r="Q11" s="534"/>
      <c r="R11" s="534"/>
      <c r="S11" s="534"/>
      <c r="T11" s="534"/>
      <c r="U11" s="534"/>
      <c r="V11" s="534"/>
      <c r="W11" s="534"/>
      <c r="X11" s="534"/>
      <c r="Y11" s="534"/>
      <c r="Z11" s="534"/>
      <c r="AA11" s="534"/>
      <c r="AB11" s="534"/>
      <c r="AC11" s="535"/>
      <c r="AD11" s="536"/>
      <c r="AE11" s="537"/>
      <c r="AF11" s="537"/>
    </row>
    <row r="12" customFormat="false" ht="12.75" hidden="false" customHeight="false" outlineLevel="0" collapsed="false">
      <c r="A12" s="532" t="s">
        <v>439</v>
      </c>
      <c r="B12" s="533"/>
      <c r="C12" s="533"/>
      <c r="D12" s="533"/>
      <c r="E12" s="538" t="n">
        <f aca="false">IF(E4&lt;='Project Assumtions'!$F$39,'Project Assumtions'!$F$40,0)</f>
        <v>0.0673</v>
      </c>
      <c r="F12" s="538" t="n">
        <f aca="false">IF(F4&lt;='Project Assumtions'!$F$39,'Project Assumtions'!$F$40,0)</f>
        <v>0.0673</v>
      </c>
      <c r="G12" s="538" t="n">
        <f aca="false">IF(G4&lt;='Project Assumtions'!$F$39,'Project Assumtions'!$F$40,0)</f>
        <v>0.0673</v>
      </c>
      <c r="H12" s="538" t="n">
        <f aca="false">IF(H4&lt;='Project Assumtions'!$F$39,'Project Assumtions'!$F$40,0)</f>
        <v>0.0673</v>
      </c>
      <c r="I12" s="538" t="n">
        <f aca="false">IF(I4&lt;='Project Assumtions'!$F$39,'Project Assumtions'!$F$40,0)</f>
        <v>0</v>
      </c>
      <c r="J12" s="538" t="n">
        <f aca="false">IF(J4&lt;='Project Assumtions'!$F$39,'Project Assumtions'!$F$40,0)</f>
        <v>0</v>
      </c>
      <c r="K12" s="538" t="n">
        <f aca="false">IF(K4&lt;='Project Assumtions'!$F$39,'Project Assumtions'!$F$40,0)</f>
        <v>0</v>
      </c>
      <c r="L12" s="538" t="n">
        <f aca="false">IF(L4&lt;='Project Assumtions'!$F$39,'Project Assumtions'!$F$40,0)</f>
        <v>0</v>
      </c>
      <c r="M12" s="538" t="n">
        <f aca="false">IF(M4&lt;='Project Assumtions'!$F$39,'Project Assumtions'!$F$40,0)</f>
        <v>0</v>
      </c>
      <c r="N12" s="538" t="n">
        <f aca="false">IF(N4&lt;='Project Assumtions'!$F$39,'Project Assumtions'!$F$40,0)</f>
        <v>0</v>
      </c>
      <c r="O12" s="538" t="n">
        <f aca="false">IF(O4&lt;='Project Assumtions'!$F$39,'Project Assumtions'!$F$40,0)</f>
        <v>0</v>
      </c>
      <c r="P12" s="538" t="n">
        <f aca="false">IF(P4&lt;='Project Assumtions'!$F$39,'Project Assumtions'!$F$40,0)</f>
        <v>0</v>
      </c>
      <c r="Q12" s="538" t="n">
        <f aca="false">IF(Q4&lt;='Project Assumtions'!$F$39,'Project Assumtions'!$F$40,0)</f>
        <v>0</v>
      </c>
      <c r="R12" s="538" t="n">
        <f aca="false">IF(R4&lt;='Project Assumtions'!$F$39,'Project Assumtions'!$F$40,0)</f>
        <v>0</v>
      </c>
      <c r="S12" s="538" t="n">
        <f aca="false">IF(S4&lt;='Project Assumtions'!$F$39,'Project Assumtions'!$F$40,0)</f>
        <v>0</v>
      </c>
      <c r="T12" s="538" t="n">
        <f aca="false">IF(T4&lt;='Project Assumtions'!$F$39,'Project Assumtions'!$F$40,0)</f>
        <v>0</v>
      </c>
      <c r="U12" s="538" t="n">
        <f aca="false">IF(U4&lt;='Project Assumtions'!$F$39,'Project Assumtions'!$F$40,0)</f>
        <v>0</v>
      </c>
      <c r="V12" s="538" t="n">
        <f aca="false">IF(V4&lt;='Project Assumtions'!$F$39,'Project Assumtions'!$F$40,0)</f>
        <v>0</v>
      </c>
      <c r="W12" s="538" t="n">
        <f aca="false">IF(W4&lt;='Project Assumtions'!$F$39,'Project Assumtions'!$F$40,0)</f>
        <v>0</v>
      </c>
      <c r="X12" s="538" t="n">
        <f aca="false">IF(X4&lt;='Project Assumtions'!$F$39,'Project Assumtions'!$F$40,0)</f>
        <v>0</v>
      </c>
      <c r="Y12" s="538" t="n">
        <f aca="false">IF(Y4&lt;='Project Assumtions'!$F$39,'Project Assumtions'!$F$40,0)</f>
        <v>0</v>
      </c>
      <c r="Z12" s="538" t="n">
        <f aca="false">IF(Z4&lt;='Project Assumtions'!$F$39,'Project Assumtions'!$F$40,0)</f>
        <v>0</v>
      </c>
      <c r="AA12" s="538" t="n">
        <f aca="false">IF(AA4&lt;='Project Assumtions'!$F$39,'Project Assumtions'!$F$40,0)</f>
        <v>0</v>
      </c>
      <c r="AB12" s="538" t="n">
        <f aca="false">IF(AB4&lt;='Project Assumtions'!$F$39,'Project Assumtions'!$F$40,0)</f>
        <v>0</v>
      </c>
      <c r="AC12" s="539" t="n">
        <f aca="false">IF(AC4&lt;='Project Assumtions'!$F$39,'Project Assumtions'!$F$40,0)</f>
        <v>0</v>
      </c>
      <c r="AD12" s="537"/>
      <c r="AE12" s="537"/>
      <c r="AF12" s="537"/>
    </row>
    <row r="13" customFormat="false" ht="12.75" hidden="false" customHeight="false" outlineLevel="0" collapsed="false">
      <c r="A13" s="532" t="s">
        <v>440</v>
      </c>
      <c r="B13" s="533"/>
      <c r="C13" s="533"/>
      <c r="D13" s="533"/>
      <c r="E13" s="538" t="n">
        <f aca="false">IF('Project Assumtions'!$G$39=0,0,IF(E4&lt;='Project Assumtions'!$G$39,'Project Assumtions'!$G$40,0))</f>
        <v>0.0757</v>
      </c>
      <c r="F13" s="538" t="n">
        <f aca="false">IF('Project Assumtions'!$G$39=0,0,IF(F4&lt;='Project Assumtions'!$G$39,'Project Assumtions'!$G$40,0))</f>
        <v>0.0757</v>
      </c>
      <c r="G13" s="538" t="n">
        <f aca="false">IF('Project Assumtions'!$G$39=0,0,IF(G4&lt;='Project Assumtions'!$G$39,'Project Assumtions'!$G$40,0))</f>
        <v>0.0757</v>
      </c>
      <c r="H13" s="538" t="n">
        <f aca="false">IF('Project Assumtions'!$G$39=0,0,IF(H4&lt;='Project Assumtions'!$G$39,'Project Assumtions'!$G$40,0))</f>
        <v>0.0757</v>
      </c>
      <c r="I13" s="538" t="n">
        <f aca="false">IF('Project Assumtions'!$G$39=0,0,IF(I4&lt;='Project Assumtions'!$G$39,'Project Assumtions'!$G$40,0))</f>
        <v>0.0757</v>
      </c>
      <c r="J13" s="538" t="n">
        <f aca="false">IF('Project Assumtions'!$G$39=0,0,IF(J4&lt;='Project Assumtions'!$G$39,'Project Assumtions'!$G$40,0))</f>
        <v>0.0757</v>
      </c>
      <c r="K13" s="538" t="n">
        <f aca="false">IF('Project Assumtions'!$G$39=0,0,IF(K4&lt;='Project Assumtions'!$G$39,'Project Assumtions'!$G$40,0))</f>
        <v>0.0757</v>
      </c>
      <c r="L13" s="538" t="n">
        <f aca="false">IF('Project Assumtions'!$G$39=0,0,IF(L4&lt;='Project Assumtions'!$G$39,'Project Assumtions'!$G$40,0))</f>
        <v>0.0757</v>
      </c>
      <c r="M13" s="538" t="n">
        <f aca="false">IF('Project Assumtions'!$G$39=0,0,IF(M4&lt;='Project Assumtions'!$G$39,'Project Assumtions'!$G$40,0))</f>
        <v>0.0757</v>
      </c>
      <c r="N13" s="538" t="n">
        <f aca="false">IF('Project Assumtions'!$G$39=0,0,IF(N4&lt;='Project Assumtions'!$G$39,'Project Assumtions'!$G$40,0))</f>
        <v>0.0757</v>
      </c>
      <c r="O13" s="538" t="n">
        <f aca="false">IF('Project Assumtions'!$G$39=0,0,IF(O4&lt;='Project Assumtions'!$G$39,'Project Assumtions'!$G$40,0))</f>
        <v>0</v>
      </c>
      <c r="P13" s="538" t="n">
        <f aca="false">IF('Project Assumtions'!$G$39=0,0,IF(P4&lt;='Project Assumtions'!$G$39,'Project Assumtions'!$G$40,0))</f>
        <v>0</v>
      </c>
      <c r="Q13" s="538" t="n">
        <f aca="false">IF('Project Assumtions'!$G$39=0,0,IF(Q4&lt;='Project Assumtions'!$G$39,'Project Assumtions'!$G$40,0))</f>
        <v>0</v>
      </c>
      <c r="R13" s="538" t="n">
        <f aca="false">IF('Project Assumtions'!$G$39=0,0,IF(R4&lt;='Project Assumtions'!$G$39,'Project Assumtions'!$G$40,0))</f>
        <v>0</v>
      </c>
      <c r="S13" s="538" t="n">
        <f aca="false">IF('Project Assumtions'!$G$39=0,0,IF(S4&lt;='Project Assumtions'!$G$39,'Project Assumtions'!$G$40,0))</f>
        <v>0</v>
      </c>
      <c r="T13" s="538" t="n">
        <f aca="false">IF('Project Assumtions'!$G$39=0,0,IF(T4&lt;='Project Assumtions'!$G$39,'Project Assumtions'!$G$40,0))</f>
        <v>0</v>
      </c>
      <c r="U13" s="538" t="n">
        <f aca="false">IF('Project Assumtions'!$G$39=0,0,IF(U4&lt;='Project Assumtions'!$G$39,'Project Assumtions'!$G$40,0))</f>
        <v>0</v>
      </c>
      <c r="V13" s="538" t="n">
        <f aca="false">IF('Project Assumtions'!$G$39=0,0,IF(V4&lt;='Project Assumtions'!$G$39,'Project Assumtions'!$G$40,0))</f>
        <v>0</v>
      </c>
      <c r="W13" s="538" t="n">
        <f aca="false">IF('Project Assumtions'!$G$39=0,0,IF(W4&lt;='Project Assumtions'!$G$39,'Project Assumtions'!$G$40,0))</f>
        <v>0</v>
      </c>
      <c r="X13" s="538" t="n">
        <f aca="false">IF('Project Assumtions'!$G$39=0,0,IF(X4&lt;='Project Assumtions'!$G$39,'Project Assumtions'!$G$40,0))</f>
        <v>0</v>
      </c>
      <c r="Y13" s="538" t="n">
        <f aca="false">IF('Project Assumtions'!$G$39=0,0,IF(Y4&lt;='Project Assumtions'!$G$39,'Project Assumtions'!$G$40,0))</f>
        <v>0</v>
      </c>
      <c r="Z13" s="538" t="n">
        <f aca="false">IF('Project Assumtions'!$G$39=0,0,IF(Z4&lt;='Project Assumtions'!$G$39,'Project Assumtions'!$G$40,0))</f>
        <v>0</v>
      </c>
      <c r="AA13" s="538" t="n">
        <f aca="false">IF('Project Assumtions'!$G$39=0,0,IF(AA4&lt;='Project Assumtions'!$G$39,'Project Assumtions'!$G$40,0))</f>
        <v>0</v>
      </c>
      <c r="AB13" s="538" t="n">
        <f aca="false">IF('Project Assumtions'!$G$39=0,0,IF(AB4&lt;='Project Assumtions'!$G$39,'Project Assumtions'!$G$40,0))</f>
        <v>0</v>
      </c>
      <c r="AC13" s="539" t="n">
        <f aca="false">IF('Project Assumtions'!$G$39=0,0,IF(AC4&lt;='Project Assumtions'!$G$39,'Project Assumtions'!$G$40,0))</f>
        <v>0</v>
      </c>
      <c r="AD13" s="537"/>
      <c r="AE13" s="537"/>
      <c r="AF13" s="537"/>
    </row>
    <row r="14" customFormat="false" ht="12.75" hidden="false" customHeight="false" outlineLevel="0" collapsed="false">
      <c r="A14" s="532" t="s">
        <v>441</v>
      </c>
      <c r="B14" s="533"/>
      <c r="C14" s="533"/>
      <c r="D14" s="533"/>
      <c r="E14" s="538" t="n">
        <f aca="false">IF('Project Assumtions'!$H$39=0,0,IF(E4&lt;='Project Assumtions'!$H$39,'Project Assumtions'!$H$40,0))</f>
        <v>0.0818</v>
      </c>
      <c r="F14" s="538" t="n">
        <f aca="false">IF('Project Assumtions'!$H$39=0,0,IF(F4&lt;='Project Assumtions'!$H$39,'Project Assumtions'!$H$40,0))</f>
        <v>0.0818</v>
      </c>
      <c r="G14" s="538" t="n">
        <f aca="false">IF('Project Assumtions'!$H$39=0,0,IF(G4&lt;='Project Assumtions'!$H$39,'Project Assumtions'!$H$40,0))</f>
        <v>0.0818</v>
      </c>
      <c r="H14" s="538" t="n">
        <f aca="false">IF('Project Assumtions'!$H$39=0,0,IF(H4&lt;='Project Assumtions'!$H$39,'Project Assumtions'!$H$40,0))</f>
        <v>0.0818</v>
      </c>
      <c r="I14" s="538" t="n">
        <f aca="false">IF('Project Assumtions'!$H$39=0,0,IF(I4&lt;='Project Assumtions'!$H$39,'Project Assumtions'!$H$40,0))</f>
        <v>0.0818</v>
      </c>
      <c r="J14" s="538" t="n">
        <f aca="false">IF('Project Assumtions'!$H$39=0,0,IF(J4&lt;='Project Assumtions'!$H$39,'Project Assumtions'!$H$40,0))</f>
        <v>0.0818</v>
      </c>
      <c r="K14" s="538" t="n">
        <f aca="false">IF('Project Assumtions'!$H$39=0,0,IF(K4&lt;='Project Assumtions'!$H$39,'Project Assumtions'!$H$40,0))</f>
        <v>0.0818</v>
      </c>
      <c r="L14" s="538" t="n">
        <f aca="false">IF('Project Assumtions'!$H$39=0,0,IF(L4&lt;='Project Assumtions'!$H$39,'Project Assumtions'!$H$40,0))</f>
        <v>0.0818</v>
      </c>
      <c r="M14" s="538" t="n">
        <f aca="false">IF('Project Assumtions'!$H$39=0,0,IF(M4&lt;='Project Assumtions'!$H$39,'Project Assumtions'!$H$40,0))</f>
        <v>0.0818</v>
      </c>
      <c r="N14" s="538" t="n">
        <f aca="false">IF('Project Assumtions'!$H$39=0,0,IF(N4&lt;='Project Assumtions'!$H$39,'Project Assumtions'!$H$40,0))</f>
        <v>0.0818</v>
      </c>
      <c r="O14" s="538" t="n">
        <f aca="false">IF('Project Assumtions'!$H$39=0,0,IF(O4&lt;='Project Assumtions'!$H$39,'Project Assumtions'!$H$40,0))</f>
        <v>0.0818</v>
      </c>
      <c r="P14" s="538" t="n">
        <f aca="false">IF('Project Assumtions'!$H$39=0,0,IF(P4&lt;='Project Assumtions'!$H$39,'Project Assumtions'!$H$40,0))</f>
        <v>0.0818</v>
      </c>
      <c r="Q14" s="538" t="n">
        <f aca="false">IF('Project Assumtions'!$H$39=0,0,IF(Q4&lt;='Project Assumtions'!$H$39,'Project Assumtions'!$H$40,0))</f>
        <v>0.0818</v>
      </c>
      <c r="R14" s="538" t="n">
        <f aca="false">IF('Project Assumtions'!$H$39=0,0,IF(R4&lt;='Project Assumtions'!$H$39,'Project Assumtions'!$H$40,0))</f>
        <v>0.0818</v>
      </c>
      <c r="S14" s="538" t="n">
        <f aca="false">IF('Project Assumtions'!$H$39=0,0,IF(S4&lt;='Project Assumtions'!$H$39,'Project Assumtions'!$H$40,0))</f>
        <v>0.0818</v>
      </c>
      <c r="T14" s="538" t="n">
        <f aca="false">IF('Project Assumtions'!$H$39=0,0,IF(T4&lt;='Project Assumtions'!$H$39,'Project Assumtions'!$H$40,0))</f>
        <v>0.0818</v>
      </c>
      <c r="U14" s="538" t="n">
        <f aca="false">IF('Project Assumtions'!$H$39=0,0,IF(U4&lt;='Project Assumtions'!$H$39,'Project Assumtions'!$H$40,0))</f>
        <v>0.0818</v>
      </c>
      <c r="V14" s="538" t="n">
        <f aca="false">IF('Project Assumtions'!$H$39=0,0,IF(V4&lt;='Project Assumtions'!$H$39,'Project Assumtions'!$H$40,0))</f>
        <v>0.0818</v>
      </c>
      <c r="W14" s="538" t="n">
        <f aca="false">IF('Project Assumtions'!$H$39=0,0,IF(W4&lt;='Project Assumtions'!$H$39,'Project Assumtions'!$H$40,0))</f>
        <v>0.0818</v>
      </c>
      <c r="X14" s="538" t="n">
        <f aca="false">IF('Project Assumtions'!$H$39=0,0,IF(X4&lt;='Project Assumtions'!$H$39,'Project Assumtions'!$H$40,0))</f>
        <v>0.0818</v>
      </c>
      <c r="Y14" s="538" t="n">
        <f aca="false">IF('Project Assumtions'!$H$39=0,0,IF(Y4&lt;='Project Assumtions'!$H$39,'Project Assumtions'!$H$40,0))</f>
        <v>0</v>
      </c>
      <c r="Z14" s="538" t="n">
        <f aca="false">IF('Project Assumtions'!$H$39=0,0,IF(Z4&lt;='Project Assumtions'!$H$39,'Project Assumtions'!$H$40,0))</f>
        <v>0</v>
      </c>
      <c r="AA14" s="538" t="n">
        <f aca="false">IF('Project Assumtions'!$H$39=0,0,IF(AA4&lt;='Project Assumtions'!$H$39,'Project Assumtions'!$H$40,0))</f>
        <v>0</v>
      </c>
      <c r="AB14" s="538" t="n">
        <f aca="false">IF('Project Assumtions'!$H$39=0,0,IF(AB4&lt;='Project Assumtions'!$H$39,'Project Assumtions'!$H$40,0))</f>
        <v>0</v>
      </c>
      <c r="AC14" s="539" t="n">
        <f aca="false">IF('Project Assumtions'!$H$39=0,0,IF(AC4&lt;='Project Assumtions'!$H$39,'Project Assumtions'!$H$40,0))</f>
        <v>0</v>
      </c>
      <c r="AD14" s="537"/>
      <c r="AE14" s="537"/>
      <c r="AF14" s="537"/>
    </row>
    <row r="15" customFormat="false" ht="12.75" hidden="false" customHeight="false" outlineLevel="0" collapsed="false">
      <c r="A15" s="532"/>
      <c r="B15" s="533"/>
      <c r="C15" s="533"/>
      <c r="D15" s="510"/>
      <c r="E15" s="510"/>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40"/>
      <c r="AD15" s="537"/>
      <c r="AE15" s="537"/>
      <c r="AF15" s="537"/>
    </row>
    <row r="16" customFormat="false" ht="12.75" hidden="false" customHeight="false" outlineLevel="0" collapsed="false">
      <c r="A16" s="541" t="s">
        <v>442</v>
      </c>
      <c r="B16" s="533"/>
      <c r="C16" s="533"/>
      <c r="D16" s="533"/>
      <c r="E16" s="528" t="n">
        <f aca="false">IF(E4&gt;MAX('Project Assumtions'!$F$39,'Project Assumtions'!$G$39,'Project Assumtions'!$H$39),0,IF(E4&lt;='Project Assumtions'!$F$39,E6/E8,IF(E4&lt;='Project Assumtions'!$G$39,E6/E9,E6/E10)))</f>
        <v>8932.14189169299</v>
      </c>
      <c r="F16" s="528" t="n">
        <f aca="false">IF(F4&gt;MAX('Project Assumtions'!$F$39,'Project Assumtions'!$G$39,'Project Assumtions'!$H$39),0,IF(F4&lt;='Project Assumtions'!$F$39,F6/F8,IF(F4&lt;='Project Assumtions'!$G$39,F6/F9,F6/F10)))</f>
        <v>15505.7340692042</v>
      </c>
      <c r="G16" s="528" t="n">
        <f aca="false">IF(G4&gt;MAX('Project Assumtions'!$F$39,'Project Assumtions'!$G$39,'Project Assumtions'!$H$39),0,IF(G4&lt;='Project Assumtions'!$F$39,G6/G8,IF(G4&lt;='Project Assumtions'!$G$39,G6/G9,G6/G10)))</f>
        <v>15383.068255851</v>
      </c>
      <c r="H16" s="528" t="n">
        <f aca="false">IF(H4&gt;MAX('Project Assumtions'!$F$39,'Project Assumtions'!$G$39,'Project Assumtions'!$H$39),0,IF(H4&lt;='Project Assumtions'!$F$39,H6/H8,IF(H4&lt;='Project Assumtions'!$G$39,H6/H9,H6/H10)))</f>
        <v>20965.4276301783</v>
      </c>
      <c r="I16" s="528" t="n">
        <f aca="false">IF(I4&gt;MAX('Project Assumtions'!$F$39,'Project Assumtions'!$G$39,'Project Assumtions'!$H$39),0,IF(I4&lt;='Project Assumtions'!$F$39,I6/I8,IF(I4&lt;='Project Assumtions'!$G$39,I6/I9,I6/I10)))</f>
        <v>13388.8416283397</v>
      </c>
      <c r="J16" s="528" t="n">
        <f aca="false">IF(J4&gt;MAX('Project Assumtions'!$F$39,'Project Assumtions'!$G$39,'Project Assumtions'!$H$39),0,IF(J4&lt;='Project Assumtions'!$F$39,J6/J8,IF(J4&lt;='Project Assumtions'!$G$39,J6/J9,J6/J10)))</f>
        <v>13774.6862033886</v>
      </c>
      <c r="K16" s="528" t="n">
        <f aca="false">IF(K4&gt;MAX('Project Assumtions'!$F$39,'Project Assumtions'!$G$39,'Project Assumtions'!$H$39),0,IF(K4&lt;='Project Assumtions'!$F$39,K6/K8,IF(K4&lt;='Project Assumtions'!$G$39,K6/K9,K6/K10)))</f>
        <v>13906.0658300538</v>
      </c>
      <c r="L16" s="528" t="n">
        <f aca="false">IF(L4&gt;MAX('Project Assumtions'!$F$39,'Project Assumtions'!$G$39,'Project Assumtions'!$H$39),0,IF(L4&lt;='Project Assumtions'!$F$39,L6/L8,IF(L4&lt;='Project Assumtions'!$G$39,L6/L9,L6/L10)))</f>
        <v>14026.1522249734</v>
      </c>
      <c r="M16" s="528" t="n">
        <f aca="false">IF(M4&gt;MAX('Project Assumtions'!$F$39,'Project Assumtions'!$G$39,'Project Assumtions'!$H$39),0,IF(M4&lt;='Project Assumtions'!$F$39,M6/M8,IF(M4&lt;='Project Assumtions'!$G$39,M6/M9,M6/M10)))</f>
        <v>14159.2624274522</v>
      </c>
      <c r="N16" s="528" t="n">
        <f aca="false">IF(N4&gt;MAX('Project Assumtions'!$F$39,'Project Assumtions'!$G$39,'Project Assumtions'!$H$39),0,IF(N4&lt;='Project Assumtions'!$F$39,N6/N8,IF(N4&lt;='Project Assumtions'!$G$39,N6/N9,N6/N10)))</f>
        <v>14319.467133294</v>
      </c>
      <c r="O16" s="528" t="n">
        <f aca="false">IF(O4&gt;MAX('Project Assumtions'!$F$39,'Project Assumtions'!$G$39,'Project Assumtions'!$H$39),0,IF(O4&lt;='Project Assumtions'!$F$39,O6/O8,IF(O4&lt;='Project Assumtions'!$G$39,O6/O9,O6/O10)))</f>
        <v>14475.4487070425</v>
      </c>
      <c r="P16" s="528" t="n">
        <f aca="false">IF(P4&gt;MAX('Project Assumtions'!$F$39,'Project Assumtions'!$G$39,'Project Assumtions'!$H$39),0,IF(P4&lt;='Project Assumtions'!$F$39,P6/P8,IF(P4&lt;='Project Assumtions'!$G$39,P6/P9,P6/P10)))</f>
        <v>14558.9708944521</v>
      </c>
      <c r="Q16" s="528" t="n">
        <f aca="false">IF(Q4&gt;MAX('Project Assumtions'!$F$39,'Project Assumtions'!$G$39,'Project Assumtions'!$H$39),0,IF(Q4&lt;='Project Assumtions'!$F$39,Q6/Q8,IF(Q4&lt;='Project Assumtions'!$G$39,Q6/Q9,Q6/Q10)))</f>
        <v>14704.7789918761</v>
      </c>
      <c r="R16" s="528" t="n">
        <f aca="false">IF(R4&gt;MAX('Project Assumtions'!$F$39,'Project Assumtions'!$G$39,'Project Assumtions'!$H$39),0,IF(R4&lt;='Project Assumtions'!$F$39,R6/R8,IF(R4&lt;='Project Assumtions'!$G$39,R6/R9,R6/R10)))</f>
        <v>14537.998064382</v>
      </c>
      <c r="S16" s="528" t="n">
        <f aca="false">IF(S4&gt;MAX('Project Assumtions'!$F$39,'Project Assumtions'!$G$39,'Project Assumtions'!$H$39),0,IF(S4&lt;='Project Assumtions'!$F$39,S6/S8,IF(S4&lt;='Project Assumtions'!$G$39,S6/S9,S6/S10)))</f>
        <v>14664.9665401006</v>
      </c>
      <c r="T16" s="528" t="n">
        <f aca="false">IF(T4&gt;MAX('Project Assumtions'!$F$39,'Project Assumtions'!$G$39,'Project Assumtions'!$H$39),0,IF(T4&lt;='Project Assumtions'!$F$39,T6/T8,IF(T4&lt;='Project Assumtions'!$G$39,T6/T9,T6/T10)))</f>
        <v>14786.2270984629</v>
      </c>
      <c r="U16" s="528" t="n">
        <f aca="false">IF(U4&gt;MAX('Project Assumtions'!$F$39,'Project Assumtions'!$G$39,'Project Assumtions'!$H$39),0,IF(U4&lt;='Project Assumtions'!$F$39,U6/U8,IF(U4&lt;='Project Assumtions'!$G$39,U6/U9,U6/U10)))</f>
        <v>14901.3229927993</v>
      </c>
      <c r="V16" s="528" t="n">
        <f aca="false">IF(V4&gt;MAX('Project Assumtions'!$F$39,'Project Assumtions'!$G$39,'Project Assumtions'!$H$39),0,IF(V4&lt;='Project Assumtions'!$F$39,V6/V8,IF(V4&lt;='Project Assumtions'!$G$39,V6/V9,V6/V10)))</f>
        <v>15009.7752087657</v>
      </c>
      <c r="W16" s="528" t="n">
        <f aca="false">IF(W4&gt;MAX('Project Assumtions'!$F$39,'Project Assumtions'!$G$39,'Project Assumtions'!$H$39),0,IF(W4&lt;='Project Assumtions'!$F$39,W6/W8,IF(W4&lt;='Project Assumtions'!$G$39,W6/W9,W6/W10)))</f>
        <v>15111.0815393551</v>
      </c>
      <c r="X16" s="528" t="n">
        <f aca="false">IF(X4&gt;MAX('Project Assumtions'!$F$39,'Project Assumtions'!$G$39,'Project Assumtions'!$H$39),0,IF(X4&lt;='Project Assumtions'!$F$39,X6/X8,IF(X4&lt;='Project Assumtions'!$G$39,X6/X9,X6/X10)))</f>
        <v>14836.9563419816</v>
      </c>
      <c r="Y16" s="528" t="n">
        <f aca="false">IF(Y4&gt;MAX('Project Assumtions'!$F$39,'Project Assumtions'!$G$39,'Project Assumtions'!$H$39),0,IF(Y4&lt;='Project Assumtions'!$F$39,Y6/Y8,IF(Y4&lt;='Project Assumtions'!$G$39,Y6/Y9,Y6/Y10)))</f>
        <v>0</v>
      </c>
      <c r="Z16" s="528" t="n">
        <f aca="false">IF(Z4&gt;MAX('Project Assumtions'!$F$39,'Project Assumtions'!$G$39,'Project Assumtions'!$H$39),0,IF(Z4&lt;='Project Assumtions'!$F$39,Z6/Z8,IF(Z4&lt;='Project Assumtions'!$G$39,Z6/Z9,Z6/Z10)))</f>
        <v>0</v>
      </c>
      <c r="AA16" s="528" t="n">
        <f aca="false">IF(AA4&gt;MAX('Project Assumtions'!$F$39,'Project Assumtions'!$G$39,'Project Assumtions'!$H$39),0,IF(AA4&lt;='Project Assumtions'!$F$39,AA6/AA8,IF(AA4&lt;='Project Assumtions'!$G$39,AA6/AA9,AA6/AA10)))</f>
        <v>0</v>
      </c>
      <c r="AB16" s="528" t="n">
        <f aca="false">IF(AB4&gt;MAX('Project Assumtions'!$F$39,'Project Assumtions'!$G$39,'Project Assumtions'!$H$39),0,IF(AB4&lt;='Project Assumtions'!$F$39,AB6/AB8,IF(AB4&lt;='Project Assumtions'!$G$39,AB6/AB9,AB6/AB10)))</f>
        <v>0</v>
      </c>
      <c r="AC16" s="529" t="n">
        <f aca="false">IF(AC4&gt;MAX('Project Assumtions'!$F$39,'Project Assumtions'!$G$39,'Project Assumtions'!$H$39),0,IF(AC4&lt;='Project Assumtions'!$F$39,AC6/AC8,IF(AC4&lt;='Project Assumtions'!$G$39,AC6/AC9,AC6/AC10)))</f>
        <v>0</v>
      </c>
      <c r="AD16" s="510"/>
      <c r="AE16" s="537"/>
      <c r="AF16" s="537"/>
    </row>
    <row r="17" customFormat="false" ht="12.75" hidden="false" customHeight="false" outlineLevel="0" collapsed="false">
      <c r="A17" s="541"/>
      <c r="B17" s="533"/>
      <c r="C17" s="533"/>
      <c r="D17" s="533"/>
      <c r="E17" s="510"/>
      <c r="F17" s="510"/>
      <c r="G17" s="510"/>
      <c r="H17" s="510"/>
      <c r="I17" s="510"/>
      <c r="J17" s="510"/>
      <c r="K17" s="510"/>
      <c r="L17" s="510"/>
      <c r="M17" s="510"/>
      <c r="N17" s="510"/>
      <c r="O17" s="510"/>
      <c r="P17" s="510"/>
      <c r="Q17" s="510"/>
      <c r="R17" s="510"/>
      <c r="S17" s="510"/>
      <c r="T17" s="510"/>
      <c r="U17" s="510"/>
      <c r="V17" s="510"/>
      <c r="W17" s="510"/>
      <c r="X17" s="510"/>
      <c r="Y17" s="510"/>
      <c r="Z17" s="510"/>
      <c r="AA17" s="510"/>
      <c r="AB17" s="510"/>
      <c r="AC17" s="542"/>
      <c r="AD17" s="510"/>
      <c r="AE17" s="537"/>
      <c r="AF17" s="537"/>
    </row>
    <row r="18" customFormat="false" ht="12.75" hidden="false" customHeight="false" outlineLevel="0" collapsed="false">
      <c r="A18" s="532"/>
      <c r="B18" s="543" t="n">
        <f aca="false">'Project Assumtions'!$G$16</f>
        <v>36678</v>
      </c>
      <c r="C18" s="543" t="n">
        <f aca="false">DATE(YEAR('Project Assumtions'!$G$16),12,31)</f>
        <v>36891</v>
      </c>
      <c r="D18" s="533"/>
      <c r="E18" s="510"/>
      <c r="F18" s="510"/>
      <c r="G18" s="510"/>
      <c r="H18" s="510"/>
      <c r="I18" s="510"/>
      <c r="J18" s="510"/>
      <c r="K18" s="510"/>
      <c r="L18" s="510"/>
      <c r="M18" s="510"/>
      <c r="N18" s="510"/>
      <c r="O18" s="510"/>
      <c r="P18" s="510"/>
      <c r="Q18" s="510"/>
      <c r="R18" s="510"/>
      <c r="S18" s="510"/>
      <c r="T18" s="510"/>
      <c r="U18" s="510"/>
      <c r="V18" s="510"/>
      <c r="W18" s="510"/>
      <c r="X18" s="510"/>
      <c r="Y18" s="510"/>
      <c r="Z18" s="510"/>
      <c r="AA18" s="510"/>
      <c r="AB18" s="510"/>
      <c r="AC18" s="542"/>
      <c r="AD18" s="537"/>
      <c r="AE18" s="537"/>
      <c r="AF18" s="537"/>
    </row>
    <row r="19" customFormat="false" ht="12.75" hidden="false" customHeight="false" outlineLevel="0" collapsed="false">
      <c r="A19" s="532" t="s">
        <v>443</v>
      </c>
      <c r="B19" s="528" t="n">
        <f aca="false">NPV(E12*(13-MONTH('Project Assumtions'!G16))/12,C19)</f>
        <v>36895.5779621751</v>
      </c>
      <c r="C19" s="528" t="n">
        <f aca="false">NPV(F12,F19:AC19)+E19</f>
        <v>38344.0368603401</v>
      </c>
      <c r="D19" s="533"/>
      <c r="E19" s="528" t="n">
        <f aca="false">IF(E4&gt;'Project Assumtions'!$F$39,0,E16-E35-E43)</f>
        <v>6058.7023305632</v>
      </c>
      <c r="F19" s="528" t="n">
        <f aca="false">IF(F4&gt;'Project Assumtions'!$F$39,0,F16-F35-F43)</f>
        <v>10579.8376786959</v>
      </c>
      <c r="G19" s="528" t="n">
        <f aca="false">IF(G4&gt;'Project Assumtions'!$F$39,0,G16-G35-G43)</f>
        <v>10457.1718653428</v>
      </c>
      <c r="H19" s="528" t="n">
        <f aca="false">IF(H4&gt;'Project Assumtions'!$F$39,0,H16-H35-H43)</f>
        <v>16039.5312396701</v>
      </c>
      <c r="I19" s="528" t="n">
        <f aca="false">IF(I4&gt;'Project Assumtions'!$F$39,0,I16-I35-I43)</f>
        <v>0</v>
      </c>
      <c r="J19" s="528" t="n">
        <f aca="false">IF(J4&gt;'Project Assumtions'!$F$39,0,J16-J35-J43)</f>
        <v>0</v>
      </c>
      <c r="K19" s="528" t="n">
        <f aca="false">IF(K4&gt;'Project Assumtions'!$F$39,0,K16-K35-K43)</f>
        <v>0</v>
      </c>
      <c r="L19" s="528" t="n">
        <f aca="false">IF(L4&gt;'Project Assumtions'!$F$39,0,L16-L35-L43)</f>
        <v>0</v>
      </c>
      <c r="M19" s="528" t="n">
        <f aca="false">IF(M4&gt;'Project Assumtions'!$F$39,0,M16-M35-M43)</f>
        <v>0</v>
      </c>
      <c r="N19" s="528" t="n">
        <f aca="false">IF(N4&gt;'Project Assumtions'!$F$39,0,N16-N35-N43)</f>
        <v>0</v>
      </c>
      <c r="O19" s="528" t="n">
        <f aca="false">IF(O4&gt;'Project Assumtions'!$F$39,0,O16-O35-O43)</f>
        <v>0</v>
      </c>
      <c r="P19" s="528" t="n">
        <f aca="false">IF(P4&gt;'Project Assumtions'!$F$39,0,P16-P35-P43)</f>
        <v>0</v>
      </c>
      <c r="Q19" s="528" t="n">
        <f aca="false">IF(Q4&gt;'Project Assumtions'!$F$39,0,Q16-Q35-Q43)</f>
        <v>0</v>
      </c>
      <c r="R19" s="528" t="n">
        <f aca="false">IF(R4&gt;'Project Assumtions'!$F$39,0,R16-R35-R43)</f>
        <v>0</v>
      </c>
      <c r="S19" s="528" t="n">
        <f aca="false">IF(S4&gt;'Project Assumtions'!$F$39,0,S16-S35-S43)</f>
        <v>0</v>
      </c>
      <c r="T19" s="528" t="n">
        <f aca="false">IF(T4&gt;'Project Assumtions'!$F$39,0,T16-T35-T43)</f>
        <v>0</v>
      </c>
      <c r="U19" s="528" t="n">
        <f aca="false">IF(U4&gt;'Project Assumtions'!$F$39,0,U16-U35-U43)</f>
        <v>0</v>
      </c>
      <c r="V19" s="528" t="n">
        <f aca="false">IF(V4&gt;'Project Assumtions'!$F$39,0,V16-V35-V43)</f>
        <v>0</v>
      </c>
      <c r="W19" s="528" t="n">
        <f aca="false">IF(W4&gt;'Project Assumtions'!$F$39,0,W16-W35-W43)</f>
        <v>0</v>
      </c>
      <c r="X19" s="528" t="n">
        <f aca="false">IF(X4&gt;'Project Assumtions'!$F$39,0,X16-X35-X43)</f>
        <v>0</v>
      </c>
      <c r="Y19" s="528" t="n">
        <f aca="false">IF(Y4&gt;'Project Assumtions'!$F$39,0,Y16-Y35-Y43)</f>
        <v>0</v>
      </c>
      <c r="Z19" s="528" t="n">
        <f aca="false">IF(Z4&gt;'Project Assumtions'!$F$39,0,Z16-Z35-Z43)</f>
        <v>0</v>
      </c>
      <c r="AA19" s="528" t="n">
        <f aca="false">IF(AA4&gt;'Project Assumtions'!$F$39,0,AA16-AA35-AA43)</f>
        <v>0</v>
      </c>
      <c r="AB19" s="528" t="n">
        <f aca="false">IF(AB4&gt;'Project Assumtions'!$F$39,0,AB16-AB35-AB43)</f>
        <v>0</v>
      </c>
      <c r="AC19" s="529" t="n">
        <f aca="false">IF(AC4&gt;'Project Assumtions'!$F$39,0,AC16-AC35-AC43)</f>
        <v>0</v>
      </c>
      <c r="AD19" s="537"/>
      <c r="AE19" s="537"/>
      <c r="AF19" s="537"/>
    </row>
    <row r="20" customFormat="false" ht="12.75" hidden="false" customHeight="false" outlineLevel="0" collapsed="false">
      <c r="A20" s="532" t="s">
        <v>444</v>
      </c>
      <c r="B20" s="510" t="n">
        <f aca="false">HLOOKUP('Project Assumtions'!$F$39,$E$4:$AC$20,17)</f>
        <v>65071.286532473</v>
      </c>
      <c r="C20" s="510"/>
      <c r="D20" s="533"/>
      <c r="E20" s="528" t="n">
        <f aca="false">IF(E4&lt;'Project Assumtions'!$F$39,0,IF(E4='Project Assumtions'!$F$39,NPV(F13,F20:$AC$20),IF(E4&lt;='Project Assumtions'!$G$39,E16-E43,0)))</f>
        <v>0</v>
      </c>
      <c r="F20" s="528" t="n">
        <f aca="false">IF(F4&lt;'Project Assumtions'!$F$39,0,IF(F4='Project Assumtions'!$F$39,NPV(G13,G20:$AC$20),IF(F4&lt;='Project Assumtions'!$G$39,F16-F43,0)))</f>
        <v>0</v>
      </c>
      <c r="G20" s="528" t="n">
        <f aca="false">IF(G4&lt;'Project Assumtions'!$F$39,0,IF(G4='Project Assumtions'!$F$39,NPV(H13,H20:$AC$20),IF(G4&lt;='Project Assumtions'!$G$39,G16-G43,0)))</f>
        <v>0</v>
      </c>
      <c r="H20" s="528" t="n">
        <f aca="false">IF(H4&lt;'Project Assumtions'!$F$39,0,IF(H4='Project Assumtions'!$F$39,NPV(I13,I20:$AC$20),IF(H4&lt;='Project Assumtions'!$G$39,H16-H43,0)))</f>
        <v>65071.286532473</v>
      </c>
      <c r="I20" s="528" t="n">
        <f aca="false">IF(I4&lt;'Project Assumtions'!$F$39,0,IF(I4='Project Assumtions'!$F$39,NPV(J13,J20:$AC$20),IF(I4&lt;='Project Assumtions'!$G$39,I16-I43,0)))</f>
        <v>13388.8416283397</v>
      </c>
      <c r="J20" s="528" t="n">
        <f aca="false">IF(J4&lt;'Project Assumtions'!$F$39,0,IF(J4='Project Assumtions'!$F$39,NPV(K13,K20:$AC$20),IF(J4&lt;='Project Assumtions'!$G$39,J16-J43,0)))</f>
        <v>13774.6862033886</v>
      </c>
      <c r="K20" s="528" t="n">
        <f aca="false">IF(K4&lt;'Project Assumtions'!$F$39,0,IF(K4='Project Assumtions'!$F$39,NPV(L13,L20:$AC$20),IF(K4&lt;='Project Assumtions'!$G$39,K16-K43,0)))</f>
        <v>13906.0658300538</v>
      </c>
      <c r="L20" s="528" t="n">
        <f aca="false">IF(L4&lt;'Project Assumtions'!$F$39,0,IF(L4='Project Assumtions'!$F$39,NPV(M13,M20:$AC$20),IF(L4&lt;='Project Assumtions'!$G$39,L16-L43,0)))</f>
        <v>14026.1522249734</v>
      </c>
      <c r="M20" s="528" t="n">
        <f aca="false">IF(M4&lt;'Project Assumtions'!$F$39,0,IF(M4='Project Assumtions'!$F$39,NPV(N13,N20:$AC$20),IF(M4&lt;='Project Assumtions'!$G$39,M16-M43,0)))</f>
        <v>14159.2624274522</v>
      </c>
      <c r="N20" s="528" t="n">
        <f aca="false">IF(N4&lt;'Project Assumtions'!$F$39,0,IF(N4='Project Assumtions'!$F$39,NPV(O13,O20:$AC$20),IF(N4&lt;='Project Assumtions'!$G$39,N16-N43,0)))</f>
        <v>14319.467133294</v>
      </c>
      <c r="O20" s="528" t="n">
        <f aca="false">IF(O4&lt;'Project Assumtions'!$F$39,0,IF(O4='Project Assumtions'!$F$39,NPV(P13,P20:$AC$20),IF(O4&lt;='Project Assumtions'!$G$39,O16-O43,0)))</f>
        <v>0</v>
      </c>
      <c r="P20" s="528" t="n">
        <f aca="false">IF(P4&lt;'Project Assumtions'!$F$39,0,IF(P4='Project Assumtions'!$F$39,NPV(Q13,Q20:$AC$20),IF(P4&lt;='Project Assumtions'!$G$39,P16-P43,0)))</f>
        <v>0</v>
      </c>
      <c r="Q20" s="528" t="n">
        <f aca="false">IF(Q4&lt;'Project Assumtions'!$F$39,0,IF(Q4='Project Assumtions'!$F$39,NPV(R13,R20:$AC$20),IF(Q4&lt;='Project Assumtions'!$G$39,Q16-Q43,0)))</f>
        <v>0</v>
      </c>
      <c r="R20" s="528" t="n">
        <f aca="false">IF(R4&lt;'Project Assumtions'!$F$39,0,IF(R4='Project Assumtions'!$F$39,NPV(S13,S20:$AC$20),IF(R4&lt;='Project Assumtions'!$G$39,R16-R43,0)))</f>
        <v>0</v>
      </c>
      <c r="S20" s="528" t="n">
        <f aca="false">IF(S4&lt;'Project Assumtions'!$F$39,0,IF(S4='Project Assumtions'!$F$39,NPV(T13,T20:$AC$20),IF(S4&lt;='Project Assumtions'!$G$39,S16-S43,0)))</f>
        <v>0</v>
      </c>
      <c r="T20" s="528" t="n">
        <f aca="false">IF(T4&lt;'Project Assumtions'!$F$39,0,IF(T4='Project Assumtions'!$F$39,NPV(U13,U20:$AC$20),IF(T4&lt;='Project Assumtions'!$G$39,T16-T43,0)))</f>
        <v>0</v>
      </c>
      <c r="U20" s="528" t="n">
        <f aca="false">IF(U4&lt;'Project Assumtions'!$F$39,0,IF(U4='Project Assumtions'!$F$39,NPV(V13,V20:$AC$20),IF(U4&lt;='Project Assumtions'!$G$39,U16-U43,0)))</f>
        <v>0</v>
      </c>
      <c r="V20" s="528" t="n">
        <f aca="false">IF(V4&lt;'Project Assumtions'!$F$39,0,IF(V4='Project Assumtions'!$F$39,NPV(W13,W20:$AC$20),IF(V4&lt;='Project Assumtions'!$G$39,V16-V43,0)))</f>
        <v>0</v>
      </c>
      <c r="W20" s="528" t="n">
        <f aca="false">IF(W4&lt;'Project Assumtions'!$F$39,0,IF(W4='Project Assumtions'!$F$39,NPV(X13,X20:$AC$20),IF(W4&lt;='Project Assumtions'!$G$39,W16-W43,0)))</f>
        <v>0</v>
      </c>
      <c r="X20" s="528" t="n">
        <f aca="false">IF(X4&lt;'Project Assumtions'!$F$39,0,IF(X4='Project Assumtions'!$F$39,NPV(Y13,Y20:$AC$20),IF(X4&lt;='Project Assumtions'!$G$39,X16-X43,0)))</f>
        <v>0</v>
      </c>
      <c r="Y20" s="528" t="n">
        <f aca="false">IF(Y4&lt;'Project Assumtions'!$F$39,0,IF(Y4='Project Assumtions'!$F$39,NPV(Z13,Z20:$AC$20),IF(Y4&lt;='Project Assumtions'!$G$39,Y16-Y43,0)))</f>
        <v>0</v>
      </c>
      <c r="Z20" s="528" t="n">
        <f aca="false">IF(Z4&lt;'Project Assumtions'!$F$39,0,IF(Z4='Project Assumtions'!$F$39,NPV(AA13,AA20:$AC$20),IF(Z4&lt;='Project Assumtions'!$G$39,Z16-Z43,0)))</f>
        <v>0</v>
      </c>
      <c r="AA20" s="528" t="n">
        <f aca="false">IF(AA4&lt;'Project Assumtions'!$F$39,0,IF(AA4='Project Assumtions'!$F$39,NPV(AB13,AB20:$AC$20),IF(AA4&lt;='Project Assumtions'!$G$39,AA16-AA43,0)))</f>
        <v>0</v>
      </c>
      <c r="AB20" s="528" t="n">
        <f aca="false">IF(AB4&lt;'Project Assumtions'!$F$39,0,IF(AB4='Project Assumtions'!$F$39,NPV(AC13,AC20:$AC$20),IF(AB4&lt;='Project Assumtions'!$G$39,AB16-AB43,0)))</f>
        <v>0</v>
      </c>
      <c r="AC20" s="529" t="n">
        <f aca="false">IF(AC4&lt;'Project Assumtions'!$F$39,0,IF(AC4='Project Assumtions'!$F$39,NPV(AD13,$AC20:AD$20),IF(AC4&lt;='Project Assumtions'!$G$39,AC16-AC43,0)))</f>
        <v>0</v>
      </c>
      <c r="AD20" s="537"/>
      <c r="AE20" s="537"/>
      <c r="AF20" s="537"/>
    </row>
    <row r="21" customFormat="false" ht="15" hidden="false" customHeight="false" outlineLevel="0" collapsed="false">
      <c r="A21" s="532" t="s">
        <v>445</v>
      </c>
      <c r="B21" s="544" t="n">
        <f aca="false">IF('Project Assumtions'!$H$39=0,0,HLOOKUP('Project Assumtions'!$G$39,$E$4:$AC$21,18))</f>
        <v>97976.1474515219</v>
      </c>
      <c r="C21" s="544"/>
      <c r="D21" s="533"/>
      <c r="E21" s="528" t="n">
        <f aca="false">IF(OR(E4&lt;'Project Assumtions'!$G$39,'Project Assumtions'!$G$39=0,'Project Assumtions'!$H$39=0),0,IF(E4='Project Assumtions'!$G$39,NPV(F14,F21:$AC$21),IF(E4&lt;='Project Assumtions'!$H$39,E16,0)))</f>
        <v>0</v>
      </c>
      <c r="F21" s="528" t="n">
        <f aca="false">IF(OR(F4&lt;'Project Assumtions'!$G$39,'Project Assumtions'!$G$39=0,'Project Assumtions'!$H$39=0),0,IF(F4='Project Assumtions'!$G$39,NPV(G14,G21:$AC$21),IF(F4&lt;='Project Assumtions'!$H$39,F16,0)))</f>
        <v>0</v>
      </c>
      <c r="G21" s="528" t="n">
        <f aca="false">IF(OR(G4&lt;'Project Assumtions'!$G$39,'Project Assumtions'!$G$39=0,'Project Assumtions'!$H$39=0),0,IF(G4='Project Assumtions'!$G$39,NPV(H14,H21:$AC$21),IF(G4&lt;='Project Assumtions'!$H$39,G16,0)))</f>
        <v>0</v>
      </c>
      <c r="H21" s="528" t="n">
        <f aca="false">IF(OR(H4&lt;'Project Assumtions'!$G$39,'Project Assumtions'!$G$39=0,'Project Assumtions'!$H$39=0),0,IF(H4='Project Assumtions'!$G$39,NPV(I14,I21:$AC$21),IF(H4&lt;='Project Assumtions'!$H$39,H16,0)))</f>
        <v>0</v>
      </c>
      <c r="I21" s="528" t="n">
        <f aca="false">IF(OR(I4&lt;'Project Assumtions'!$G$39,'Project Assumtions'!$G$39=0,'Project Assumtions'!$H$39=0),0,IF(I4='Project Assumtions'!$G$39,NPV(J14,J21:$AC$21),IF(I4&lt;='Project Assumtions'!$H$39,I16,0)))</f>
        <v>0</v>
      </c>
      <c r="J21" s="528" t="n">
        <f aca="false">IF(OR(J4&lt;'Project Assumtions'!$G$39,'Project Assumtions'!$G$39=0,'Project Assumtions'!$H$39=0),0,IF(J4='Project Assumtions'!$G$39,NPV(K14,K21:$AC$21),IF(J4&lt;='Project Assumtions'!$H$39,J16,0)))</f>
        <v>0</v>
      </c>
      <c r="K21" s="528" t="n">
        <f aca="false">IF(OR(K4&lt;'Project Assumtions'!$G$39,'Project Assumtions'!$G$39=0,'Project Assumtions'!$H$39=0),0,IF(K4='Project Assumtions'!$G$39,NPV(L14,L21:$AC$21),IF(K4&lt;='Project Assumtions'!$H$39,K16,0)))</f>
        <v>0</v>
      </c>
      <c r="L21" s="528" t="n">
        <f aca="false">IF(OR(L4&lt;'Project Assumtions'!$G$39,'Project Assumtions'!$G$39=0,'Project Assumtions'!$H$39=0),0,IF(L4='Project Assumtions'!$G$39,NPV(M14,M21:$AC$21),IF(L4&lt;='Project Assumtions'!$H$39,L16,0)))</f>
        <v>0</v>
      </c>
      <c r="M21" s="528" t="n">
        <f aca="false">IF(OR(M4&lt;'Project Assumtions'!$G$39,'Project Assumtions'!$G$39=0,'Project Assumtions'!$H$39=0),0,IF(M4='Project Assumtions'!$G$39,NPV(N14,N21:$AC$21),IF(M4&lt;='Project Assumtions'!$H$39,M16,0)))</f>
        <v>0</v>
      </c>
      <c r="N21" s="528" t="n">
        <f aca="false">IF(OR(N4&lt;'Project Assumtions'!$G$39,'Project Assumtions'!$G$39=0,'Project Assumtions'!$H$39=0),0,IF(N4='Project Assumtions'!$G$39,NPV(O14,O21:$AC$21),IF(N4&lt;='Project Assumtions'!$H$39,N16,0)))</f>
        <v>97976.1474515219</v>
      </c>
      <c r="O21" s="528" t="n">
        <f aca="false">IF(OR(O4&lt;'Project Assumtions'!$G$39,'Project Assumtions'!$G$39=0,'Project Assumtions'!$H$39=0),0,IF(O4='Project Assumtions'!$G$39,NPV(P14,P21:$AC$21),IF(O4&lt;='Project Assumtions'!$H$39,O16,0)))</f>
        <v>14475.4487070425</v>
      </c>
      <c r="P21" s="528" t="n">
        <f aca="false">IF(OR(P4&lt;'Project Assumtions'!$G$39,'Project Assumtions'!$G$39=0,'Project Assumtions'!$H$39=0),0,IF(P4='Project Assumtions'!$G$39,NPV(Q14,Q21:$AC$21),IF(P4&lt;='Project Assumtions'!$H$39,P16,0)))</f>
        <v>14558.9708944521</v>
      </c>
      <c r="Q21" s="528" t="n">
        <f aca="false">IF(OR(Q4&lt;'Project Assumtions'!$G$39,'Project Assumtions'!$G$39=0,'Project Assumtions'!$H$39=0),0,IF(Q4='Project Assumtions'!$G$39,NPV(R14,R21:$AC$21),IF(Q4&lt;='Project Assumtions'!$H$39,Q16,0)))</f>
        <v>14704.7789918761</v>
      </c>
      <c r="R21" s="528" t="n">
        <f aca="false">IF(OR(R4&lt;'Project Assumtions'!$G$39,'Project Assumtions'!$G$39=0,'Project Assumtions'!$H$39=0),0,IF(R4='Project Assumtions'!$G$39,NPV(S14,S21:$AC$21),IF(R4&lt;='Project Assumtions'!$H$39,R16,0)))</f>
        <v>14537.998064382</v>
      </c>
      <c r="S21" s="528" t="n">
        <f aca="false">IF(OR(S4&lt;'Project Assumtions'!$G$39,'Project Assumtions'!$G$39=0,'Project Assumtions'!$H$39=0),0,IF(S4='Project Assumtions'!$G$39,NPV(T14,T21:$AC$21),IF(S4&lt;='Project Assumtions'!$H$39,S16,0)))</f>
        <v>14664.9665401006</v>
      </c>
      <c r="T21" s="528" t="n">
        <f aca="false">IF(OR(T4&lt;'Project Assumtions'!$G$39,'Project Assumtions'!$G$39=0,'Project Assumtions'!$H$39=0),0,IF(T4='Project Assumtions'!$G$39,NPV(U14,U21:$AC$21),IF(T4&lt;='Project Assumtions'!$H$39,T16,0)))</f>
        <v>14786.2270984629</v>
      </c>
      <c r="U21" s="528" t="n">
        <f aca="false">IF(OR(U4&lt;'Project Assumtions'!$G$39,'Project Assumtions'!$G$39=0,'Project Assumtions'!$H$39=0),0,IF(U4='Project Assumtions'!$G$39,NPV(V14,V21:$AC$21),IF(U4&lt;='Project Assumtions'!$H$39,U16,0)))</f>
        <v>14901.3229927993</v>
      </c>
      <c r="V21" s="528" t="n">
        <f aca="false">IF(OR(V4&lt;'Project Assumtions'!$G$39,'Project Assumtions'!$G$39=0,'Project Assumtions'!$H$39=0),0,IF(V4='Project Assumtions'!$G$39,NPV(W14,W21:$AC$21),IF(V4&lt;='Project Assumtions'!$H$39,V16,0)))</f>
        <v>15009.7752087657</v>
      </c>
      <c r="W21" s="528" t="n">
        <f aca="false">IF(OR(W4&lt;'Project Assumtions'!$G$39,'Project Assumtions'!$G$39=0,'Project Assumtions'!$H$39=0),0,IF(W4='Project Assumtions'!$G$39,NPV(X14,X21:$AC$21),IF(W4&lt;='Project Assumtions'!$H$39,W16,0)))</f>
        <v>15111.0815393551</v>
      </c>
      <c r="X21" s="528" t="n">
        <f aca="false">IF(OR(X4&lt;'Project Assumtions'!$G$39,'Project Assumtions'!$G$39=0,'Project Assumtions'!$H$39=0),0,IF(X4='Project Assumtions'!$G$39,NPV(Y14,Y21:$AC$21),IF(X4&lt;='Project Assumtions'!$H$39,X16,0)))</f>
        <v>14836.9563419816</v>
      </c>
      <c r="Y21" s="528" t="n">
        <f aca="false">IF(OR(Y4&lt;'Project Assumtions'!$G$39,'Project Assumtions'!$G$39=0,'Project Assumtions'!$H$39=0),0,IF(Y4='Project Assumtions'!$G$39,NPV(Z14,Z21:$AC$21),IF(Y4&lt;='Project Assumtions'!$H$39,Y16,0)))</f>
        <v>0</v>
      </c>
      <c r="Z21" s="528" t="n">
        <f aca="false">IF(OR(Z4&lt;'Project Assumtions'!$G$39,'Project Assumtions'!$G$39=0,'Project Assumtions'!$H$39=0),0,IF(Z4='Project Assumtions'!$G$39,NPV(AA14,AA21:$AC$21),IF(Z4&lt;='Project Assumtions'!$H$39,Z16,0)))</f>
        <v>0</v>
      </c>
      <c r="AA21" s="528" t="n">
        <f aca="false">IF(OR(AA4&lt;'Project Assumtions'!$G$39,'Project Assumtions'!$G$39=0,'Project Assumtions'!$H$39=0),0,IF(AA4='Project Assumtions'!$G$39,NPV(AB14,AB21:$AC$21),IF(AA4&lt;='Project Assumtions'!$H$39,AA16,0)))</f>
        <v>0</v>
      </c>
      <c r="AB21" s="528" t="n">
        <f aca="false">IF(OR(AB4&lt;'Project Assumtions'!$G$39,'Project Assumtions'!$G$39=0,'Project Assumtions'!$H$39=0),0,IF(AB4='Project Assumtions'!$G$39,NPV(AC14,AC21:$AC$21),IF(AB4&lt;='Project Assumtions'!$H$39,AB16,0)))</f>
        <v>0</v>
      </c>
      <c r="AC21" s="529" t="n">
        <f aca="false">IF(OR(AC4&lt;'Project Assumtions'!$G$39,'Project Assumtions'!$G$39=0,'Project Assumtions'!$H$39=0),0,IF(AC4='Project Assumtions'!$G$39,NPV(AD14,$AC21:AD$21),IF(AC4&lt;='Project Assumtions'!$H$39,AC16,0)))</f>
        <v>0</v>
      </c>
      <c r="AD21" s="537"/>
      <c r="AE21" s="537"/>
      <c r="AF21" s="537"/>
    </row>
    <row r="22" customFormat="false" ht="12.75" hidden="false" customHeight="false" outlineLevel="0" collapsed="false">
      <c r="A22" s="545" t="s">
        <v>446</v>
      </c>
      <c r="B22" s="546" t="n">
        <f aca="false">SUM(B19:B21)</f>
        <v>199943.01194617</v>
      </c>
      <c r="C22" s="547"/>
      <c r="D22" s="548"/>
      <c r="E22" s="549"/>
      <c r="F22" s="549"/>
      <c r="G22" s="549"/>
      <c r="H22" s="549"/>
      <c r="I22" s="549"/>
      <c r="J22" s="549"/>
      <c r="K22" s="549"/>
      <c r="L22" s="549"/>
      <c r="M22" s="549"/>
      <c r="N22" s="549"/>
      <c r="O22" s="549"/>
      <c r="P22" s="549"/>
      <c r="Q22" s="549"/>
      <c r="R22" s="549"/>
      <c r="S22" s="549"/>
      <c r="T22" s="549"/>
      <c r="U22" s="549"/>
      <c r="V22" s="549"/>
      <c r="W22" s="549"/>
      <c r="X22" s="549"/>
      <c r="Y22" s="549"/>
      <c r="Z22" s="549"/>
      <c r="AA22" s="549"/>
      <c r="AB22" s="549"/>
      <c r="AC22" s="550"/>
      <c r="AD22" s="537"/>
      <c r="AE22" s="537"/>
      <c r="AF22" s="537"/>
    </row>
    <row r="23" customFormat="false" ht="12.75" hidden="false" customHeight="false" outlineLevel="0" collapsed="false">
      <c r="B23" s="551"/>
      <c r="C23" s="551"/>
      <c r="D23" s="510"/>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row>
    <row r="24" customFormat="false" ht="12.75" hidden="false" customHeight="false" outlineLevel="0" collapsed="false">
      <c r="B24" s="551"/>
      <c r="C24" s="551"/>
      <c r="D24" s="510"/>
      <c r="E24" s="553"/>
      <c r="F24" s="553"/>
      <c r="G24" s="510"/>
      <c r="H24" s="510"/>
      <c r="I24" s="510"/>
      <c r="J24" s="510"/>
      <c r="K24" s="510"/>
      <c r="L24" s="510"/>
      <c r="M24" s="510"/>
      <c r="N24" s="510"/>
      <c r="O24" s="510"/>
      <c r="P24" s="510"/>
      <c r="Q24" s="510"/>
      <c r="R24" s="510"/>
      <c r="S24" s="510"/>
      <c r="T24" s="510"/>
      <c r="U24" s="510"/>
      <c r="V24" s="510"/>
      <c r="W24" s="510"/>
      <c r="X24" s="510"/>
      <c r="Y24" s="510"/>
      <c r="Z24" s="510"/>
      <c r="AA24" s="510"/>
      <c r="AB24" s="510"/>
    </row>
    <row r="25" customFormat="false" ht="12.75" hidden="false" customHeight="false" outlineLevel="0" collapsed="false">
      <c r="A25" s="17" t="s">
        <v>228</v>
      </c>
      <c r="B25" s="554"/>
      <c r="C25" s="554"/>
      <c r="D25" s="555"/>
      <c r="E25" s="555"/>
      <c r="F25" s="555"/>
      <c r="G25" s="555"/>
      <c r="H25" s="555"/>
      <c r="I25" s="555"/>
      <c r="J25" s="555"/>
      <c r="K25" s="555"/>
      <c r="L25" s="555"/>
      <c r="M25" s="555"/>
      <c r="N25" s="555"/>
      <c r="O25" s="555"/>
      <c r="P25" s="555"/>
      <c r="Q25" s="555"/>
      <c r="R25" s="555"/>
      <c r="S25" s="555"/>
      <c r="T25" s="555"/>
      <c r="U25" s="555"/>
      <c r="V25" s="555"/>
      <c r="W25" s="555"/>
      <c r="X25" s="555"/>
      <c r="Y25" s="555"/>
      <c r="Z25" s="555"/>
      <c r="AA25" s="555"/>
      <c r="AB25" s="555"/>
      <c r="AC25" s="464"/>
    </row>
    <row r="26" customFormat="false" ht="12.75" hidden="false" customHeight="false" outlineLevel="0" collapsed="false">
      <c r="A26" s="393" t="s">
        <v>447</v>
      </c>
      <c r="B26" s="536"/>
      <c r="C26" s="536"/>
      <c r="D26" s="265"/>
      <c r="E26" s="528" t="n">
        <f aca="false">IF(E4&gt;'Project Assumtions'!$F$39,0,B19)</f>
        <v>36895.5779621751</v>
      </c>
      <c r="F26" s="528" t="n">
        <f aca="false">IF(F4&gt;'Project Assumtions'!$F$39,0,E30)</f>
        <v>32285.3345297769</v>
      </c>
      <c r="G26" s="528" t="n">
        <f aca="false">IF(G4&gt;'Project Assumtions'!$F$39,0,F30)</f>
        <v>23878.299864935</v>
      </c>
      <c r="H26" s="528" t="n">
        <f aca="false">IF(H4&gt;'Project Assumtions'!$F$39,0,G30)</f>
        <v>15028.1375805023</v>
      </c>
      <c r="I26" s="528" t="n">
        <f aca="false">IF(I4&gt;'Project Assumtions'!$F$39,0,H30)</f>
        <v>0</v>
      </c>
      <c r="J26" s="528" t="n">
        <f aca="false">IF(J4&gt;'Project Assumtions'!$F$39,0,I30)</f>
        <v>0</v>
      </c>
      <c r="K26" s="528" t="n">
        <f aca="false">IF(K4&gt;'Project Assumtions'!$F$39,0,J30)</f>
        <v>0</v>
      </c>
      <c r="L26" s="528" t="n">
        <f aca="false">IF(L4&gt;'Project Assumtions'!$F$39,0,K30)</f>
        <v>0</v>
      </c>
      <c r="M26" s="528" t="n">
        <f aca="false">IF(M4&gt;'Project Assumtions'!$F$39,0,L30)</f>
        <v>0</v>
      </c>
      <c r="N26" s="528" t="n">
        <f aca="false">IF(N4&gt;'Project Assumtions'!$F$39,0,M30)</f>
        <v>0</v>
      </c>
      <c r="O26" s="528" t="n">
        <f aca="false">IF(O4&gt;'Project Assumtions'!$F$39,0,N30)</f>
        <v>0</v>
      </c>
      <c r="P26" s="528" t="n">
        <f aca="false">IF(P4&gt;'Project Assumtions'!$F$39,0,O30)</f>
        <v>0</v>
      </c>
      <c r="Q26" s="528" t="n">
        <f aca="false">IF(Q4&gt;'Project Assumtions'!$F$39,0,P30)</f>
        <v>0</v>
      </c>
      <c r="R26" s="528" t="n">
        <f aca="false">IF(R4&gt;'Project Assumtions'!$F$39,0,Q30)</f>
        <v>0</v>
      </c>
      <c r="S26" s="528" t="n">
        <f aca="false">IF(S4&gt;'Project Assumtions'!$F$39,0,R30)</f>
        <v>0</v>
      </c>
      <c r="T26" s="528" t="n">
        <f aca="false">IF(T4&gt;'Project Assumtions'!$F$39,0,S30)</f>
        <v>0</v>
      </c>
      <c r="U26" s="528" t="n">
        <f aca="false">IF(U4&gt;'Project Assumtions'!$F$39,0,T30)</f>
        <v>0</v>
      </c>
      <c r="V26" s="528" t="n">
        <f aca="false">IF(V4&gt;'Project Assumtions'!$F$39,0,U30)</f>
        <v>0</v>
      </c>
      <c r="W26" s="528" t="n">
        <f aca="false">IF(W4&gt;'Project Assumtions'!$F$39,0,V30)</f>
        <v>0</v>
      </c>
      <c r="X26" s="528" t="n">
        <f aca="false">IF(X4&gt;'Project Assumtions'!$F$39,0,W30)</f>
        <v>0</v>
      </c>
      <c r="Y26" s="528" t="n">
        <f aca="false">IF(Y4&gt;'Project Assumtions'!$F$39,0,X30)</f>
        <v>0</v>
      </c>
      <c r="Z26" s="528" t="n">
        <f aca="false">IF(Z4&gt;'Project Assumtions'!$F$39,0,Y30)</f>
        <v>0</v>
      </c>
      <c r="AA26" s="528" t="n">
        <f aca="false">IF(AA4&gt;'Project Assumtions'!$F$39,0,Z30)</f>
        <v>0</v>
      </c>
      <c r="AB26" s="528" t="n">
        <f aca="false">IF(AB4&gt;'Project Assumtions'!$F$39,0,AA30)</f>
        <v>0</v>
      </c>
      <c r="AC26" s="529" t="n">
        <f aca="false">IF(AC4&gt;'Project Assumtions'!$F$39,0,AB30)</f>
        <v>0</v>
      </c>
    </row>
    <row r="27" customFormat="false" ht="12.75" hidden="false" customHeight="false" outlineLevel="0" collapsed="false">
      <c r="A27" s="393" t="s">
        <v>448</v>
      </c>
      <c r="B27" s="556"/>
      <c r="C27" s="556"/>
      <c r="D27" s="265"/>
      <c r="E27" s="510" t="n">
        <f aca="false">E26*$E$12*(13-MONTH('Project Assumtions'!G16))/12</f>
        <v>1448.45889816506</v>
      </c>
      <c r="F27" s="510" t="n">
        <f aca="false">F26*F$12</f>
        <v>2172.80301385399</v>
      </c>
      <c r="G27" s="510" t="n">
        <f aca="false">G26*G$12</f>
        <v>1607.00958091012</v>
      </c>
      <c r="H27" s="510" t="n">
        <f aca="false">H26*H$12</f>
        <v>1011.3936591678</v>
      </c>
      <c r="I27" s="510" t="n">
        <f aca="false">I26*I$12</f>
        <v>0</v>
      </c>
      <c r="J27" s="510" t="n">
        <f aca="false">J26*J$12</f>
        <v>0</v>
      </c>
      <c r="K27" s="510" t="n">
        <f aca="false">K26*K$12</f>
        <v>0</v>
      </c>
      <c r="L27" s="510" t="n">
        <f aca="false">L26*L$12</f>
        <v>0</v>
      </c>
      <c r="M27" s="510" t="n">
        <f aca="false">M26*M$12</f>
        <v>0</v>
      </c>
      <c r="N27" s="510" t="n">
        <f aca="false">N26*N$12</f>
        <v>0</v>
      </c>
      <c r="O27" s="510" t="n">
        <f aca="false">O26*O$12</f>
        <v>0</v>
      </c>
      <c r="P27" s="510" t="n">
        <f aca="false">P26*P$12</f>
        <v>0</v>
      </c>
      <c r="Q27" s="510" t="n">
        <f aca="false">Q26*Q$12</f>
        <v>0</v>
      </c>
      <c r="R27" s="510" t="n">
        <f aca="false">R26*R$12</f>
        <v>0</v>
      </c>
      <c r="S27" s="510" t="n">
        <f aca="false">S26*S$12</f>
        <v>0</v>
      </c>
      <c r="T27" s="510" t="n">
        <f aca="false">T26*T$12</f>
        <v>0</v>
      </c>
      <c r="U27" s="510" t="n">
        <f aca="false">U26*U$12</f>
        <v>0</v>
      </c>
      <c r="V27" s="510" t="n">
        <f aca="false">V26*V$12</f>
        <v>0</v>
      </c>
      <c r="W27" s="510" t="n">
        <f aca="false">W26*W$12</f>
        <v>0</v>
      </c>
      <c r="X27" s="510" t="n">
        <f aca="false">X26*X$12</f>
        <v>0</v>
      </c>
      <c r="Y27" s="510" t="n">
        <f aca="false">Y26*Y$12</f>
        <v>0</v>
      </c>
      <c r="Z27" s="510" t="n">
        <f aca="false">Z26*Z$12</f>
        <v>0</v>
      </c>
      <c r="AA27" s="510" t="n">
        <f aca="false">AA26*AA$12</f>
        <v>0</v>
      </c>
      <c r="AB27" s="510" t="n">
        <f aca="false">AB26*AB$12</f>
        <v>0</v>
      </c>
      <c r="AC27" s="542" t="n">
        <f aca="false">AC26*AC$12</f>
        <v>0</v>
      </c>
    </row>
    <row r="28" customFormat="false" ht="12.75" hidden="false" customHeight="false" outlineLevel="0" collapsed="false">
      <c r="A28" s="393" t="s">
        <v>449</v>
      </c>
      <c r="B28" s="265"/>
      <c r="C28" s="265"/>
      <c r="D28" s="265"/>
      <c r="E28" s="510" t="n">
        <f aca="false">IF(E4&gt;'Project Assumtions'!$F$39,0,E29-E27)</f>
        <v>4610.24343239815</v>
      </c>
      <c r="F28" s="510" t="n">
        <f aca="false">IF(F4&gt;'Project Assumtions'!$F$39,0,F29-F27)</f>
        <v>8407.03466484196</v>
      </c>
      <c r="G28" s="510" t="n">
        <f aca="false">IF(G4&gt;'Project Assumtions'!$F$39,0,G29-G27)</f>
        <v>8850.16228443268</v>
      </c>
      <c r="H28" s="510" t="n">
        <f aca="false">IF(H4&gt;'Project Assumtions'!$F$39,0,H29-H27)</f>
        <v>15028.1375805023</v>
      </c>
      <c r="I28" s="510" t="n">
        <f aca="false">IF(I4&gt;'Project Assumtions'!$F$39,0,I29-I27)</f>
        <v>0</v>
      </c>
      <c r="J28" s="510" t="n">
        <f aca="false">IF(J4&gt;'Project Assumtions'!$F$39,0,J29-J27)</f>
        <v>0</v>
      </c>
      <c r="K28" s="510" t="n">
        <f aca="false">IF(K4&gt;'Project Assumtions'!$F$39,0,K29-K27)</f>
        <v>0</v>
      </c>
      <c r="L28" s="510" t="n">
        <f aca="false">IF(L4&gt;'Project Assumtions'!$F$39,0,L29-L27)</f>
        <v>0</v>
      </c>
      <c r="M28" s="510" t="n">
        <f aca="false">IF(M4&gt;'Project Assumtions'!$F$39,0,M29-M27)</f>
        <v>0</v>
      </c>
      <c r="N28" s="510" t="n">
        <f aca="false">IF(N4&gt;'Project Assumtions'!$F$39,0,N29-N27)</f>
        <v>0</v>
      </c>
      <c r="O28" s="510" t="n">
        <f aca="false">IF(O4&gt;'Project Assumtions'!$F$39,0,O29-O27)</f>
        <v>0</v>
      </c>
      <c r="P28" s="510" t="n">
        <f aca="false">IF(P4&gt;'Project Assumtions'!$F$39,0,P29-P27)</f>
        <v>0</v>
      </c>
      <c r="Q28" s="510" t="n">
        <f aca="false">IF(Q4&gt;'Project Assumtions'!$F$39,0,Q29-Q27)</f>
        <v>0</v>
      </c>
      <c r="R28" s="510" t="n">
        <f aca="false">IF(R4&gt;'Project Assumtions'!$F$39,0,R29-R27)</f>
        <v>0</v>
      </c>
      <c r="S28" s="510" t="n">
        <f aca="false">IF(S4&gt;'Project Assumtions'!$F$39,0,S29-S27)</f>
        <v>0</v>
      </c>
      <c r="T28" s="510" t="n">
        <f aca="false">IF(T4&gt;'Project Assumtions'!$F$39,0,T29-T27)</f>
        <v>0</v>
      </c>
      <c r="U28" s="510" t="n">
        <f aca="false">IF(U4&gt;'Project Assumtions'!$F$39,0,U29-U27)</f>
        <v>0</v>
      </c>
      <c r="V28" s="510" t="n">
        <f aca="false">IF(V4&gt;'Project Assumtions'!$F$39,0,V29-V27)</f>
        <v>0</v>
      </c>
      <c r="W28" s="510" t="n">
        <f aca="false">IF(W4&gt;'Project Assumtions'!$F$39,0,W29-W27)</f>
        <v>0</v>
      </c>
      <c r="X28" s="510" t="n">
        <f aca="false">IF(X4&gt;'Project Assumtions'!$F$39,0,X29-X27)</f>
        <v>0</v>
      </c>
      <c r="Y28" s="510" t="n">
        <f aca="false">IF(Y4&gt;'Project Assumtions'!$F$39,0,Y29-Y27)</f>
        <v>0</v>
      </c>
      <c r="Z28" s="510" t="n">
        <f aca="false">IF(Z4&gt;'Project Assumtions'!$F$39,0,Z29-Z27)</f>
        <v>0</v>
      </c>
      <c r="AA28" s="510" t="n">
        <f aca="false">IF(AA4&gt;'Project Assumtions'!$F$39,0,AA29-AA27)</f>
        <v>0</v>
      </c>
      <c r="AB28" s="510" t="n">
        <f aca="false">IF(AB4&gt;'Project Assumtions'!$F$39,0,AB29-AB27)</f>
        <v>0</v>
      </c>
      <c r="AC28" s="542" t="n">
        <f aca="false">IF(AC4&gt;'Project Assumtions'!$F$39,0,AC29-AC27)</f>
        <v>0</v>
      </c>
    </row>
    <row r="29" customFormat="false" ht="12.75" hidden="false" customHeight="false" outlineLevel="0" collapsed="false">
      <c r="A29" s="393" t="s">
        <v>450</v>
      </c>
      <c r="B29" s="265"/>
      <c r="C29" s="265"/>
      <c r="D29" s="265"/>
      <c r="E29" s="510" t="n">
        <f aca="false">IF(E4&gt;'Project Assumtions'!$F$39,0,E19)</f>
        <v>6058.7023305632</v>
      </c>
      <c r="F29" s="510" t="n">
        <f aca="false">IF(F4&gt;'Project Assumtions'!$F$39,0,F19)</f>
        <v>10579.8376786959</v>
      </c>
      <c r="G29" s="510" t="n">
        <f aca="false">IF(G4&gt;'Project Assumtions'!$F$39,0,G19)</f>
        <v>10457.1718653428</v>
      </c>
      <c r="H29" s="510" t="n">
        <f aca="false">IF(H4&gt;'Project Assumtions'!$F$39,0,H19)</f>
        <v>16039.5312396701</v>
      </c>
      <c r="I29" s="510" t="n">
        <f aca="false">IF(I4&gt;'Project Assumtions'!$F$39,0,I19)</f>
        <v>0</v>
      </c>
      <c r="J29" s="510" t="n">
        <f aca="false">IF(J4&gt;'Project Assumtions'!$F$39,0,J19)</f>
        <v>0</v>
      </c>
      <c r="K29" s="510" t="n">
        <f aca="false">IF(K4&gt;'Project Assumtions'!$F$39,0,K19)</f>
        <v>0</v>
      </c>
      <c r="L29" s="510" t="n">
        <f aca="false">IF(L4&gt;'Project Assumtions'!$F$39,0,L19)</f>
        <v>0</v>
      </c>
      <c r="M29" s="510" t="n">
        <f aca="false">IF(M4&gt;'Project Assumtions'!$F$39,0,M19)</f>
        <v>0</v>
      </c>
      <c r="N29" s="510" t="n">
        <f aca="false">IF(N4&gt;'Project Assumtions'!$F$39,0,N19)</f>
        <v>0</v>
      </c>
      <c r="O29" s="510" t="n">
        <f aca="false">IF(O4&gt;'Project Assumtions'!$F$39,0,O19)</f>
        <v>0</v>
      </c>
      <c r="P29" s="510" t="n">
        <f aca="false">IF(P4&gt;'Project Assumtions'!$F$39,0,P19)</f>
        <v>0</v>
      </c>
      <c r="Q29" s="510" t="n">
        <f aca="false">IF(Q4&gt;'Project Assumtions'!$F$39,0,Q19)</f>
        <v>0</v>
      </c>
      <c r="R29" s="510" t="n">
        <f aca="false">IF(R4&gt;'Project Assumtions'!$F$39,0,R19)</f>
        <v>0</v>
      </c>
      <c r="S29" s="510" t="n">
        <f aca="false">IF(S4&gt;'Project Assumtions'!$F$39,0,S19)</f>
        <v>0</v>
      </c>
      <c r="T29" s="510" t="n">
        <f aca="false">IF(T4&gt;'Project Assumtions'!$F$39,0,T19)</f>
        <v>0</v>
      </c>
      <c r="U29" s="510" t="n">
        <f aca="false">IF(U4&gt;'Project Assumtions'!$F$39,0,U19)</f>
        <v>0</v>
      </c>
      <c r="V29" s="510" t="n">
        <f aca="false">IF(V4&gt;'Project Assumtions'!$F$39,0,V19)</f>
        <v>0</v>
      </c>
      <c r="W29" s="510" t="n">
        <f aca="false">IF(W4&gt;'Project Assumtions'!$F$39,0,W19)</f>
        <v>0</v>
      </c>
      <c r="X29" s="510" t="n">
        <f aca="false">IF(X4&gt;'Project Assumtions'!$F$39,0,X19)</f>
        <v>0</v>
      </c>
      <c r="Y29" s="510" t="n">
        <f aca="false">IF(Y4&gt;'Project Assumtions'!$F$39,0,Y19)</f>
        <v>0</v>
      </c>
      <c r="Z29" s="510" t="n">
        <f aca="false">IF(Z4&gt;'Project Assumtions'!$F$39,0,Z19)</f>
        <v>0</v>
      </c>
      <c r="AA29" s="510" t="n">
        <f aca="false">IF(AA4&gt;'Project Assumtions'!$F$39,0,AA19)</f>
        <v>0</v>
      </c>
      <c r="AB29" s="510" t="n">
        <f aca="false">IF(AB4&gt;'Project Assumtions'!$F$39,0,AB19)</f>
        <v>0</v>
      </c>
      <c r="AC29" s="542" t="n">
        <f aca="false">IF(AC4&gt;'Project Assumtions'!$F$39,0,AC19)</f>
        <v>0</v>
      </c>
    </row>
    <row r="30" customFormat="false" ht="12.75" hidden="false" customHeight="false" outlineLevel="0" collapsed="false">
      <c r="A30" s="393" t="s">
        <v>451</v>
      </c>
      <c r="B30" s="265"/>
      <c r="C30" s="265"/>
      <c r="D30" s="265"/>
      <c r="E30" s="528" t="n">
        <f aca="false">IF(E4&lt;'Project Assumtions'!$F$39,E26-E28,IF(AND(E4='Project Assumtions'!$F$39,E26-E28&gt;1),"ERROR",IF(E4&gt;'Project Assumtions'!$F$39,0,E26-E28)))</f>
        <v>32285.3345297769</v>
      </c>
      <c r="F30" s="528" t="n">
        <f aca="false">IF(F4&lt;'Project Assumtions'!$F$39,F26-F28,IF(AND(F4='Project Assumtions'!$F$39,F26-F28&gt;1),"ERROR",IF(F4&gt;'Project Assumtions'!$F$39,0,F26-F28)))</f>
        <v>23878.299864935</v>
      </c>
      <c r="G30" s="528" t="n">
        <f aca="false">IF(G4&lt;'Project Assumtions'!$F$39,G26-G28,IF(AND(G4='Project Assumtions'!$F$39,G26-G28&gt;1),"ERROR",IF(G4&gt;'Project Assumtions'!$F$39,0,G26-G28)))</f>
        <v>15028.1375805023</v>
      </c>
      <c r="H30" s="528" t="n">
        <f aca="false">IF(H4&lt;'Project Assumtions'!$F$39,H26-H28,IF(AND(H4='Project Assumtions'!$F$39,H26-H28&gt;1),"ERROR",IF(H4&gt;'Project Assumtions'!$F$39,0,H26-H28)))</f>
        <v>0</v>
      </c>
      <c r="I30" s="528" t="n">
        <f aca="false">IF(I4&lt;'Project Assumtions'!$F$39,I26-I28,IF(AND(I4='Project Assumtions'!$F$39,I26-I28&gt;1),"ERROR",IF(I4&gt;'Project Assumtions'!$F$39,0,I26-I28)))</f>
        <v>0</v>
      </c>
      <c r="J30" s="528" t="n">
        <f aca="false">IF(J4&lt;'Project Assumtions'!$F$39,J26-J28,IF(AND(J4='Project Assumtions'!$F$39,J26-J28&gt;1),"ERROR",IF(J4&gt;'Project Assumtions'!$F$39,0,J26-J28)))</f>
        <v>0</v>
      </c>
      <c r="K30" s="528" t="n">
        <f aca="false">IF(K4&lt;'Project Assumtions'!$F$39,K26-K28,IF(AND(K4='Project Assumtions'!$F$39,K26-K28&gt;1),"ERROR",IF(K4&gt;'Project Assumtions'!$F$39,0,K26-K28)))</f>
        <v>0</v>
      </c>
      <c r="L30" s="528" t="n">
        <f aca="false">IF(L4&lt;'Project Assumtions'!$F$39,L26-L28,IF(AND(L4='Project Assumtions'!$F$39,L26-L28&gt;1),"ERROR",IF(L4&gt;'Project Assumtions'!$F$39,0,L26-L28)))</f>
        <v>0</v>
      </c>
      <c r="M30" s="528" t="n">
        <f aca="false">IF(M4&lt;'Project Assumtions'!$F$39,M26-M28,IF(AND(M4='Project Assumtions'!$F$39,M26-M28&gt;1),"ERROR",IF(M4&gt;'Project Assumtions'!$F$39,0,M26-M28)))</f>
        <v>0</v>
      </c>
      <c r="N30" s="528" t="n">
        <f aca="false">IF(N4&lt;'Project Assumtions'!$F$39,N26-N28,IF(AND(N4='Project Assumtions'!$F$39,N26-N28&gt;1),"ERROR",IF(N4&gt;'Project Assumtions'!$F$39,0,N26-N28)))</f>
        <v>0</v>
      </c>
      <c r="O30" s="528" t="n">
        <f aca="false">IF(O4&lt;'Project Assumtions'!$F$39,O26-O28,IF(AND(O4='Project Assumtions'!$F$39,O26-O28&gt;1),"ERROR",IF(O4&gt;'Project Assumtions'!$F$39,0,O26-O28)))</f>
        <v>0</v>
      </c>
      <c r="P30" s="528" t="n">
        <f aca="false">IF(P4&lt;'Project Assumtions'!$F$39,P26-P28,IF(AND(P4='Project Assumtions'!$F$39,P26-P28&gt;1),"ERROR",IF(P4&gt;'Project Assumtions'!$F$39,0,P26-P28)))</f>
        <v>0</v>
      </c>
      <c r="Q30" s="528" t="n">
        <f aca="false">IF(Q4&lt;'Project Assumtions'!$F$39,Q26-Q28,IF(AND(Q4='Project Assumtions'!$F$39,Q26-Q28&gt;1),"ERROR",IF(Q4&gt;'Project Assumtions'!$F$39,0,Q26-Q28)))</f>
        <v>0</v>
      </c>
      <c r="R30" s="528" t="n">
        <f aca="false">IF(R4&lt;'Project Assumtions'!$F$39,R26-R28,IF(AND(R4='Project Assumtions'!$F$39,R26-R28&gt;1),"ERROR",IF(R4&gt;'Project Assumtions'!$F$39,0,R26-R28)))</f>
        <v>0</v>
      </c>
      <c r="S30" s="528" t="n">
        <f aca="false">IF(S4&lt;'Project Assumtions'!$F$39,S26-S28,IF(AND(S4='Project Assumtions'!$F$39,S26-S28&gt;1),"ERROR",IF(S4&gt;'Project Assumtions'!$F$39,0,S26-S28)))</f>
        <v>0</v>
      </c>
      <c r="T30" s="528" t="n">
        <f aca="false">IF(T4&lt;'Project Assumtions'!$F$39,T26-T28,IF(AND(T4='Project Assumtions'!$F$39,T26-T28&gt;1),"ERROR",IF(T4&gt;'Project Assumtions'!$F$39,0,T26-T28)))</f>
        <v>0</v>
      </c>
      <c r="U30" s="528" t="n">
        <f aca="false">IF(U4&lt;'Project Assumtions'!$F$39,U26-U28,IF(AND(U4='Project Assumtions'!$F$39,U26-U28&gt;1),"ERROR",IF(U4&gt;'Project Assumtions'!$F$39,0,U26-U28)))</f>
        <v>0</v>
      </c>
      <c r="V30" s="528" t="n">
        <f aca="false">IF(V4&lt;'Project Assumtions'!$F$39,V26-V28,IF(AND(V4='Project Assumtions'!$F$39,V26-V28&gt;1),"ERROR",IF(V4&gt;'Project Assumtions'!$F$39,0,V26-V28)))</f>
        <v>0</v>
      </c>
      <c r="W30" s="528" t="n">
        <f aca="false">IF(W4&lt;'Project Assumtions'!$F$39,W26-W28,IF(AND(W4='Project Assumtions'!$F$39,W26-W28&gt;1),"ERROR",IF(W4&gt;'Project Assumtions'!$F$39,0,W26-W28)))</f>
        <v>0</v>
      </c>
      <c r="X30" s="528" t="n">
        <f aca="false">IF(X4&lt;'Project Assumtions'!$F$39,X26-X28,IF(AND(X4='Project Assumtions'!$F$39,X26-X28&gt;1),"ERROR",IF(X4&gt;'Project Assumtions'!$F$39,0,X26-X28)))</f>
        <v>0</v>
      </c>
      <c r="Y30" s="528" t="n">
        <f aca="false">IF(Y4&lt;'Project Assumtions'!$F$39,Y26-Y28,IF(AND(Y4='Project Assumtions'!$F$39,Y26-Y28&gt;1),"ERROR",IF(Y4&gt;'Project Assumtions'!$F$39,0,Y26-Y28)))</f>
        <v>0</v>
      </c>
      <c r="Z30" s="528" t="n">
        <f aca="false">IF(Z4&lt;'Project Assumtions'!$F$39,Z26-Z28,IF(AND(Z4='Project Assumtions'!$F$39,Z26-Z28&gt;1),"ERROR",IF(Z4&gt;'Project Assumtions'!$F$39,0,Z26-Z28)))</f>
        <v>0</v>
      </c>
      <c r="AA30" s="528" t="n">
        <f aca="false">IF(AA4&lt;'Project Assumtions'!$F$39,AA26-AA28,IF(AND(AA4='Project Assumtions'!$F$39,AA26-AA28&gt;1),"ERROR",IF(AA4&gt;'Project Assumtions'!$F$39,0,AA26-AA28)))</f>
        <v>0</v>
      </c>
      <c r="AB30" s="528" t="n">
        <f aca="false">IF(AB4&lt;'Project Assumtions'!$F$39,AB26-AB28,IF(AND(AB4='Project Assumtions'!$F$39,AB26-AB28&gt;1),"ERROR",IF(AB4&gt;'Project Assumtions'!$F$39,0,AB26-AB28)))</f>
        <v>0</v>
      </c>
      <c r="AC30" s="529" t="n">
        <f aca="false">IF(AC4&lt;'Project Assumtions'!$F$39,AC26-AC28,IF(AND(AC4='Project Assumtions'!$F$39,AC26-AC28&gt;1),"ERROR",IF(AC4&gt;'Project Assumtions'!$F$39,0,AC26-AC28)))</f>
        <v>0</v>
      </c>
    </row>
    <row r="31" customFormat="false" ht="12.75" hidden="false" customHeight="false" outlineLevel="0" collapsed="false">
      <c r="A31" s="474" t="s">
        <v>452</v>
      </c>
      <c r="B31" s="475"/>
      <c r="C31" s="475"/>
      <c r="D31" s="475"/>
      <c r="E31" s="557" t="n">
        <f aca="false">SUMPRODUCT(E4:AC4,E28:AC28)/B19</f>
        <v>2.9295475476275</v>
      </c>
      <c r="F31" s="508"/>
      <c r="G31" s="508"/>
      <c r="H31" s="508"/>
      <c r="I31" s="508"/>
      <c r="J31" s="508"/>
      <c r="K31" s="508"/>
      <c r="L31" s="508"/>
      <c r="M31" s="508"/>
      <c r="N31" s="508"/>
      <c r="O31" s="549"/>
      <c r="P31" s="508"/>
      <c r="Q31" s="508"/>
      <c r="R31" s="508"/>
      <c r="S31" s="508"/>
      <c r="T31" s="508"/>
      <c r="U31" s="508"/>
      <c r="V31" s="508"/>
      <c r="W31" s="508"/>
      <c r="X31" s="508"/>
      <c r="Y31" s="508"/>
      <c r="Z31" s="508"/>
      <c r="AA31" s="508"/>
      <c r="AB31" s="508"/>
      <c r="AC31" s="509"/>
    </row>
    <row r="32" customFormat="false" ht="12.75" hidden="false" customHeight="false" outlineLevel="0" collapsed="false">
      <c r="D32" s="510"/>
      <c r="E32" s="510"/>
      <c r="F32" s="510"/>
      <c r="G32" s="510"/>
      <c r="H32" s="510"/>
      <c r="I32" s="510"/>
      <c r="J32" s="510"/>
      <c r="K32" s="510"/>
      <c r="L32" s="510"/>
      <c r="M32" s="510"/>
      <c r="N32" s="510"/>
      <c r="O32" s="510"/>
      <c r="P32" s="510"/>
      <c r="Q32" s="510"/>
      <c r="R32" s="510"/>
      <c r="S32" s="510"/>
      <c r="T32" s="510"/>
      <c r="U32" s="510"/>
      <c r="V32" s="510"/>
      <c r="W32" s="510"/>
      <c r="X32" s="510"/>
      <c r="Y32" s="510"/>
      <c r="Z32" s="510"/>
      <c r="AA32" s="510"/>
      <c r="AB32" s="510"/>
    </row>
    <row r="33" customFormat="false" ht="12.75" hidden="false" customHeight="false" outlineLevel="0" collapsed="false">
      <c r="A33" s="17" t="s">
        <v>229</v>
      </c>
      <c r="B33" s="554"/>
      <c r="C33" s="554"/>
      <c r="D33" s="555"/>
      <c r="E33" s="555"/>
      <c r="F33" s="555"/>
      <c r="G33" s="555"/>
      <c r="H33" s="555"/>
      <c r="I33" s="555"/>
      <c r="J33" s="555"/>
      <c r="K33" s="555"/>
      <c r="L33" s="555"/>
      <c r="M33" s="555"/>
      <c r="N33" s="555"/>
      <c r="O33" s="555"/>
      <c r="P33" s="555"/>
      <c r="Q33" s="555"/>
      <c r="R33" s="555"/>
      <c r="S33" s="555"/>
      <c r="T33" s="555"/>
      <c r="U33" s="555"/>
      <c r="V33" s="555"/>
      <c r="W33" s="555"/>
      <c r="X33" s="555"/>
      <c r="Y33" s="555"/>
      <c r="Z33" s="555"/>
      <c r="AA33" s="555"/>
      <c r="AB33" s="555"/>
      <c r="AC33" s="464"/>
    </row>
    <row r="34" customFormat="false" ht="12.75" hidden="false" customHeight="false" outlineLevel="0" collapsed="false">
      <c r="A34" s="393" t="s">
        <v>447</v>
      </c>
      <c r="B34" s="536"/>
      <c r="C34" s="536"/>
      <c r="D34" s="265"/>
      <c r="E34" s="528" t="n">
        <f aca="false">B20</f>
        <v>65071.286532473</v>
      </c>
      <c r="F34" s="528" t="n">
        <f aca="false">IF(F4&gt;'Project Assumtions'!$G$39,0,E38)</f>
        <v>65071.286532473</v>
      </c>
      <c r="G34" s="528" t="n">
        <f aca="false">IF(G4&gt;'Project Assumtions'!$G$39,0,F38)</f>
        <v>65071.286532473</v>
      </c>
      <c r="H34" s="528" t="n">
        <f aca="false">IF(H4&gt;'Project Assumtions'!$G$39,0,G38)</f>
        <v>65071.286532473</v>
      </c>
      <c r="I34" s="528" t="n">
        <f aca="false">IF(I4&gt;'Project Assumtions'!$G$39,0,H38)</f>
        <v>65071.286532473</v>
      </c>
      <c r="J34" s="528" t="n">
        <f aca="false">IF(J4&gt;'Project Assumtions'!$G$39,0,I38)</f>
        <v>56608.3412946415</v>
      </c>
      <c r="K34" s="528" t="n">
        <f aca="false">IF(K4&gt;'Project Assumtions'!$G$39,0,J38)</f>
        <v>47118.9065272572</v>
      </c>
      <c r="L34" s="528" t="n">
        <f aca="false">IF(L4&gt;'Project Assumtions'!$G$39,0,K38)</f>
        <v>36779.7419213168</v>
      </c>
      <c r="M34" s="528" t="n">
        <f aca="false">IF(M4&gt;'Project Assumtions'!$G$39,0,L38)</f>
        <v>25537.8161597871</v>
      </c>
      <c r="N34" s="528" t="n">
        <f aca="false">IF(N4&gt;'Project Assumtions'!$G$39,0,M38)</f>
        <v>13311.7664156307</v>
      </c>
      <c r="O34" s="528" t="n">
        <f aca="false">IF(O4&gt;'Project Assumtions'!$G$39,0,N38)</f>
        <v>0</v>
      </c>
      <c r="P34" s="528" t="n">
        <f aca="false">IF(P4&gt;'Project Assumtions'!$G$39,0,O38)</f>
        <v>0</v>
      </c>
      <c r="Q34" s="528" t="n">
        <f aca="false">IF(Q4&gt;'Project Assumtions'!$G$39,0,P38)</f>
        <v>0</v>
      </c>
      <c r="R34" s="528" t="n">
        <f aca="false">IF(R4&gt;'Project Assumtions'!$G$39,0,Q38)</f>
        <v>0</v>
      </c>
      <c r="S34" s="528" t="n">
        <f aca="false">IF(S4&gt;'Project Assumtions'!$G$39,0,R38)</f>
        <v>0</v>
      </c>
      <c r="T34" s="528" t="n">
        <f aca="false">IF(T4&gt;'Project Assumtions'!$G$39,0,S38)</f>
        <v>0</v>
      </c>
      <c r="U34" s="528" t="n">
        <f aca="false">IF(U4&gt;'Project Assumtions'!$G$39,0,T38)</f>
        <v>0</v>
      </c>
      <c r="V34" s="528" t="n">
        <f aca="false">IF(V4&gt;'Project Assumtions'!$G$39,0,U38)</f>
        <v>0</v>
      </c>
      <c r="W34" s="528" t="n">
        <f aca="false">IF(W4&gt;'Project Assumtions'!$G$39,0,V38)</f>
        <v>0</v>
      </c>
      <c r="X34" s="528" t="n">
        <f aca="false">IF(X4&gt;'Project Assumtions'!$G$39,0,W38)</f>
        <v>0</v>
      </c>
      <c r="Y34" s="528" t="n">
        <f aca="false">IF(Y4&gt;'Project Assumtions'!$G$39,0,X38)</f>
        <v>0</v>
      </c>
      <c r="Z34" s="528" t="n">
        <f aca="false">IF(Z4&gt;'Project Assumtions'!$G$39,0,Y38)</f>
        <v>0</v>
      </c>
      <c r="AA34" s="528" t="n">
        <f aca="false">IF(AA4&gt;'Project Assumtions'!$G$39,0,Z38)</f>
        <v>0</v>
      </c>
      <c r="AB34" s="528" t="n">
        <f aca="false">IF(AB4&gt;'Project Assumtions'!$G$39,0,AA38)</f>
        <v>0</v>
      </c>
      <c r="AC34" s="529" t="n">
        <f aca="false">IF(AC4&gt;'Project Assumtions'!$G$39,0,AB38)</f>
        <v>0</v>
      </c>
    </row>
    <row r="35" customFormat="false" ht="12.75" hidden="false" customHeight="false" outlineLevel="0" collapsed="false">
      <c r="A35" s="393" t="s">
        <v>448</v>
      </c>
      <c r="B35" s="556"/>
      <c r="C35" s="556"/>
      <c r="D35" s="265"/>
      <c r="E35" s="510" t="n">
        <f aca="false">IF(E4&gt;'Project Assumtions'!$F$39,E34*E13,IF(AND(E4&lt;='Project Assumtions'!$F$39,'Project Assumtions'!$G$42="Interest Only"),E34*E13*(13-MONTH('Project Assumtions'!G16))/12,0))</f>
        <v>2873.43956112979</v>
      </c>
      <c r="F35" s="510" t="n">
        <f aca="false">IF(F4&gt;'Project Assumtions'!$F$39,F34*F13,IF(AND(F4&lt;='Project Assumtions'!$F$39,'Project Assumtions'!$G$42="Interest Only"),F34*F13,0))</f>
        <v>4925.8963905082</v>
      </c>
      <c r="G35" s="510" t="n">
        <f aca="false">IF(G4&gt;'Project Assumtions'!$F$39,G34*G13,IF(AND(G4&lt;='Project Assumtions'!$F$39,'Project Assumtions'!$G$42="Interest Only"),G34*G13,0))</f>
        <v>4925.8963905082</v>
      </c>
      <c r="H35" s="510" t="n">
        <f aca="false">IF(H4&gt;'Project Assumtions'!$F$39,H34*H13,IF(AND(H4&lt;='Project Assumtions'!$F$39,'Project Assumtions'!$G$42="Interest Only"),H34*H13,0))</f>
        <v>4925.8963905082</v>
      </c>
      <c r="I35" s="510" t="n">
        <f aca="false">IF(I4&gt;'Project Assumtions'!$F$39,I34*I13,IF(AND(I4&lt;='Project Assumtions'!$F$39,'Project Assumtions'!$G$42="Interest Only"),I34*I13,0))</f>
        <v>4925.8963905082</v>
      </c>
      <c r="J35" s="510" t="n">
        <f aca="false">IF(J4&gt;'Project Assumtions'!$F$39,J34*J13,IF(AND(J4&lt;='Project Assumtions'!$F$39,'Project Assumtions'!$G$42="Interest Only"),J34*J13,0))</f>
        <v>4285.25143600436</v>
      </c>
      <c r="K35" s="510" t="n">
        <f aca="false">IF(K4&gt;'Project Assumtions'!$F$39,K34*K13,IF(AND(K4&lt;='Project Assumtions'!$F$39,'Project Assumtions'!$G$42="Interest Only"),K34*K13,0))</f>
        <v>3566.90122411337</v>
      </c>
      <c r="L35" s="510" t="n">
        <f aca="false">IF(L4&gt;'Project Assumtions'!$F$39,L34*L13,IF(AND(L4&lt;='Project Assumtions'!$F$39,'Project Assumtions'!$G$42="Interest Only"),L34*L13,0))</f>
        <v>2784.22646344368</v>
      </c>
      <c r="M35" s="510" t="n">
        <f aca="false">IF(M4&gt;'Project Assumtions'!$F$39,M34*M13,IF(AND(M4&lt;='Project Assumtions'!$F$39,'Project Assumtions'!$G$42="Interest Only"),M34*M13,0))</f>
        <v>1933.21268329588</v>
      </c>
      <c r="N35" s="510" t="n">
        <f aca="false">IF(N4&gt;'Project Assumtions'!$F$39,N34*N13,IF(AND(N4&lt;='Project Assumtions'!$F$39,'Project Assumtions'!$G$42="Interest Only"),N34*N13,0))</f>
        <v>1007.70071766324</v>
      </c>
      <c r="O35" s="510" t="n">
        <f aca="false">IF(O4&gt;'Project Assumtions'!$F$39,O34*O13,IF(AND(O4&lt;='Project Assumtions'!$F$39,'Project Assumtions'!$G$42="Interest Only"),O34*O13,0))</f>
        <v>0</v>
      </c>
      <c r="P35" s="510" t="n">
        <f aca="false">IF(P4&gt;'Project Assumtions'!$F$39,P34*P13,IF(AND(P4&lt;='Project Assumtions'!$F$39,'Project Assumtions'!$G$42="Interest Only"),P34*P13,0))</f>
        <v>0</v>
      </c>
      <c r="Q35" s="510" t="n">
        <f aca="false">IF(Q4&gt;'Project Assumtions'!$F$39,Q34*Q13,IF(AND(Q4&lt;='Project Assumtions'!$F$39,'Project Assumtions'!$G$42="Interest Only"),Q34*Q13,0))</f>
        <v>0</v>
      </c>
      <c r="R35" s="510" t="n">
        <f aca="false">IF(R4&gt;'Project Assumtions'!$F$39,R34*R13,IF(AND(R4&lt;='Project Assumtions'!$F$39,'Project Assumtions'!$G$42="Interest Only"),R34*R13,0))</f>
        <v>0</v>
      </c>
      <c r="S35" s="510" t="n">
        <f aca="false">IF(S4&gt;'Project Assumtions'!$F$39,S34*S13,IF(AND(S4&lt;='Project Assumtions'!$F$39,'Project Assumtions'!$G$42="Interest Only"),S34*S13,0))</f>
        <v>0</v>
      </c>
      <c r="T35" s="510" t="n">
        <f aca="false">IF(T4&gt;'Project Assumtions'!$F$39,T34*T13,IF(AND(T4&lt;='Project Assumtions'!$F$39,'Project Assumtions'!$G$42="Interest Only"),T34*T13,0))</f>
        <v>0</v>
      </c>
      <c r="U35" s="510" t="n">
        <f aca="false">IF(U4&gt;'Project Assumtions'!$F$39,U34*U13,IF(AND(U4&lt;='Project Assumtions'!$F$39,'Project Assumtions'!$G$42="Interest Only"),U34*U13,0))</f>
        <v>0</v>
      </c>
      <c r="V35" s="510" t="n">
        <f aca="false">IF(V4&gt;'Project Assumtions'!$F$39,V34*V13,IF(AND(V4&lt;='Project Assumtions'!$F$39,'Project Assumtions'!$G$42="Interest Only"),V34*V13,0))</f>
        <v>0</v>
      </c>
      <c r="W35" s="510" t="n">
        <f aca="false">IF(W4&gt;'Project Assumtions'!$F$39,W34*W13,IF(AND(W4&lt;='Project Assumtions'!$F$39,'Project Assumtions'!$G$42="Interest Only"),W34*W13,0))</f>
        <v>0</v>
      </c>
      <c r="X35" s="510" t="n">
        <f aca="false">IF(X4&gt;'Project Assumtions'!$F$39,X34*X13,IF(AND(X4&lt;='Project Assumtions'!$F$39,'Project Assumtions'!$G$42="Interest Only"),X34*X13,0))</f>
        <v>0</v>
      </c>
      <c r="Y35" s="510" t="n">
        <f aca="false">IF(Y4&gt;'Project Assumtions'!$F$39,Y34*Y13,IF(AND(Y4&lt;='Project Assumtions'!$F$39,'Project Assumtions'!$G$42="Interest Only"),Y34*Y13,0))</f>
        <v>0</v>
      </c>
      <c r="Z35" s="510" t="n">
        <f aca="false">IF(Z4&gt;'Project Assumtions'!$F$39,Z34*Z13,IF(AND(Z4&lt;='Project Assumtions'!$F$39,'Project Assumtions'!$G$42="Interest Only"),Z34*Z13,0))</f>
        <v>0</v>
      </c>
      <c r="AA35" s="510" t="n">
        <f aca="false">IF(AA4&gt;'Project Assumtions'!$F$39,AA34*AA13,IF(AND(AA4&lt;='Project Assumtions'!$F$39,'Project Assumtions'!$G$42="Interest Only"),AA34*AA13,0))</f>
        <v>0</v>
      </c>
      <c r="AB35" s="510" t="n">
        <f aca="false">IF(AB4&gt;'Project Assumtions'!$F$39,AB34*AB13,IF(AND(AB4&lt;='Project Assumtions'!$F$39,'Project Assumtions'!$G$42="Interest Only"),AB34*AB13,0))</f>
        <v>0</v>
      </c>
      <c r="AC35" s="542" t="n">
        <f aca="false">IF(AC4&gt;'Project Assumtions'!$F$39,AC34*AC13,IF(AND(AC4&lt;='Project Assumtions'!$F$39,'Project Assumtions'!$G$42="Interest Only"),AC34*AC13,0))</f>
        <v>0</v>
      </c>
    </row>
    <row r="36" customFormat="false" ht="12.75" hidden="false" customHeight="false" outlineLevel="0" collapsed="false">
      <c r="A36" s="393" t="s">
        <v>449</v>
      </c>
      <c r="B36" s="558"/>
      <c r="C36" s="558"/>
      <c r="D36" s="265"/>
      <c r="E36" s="510" t="n">
        <f aca="false">IF(OR(E4&lt;='Project Assumtions'!$F$39,E4&gt;'Project Assumtions'!$G$39),0,E37-E35)</f>
        <v>0</v>
      </c>
      <c r="F36" s="510" t="n">
        <f aca="false">IF(OR(F4&lt;='Project Assumtions'!$F$39,F4&gt;'Project Assumtions'!$G$39),0,F37-F35)</f>
        <v>0</v>
      </c>
      <c r="G36" s="510" t="n">
        <f aca="false">IF(OR(G4&lt;='Project Assumtions'!$F$39,G4&gt;'Project Assumtions'!$G$39),0,G37-G35)</f>
        <v>0</v>
      </c>
      <c r="H36" s="510" t="n">
        <f aca="false">IF(OR(H4&lt;='Project Assumtions'!$F$39,H4&gt;'Project Assumtions'!$G$39),0,H37-H35)</f>
        <v>0</v>
      </c>
      <c r="I36" s="510" t="n">
        <f aca="false">IF(OR(I4&lt;='Project Assumtions'!$F$39,I4&gt;'Project Assumtions'!$G$39),0,I37-I35)</f>
        <v>8462.94523783148</v>
      </c>
      <c r="J36" s="510" t="n">
        <f aca="false">IF(OR(J4&lt;='Project Assumtions'!$F$39,J4&gt;'Project Assumtions'!$G$39),0,J37-J35)</f>
        <v>9489.43476738426</v>
      </c>
      <c r="K36" s="510" t="n">
        <f aca="false">IF(OR(K4&lt;='Project Assumtions'!$F$39,K4&gt;'Project Assumtions'!$G$39),0,K37-K35)</f>
        <v>10339.1646059404</v>
      </c>
      <c r="L36" s="510" t="n">
        <f aca="false">IF(OR(L4&lt;='Project Assumtions'!$F$39,L4&gt;'Project Assumtions'!$G$39),0,L37-L35)</f>
        <v>11241.9257615298</v>
      </c>
      <c r="M36" s="510" t="n">
        <f aca="false">IF(OR(M4&lt;='Project Assumtions'!$F$39,M4&gt;'Project Assumtions'!$G$39),0,M37-M35)</f>
        <v>12226.0497441564</v>
      </c>
      <c r="N36" s="510" t="n">
        <f aca="false">IF(OR(N4&lt;='Project Assumtions'!$F$39,N4&gt;'Project Assumtions'!$G$39),0,N37-N35)</f>
        <v>13311.7664156307</v>
      </c>
      <c r="O36" s="510" t="n">
        <f aca="false">IF(OR(O4&lt;='Project Assumtions'!$F$39,O4&gt;'Project Assumtions'!$G$39),0,O37-O35)</f>
        <v>0</v>
      </c>
      <c r="P36" s="510" t="n">
        <f aca="false">IF(OR(P4&lt;='Project Assumtions'!$F$39,P4&gt;'Project Assumtions'!$G$39),0,P37-P35)</f>
        <v>0</v>
      </c>
      <c r="Q36" s="510" t="n">
        <f aca="false">IF(OR(Q4&lt;='Project Assumtions'!$F$39,Q4&gt;'Project Assumtions'!$G$39),0,Q37-Q35)</f>
        <v>0</v>
      </c>
      <c r="R36" s="510" t="n">
        <f aca="false">IF(OR(R4&lt;='Project Assumtions'!$F$39,R4&gt;'Project Assumtions'!$G$39),0,R37-R35)</f>
        <v>0</v>
      </c>
      <c r="S36" s="510" t="n">
        <f aca="false">IF(OR(S4&lt;='Project Assumtions'!$F$39,S4&gt;'Project Assumtions'!$G$39),0,S37-S35)</f>
        <v>0</v>
      </c>
      <c r="T36" s="510" t="n">
        <f aca="false">IF(OR(T4&lt;='Project Assumtions'!$F$39,T4&gt;'Project Assumtions'!$G$39),0,T37-T35)</f>
        <v>0</v>
      </c>
      <c r="U36" s="510" t="n">
        <f aca="false">IF(OR(U4&lt;='Project Assumtions'!$F$39,U4&gt;'Project Assumtions'!$G$39),0,U37-U35)</f>
        <v>0</v>
      </c>
      <c r="V36" s="510" t="n">
        <f aca="false">IF(OR(V4&lt;='Project Assumtions'!$F$39,V4&gt;'Project Assumtions'!$G$39),0,V37-V35)</f>
        <v>0</v>
      </c>
      <c r="W36" s="510" t="n">
        <f aca="false">IF(OR(W4&lt;='Project Assumtions'!$F$39,W4&gt;'Project Assumtions'!$G$39),0,W37-W35)</f>
        <v>0</v>
      </c>
      <c r="X36" s="510" t="n">
        <f aca="false">IF(OR(X4&lt;='Project Assumtions'!$F$39,X4&gt;'Project Assumtions'!$G$39),0,X37-X35)</f>
        <v>0</v>
      </c>
      <c r="Y36" s="510" t="n">
        <f aca="false">IF(OR(Y4&lt;='Project Assumtions'!$F$39,Y4&gt;'Project Assumtions'!$G$39),0,Y37-Y35)</f>
        <v>0</v>
      </c>
      <c r="Z36" s="510" t="n">
        <f aca="false">IF(OR(Z4&lt;='Project Assumtions'!$F$39,Z4&gt;'Project Assumtions'!$G$39),0,Z37-Z35)</f>
        <v>0</v>
      </c>
      <c r="AA36" s="510" t="n">
        <f aca="false">IF(OR(AA4&lt;='Project Assumtions'!$F$39,AA4&gt;'Project Assumtions'!$G$39),0,AA37-AA35)</f>
        <v>0</v>
      </c>
      <c r="AB36" s="510" t="n">
        <f aca="false">IF(OR(AB4&lt;='Project Assumtions'!$F$39,AB4&gt;'Project Assumtions'!$G$39),0,AB37-AB35)</f>
        <v>0</v>
      </c>
      <c r="AC36" s="542" t="n">
        <f aca="false">IF(OR(AC4&lt;='Project Assumtions'!$F$39,AC4&gt;'Project Assumtions'!$G$39),0,AC37-AC35)</f>
        <v>0</v>
      </c>
    </row>
    <row r="37" customFormat="false" ht="12.75" hidden="false" customHeight="false" outlineLevel="0" collapsed="false">
      <c r="A37" s="532" t="s">
        <v>450</v>
      </c>
      <c r="B37" s="533"/>
      <c r="C37" s="533"/>
      <c r="D37" s="533"/>
      <c r="E37" s="510" t="n">
        <f aca="false">IF(E4&lt;='Project Assumtions'!$F$39,E35,E20)</f>
        <v>2873.43956112979</v>
      </c>
      <c r="F37" s="510" t="n">
        <f aca="false">IF(F4&lt;='Project Assumtions'!$F$39,F35,F20)</f>
        <v>4925.8963905082</v>
      </c>
      <c r="G37" s="510" t="n">
        <f aca="false">IF(G4&lt;='Project Assumtions'!$F$39,G35,G20)</f>
        <v>4925.8963905082</v>
      </c>
      <c r="H37" s="510" t="n">
        <f aca="false">IF(H4&lt;='Project Assumtions'!$F$39,H35,H20)</f>
        <v>4925.8963905082</v>
      </c>
      <c r="I37" s="510" t="n">
        <f aca="false">IF(I4&lt;='Project Assumtions'!$F$39,I35,I20)</f>
        <v>13388.8416283397</v>
      </c>
      <c r="J37" s="510" t="n">
        <f aca="false">IF(J4&lt;='Project Assumtions'!$F$39,J35,J20)</f>
        <v>13774.6862033886</v>
      </c>
      <c r="K37" s="510" t="n">
        <f aca="false">IF(K4&lt;='Project Assumtions'!$F$39,K35,K20)</f>
        <v>13906.0658300538</v>
      </c>
      <c r="L37" s="510" t="n">
        <f aca="false">IF(L4&lt;='Project Assumtions'!$F$39,L35,L20)</f>
        <v>14026.1522249734</v>
      </c>
      <c r="M37" s="510" t="n">
        <f aca="false">IF(M4&lt;='Project Assumtions'!$F$39,M35,M20)</f>
        <v>14159.2624274522</v>
      </c>
      <c r="N37" s="510" t="n">
        <f aca="false">IF(N4&lt;='Project Assumtions'!$F$39,N35,N20)</f>
        <v>14319.467133294</v>
      </c>
      <c r="O37" s="510" t="n">
        <f aca="false">IF(O4&lt;='Project Assumtions'!$F$39,O35,O20)</f>
        <v>0</v>
      </c>
      <c r="P37" s="510" t="n">
        <f aca="false">IF(P4&lt;='Project Assumtions'!$F$39,P35,P20)</f>
        <v>0</v>
      </c>
      <c r="Q37" s="510" t="n">
        <f aca="false">IF(Q4&lt;='Project Assumtions'!$F$39,Q35,Q20)</f>
        <v>0</v>
      </c>
      <c r="R37" s="510" t="n">
        <f aca="false">IF(R4&lt;='Project Assumtions'!$F$39,R35,R20)</f>
        <v>0</v>
      </c>
      <c r="S37" s="510" t="n">
        <f aca="false">IF(S4&lt;='Project Assumtions'!$F$39,S35,S20)</f>
        <v>0</v>
      </c>
      <c r="T37" s="510" t="n">
        <f aca="false">IF(T4&lt;='Project Assumtions'!$F$39,T35,T20)</f>
        <v>0</v>
      </c>
      <c r="U37" s="510" t="n">
        <f aca="false">IF(U4&lt;='Project Assumtions'!$F$39,U35,U20)</f>
        <v>0</v>
      </c>
      <c r="V37" s="510" t="n">
        <f aca="false">IF(V4&lt;='Project Assumtions'!$F$39,V35,V20)</f>
        <v>0</v>
      </c>
      <c r="W37" s="510" t="n">
        <f aca="false">IF(W4&lt;='Project Assumtions'!$F$39,W35,W20)</f>
        <v>0</v>
      </c>
      <c r="X37" s="510" t="n">
        <f aca="false">IF(X4&lt;='Project Assumtions'!$F$39,X35,X20)</f>
        <v>0</v>
      </c>
      <c r="Y37" s="510" t="n">
        <f aca="false">IF(Y4&lt;='Project Assumtions'!$F$39,Y35,Y20)</f>
        <v>0</v>
      </c>
      <c r="Z37" s="510" t="n">
        <f aca="false">IF(Z4&lt;='Project Assumtions'!$F$39,Z35,Z20)</f>
        <v>0</v>
      </c>
      <c r="AA37" s="510" t="n">
        <f aca="false">IF(AA4&lt;='Project Assumtions'!$F$39,AA35,AA20)</f>
        <v>0</v>
      </c>
      <c r="AB37" s="510" t="n">
        <f aca="false">IF(AB4&lt;='Project Assumtions'!$F$39,AB35,AB20)</f>
        <v>0</v>
      </c>
      <c r="AC37" s="542" t="n">
        <f aca="false">IF(AC4&lt;='Project Assumtions'!$F$39,AC35,AC20)</f>
        <v>0</v>
      </c>
      <c r="AD37" s="537"/>
      <c r="AE37" s="537"/>
      <c r="AF37" s="537"/>
    </row>
    <row r="38" customFormat="false" ht="12.6" hidden="false" customHeight="true" outlineLevel="0" collapsed="false">
      <c r="A38" s="532" t="s">
        <v>451</v>
      </c>
      <c r="B38" s="465"/>
      <c r="C38" s="465"/>
      <c r="D38" s="533"/>
      <c r="E38" s="528" t="n">
        <f aca="false">IF(E4&lt;'Project Assumtions'!$G$39,E34-E36,IF(E4&gt;'Project Assumtions'!$G$39,0,E34-E36))</f>
        <v>65071.286532473</v>
      </c>
      <c r="F38" s="528" t="n">
        <f aca="false">IF(F4&lt;'Project Assumtions'!$G$39,F34-F36,IF(F4&gt;'Project Assumtions'!$G$39,0,F34-F36))</f>
        <v>65071.286532473</v>
      </c>
      <c r="G38" s="528" t="n">
        <f aca="false">IF(G4&lt;'Project Assumtions'!$G$39,G34-G36,IF(G4&gt;'Project Assumtions'!$G$39,0,G34-G36))</f>
        <v>65071.286532473</v>
      </c>
      <c r="H38" s="528" t="n">
        <f aca="false">IF(H4&lt;'Project Assumtions'!$G$39,H34-H36,IF(H4&gt;'Project Assumtions'!$G$39,0,H34-H36))</f>
        <v>65071.286532473</v>
      </c>
      <c r="I38" s="528" t="n">
        <f aca="false">IF(I4&lt;'Project Assumtions'!$G$39,I34-I36,IF(I4&gt;'Project Assumtions'!$G$39,0,I34-I36))</f>
        <v>56608.3412946415</v>
      </c>
      <c r="J38" s="528" t="n">
        <f aca="false">IF(J4&lt;'Project Assumtions'!$G$39,J34-J36,IF(J4&gt;'Project Assumtions'!$G$39,0,J34-J36))</f>
        <v>47118.9065272572</v>
      </c>
      <c r="K38" s="528" t="n">
        <f aca="false">IF(K4&lt;'Project Assumtions'!$G$39,K34-K36,IF(K4&gt;'Project Assumtions'!$G$39,0,K34-K36))</f>
        <v>36779.7419213168</v>
      </c>
      <c r="L38" s="528" t="n">
        <f aca="false">IF(L4&lt;'Project Assumtions'!$G$39,L34-L36,IF(L4&gt;'Project Assumtions'!$G$39,0,L34-L36))</f>
        <v>25537.8161597871</v>
      </c>
      <c r="M38" s="528" t="n">
        <f aca="false">IF(M4&lt;'Project Assumtions'!$G$39,M34-M36,IF(M4&gt;'Project Assumtions'!$G$39,0,M34-M36))</f>
        <v>13311.7664156307</v>
      </c>
      <c r="N38" s="528" t="n">
        <f aca="false">IF(N4&lt;'Project Assumtions'!$G$39,N34-N36,IF(N4&gt;'Project Assumtions'!$G$39,0,N34-N36))</f>
        <v>0</v>
      </c>
      <c r="O38" s="528" t="n">
        <f aca="false">IF(O4&lt;'Project Assumtions'!$G$39,O34-O36,IF(O4&gt;'Project Assumtions'!$G$39,0,O34-O36))</f>
        <v>0</v>
      </c>
      <c r="P38" s="528" t="n">
        <f aca="false">IF(P4&lt;'Project Assumtions'!$G$39,P34-P36,IF(P4&gt;'Project Assumtions'!$G$39,0,P34-P36))</f>
        <v>0</v>
      </c>
      <c r="Q38" s="528" t="n">
        <f aca="false">IF(Q4&lt;'Project Assumtions'!$G$39,Q34-Q36,IF(Q4&gt;'Project Assumtions'!$G$39,0,Q34-Q36))</f>
        <v>0</v>
      </c>
      <c r="R38" s="528" t="n">
        <f aca="false">IF(R4&lt;'Project Assumtions'!$G$39,R34-R36,IF(R4&gt;'Project Assumtions'!$G$39,0,R34-R36))</f>
        <v>0</v>
      </c>
      <c r="S38" s="528" t="n">
        <f aca="false">IF(S4&lt;'Project Assumtions'!$G$39,S34-S36,IF(S4&gt;'Project Assumtions'!$G$39,0,S34-S36))</f>
        <v>0</v>
      </c>
      <c r="T38" s="528" t="n">
        <f aca="false">IF(T4&lt;'Project Assumtions'!$G$39,T34-T36,IF(T4&gt;'Project Assumtions'!$G$39,0,T34-T36))</f>
        <v>0</v>
      </c>
      <c r="U38" s="528" t="n">
        <f aca="false">IF(U4&lt;'Project Assumtions'!$G$39,U34-U36,IF(U4&gt;'Project Assumtions'!$G$39,0,U34-U36))</f>
        <v>0</v>
      </c>
      <c r="V38" s="528" t="n">
        <f aca="false">IF(V4&lt;'Project Assumtions'!$G$39,V34-V36,IF(V4&gt;'Project Assumtions'!$G$39,0,V34-V36))</f>
        <v>0</v>
      </c>
      <c r="W38" s="528" t="n">
        <f aca="false">IF(W4&lt;'Project Assumtions'!$G$39,W34-W36,IF(W4&gt;'Project Assumtions'!$G$39,0,W34-W36))</f>
        <v>0</v>
      </c>
      <c r="X38" s="528" t="n">
        <f aca="false">IF(X4&lt;'Project Assumtions'!$G$39,X34-X36,IF(X4&gt;'Project Assumtions'!$G$39,0,X34-X36))</f>
        <v>0</v>
      </c>
      <c r="Y38" s="528" t="n">
        <f aca="false">IF(Y4&lt;'Project Assumtions'!$G$39,Y34-Y36,IF(Y4&gt;'Project Assumtions'!$G$39,0,Y34-Y36))</f>
        <v>0</v>
      </c>
      <c r="Z38" s="528" t="n">
        <f aca="false">IF(Z4&lt;'Project Assumtions'!$G$39,Z34-Z36,IF(Z4&gt;'Project Assumtions'!$G$39,0,Z34-Z36))</f>
        <v>0</v>
      </c>
      <c r="AA38" s="528" t="n">
        <f aca="false">IF(AA4&lt;'Project Assumtions'!$G$39,AA34-AA36,IF(AA4&gt;'Project Assumtions'!$G$39,0,AA34-AA36))</f>
        <v>0</v>
      </c>
      <c r="AB38" s="528" t="n">
        <f aca="false">IF(AB4&lt;'Project Assumtions'!$G$39,AB34-AB36,IF(AB4&gt;'Project Assumtions'!$G$39,0,AB34-AB36))</f>
        <v>0</v>
      </c>
      <c r="AC38" s="529" t="n">
        <f aca="false">IF(AC4&lt;'Project Assumtions'!$G$39,AC34-AC36,IF(AC4&gt;'Project Assumtions'!$G$39,0,AC34-AC36))</f>
        <v>0</v>
      </c>
      <c r="AD38" s="537"/>
      <c r="AE38" s="537"/>
      <c r="AF38" s="537"/>
    </row>
    <row r="39" customFormat="false" ht="12.6" hidden="false" customHeight="true" outlineLevel="0" collapsed="false">
      <c r="A39" s="559" t="s">
        <v>452</v>
      </c>
      <c r="B39" s="560"/>
      <c r="C39" s="560"/>
      <c r="D39" s="548"/>
      <c r="E39" s="561" t="n">
        <f aca="false">IF('Project Assumtions'!$G$39&gt;0,SUMPRODUCT(E4:AC4,E36:AC36)/B20,0)</f>
        <v>7.75630899396968</v>
      </c>
      <c r="F39" s="549"/>
      <c r="G39" s="549"/>
      <c r="H39" s="549"/>
      <c r="I39" s="549"/>
      <c r="J39" s="549"/>
      <c r="K39" s="549"/>
      <c r="L39" s="549"/>
      <c r="M39" s="549"/>
      <c r="N39" s="549"/>
      <c r="O39" s="549"/>
      <c r="P39" s="549"/>
      <c r="Q39" s="549"/>
      <c r="R39" s="549"/>
      <c r="S39" s="549"/>
      <c r="T39" s="549"/>
      <c r="U39" s="549"/>
      <c r="V39" s="549"/>
      <c r="W39" s="549"/>
      <c r="X39" s="549"/>
      <c r="Y39" s="549"/>
      <c r="Z39" s="549"/>
      <c r="AA39" s="549"/>
      <c r="AB39" s="549"/>
      <c r="AC39" s="550"/>
      <c r="AD39" s="537"/>
      <c r="AE39" s="537"/>
      <c r="AF39" s="537"/>
    </row>
    <row r="40" customFormat="false" ht="12.75" hidden="false" customHeight="false" outlineLevel="0" collapsed="false">
      <c r="E40" s="510"/>
      <c r="F40" s="510"/>
      <c r="G40" s="510"/>
      <c r="H40" s="510"/>
      <c r="I40" s="510"/>
      <c r="J40" s="510"/>
      <c r="K40" s="510"/>
      <c r="L40" s="510"/>
      <c r="M40" s="510"/>
      <c r="N40" s="510"/>
      <c r="O40" s="510"/>
      <c r="P40" s="510"/>
      <c r="Q40" s="510"/>
      <c r="R40" s="510"/>
      <c r="S40" s="562"/>
      <c r="T40" s="510"/>
      <c r="U40" s="510"/>
      <c r="V40" s="510"/>
      <c r="W40" s="510"/>
      <c r="X40" s="510"/>
      <c r="Y40" s="510"/>
      <c r="Z40" s="510"/>
      <c r="AA40" s="510"/>
      <c r="AB40" s="510"/>
      <c r="AC40" s="510"/>
    </row>
    <row r="41" customFormat="false" ht="12.75" hidden="false" customHeight="false" outlineLevel="0" collapsed="false">
      <c r="A41" s="563" t="s">
        <v>230</v>
      </c>
      <c r="B41" s="564"/>
      <c r="C41" s="564"/>
      <c r="D41" s="555"/>
      <c r="E41" s="565"/>
      <c r="F41" s="555"/>
      <c r="G41" s="555"/>
      <c r="H41" s="555"/>
      <c r="I41" s="555"/>
      <c r="J41" s="555"/>
      <c r="K41" s="555"/>
      <c r="L41" s="555"/>
      <c r="M41" s="555"/>
      <c r="N41" s="555"/>
      <c r="O41" s="555"/>
      <c r="P41" s="555"/>
      <c r="Q41" s="555"/>
      <c r="R41" s="555"/>
      <c r="S41" s="566"/>
      <c r="T41" s="555"/>
      <c r="U41" s="555"/>
      <c r="V41" s="555"/>
      <c r="W41" s="555"/>
      <c r="X41" s="555"/>
      <c r="Y41" s="555"/>
      <c r="Z41" s="555"/>
      <c r="AA41" s="555"/>
      <c r="AB41" s="555"/>
      <c r="AC41" s="567"/>
      <c r="AD41" s="537"/>
      <c r="AE41" s="537"/>
      <c r="AF41" s="537"/>
    </row>
    <row r="42" customFormat="false" ht="12.6" hidden="false" customHeight="true" outlineLevel="0" collapsed="false">
      <c r="A42" s="532" t="s">
        <v>447</v>
      </c>
      <c r="B42" s="536"/>
      <c r="C42" s="536"/>
      <c r="D42" s="533"/>
      <c r="E42" s="528" t="n">
        <f aca="false">B21</f>
        <v>97976.1474515219</v>
      </c>
      <c r="F42" s="528" t="n">
        <f aca="false">+IF(F4&gt;'Project Assumtions'!$H$39,0,E46)</f>
        <v>97976.1474515219</v>
      </c>
      <c r="G42" s="528" t="n">
        <f aca="false">+IF(G4&gt;'Project Assumtions'!$H$39,0,F46)</f>
        <v>97976.1474515219</v>
      </c>
      <c r="H42" s="528" t="n">
        <f aca="false">+IF(H4&gt;'Project Assumtions'!$H$39,0,G46)</f>
        <v>97976.1474515219</v>
      </c>
      <c r="I42" s="528" t="n">
        <f aca="false">+IF(I4&gt;'Project Assumtions'!$H$39,0,H46)</f>
        <v>97976.1474515219</v>
      </c>
      <c r="J42" s="528" t="n">
        <f aca="false">+IF(J4&gt;'Project Assumtions'!$H$39,0,I46)</f>
        <v>97976.1474515219</v>
      </c>
      <c r="K42" s="528" t="n">
        <f aca="false">+IF(K4&gt;'Project Assumtions'!$H$39,0,J46)</f>
        <v>97976.1474515219</v>
      </c>
      <c r="L42" s="528" t="n">
        <f aca="false">+IF(L4&gt;'Project Assumtions'!$H$39,0,K46)</f>
        <v>97976.1474515219</v>
      </c>
      <c r="M42" s="528" t="n">
        <f aca="false">+IF(M4&gt;'Project Assumtions'!$H$39,0,L46)</f>
        <v>97976.1474515219</v>
      </c>
      <c r="N42" s="528" t="n">
        <f aca="false">+IF(N4&gt;'Project Assumtions'!$H$39,0,M46)</f>
        <v>97976.1474515219</v>
      </c>
      <c r="O42" s="528" t="n">
        <f aca="false">+IF(O4&gt;'Project Assumtions'!$H$39,0,N46)</f>
        <v>97976.1474515219</v>
      </c>
      <c r="P42" s="528" t="n">
        <f aca="false">+IF(P4&gt;'Project Assumtions'!$H$39,0,O46)</f>
        <v>91515.1476060139</v>
      </c>
      <c r="Q42" s="528" t="n">
        <f aca="false">+IF(Q4&gt;'Project Assumtions'!$H$39,0,P46)</f>
        <v>84442.1157857337</v>
      </c>
      <c r="R42" s="528" t="n">
        <f aca="false">+IF(R4&gt;'Project Assumtions'!$H$39,0,Q46)</f>
        <v>76644.7018651307</v>
      </c>
      <c r="S42" s="528" t="n">
        <f aca="false">+IF(S4&gt;'Project Assumtions'!$H$39,0,R46)</f>
        <v>68376.2404133163</v>
      </c>
      <c r="T42" s="528" t="n">
        <f aca="false">+IF(T4&gt;'Project Assumtions'!$H$39,0,S46)</f>
        <v>59304.450339025</v>
      </c>
      <c r="U42" s="528" t="n">
        <f aca="false">+IF(U4&gt;'Project Assumtions'!$H$39,0,T46)</f>
        <v>49369.3272782944</v>
      </c>
      <c r="V42" s="528" t="n">
        <f aca="false">+IF(V4&gt;'Project Assumtions'!$H$39,0,U46)</f>
        <v>38506.4152568596</v>
      </c>
      <c r="W42" s="528" t="n">
        <f aca="false">+IF(W4&gt;'Project Assumtions'!$H$39,0,V46)</f>
        <v>26646.464816105</v>
      </c>
      <c r="X42" s="528" t="n">
        <f aca="false">+IF(X4&gt;'Project Assumtions'!$H$39,0,W46)</f>
        <v>13715.0640987072</v>
      </c>
      <c r="Y42" s="528" t="n">
        <f aca="false">+IF(Y4&gt;'Project Assumtions'!$H$39,0,X46)</f>
        <v>0</v>
      </c>
      <c r="Z42" s="528" t="n">
        <f aca="false">+IF(Z4&gt;'Project Assumtions'!$H$39,0,Y46)</f>
        <v>0</v>
      </c>
      <c r="AA42" s="528" t="n">
        <f aca="false">+IF(AA4&gt;'Project Assumtions'!$H$39,0,Z46)</f>
        <v>0</v>
      </c>
      <c r="AB42" s="528" t="n">
        <f aca="false">+IF(AB4&gt;'Project Assumtions'!$H$39,0,AA46)</f>
        <v>0</v>
      </c>
      <c r="AC42" s="529" t="n">
        <f aca="false">+IF(AC4&gt;'Project Assumtions'!$H$39,0,AB46)</f>
        <v>0</v>
      </c>
      <c r="AD42" s="537"/>
      <c r="AE42" s="537"/>
      <c r="AF42" s="537"/>
    </row>
    <row r="43" customFormat="false" ht="12.6" hidden="false" customHeight="true" outlineLevel="0" collapsed="false">
      <c r="A43" s="532" t="s">
        <v>448</v>
      </c>
      <c r="B43" s="556"/>
      <c r="C43" s="556"/>
      <c r="D43" s="533"/>
      <c r="E43" s="510" t="n">
        <f aca="false">IF('Project Assumtions'!$H$39=0,0,IF(E4&gt;'Project Assumtions'!$G$39,E42*E14,IF(AND(E4&lt;='Project Assumtions'!$G$39,'Project Assumtions'!$H$42="Interest Only"),E42*E14*(13-MONTH('Project Assumtions'!G16))/12,0)))</f>
        <v>0</v>
      </c>
      <c r="F43" s="510" t="n">
        <f aca="false">IF('Project Assumtions'!$H$39=0,0,IF(F4&gt;'Project Assumtions'!$G$39,F42*F14,IF(AND(F4&lt;='Project Assumtions'!$G$39,'Project Assumtions'!$H$42="Interest Only"),F42*F14,0)))</f>
        <v>0</v>
      </c>
      <c r="G43" s="510" t="n">
        <f aca="false">IF('Project Assumtions'!$H$39=0,0,IF(G4&gt;'Project Assumtions'!$G$39,G42*G14,IF(AND(G4&lt;='Project Assumtions'!$G$39,'Project Assumtions'!$H$42="Interest Only"),G42*G14,0)))</f>
        <v>0</v>
      </c>
      <c r="H43" s="510" t="n">
        <f aca="false">IF('Project Assumtions'!$H$39=0,0,IF(H4&gt;'Project Assumtions'!$G$39,H42*H14,IF(AND(H4&lt;='Project Assumtions'!$G$39,'Project Assumtions'!$H$42="Interest Only"),H42*H14,0)))</f>
        <v>0</v>
      </c>
      <c r="I43" s="510" t="n">
        <f aca="false">IF('Project Assumtions'!$H$39=0,0,IF(I4&gt;'Project Assumtions'!$G$39,I42*I14,IF(AND(I4&lt;='Project Assumtions'!$G$39,'Project Assumtions'!$H$42="Interest Only"),I42*I14,0)))</f>
        <v>0</v>
      </c>
      <c r="J43" s="510" t="n">
        <f aca="false">IF('Project Assumtions'!$H$39=0,0,IF(J4&gt;'Project Assumtions'!$G$39,J42*J14,IF(AND(J4&lt;='Project Assumtions'!$G$39,'Project Assumtions'!$H$42="Interest Only"),J42*J14,0)))</f>
        <v>0</v>
      </c>
      <c r="K43" s="510" t="n">
        <f aca="false">IF('Project Assumtions'!$H$39=0,0,IF(K4&gt;'Project Assumtions'!$G$39,K42*K14,IF(AND(K4&lt;='Project Assumtions'!$G$39,'Project Assumtions'!$H$42="Interest Only"),K42*K14,0)))</f>
        <v>0</v>
      </c>
      <c r="L43" s="510" t="n">
        <f aca="false">IF('Project Assumtions'!$H$39=0,0,IF(L4&gt;'Project Assumtions'!$G$39,L42*L14,IF(AND(L4&lt;='Project Assumtions'!$G$39,'Project Assumtions'!$H$42="Interest Only"),L42*L14,0)))</f>
        <v>0</v>
      </c>
      <c r="M43" s="510" t="n">
        <f aca="false">IF('Project Assumtions'!$H$39=0,0,IF(M4&gt;'Project Assumtions'!$G$39,M42*M14,IF(AND(M4&lt;='Project Assumtions'!$G$39,'Project Assumtions'!$H$42="Interest Only"),M42*M14,0)))</f>
        <v>0</v>
      </c>
      <c r="N43" s="510" t="n">
        <f aca="false">IF('Project Assumtions'!$H$39=0,0,IF(N4&gt;'Project Assumtions'!$G$39,N42*N14,IF(AND(N4&lt;='Project Assumtions'!$G$39,'Project Assumtions'!$H$42="Interest Only"),N42*N14,0)))</f>
        <v>0</v>
      </c>
      <c r="O43" s="510" t="n">
        <f aca="false">IF('Project Assumtions'!$H$39=0,0,IF(O4&gt;'Project Assumtions'!$G$39,O42*O14,IF(AND(O4&lt;='Project Assumtions'!$G$39,'Project Assumtions'!$H$42="Interest Only"),O42*O14,0)))</f>
        <v>8014.44886153449</v>
      </c>
      <c r="P43" s="510" t="n">
        <f aca="false">IF('Project Assumtions'!$H$39=0,0,IF(P4&gt;'Project Assumtions'!$G$39,P42*P14,IF(AND(P4&lt;='Project Assumtions'!$G$39,'Project Assumtions'!$H$42="Interest Only"),P42*P14,0)))</f>
        <v>7485.93907417194</v>
      </c>
      <c r="Q43" s="510" t="n">
        <f aca="false">IF('Project Assumtions'!$H$39=0,0,IF(Q4&gt;'Project Assumtions'!$G$39,Q42*Q14,IF(AND(Q4&lt;='Project Assumtions'!$G$39,'Project Assumtions'!$H$42="Interest Only"),Q42*Q14,0)))</f>
        <v>6907.36507127302</v>
      </c>
      <c r="R43" s="510" t="n">
        <f aca="false">IF('Project Assumtions'!$H$39=0,0,IF(R4&gt;'Project Assumtions'!$G$39,R42*R14,IF(AND(R4&lt;='Project Assumtions'!$G$39,'Project Assumtions'!$H$42="Interest Only"),R42*R14,0)))</f>
        <v>6269.53661256769</v>
      </c>
      <c r="S43" s="510" t="n">
        <f aca="false">IF('Project Assumtions'!$H$39=0,0,IF(S4&gt;'Project Assumtions'!$G$39,S42*S14,IF(AND(S4&lt;='Project Assumtions'!$G$39,'Project Assumtions'!$H$42="Interest Only"),S42*S14,0)))</f>
        <v>5593.17646580928</v>
      </c>
      <c r="T43" s="510" t="n">
        <f aca="false">IF('Project Assumtions'!$H$39=0,0,IF(T4&gt;'Project Assumtions'!$G$39,T42*T14,IF(AND(T4&lt;='Project Assumtions'!$G$39,'Project Assumtions'!$H$42="Interest Only"),T42*T14,0)))</f>
        <v>4851.10403773224</v>
      </c>
      <c r="U43" s="510" t="n">
        <f aca="false">IF('Project Assumtions'!$H$39=0,0,IF(U4&gt;'Project Assumtions'!$G$39,U42*U14,IF(AND(U4&lt;='Project Assumtions'!$G$39,'Project Assumtions'!$H$42="Interest Only"),U42*U14,0)))</f>
        <v>4038.41097136448</v>
      </c>
      <c r="V43" s="510" t="n">
        <f aca="false">IF('Project Assumtions'!$H$39=0,0,IF(V4&gt;'Project Assumtions'!$G$39,V42*V14,IF(AND(V4&lt;='Project Assumtions'!$G$39,'Project Assumtions'!$H$42="Interest Only"),V42*V14,0)))</f>
        <v>3149.82476801111</v>
      </c>
      <c r="W43" s="510" t="n">
        <f aca="false">IF('Project Assumtions'!$H$39=0,0,IF(W4&gt;'Project Assumtions'!$G$39,W42*W14,IF(AND(W4&lt;='Project Assumtions'!$G$39,'Project Assumtions'!$H$42="Interest Only"),W42*W14,0)))</f>
        <v>2179.68082195739</v>
      </c>
      <c r="X43" s="510" t="n">
        <f aca="false">IF('Project Assumtions'!$H$39=0,0,IF(X4&gt;'Project Assumtions'!$G$39,X42*X14,IF(AND(X4&lt;='Project Assumtions'!$G$39,'Project Assumtions'!$H$42="Interest Only"),X42*X14,0)))</f>
        <v>1121.89224327425</v>
      </c>
      <c r="Y43" s="510" t="n">
        <f aca="false">IF('Project Assumtions'!$H$39=0,0,IF(Y4&gt;'Project Assumtions'!$G$39,Y42*Y14,IF(AND(Y4&lt;='Project Assumtions'!$G$39,'Project Assumtions'!$H$42="Interest Only"),Y42*Y14,0)))</f>
        <v>0</v>
      </c>
      <c r="Z43" s="510" t="n">
        <f aca="false">IF('Project Assumtions'!$H$39=0,0,IF(Z4&gt;'Project Assumtions'!$G$39,Z42*Z14,IF(AND(Z4&lt;='Project Assumtions'!$G$39,'Project Assumtions'!$H$42="Interest Only"),Z42*Z14,0)))</f>
        <v>0</v>
      </c>
      <c r="AA43" s="510" t="n">
        <f aca="false">IF('Project Assumtions'!$H$39=0,0,IF(AA4&gt;'Project Assumtions'!$G$39,AA42*AA14,IF(AND(AA4&lt;='Project Assumtions'!$G$39,'Project Assumtions'!$H$42="Interest Only"),AA42*AA14,0)))</f>
        <v>0</v>
      </c>
      <c r="AB43" s="510" t="n">
        <f aca="false">IF('Project Assumtions'!$H$39=0,0,IF(AB4&gt;'Project Assumtions'!$G$39,AB42*AB14,IF(AND(AB4&lt;='Project Assumtions'!$G$39,'Project Assumtions'!$H$42="Interest Only"),AB42*AB14,0)))</f>
        <v>0</v>
      </c>
      <c r="AC43" s="542" t="n">
        <f aca="false">IF('Project Assumtions'!$H$39=0,0,IF(AC4&gt;'Project Assumtions'!$G$39,AC42*AC14,IF(AND(AC4&lt;='Project Assumtions'!$G$39,'Project Assumtions'!$H$42="Interest Only"),AC42*AC14,0)))</f>
        <v>0</v>
      </c>
      <c r="AD43" s="537"/>
      <c r="AE43" s="537"/>
      <c r="AF43" s="537"/>
    </row>
    <row r="44" customFormat="false" ht="12.6" hidden="false" customHeight="true" outlineLevel="0" collapsed="false">
      <c r="A44" s="532" t="s">
        <v>449</v>
      </c>
      <c r="B44" s="568"/>
      <c r="C44" s="568"/>
      <c r="D44" s="533"/>
      <c r="E44" s="569" t="n">
        <f aca="false">+E45-E43</f>
        <v>0</v>
      </c>
      <c r="F44" s="569" t="n">
        <f aca="false">+F45-F43</f>
        <v>0</v>
      </c>
      <c r="G44" s="569" t="n">
        <f aca="false">+G45-G43</f>
        <v>0</v>
      </c>
      <c r="H44" s="569" t="n">
        <f aca="false">+H45-H43</f>
        <v>0</v>
      </c>
      <c r="I44" s="569" t="n">
        <f aca="false">+I45-I43</f>
        <v>0</v>
      </c>
      <c r="J44" s="569" t="n">
        <f aca="false">+J45-J43</f>
        <v>0</v>
      </c>
      <c r="K44" s="569" t="n">
        <f aca="false">+K45-K43</f>
        <v>0</v>
      </c>
      <c r="L44" s="569" t="n">
        <f aca="false">+L45-L43</f>
        <v>0</v>
      </c>
      <c r="M44" s="569" t="n">
        <f aca="false">+M45-M43</f>
        <v>0</v>
      </c>
      <c r="N44" s="569" t="n">
        <f aca="false">+N45-N43</f>
        <v>0</v>
      </c>
      <c r="O44" s="569" t="n">
        <f aca="false">+O45-O43</f>
        <v>6460.99984550802</v>
      </c>
      <c r="P44" s="569" t="n">
        <f aca="false">+P45-P43</f>
        <v>7073.03182028015</v>
      </c>
      <c r="Q44" s="569" t="n">
        <f aca="false">+Q45-Q43</f>
        <v>7797.41392060307</v>
      </c>
      <c r="R44" s="569" t="n">
        <f aca="false">+R45-R43</f>
        <v>8268.46145181433</v>
      </c>
      <c r="S44" s="569" t="n">
        <f aca="false">+S45-S43</f>
        <v>9071.79007429134</v>
      </c>
      <c r="T44" s="569" t="n">
        <f aca="false">+T45-T43</f>
        <v>9935.12306073063</v>
      </c>
      <c r="U44" s="569" t="n">
        <f aca="false">+U45-U43</f>
        <v>10862.9120214348</v>
      </c>
      <c r="V44" s="569" t="n">
        <f aca="false">+V45-V43</f>
        <v>11859.9504407546</v>
      </c>
      <c r="W44" s="569" t="n">
        <f aca="false">+W45-W43</f>
        <v>12931.4007173977</v>
      </c>
      <c r="X44" s="569" t="n">
        <f aca="false">+X45-X43</f>
        <v>13715.0640987073</v>
      </c>
      <c r="Y44" s="569" t="n">
        <f aca="false">+Y45-Y43</f>
        <v>0</v>
      </c>
      <c r="Z44" s="569" t="n">
        <f aca="false">+Z45-Z43</f>
        <v>0</v>
      </c>
      <c r="AA44" s="569" t="n">
        <f aca="false">+AA45-AA43</f>
        <v>0</v>
      </c>
      <c r="AB44" s="569" t="n">
        <f aca="false">+AB45-AB43</f>
        <v>0</v>
      </c>
      <c r="AC44" s="570" t="n">
        <f aca="false">+AC45-AC43</f>
        <v>0</v>
      </c>
      <c r="AD44" s="537"/>
      <c r="AE44" s="537"/>
      <c r="AF44" s="537"/>
    </row>
    <row r="45" customFormat="false" ht="12.6" hidden="false" customHeight="true" outlineLevel="0" collapsed="false">
      <c r="A45" s="532" t="s">
        <v>450</v>
      </c>
      <c r="B45" s="265"/>
      <c r="C45" s="265"/>
      <c r="D45" s="533"/>
      <c r="E45" s="510" t="n">
        <f aca="false">IF(E4&lt;='Project Assumtions'!$F$39,E43,E21)</f>
        <v>0</v>
      </c>
      <c r="F45" s="510" t="n">
        <f aca="false">IF(F4&lt;='Project Assumtions'!$F$39,F43,F21)</f>
        <v>0</v>
      </c>
      <c r="G45" s="510" t="n">
        <f aca="false">IF(G4&lt;='Project Assumtions'!$F$39,G43,G21)</f>
        <v>0</v>
      </c>
      <c r="H45" s="510" t="n">
        <f aca="false">IF(H4&lt;='Project Assumtions'!$F$39,H43,H21)</f>
        <v>0</v>
      </c>
      <c r="I45" s="510" t="n">
        <f aca="false">IF(I4&lt;='Project Assumtions'!$F$39,I43,I21)</f>
        <v>0</v>
      </c>
      <c r="J45" s="510" t="n">
        <f aca="false">IF(J4&lt;='Project Assumtions'!$F$39,J43,J21)</f>
        <v>0</v>
      </c>
      <c r="K45" s="510" t="n">
        <f aca="false">IF(K4&lt;='Project Assumtions'!$F$39,K43,K21)</f>
        <v>0</v>
      </c>
      <c r="L45" s="510" t="n">
        <f aca="false">IF(L4&lt;='Project Assumtions'!$F$39,L43,L21)</f>
        <v>0</v>
      </c>
      <c r="M45" s="510" t="n">
        <f aca="false">IF(M4&lt;='Project Assumtions'!$G$39,M43,M21)</f>
        <v>0</v>
      </c>
      <c r="N45" s="510" t="n">
        <f aca="false">IF(N4&lt;='Project Assumtions'!$G$39,N43,N21)</f>
        <v>0</v>
      </c>
      <c r="O45" s="510" t="n">
        <f aca="false">IF(O4&lt;='Project Assumtions'!$G$39,O43,O21)</f>
        <v>14475.4487070425</v>
      </c>
      <c r="P45" s="510" t="n">
        <f aca="false">IF(P4&lt;='Project Assumtions'!$G$39,P43,P21)</f>
        <v>14558.9708944521</v>
      </c>
      <c r="Q45" s="510" t="n">
        <f aca="false">IF(Q4&lt;='Project Assumtions'!$G$39,Q43,Q21)</f>
        <v>14704.7789918761</v>
      </c>
      <c r="R45" s="510" t="n">
        <f aca="false">IF(R4&lt;='Project Assumtions'!$G$39,R43,R21)</f>
        <v>14537.998064382</v>
      </c>
      <c r="S45" s="510" t="n">
        <f aca="false">IF(S4&lt;='Project Assumtions'!$G$39,S43,S21)</f>
        <v>14664.9665401006</v>
      </c>
      <c r="T45" s="510" t="n">
        <f aca="false">IF(T4&lt;='Project Assumtions'!$G$39,T43,T21)</f>
        <v>14786.2270984629</v>
      </c>
      <c r="U45" s="510" t="n">
        <f aca="false">IF(U4&lt;='Project Assumtions'!$G$39,U43,U21)</f>
        <v>14901.3229927993</v>
      </c>
      <c r="V45" s="510" t="n">
        <f aca="false">IF(V4&lt;='Project Assumtions'!$G$39,V43,V21)</f>
        <v>15009.7752087657</v>
      </c>
      <c r="W45" s="510" t="n">
        <f aca="false">IF(W4&lt;='Project Assumtions'!$G$39,W43,W21)</f>
        <v>15111.0815393551</v>
      </c>
      <c r="X45" s="510" t="n">
        <f aca="false">IF(X4&lt;='Project Assumtions'!$G$39,X43,X21)</f>
        <v>14836.9563419816</v>
      </c>
      <c r="Y45" s="510" t="n">
        <f aca="false">IF(Y4&lt;='Project Assumtions'!$G$39,Y43,Y21)</f>
        <v>0</v>
      </c>
      <c r="Z45" s="510" t="n">
        <f aca="false">IF(Z4&lt;='Project Assumtions'!$G$39,Z43,Z21)</f>
        <v>0</v>
      </c>
      <c r="AA45" s="510" t="n">
        <f aca="false">IF(AA4&lt;='Project Assumtions'!$G$39,AA43,AA21)</f>
        <v>0</v>
      </c>
      <c r="AB45" s="510" t="n">
        <f aca="false">IF(AB4&lt;='Project Assumtions'!$G$39,AB43,AB21)</f>
        <v>0</v>
      </c>
      <c r="AC45" s="542" t="n">
        <f aca="false">IF(AC4&lt;='Project Assumtions'!$G$39,AC43,AC21)</f>
        <v>0</v>
      </c>
      <c r="AD45" s="537"/>
      <c r="AE45" s="537"/>
      <c r="AF45" s="537"/>
    </row>
    <row r="46" customFormat="false" ht="12.6" hidden="false" customHeight="true" outlineLevel="0" collapsed="false">
      <c r="A46" s="532" t="s">
        <v>451</v>
      </c>
      <c r="B46" s="465"/>
      <c r="C46" s="465"/>
      <c r="D46" s="533"/>
      <c r="E46" s="528" t="n">
        <f aca="false">IF('Project Assumtions'!$H$39=0,0,E42-E44)</f>
        <v>97976.1474515219</v>
      </c>
      <c r="F46" s="528" t="n">
        <f aca="false">IF('Project Assumtions'!$H$39=0,0,F42-F44)</f>
        <v>97976.1474515219</v>
      </c>
      <c r="G46" s="528" t="n">
        <f aca="false">IF('Project Assumtions'!$H$39=0,0,G42-G44)</f>
        <v>97976.1474515219</v>
      </c>
      <c r="H46" s="528" t="n">
        <f aca="false">IF('Project Assumtions'!$H$39=0,0,H42-H44)</f>
        <v>97976.1474515219</v>
      </c>
      <c r="I46" s="528" t="n">
        <f aca="false">IF('Project Assumtions'!$H$39=0,0,I42-I44)</f>
        <v>97976.1474515219</v>
      </c>
      <c r="J46" s="528" t="n">
        <f aca="false">IF('Project Assumtions'!$H$39=0,0,J42-J44)</f>
        <v>97976.1474515219</v>
      </c>
      <c r="K46" s="528" t="n">
        <f aca="false">IF('Project Assumtions'!$H$39=0,0,K42-K44)</f>
        <v>97976.1474515219</v>
      </c>
      <c r="L46" s="528" t="n">
        <f aca="false">IF('Project Assumtions'!$H$39=0,0,L42-L44)</f>
        <v>97976.1474515219</v>
      </c>
      <c r="M46" s="528" t="n">
        <f aca="false">IF('Project Assumtions'!$H$39=0,0,M42-M44)</f>
        <v>97976.1474515219</v>
      </c>
      <c r="N46" s="528" t="n">
        <f aca="false">IF('Project Assumtions'!$H$39=0,0,N42-N44)</f>
        <v>97976.1474515219</v>
      </c>
      <c r="O46" s="528" t="n">
        <f aca="false">IF('Project Assumtions'!$H$39=0,0,O42-O44)</f>
        <v>91515.1476060139</v>
      </c>
      <c r="P46" s="528" t="n">
        <f aca="false">IF('Project Assumtions'!$H$39=0,0,P42-P44)</f>
        <v>84442.1157857337</v>
      </c>
      <c r="Q46" s="528" t="n">
        <f aca="false">IF('Project Assumtions'!$H$39=0,0,Q42-Q44)</f>
        <v>76644.7018651307</v>
      </c>
      <c r="R46" s="528" t="n">
        <f aca="false">IF('Project Assumtions'!$H$39=0,0,R42-R44)</f>
        <v>68376.2404133163</v>
      </c>
      <c r="S46" s="528" t="n">
        <f aca="false">IF('Project Assumtions'!$H$39=0,0,S42-S44)</f>
        <v>59304.450339025</v>
      </c>
      <c r="T46" s="528" t="n">
        <f aca="false">IF('Project Assumtions'!$H$39=0,0,T42-T44)</f>
        <v>49369.3272782944</v>
      </c>
      <c r="U46" s="528" t="n">
        <f aca="false">IF('Project Assumtions'!$H$39=0,0,U42-U44)</f>
        <v>38506.4152568596</v>
      </c>
      <c r="V46" s="528" t="n">
        <f aca="false">IF('Project Assumtions'!$H$39=0,0,V42-V44)</f>
        <v>26646.464816105</v>
      </c>
      <c r="W46" s="528" t="n">
        <f aca="false">IF('Project Assumtions'!$H$39=0,0,W42-W44)</f>
        <v>13715.0640987072</v>
      </c>
      <c r="X46" s="528" t="n">
        <f aca="false">IF('Project Assumtions'!$H$39=0,0,X42-X44)</f>
        <v>-1.2732925824821E-010</v>
      </c>
      <c r="Y46" s="528" t="n">
        <f aca="false">IF('Project Assumtions'!$H$39=0,0,Y42-Y44)</f>
        <v>0</v>
      </c>
      <c r="Z46" s="528" t="n">
        <f aca="false">IF('Project Assumtions'!$H$39=0,0,Z42-Z44)</f>
        <v>0</v>
      </c>
      <c r="AA46" s="528" t="n">
        <f aca="false">IF('Project Assumtions'!$H$39=0,0,AA42-AA44)</f>
        <v>0</v>
      </c>
      <c r="AB46" s="528" t="n">
        <f aca="false">IF('Project Assumtions'!$H$39=0,0,AB42-AB44)</f>
        <v>0</v>
      </c>
      <c r="AC46" s="529" t="n">
        <f aca="false">IF('Project Assumtions'!$H$39=0,0,AC42-AC44)</f>
        <v>0</v>
      </c>
      <c r="AD46" s="537"/>
      <c r="AE46" s="537"/>
      <c r="AF46" s="537"/>
    </row>
    <row r="47" customFormat="false" ht="12.6" hidden="false" customHeight="true" outlineLevel="0" collapsed="false">
      <c r="A47" s="559" t="s">
        <v>452</v>
      </c>
      <c r="B47" s="560"/>
      <c r="C47" s="560"/>
      <c r="D47" s="548"/>
      <c r="E47" s="561" t="n">
        <f aca="false">IF('Project Assumtions'!H39&gt;0,SUMPRODUCT(E4:AC4,E44:AC44)/B21,0)</f>
        <v>16.1902421220512</v>
      </c>
      <c r="F47" s="549"/>
      <c r="G47" s="549"/>
      <c r="H47" s="549"/>
      <c r="I47" s="549"/>
      <c r="J47" s="549"/>
      <c r="K47" s="549"/>
      <c r="L47" s="549"/>
      <c r="M47" s="549"/>
      <c r="N47" s="549"/>
      <c r="O47" s="549"/>
      <c r="P47" s="549"/>
      <c r="Q47" s="549"/>
      <c r="R47" s="549"/>
      <c r="S47" s="549"/>
      <c r="T47" s="549"/>
      <c r="U47" s="549"/>
      <c r="V47" s="549"/>
      <c r="W47" s="549"/>
      <c r="X47" s="549"/>
      <c r="Y47" s="549"/>
      <c r="Z47" s="549"/>
      <c r="AA47" s="549"/>
      <c r="AB47" s="549"/>
      <c r="AC47" s="550"/>
      <c r="AD47" s="537"/>
      <c r="AE47" s="537"/>
      <c r="AF47" s="537"/>
    </row>
    <row r="48" customFormat="false" ht="12.6" hidden="false" customHeight="true" outlineLevel="0" collapsed="false">
      <c r="A48" s="571"/>
      <c r="B48" s="465"/>
      <c r="C48" s="465"/>
      <c r="D48" s="537"/>
      <c r="E48" s="572"/>
      <c r="F48" s="572"/>
      <c r="G48" s="572"/>
      <c r="H48" s="572"/>
      <c r="I48" s="572"/>
      <c r="J48" s="572"/>
      <c r="K48" s="572"/>
      <c r="L48" s="572"/>
      <c r="M48" s="572"/>
      <c r="N48" s="572"/>
      <c r="O48" s="572"/>
      <c r="P48" s="572"/>
      <c r="Q48" s="572"/>
      <c r="R48" s="572"/>
      <c r="S48" s="572"/>
      <c r="T48" s="572"/>
      <c r="U48" s="572"/>
      <c r="V48" s="572"/>
      <c r="W48" s="572"/>
      <c r="X48" s="572"/>
      <c r="Y48" s="572"/>
      <c r="Z48" s="572"/>
      <c r="AA48" s="572"/>
      <c r="AB48" s="572"/>
      <c r="AC48" s="572"/>
      <c r="AD48" s="537"/>
      <c r="AE48" s="537"/>
      <c r="AF48" s="537"/>
    </row>
    <row r="49" customFormat="false" ht="13.5" hidden="false" customHeight="false" outlineLevel="0" collapsed="false">
      <c r="A49" s="537"/>
      <c r="B49" s="537"/>
      <c r="C49" s="537"/>
      <c r="D49" s="537"/>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c r="AD49" s="537"/>
      <c r="AE49" s="537"/>
      <c r="AF49" s="537"/>
    </row>
    <row r="50" customFormat="false" ht="12.75" hidden="false" customHeight="false" outlineLevel="0" collapsed="false">
      <c r="A50" s="573" t="s">
        <v>453</v>
      </c>
      <c r="B50" s="574"/>
      <c r="C50" s="574"/>
      <c r="D50" s="574"/>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6"/>
      <c r="AD50" s="537"/>
      <c r="AE50" s="537"/>
      <c r="AF50" s="537"/>
    </row>
    <row r="51" customFormat="false" ht="12.75" hidden="false" customHeight="false" outlineLevel="0" collapsed="false">
      <c r="A51" s="577" t="s">
        <v>447</v>
      </c>
      <c r="B51" s="533"/>
      <c r="C51" s="533"/>
      <c r="D51" s="533"/>
      <c r="E51" s="528" t="n">
        <f aca="false">IF('Project Assumtions'!$I$34="Normal",E26+E34+E42,E68+E82+E96)</f>
        <v>120586.8645</v>
      </c>
      <c r="F51" s="528" t="n">
        <f aca="false">IF('Project Assumtions'!$I$34="Normal",F26+F34+F42,F68+F82+F96)</f>
        <v>115763.38992</v>
      </c>
      <c r="G51" s="528" t="n">
        <f aca="false">IF('Project Assumtions'!$I$34="Normal",G26+G34+G42,G68+G82+G96)</f>
        <v>110939.91534</v>
      </c>
      <c r="H51" s="528" t="n">
        <f aca="false">IF('Project Assumtions'!$I$34="Normal",H26+H34+H42,H68+H82+H96)</f>
        <v>104307.6377925</v>
      </c>
      <c r="I51" s="528" t="n">
        <f aca="false">IF('Project Assumtions'!$I$34="Normal",I26+I34+I42,I68+I82+I96)</f>
        <v>95866.5572775</v>
      </c>
      <c r="J51" s="528" t="n">
        <f aca="false">IF('Project Assumtions'!$I$34="Normal",J26+J34+J42,J68+J82+J96)</f>
        <v>90946.6132059</v>
      </c>
      <c r="K51" s="528" t="n">
        <f aca="false">IF('Project Assumtions'!$I$34="Normal",K26+K34+K42,K68+K82+K96)</f>
        <v>86026.6691343</v>
      </c>
      <c r="L51" s="528" t="n">
        <f aca="false">IF('Project Assumtions'!$I$34="Normal",L26+L34+L42,L68+L82+L96)</f>
        <v>80455.5559944</v>
      </c>
      <c r="M51" s="528" t="n">
        <f aca="false">IF('Project Assumtions'!$I$34="Normal",M26+M34+M42,M68+M82+M96)</f>
        <v>74884.4428545</v>
      </c>
      <c r="N51" s="528" t="n">
        <f aca="false">IF('Project Assumtions'!$I$34="Normal",N26+N34+N42,N68+N82+N96)</f>
        <v>65695.7237796</v>
      </c>
      <c r="O51" s="528" t="n">
        <f aca="false">IF('Project Assumtions'!$I$34="Normal",O26+O34+O42,O68+O82+O96)</f>
        <v>54047.0326689</v>
      </c>
      <c r="P51" s="528" t="n">
        <f aca="false">IF('Project Assumtions'!$I$34="Normal",P26+P34+P42,P68+P82+P96)</f>
        <v>51442.3563957</v>
      </c>
      <c r="Q51" s="528" t="n">
        <f aca="false">IF('Project Assumtions'!$I$34="Normal",Q26+Q34+Q42,Q68+Q82+Q96)</f>
        <v>48186.5110542</v>
      </c>
      <c r="R51" s="528" t="n">
        <f aca="false">IF('Project Assumtions'!$I$34="Normal",R26+R34+R42,R68+R82+R96)</f>
        <v>44930.6657127</v>
      </c>
      <c r="S51" s="528" t="n">
        <f aca="false">IF('Project Assumtions'!$I$34="Normal",S26+S34+S42,S68+S82+S96)</f>
        <v>41674.8203712</v>
      </c>
      <c r="T51" s="528" t="n">
        <f aca="false">IF('Project Assumtions'!$I$34="Normal",T26+T34+T42,T68+T82+T96)</f>
        <v>38418.9750297</v>
      </c>
      <c r="U51" s="528" t="n">
        <f aca="false">IF('Project Assumtions'!$I$34="Normal",U26+U34+U42,U68+U82+U96)</f>
        <v>35163.1296882</v>
      </c>
      <c r="V51" s="528" t="n">
        <f aca="false">IF('Project Assumtions'!$I$34="Normal",V26+V34+V42,V68+V82+V96)</f>
        <v>28651.4390052</v>
      </c>
      <c r="W51" s="528" t="n">
        <f aca="false">IF('Project Assumtions'!$I$34="Normal",W26+W34+W42,W68+W82+W96)</f>
        <v>20837.4101856</v>
      </c>
      <c r="X51" s="528" t="n">
        <f aca="false">IF('Project Assumtions'!$I$34="Normal",X26+X34+X42,X68+X82+X96)</f>
        <v>11069.8741611</v>
      </c>
      <c r="Y51" s="528" t="n">
        <f aca="false">IF('Project Assumtions'!$I$34="Normal",Y26+Y34+Y42,Y68+Y82+Y96)</f>
        <v>0</v>
      </c>
      <c r="Z51" s="528" t="n">
        <f aca="false">IF('Project Assumtions'!$I$34="Normal",Z26+Z34+Z42,Z68+Z82+Z96)</f>
        <v>0</v>
      </c>
      <c r="AA51" s="528" t="n">
        <f aca="false">IF('Project Assumtions'!$I$34="Normal",AA26+AA34+AA42,AA68+AA82+AA96)</f>
        <v>0</v>
      </c>
      <c r="AB51" s="528" t="n">
        <f aca="false">IF('Project Assumtions'!$I$34="Normal",AB26+AB34+AB42,AB68+AB82+AB96)</f>
        <v>0</v>
      </c>
      <c r="AC51" s="578" t="n">
        <f aca="false">IF('Project Assumtions'!$I$34="Normal",AC26+AC34+AC42,AC68+AC82+AC96)</f>
        <v>0</v>
      </c>
      <c r="AD51" s="537"/>
      <c r="AE51" s="537"/>
      <c r="AF51" s="537"/>
    </row>
    <row r="52" customFormat="false" ht="12.75" hidden="false" customHeight="false" outlineLevel="0" collapsed="false">
      <c r="A52" s="577" t="s">
        <v>448</v>
      </c>
      <c r="B52" s="533"/>
      <c r="C52" s="533"/>
      <c r="D52" s="533"/>
      <c r="E52" s="510" t="n">
        <f aca="false">IF('Project Assumtions'!$I$34="Normal",E27+E35+E43,E69+E83+E97)</f>
        <v>9363.570028425</v>
      </c>
      <c r="F52" s="510" t="n">
        <f aca="false">IF('Project Assumtions'!$I$34="Normal",F27+F35+F43,F69+F83+F97)</f>
        <v>9038.950189191</v>
      </c>
      <c r="G52" s="510" t="n">
        <f aca="false">IF('Project Assumtions'!$I$34="Normal",G27+G35+G43,G69+G83+G97)</f>
        <v>8714.330349957</v>
      </c>
      <c r="H52" s="510" t="n">
        <f aca="false">IF('Project Assumtions'!$I$34="Normal",H27+H35+H43,H69+H83+H97)</f>
        <v>8252.78412608325</v>
      </c>
      <c r="I52" s="510" t="n">
        <f aca="false">IF('Project Assumtions'!$I$34="Normal",I27+I35+I43,I69+I83+I97)</f>
        <v>7654.31151756975</v>
      </c>
      <c r="J52" s="510" t="n">
        <f aca="false">IF('Project Assumtions'!$I$34="Normal",J27+J35+J43,J69+J83+J97)</f>
        <v>7273.92748871637</v>
      </c>
      <c r="K52" s="510" t="n">
        <f aca="false">IF('Project Assumtions'!$I$34="Normal",K27+K35+K43,K69+K83+K97)</f>
        <v>6893.54345986299</v>
      </c>
      <c r="L52" s="510" t="n">
        <f aca="false">IF('Project Assumtions'!$I$34="Normal",L27+L35+L43,L69+L83+L97)</f>
        <v>6459.89380122267</v>
      </c>
      <c r="M52" s="510" t="n">
        <f aca="false">IF('Project Assumtions'!$I$34="Normal",M27+M35+M43,M69+M83+M97)</f>
        <v>6026.24414258235</v>
      </c>
      <c r="N52" s="510" t="n">
        <f aca="false">IF('Project Assumtions'!$I$34="Normal",N27+N35+N43,N69+N83+N97)</f>
        <v>5318.74171466253</v>
      </c>
      <c r="O52" s="510" t="n">
        <f aca="false">IF('Project Assumtions'!$I$34="Normal",O27+O35+O43,O69+O83+O97)</f>
        <v>4421.04727231602</v>
      </c>
      <c r="P52" s="510" t="n">
        <f aca="false">IF('Project Assumtions'!$I$34="Normal",P27+P35+P43,P69+P83+P97)</f>
        <v>4207.98475316826</v>
      </c>
      <c r="Q52" s="510" t="n">
        <f aca="false">IF('Project Assumtions'!$I$34="Normal",Q27+Q35+Q43,Q69+Q83+Q97)</f>
        <v>3941.65660423356</v>
      </c>
      <c r="R52" s="510" t="n">
        <f aca="false">IF('Project Assumtions'!$I$34="Normal",R27+R35+R43,R69+R83+R97)</f>
        <v>3675.32845529886</v>
      </c>
      <c r="S52" s="510" t="n">
        <f aca="false">IF('Project Assumtions'!$I$34="Normal",S27+S35+S43,S69+S83+S97)</f>
        <v>3409.00030636416</v>
      </c>
      <c r="T52" s="510" t="n">
        <f aca="false">IF('Project Assumtions'!$I$34="Normal",T27+T35+T43,T69+T83+T97)</f>
        <v>3142.67215742946</v>
      </c>
      <c r="U52" s="510" t="n">
        <f aca="false">IF('Project Assumtions'!$I$34="Normal",U27+U35+U43,U69+U83+U97)</f>
        <v>2876.34400849476</v>
      </c>
      <c r="V52" s="510" t="n">
        <f aca="false">IF('Project Assumtions'!$I$34="Normal",V27+V35+V43,V69+V83+V97)</f>
        <v>2343.68771062536</v>
      </c>
      <c r="W52" s="510" t="n">
        <f aca="false">IF('Project Assumtions'!$I$34="Normal",W27+W35+W43,W69+W83+W97)</f>
        <v>1704.50015318208</v>
      </c>
      <c r="X52" s="510" t="n">
        <f aca="false">IF('Project Assumtions'!$I$34="Normal",X27+X35+X43,X69+X83+X97)</f>
        <v>905.51570637798</v>
      </c>
      <c r="Y52" s="510" t="n">
        <f aca="false">IF('Project Assumtions'!$I$34="Normal",Y27+Y35+Y43,Y69+Y83+Y97)</f>
        <v>0</v>
      </c>
      <c r="Z52" s="510" t="n">
        <f aca="false">IF('Project Assumtions'!$I$34="Normal",Z27+Z35+Z43,Z69+Z83+Z97)</f>
        <v>0</v>
      </c>
      <c r="AA52" s="510" t="n">
        <f aca="false">IF('Project Assumtions'!$I$34="Normal",AA27+AA35+AA43,AA69+AA83+AA97)</f>
        <v>0</v>
      </c>
      <c r="AB52" s="510" t="n">
        <f aca="false">IF('Project Assumtions'!$I$34="Normal",AB27+AB35+AB43,AB69+AB83+AB97)</f>
        <v>0</v>
      </c>
      <c r="AC52" s="579" t="n">
        <f aca="false">IF('Project Assumtions'!$I$34="Normal",AC27+AC35+AC43,AC69+AC83+AC97)</f>
        <v>0</v>
      </c>
      <c r="AD52" s="537"/>
      <c r="AE52" s="537"/>
      <c r="AF52" s="537"/>
    </row>
    <row r="53" customFormat="false" ht="12.75" hidden="false" customHeight="false" outlineLevel="0" collapsed="false">
      <c r="A53" s="577" t="s">
        <v>449</v>
      </c>
      <c r="B53" s="533"/>
      <c r="C53" s="533"/>
      <c r="D53" s="533"/>
      <c r="E53" s="510" t="n">
        <f aca="false">IF('Project Assumtions'!$I$34="Normal",E28+E36+E44,E70+E84+E98)</f>
        <v>4823.47458</v>
      </c>
      <c r="F53" s="510" t="n">
        <f aca="false">IF('Project Assumtions'!$I$34="Normal",F28+F36+F44,F70+F84+F98)</f>
        <v>4823.47458</v>
      </c>
      <c r="G53" s="510" t="n">
        <f aca="false">IF('Project Assumtions'!$I$34="Normal",G28+G36+G44,G70+G84+G98)</f>
        <v>6632.2775475</v>
      </c>
      <c r="H53" s="510" t="n">
        <f aca="false">IF('Project Assumtions'!$I$34="Normal",H28+H36+H44,H70+H84+H98)</f>
        <v>8441.080515</v>
      </c>
      <c r="I53" s="510" t="n">
        <f aca="false">IF('Project Assumtions'!$I$34="Normal",I28+I36+I44,I70+I84+I98)</f>
        <v>4919.9440716</v>
      </c>
      <c r="J53" s="510" t="n">
        <f aca="false">IF('Project Assumtions'!$I$34="Normal",J28+J36+J44,J70+J84+J98)</f>
        <v>4919.9440716</v>
      </c>
      <c r="K53" s="510" t="n">
        <f aca="false">IF('Project Assumtions'!$I$34="Normal",K28+K36+K44,K70+K84+K98)</f>
        <v>5571.1131399</v>
      </c>
      <c r="L53" s="510" t="n">
        <f aca="false">IF('Project Assumtions'!$I$34="Normal",L28+L36+L44,L70+L84+L98)</f>
        <v>5571.1131399</v>
      </c>
      <c r="M53" s="510" t="n">
        <f aca="false">IF('Project Assumtions'!$I$34="Normal",M28+M36+M44,M70+M84+M98)</f>
        <v>9188.7190749</v>
      </c>
      <c r="N53" s="510" t="n">
        <f aca="false">IF('Project Assumtions'!$I$34="Normal",N28+N36+N44,N70+N84+N98)</f>
        <v>11648.6911107</v>
      </c>
      <c r="O53" s="510" t="n">
        <f aca="false">IF('Project Assumtions'!$I$34="Normal",O28+O36+O44,O70+O84+O98)</f>
        <v>2604.6762732</v>
      </c>
      <c r="P53" s="510" t="n">
        <f aca="false">IF('Project Assumtions'!$I$34="Normal",P28+P36+P44,P70+P84+P98)</f>
        <v>3255.8453415</v>
      </c>
      <c r="Q53" s="510" t="n">
        <f aca="false">IF('Project Assumtions'!$I$34="Normal",Q28+Q36+Q44,Q70+Q84+Q98)</f>
        <v>3255.8453415</v>
      </c>
      <c r="R53" s="510" t="n">
        <f aca="false">IF('Project Assumtions'!$I$34="Normal",R28+R36+R44,R70+R84+R98)</f>
        <v>3255.8453415</v>
      </c>
      <c r="S53" s="510" t="n">
        <f aca="false">IF('Project Assumtions'!$I$34="Normal",S28+S36+S44,S70+S84+S98)</f>
        <v>3255.8453415</v>
      </c>
      <c r="T53" s="510" t="n">
        <f aca="false">IF('Project Assumtions'!$I$34="Normal",T28+T36+T44,T70+T84+T98)</f>
        <v>3255.8453415</v>
      </c>
      <c r="U53" s="510" t="n">
        <f aca="false">IF('Project Assumtions'!$I$34="Normal",U28+U36+U44,U70+U84+U98)</f>
        <v>6511.690683</v>
      </c>
      <c r="V53" s="510" t="n">
        <f aca="false">IF('Project Assumtions'!$I$34="Normal",V28+V36+V44,V70+V84+V98)</f>
        <v>7814.0288196</v>
      </c>
      <c r="W53" s="510" t="n">
        <f aca="false">IF('Project Assumtions'!$I$34="Normal",W28+W36+W44,W70+W84+W98)</f>
        <v>9767.5360245</v>
      </c>
      <c r="X53" s="510" t="n">
        <f aca="false">IF('Project Assumtions'!$I$34="Normal",X28+X36+X44,X70+X84+X98)</f>
        <v>11069.8741611</v>
      </c>
      <c r="Y53" s="510" t="n">
        <f aca="false">IF('Project Assumtions'!$I$34="Normal",Y28+Y36+Y44,Y70+Y84+Y98)</f>
        <v>0</v>
      </c>
      <c r="Z53" s="510" t="n">
        <f aca="false">IF('Project Assumtions'!$I$34="Normal",Z28+Z36+Z44,Z70+Z84+Z98)</f>
        <v>0</v>
      </c>
      <c r="AA53" s="510" t="n">
        <f aca="false">IF('Project Assumtions'!$I$34="Normal",AA28+AA36+AA44,AA70+AA84+AA98)</f>
        <v>0</v>
      </c>
      <c r="AB53" s="510" t="n">
        <f aca="false">IF('Project Assumtions'!$I$34="Normal",AB28+AB36+AB44,AB70+AB84+AB98)</f>
        <v>0</v>
      </c>
      <c r="AC53" s="579" t="n">
        <f aca="false">IF('Project Assumtions'!$I$34="Normal",AC28+AC36+AC44,AC70+AC84+AC98)</f>
        <v>0</v>
      </c>
      <c r="AD53" s="537"/>
      <c r="AE53" s="537"/>
      <c r="AF53" s="537"/>
    </row>
    <row r="54" customFormat="false" ht="12.75" hidden="false" customHeight="false" outlineLevel="0" collapsed="false">
      <c r="A54" s="577" t="s">
        <v>450</v>
      </c>
      <c r="B54" s="533"/>
      <c r="C54" s="533"/>
      <c r="D54" s="533"/>
      <c r="E54" s="510" t="n">
        <f aca="false">IF('Project Assumtions'!$I$34="Normal",E29+E37+E45,E71+E85+E99)</f>
        <v>14187.044608425</v>
      </c>
      <c r="F54" s="510" t="n">
        <f aca="false">IF('Project Assumtions'!$I$34="Normal",F29+F37+F45,F71+F85+F99)</f>
        <v>13862.424769191</v>
      </c>
      <c r="G54" s="510" t="n">
        <f aca="false">IF('Project Assumtions'!$I$34="Normal",G29+G37+G45,G71+G85+G99)</f>
        <v>15346.607897457</v>
      </c>
      <c r="H54" s="510" t="n">
        <f aca="false">IF('Project Assumtions'!$I$34="Normal",H29+H37+H45,H71+H85+H99)</f>
        <v>16693.8646410833</v>
      </c>
      <c r="I54" s="510" t="n">
        <f aca="false">IF('Project Assumtions'!$I$34="Normal",I29+I37+I45,I71+I85+I99)</f>
        <v>12574.2555891698</v>
      </c>
      <c r="J54" s="510" t="n">
        <f aca="false">IF('Project Assumtions'!$I$34="Normal",J29+J37+J45,J71+J85+J99)</f>
        <v>12193.8715603164</v>
      </c>
      <c r="K54" s="510" t="n">
        <f aca="false">IF('Project Assumtions'!$I$34="Normal",K29+K37+K45,K71+K85+K99)</f>
        <v>12464.656599763</v>
      </c>
      <c r="L54" s="510" t="n">
        <f aca="false">IF('Project Assumtions'!$I$34="Normal",L29+L37+L45,L71+L85+L99)</f>
        <v>12031.0069411227</v>
      </c>
      <c r="M54" s="510" t="n">
        <f aca="false">IF('Project Assumtions'!$I$34="Normal",M29+M37+M45,M71+M85+M99)</f>
        <v>15214.9632174824</v>
      </c>
      <c r="N54" s="510" t="n">
        <f aca="false">IF('Project Assumtions'!$I$34="Normal",N29+N37+N45,N71+N85+N99)</f>
        <v>16967.4328253625</v>
      </c>
      <c r="O54" s="510" t="n">
        <f aca="false">IF('Project Assumtions'!$I$34="Normal",O29+O37+O45,O71+O85+O99)</f>
        <v>7025.72354551602</v>
      </c>
      <c r="P54" s="510" t="n">
        <f aca="false">IF('Project Assumtions'!$I$34="Normal",P29+P37+P45,P71+P85+P99)</f>
        <v>7463.83009466826</v>
      </c>
      <c r="Q54" s="510" t="n">
        <f aca="false">IF('Project Assumtions'!$I$34="Normal",Q29+Q37+Q45,Q71+Q85+Q99)</f>
        <v>7197.50194573356</v>
      </c>
      <c r="R54" s="510" t="n">
        <f aca="false">IF('Project Assumtions'!$I$34="Normal",R29+R37+R45,R71+R85+R99)</f>
        <v>6931.17379679886</v>
      </c>
      <c r="S54" s="510" t="n">
        <f aca="false">IF('Project Assumtions'!$I$34="Normal",S29+S37+S45,S71+S85+S99)</f>
        <v>6664.84564786416</v>
      </c>
      <c r="T54" s="510" t="n">
        <f aca="false">IF('Project Assumtions'!$I$34="Normal",T29+T37+T45,T71+T85+T99)</f>
        <v>6398.51749892946</v>
      </c>
      <c r="U54" s="510" t="n">
        <f aca="false">IF('Project Assumtions'!$I$34="Normal",U29+U37+U45,U71+U85+U99)</f>
        <v>9388.03469149476</v>
      </c>
      <c r="V54" s="510" t="n">
        <f aca="false">IF('Project Assumtions'!$I$34="Normal",V29+V37+V45,V71+V85+V99)</f>
        <v>10157.7165302254</v>
      </c>
      <c r="W54" s="510" t="n">
        <f aca="false">IF('Project Assumtions'!$I$34="Normal",W29+W37+W45,W71+W85+W99)</f>
        <v>11472.0361776821</v>
      </c>
      <c r="X54" s="510" t="n">
        <f aca="false">IF('Project Assumtions'!$I$34="Normal",X29+X37+X45,X71+X85+X99)</f>
        <v>11975.389867478</v>
      </c>
      <c r="Y54" s="510" t="n">
        <f aca="false">IF('Project Assumtions'!$I$34="Normal",Y29+Y37+Y45,Y71+Y85+Y99)</f>
        <v>0</v>
      </c>
      <c r="Z54" s="510" t="n">
        <f aca="false">IF('Project Assumtions'!$I$34="Normal",Z29+Z37+Z45,Z71+Z85+Z99)</f>
        <v>0</v>
      </c>
      <c r="AA54" s="510" t="n">
        <f aca="false">IF('Project Assumtions'!$I$34="Normal",AA29+AA37+AA45,AA71+AA85+AA99)</f>
        <v>0</v>
      </c>
      <c r="AB54" s="510" t="n">
        <f aca="false">IF('Project Assumtions'!$I$34="Normal",AB29+AB37+AB45,AB71+AB85+AB99)</f>
        <v>0</v>
      </c>
      <c r="AC54" s="579" t="n">
        <f aca="false">IF('Project Assumtions'!$I$34="Normal",AC29+AC37+AC45,AC71+AC85+AC99)</f>
        <v>0</v>
      </c>
      <c r="AD54" s="537"/>
      <c r="AE54" s="537"/>
      <c r="AF54" s="537"/>
    </row>
    <row r="55" customFormat="false" ht="12.6" hidden="false" customHeight="true" outlineLevel="0" collapsed="false">
      <c r="A55" s="577" t="s">
        <v>451</v>
      </c>
      <c r="B55" s="580"/>
      <c r="C55" s="580"/>
      <c r="D55" s="533"/>
      <c r="E55" s="528" t="n">
        <f aca="false">IF('Project Assumtions'!$I$34="Normal",E30+E38+E46,E72+E86+E100)</f>
        <v>115763.38992</v>
      </c>
      <c r="F55" s="528" t="n">
        <f aca="false">IF('Project Assumtions'!$I$34="Normal",F30+F38+F46,F72+F86+F100)</f>
        <v>110939.91534</v>
      </c>
      <c r="G55" s="528" t="n">
        <f aca="false">IF('Project Assumtions'!$I$34="Normal",G30+G38+G46,G72+G86+G100)</f>
        <v>104307.6377925</v>
      </c>
      <c r="H55" s="528" t="n">
        <f aca="false">IF('Project Assumtions'!$I$34="Normal",H30+H38+H46,H72+H86+H100)</f>
        <v>95866.5572775</v>
      </c>
      <c r="I55" s="528" t="n">
        <f aca="false">IF('Project Assumtions'!$I$34="Normal",I30+I38+I46,I72+I86+I100)</f>
        <v>90946.6132059</v>
      </c>
      <c r="J55" s="528" t="n">
        <f aca="false">IF('Project Assumtions'!$I$34="Normal",J30+J38+J46,J72+J86+J100)</f>
        <v>86026.6691343</v>
      </c>
      <c r="K55" s="528" t="n">
        <f aca="false">IF('Project Assumtions'!$I$34="Normal",K30+K38+K46,K72+K86+K100)</f>
        <v>80455.5559944</v>
      </c>
      <c r="L55" s="528" t="n">
        <f aca="false">IF('Project Assumtions'!$I$34="Normal",L30+L38+L46,L72+L86+L100)</f>
        <v>74884.4428545</v>
      </c>
      <c r="M55" s="528" t="n">
        <f aca="false">IF('Project Assumtions'!$I$34="Normal",M30+M38+M46,M72+M86+M100)</f>
        <v>65695.7237796</v>
      </c>
      <c r="N55" s="528" t="n">
        <f aca="false">IF('Project Assumtions'!$I$34="Normal",N30+N38+N46,N72+N86+N100)</f>
        <v>54047.0326689</v>
      </c>
      <c r="O55" s="528" t="n">
        <f aca="false">IF('Project Assumtions'!$I$34="Normal",O30+O38+O46,O72+O86+O100)</f>
        <v>51442.3563957</v>
      </c>
      <c r="P55" s="528" t="n">
        <f aca="false">IF('Project Assumtions'!$I$34="Normal",P30+P38+P46,P72+P86+P100)</f>
        <v>48186.5110542</v>
      </c>
      <c r="Q55" s="528" t="n">
        <f aca="false">IF('Project Assumtions'!$I$34="Normal",Q30+Q38+Q46,Q72+Q86+Q100)</f>
        <v>44930.6657127</v>
      </c>
      <c r="R55" s="528" t="n">
        <f aca="false">IF('Project Assumtions'!$I$34="Normal",R30+R38+R46,R72+R86+R100)</f>
        <v>41674.8203712</v>
      </c>
      <c r="S55" s="528" t="n">
        <f aca="false">IF('Project Assumtions'!$I$34="Normal",S30+S38+S46,S72+S86+S100)</f>
        <v>38418.9750297</v>
      </c>
      <c r="T55" s="528" t="n">
        <f aca="false">IF('Project Assumtions'!$I$34="Normal",T30+T38+T46,T72+T86+T100)</f>
        <v>35163.1296882</v>
      </c>
      <c r="U55" s="528" t="n">
        <f aca="false">IF('Project Assumtions'!$I$34="Normal",U30+U38+U46,U72+U86+U100)</f>
        <v>28651.4390052</v>
      </c>
      <c r="V55" s="528" t="n">
        <f aca="false">IF('Project Assumtions'!$I$34="Normal",V30+V38+V46,V72+V86+V100)</f>
        <v>20837.4101856</v>
      </c>
      <c r="W55" s="528" t="n">
        <f aca="false">IF('Project Assumtions'!$I$34="Normal",W30+W38+W46,W72+W86+W100)</f>
        <v>11069.8741611</v>
      </c>
      <c r="X55" s="528" t="n">
        <f aca="false">IF('Project Assumtions'!$I$34="Normal",X30+X38+X46,X72+X86+X100)</f>
        <v>0</v>
      </c>
      <c r="Y55" s="528" t="n">
        <f aca="false">IF('Project Assumtions'!$I$34="Normal",Y30+Y38+Y46,Y72+Y86+Y100)</f>
        <v>0</v>
      </c>
      <c r="Z55" s="528" t="n">
        <f aca="false">IF('Project Assumtions'!$I$34="Normal",Z30+Z38+Z46,Z72+Z86+Z100)</f>
        <v>0</v>
      </c>
      <c r="AA55" s="528" t="n">
        <f aca="false">IF('Project Assumtions'!$I$34="Normal",AA30+AA38+AA46,AA72+AA86+AA100)</f>
        <v>0</v>
      </c>
      <c r="AB55" s="528" t="n">
        <f aca="false">IF('Project Assumtions'!$I$34="Normal",AB30+AB38+AB46,AB72+AB86+AB100)</f>
        <v>0</v>
      </c>
      <c r="AC55" s="578" t="n">
        <f aca="false">IF('Project Assumtions'!$I$34="Normal",AC30+AC38+AC46,AC72+AC86+AC100)</f>
        <v>0</v>
      </c>
      <c r="AD55" s="537"/>
      <c r="AE55" s="537"/>
      <c r="AF55" s="537"/>
    </row>
    <row r="56" customFormat="false" ht="12.6" hidden="false" customHeight="true" outlineLevel="0" collapsed="false">
      <c r="A56" s="577" t="s">
        <v>452</v>
      </c>
      <c r="B56" s="580"/>
      <c r="C56" s="580"/>
      <c r="D56" s="533"/>
      <c r="E56" s="553" t="n">
        <f aca="false">SUMPRODUCT(E4:AC4,E53:AC53)/B22</f>
        <v>6.60135891334153</v>
      </c>
      <c r="F56" s="510"/>
      <c r="G56" s="510"/>
      <c r="H56" s="510"/>
      <c r="I56" s="510"/>
      <c r="J56" s="510"/>
      <c r="K56" s="510"/>
      <c r="L56" s="510"/>
      <c r="M56" s="510"/>
      <c r="N56" s="510"/>
      <c r="O56" s="510"/>
      <c r="P56" s="510"/>
      <c r="Q56" s="510"/>
      <c r="R56" s="510"/>
      <c r="S56" s="510"/>
      <c r="T56" s="510"/>
      <c r="U56" s="510"/>
      <c r="V56" s="510"/>
      <c r="W56" s="510"/>
      <c r="X56" s="510"/>
      <c r="Y56" s="510"/>
      <c r="Z56" s="510"/>
      <c r="AA56" s="510"/>
      <c r="AB56" s="510"/>
      <c r="AC56" s="579"/>
      <c r="AD56" s="537"/>
      <c r="AE56" s="537"/>
      <c r="AF56" s="537"/>
    </row>
    <row r="57" customFormat="false" ht="12.6" hidden="false" customHeight="true" outlineLevel="0" collapsed="false">
      <c r="A57" s="581"/>
      <c r="B57" s="538"/>
      <c r="C57" s="538"/>
      <c r="D57" s="265"/>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3"/>
    </row>
    <row r="58" customFormat="false" ht="12.6" hidden="false" customHeight="true" outlineLevel="0" collapsed="false">
      <c r="A58" s="584" t="s">
        <v>454</v>
      </c>
      <c r="B58" s="585"/>
      <c r="C58" s="585"/>
      <c r="D58" s="586"/>
      <c r="E58" s="587" t="n">
        <f aca="false">E45+E37+E29</f>
        <v>8932.14189169299</v>
      </c>
      <c r="F58" s="587" t="n">
        <f aca="false">F45+F37+F29</f>
        <v>15505.7340692042</v>
      </c>
      <c r="G58" s="587" t="n">
        <f aca="false">G45+G37+G29</f>
        <v>15383.068255851</v>
      </c>
      <c r="H58" s="587" t="n">
        <f aca="false">H45+H37+H29</f>
        <v>20965.4276301783</v>
      </c>
      <c r="I58" s="587" t="n">
        <f aca="false">I45+I37+I29</f>
        <v>13388.8416283397</v>
      </c>
      <c r="J58" s="587" t="n">
        <f aca="false">J45+J37+J29</f>
        <v>13774.6862033886</v>
      </c>
      <c r="K58" s="587" t="n">
        <f aca="false">K45+K37+K29</f>
        <v>13906.0658300538</v>
      </c>
      <c r="L58" s="587" t="n">
        <f aca="false">L45+L37+L29</f>
        <v>14026.1522249734</v>
      </c>
      <c r="M58" s="587" t="n">
        <f aca="false">M45+M37+M29</f>
        <v>14159.2624274522</v>
      </c>
      <c r="N58" s="587" t="n">
        <f aca="false">N45+N37+N29</f>
        <v>14319.467133294</v>
      </c>
      <c r="O58" s="587" t="n">
        <f aca="false">O45+O37+O29</f>
        <v>14475.4487070425</v>
      </c>
      <c r="P58" s="587" t="n">
        <f aca="false">P45+P37+P29</f>
        <v>14558.9708944521</v>
      </c>
      <c r="Q58" s="587" t="n">
        <f aca="false">Q45+Q37+Q29</f>
        <v>14704.7789918761</v>
      </c>
      <c r="R58" s="587" t="n">
        <f aca="false">R45+R37+R29</f>
        <v>14537.998064382</v>
      </c>
      <c r="S58" s="587" t="n">
        <f aca="false">S45+S37+S29</f>
        <v>14664.9665401006</v>
      </c>
      <c r="T58" s="587" t="n">
        <f aca="false">T45+T37+T29</f>
        <v>14786.2270984629</v>
      </c>
      <c r="U58" s="587" t="n">
        <f aca="false">U45+U37+U29</f>
        <v>14901.3229927993</v>
      </c>
      <c r="V58" s="587" t="n">
        <f aca="false">V45+V37+V29</f>
        <v>15009.7752087657</v>
      </c>
      <c r="W58" s="587" t="n">
        <f aca="false">W45+W37+W29</f>
        <v>15111.0815393551</v>
      </c>
      <c r="X58" s="587" t="n">
        <f aca="false">X45+X37+X29</f>
        <v>14836.9563419816</v>
      </c>
      <c r="Y58" s="587" t="n">
        <f aca="false">Y45+Y37+Y29</f>
        <v>0</v>
      </c>
      <c r="Z58" s="587" t="n">
        <f aca="false">Z45+Z37+Z29</f>
        <v>0</v>
      </c>
      <c r="AA58" s="587" t="n">
        <f aca="false">AA45+AA37+AA29</f>
        <v>0</v>
      </c>
      <c r="AB58" s="587" t="n">
        <f aca="false">AB45+AB37+AB29</f>
        <v>0</v>
      </c>
      <c r="AC58" s="588" t="n">
        <f aca="false">AC45+AC37+AC29</f>
        <v>0</v>
      </c>
    </row>
    <row r="59" customFormat="false" ht="12.6" hidden="false" customHeight="true" outlineLevel="0" collapsed="false">
      <c r="B59" s="538"/>
      <c r="C59" s="538"/>
      <c r="E59" s="552"/>
      <c r="F59" s="552"/>
      <c r="G59" s="552"/>
      <c r="H59" s="552"/>
      <c r="I59" s="552"/>
      <c r="J59" s="552"/>
      <c r="K59" s="552"/>
      <c r="L59" s="552"/>
      <c r="M59" s="552"/>
      <c r="N59" s="552"/>
      <c r="O59" s="552"/>
      <c r="P59" s="552"/>
      <c r="Q59" s="552"/>
      <c r="R59" s="552"/>
      <c r="S59" s="552"/>
      <c r="T59" s="552"/>
      <c r="U59" s="552"/>
      <c r="V59" s="552"/>
      <c r="W59" s="552"/>
      <c r="X59" s="552"/>
      <c r="Y59" s="552"/>
      <c r="Z59" s="552"/>
      <c r="AA59" s="552"/>
      <c r="AB59" s="552"/>
      <c r="AC59" s="552"/>
    </row>
    <row r="60" customFormat="false" ht="12.6" hidden="false" customHeight="true" outlineLevel="0" collapsed="false">
      <c r="B60" s="538"/>
      <c r="C60" s="538"/>
      <c r="E60" s="552"/>
      <c r="F60" s="552"/>
      <c r="G60" s="552"/>
      <c r="H60" s="552"/>
      <c r="I60" s="552"/>
      <c r="J60" s="552"/>
      <c r="K60" s="552"/>
      <c r="L60" s="552"/>
      <c r="M60" s="552"/>
      <c r="N60" s="552"/>
      <c r="O60" s="552"/>
      <c r="P60" s="552"/>
      <c r="Q60" s="552"/>
      <c r="R60" s="552"/>
      <c r="S60" s="552"/>
      <c r="T60" s="552"/>
      <c r="U60" s="552"/>
      <c r="V60" s="552"/>
      <c r="W60" s="552"/>
      <c r="X60" s="552"/>
      <c r="Y60" s="552"/>
      <c r="Z60" s="552"/>
      <c r="AA60" s="552"/>
      <c r="AB60" s="552"/>
      <c r="AC60" s="552"/>
    </row>
    <row r="61" customFormat="false" ht="12.6" hidden="false" customHeight="true" outlineLevel="0" collapsed="false">
      <c r="B61" s="538"/>
      <c r="C61" s="538"/>
      <c r="E61" s="552"/>
      <c r="F61" s="552"/>
      <c r="G61" s="552"/>
      <c r="H61" s="552"/>
      <c r="I61" s="552"/>
      <c r="J61" s="552"/>
      <c r="K61" s="552"/>
      <c r="L61" s="552"/>
      <c r="M61" s="552"/>
      <c r="N61" s="552"/>
      <c r="O61" s="552"/>
      <c r="P61" s="552"/>
      <c r="Q61" s="552"/>
      <c r="R61" s="552"/>
      <c r="S61" s="552"/>
      <c r="T61" s="552"/>
      <c r="U61" s="552"/>
      <c r="V61" s="552"/>
      <c r="W61" s="552"/>
      <c r="X61" s="552"/>
      <c r="Y61" s="552"/>
      <c r="Z61" s="552"/>
      <c r="AA61" s="552"/>
      <c r="AB61" s="552"/>
      <c r="AC61" s="552"/>
    </row>
    <row r="62" customFormat="false" ht="12.6" hidden="false" customHeight="true" outlineLevel="0" collapsed="false">
      <c r="A62" s="20" t="s">
        <v>455</v>
      </c>
    </row>
    <row r="63" customFormat="false" ht="12.6" hidden="false" customHeight="true" outlineLevel="0" collapsed="false">
      <c r="A63" s="373" t="s">
        <v>456</v>
      </c>
      <c r="B63" s="589" t="n">
        <f aca="false">Principal1</f>
        <v>19293.89832</v>
      </c>
      <c r="AD63" s="0"/>
      <c r="AE63" s="0"/>
      <c r="AF63" s="0"/>
    </row>
    <row r="64" customFormat="false" ht="12.75" hidden="false" customHeight="false" outlineLevel="0" collapsed="false">
      <c r="A64" s="393" t="s">
        <v>243</v>
      </c>
      <c r="B64" s="590" t="n">
        <f aca="false">Int1</f>
        <v>0.0673</v>
      </c>
      <c r="AD64" s="0"/>
      <c r="AE64" s="0"/>
      <c r="AF64" s="0"/>
    </row>
    <row r="65" customFormat="false" ht="12.75" hidden="false" customHeight="false" outlineLevel="0" collapsed="false">
      <c r="A65" s="393" t="s">
        <v>240</v>
      </c>
      <c r="B65" s="441" t="n">
        <f aca="false">Term1</f>
        <v>4</v>
      </c>
      <c r="E65" s="372" t="n">
        <f aca="false">E4</f>
        <v>1</v>
      </c>
      <c r="F65" s="372" t="n">
        <f aca="false">F4</f>
        <v>2</v>
      </c>
      <c r="G65" s="372" t="n">
        <f aca="false">G4</f>
        <v>3</v>
      </c>
      <c r="H65" s="372" t="n">
        <f aca="false">H4</f>
        <v>4</v>
      </c>
      <c r="I65" s="372" t="n">
        <f aca="false">I4</f>
        <v>5</v>
      </c>
      <c r="J65" s="372" t="n">
        <f aca="false">J4</f>
        <v>6</v>
      </c>
      <c r="K65" s="372" t="n">
        <f aca="false">K4</f>
        <v>7</v>
      </c>
      <c r="L65" s="372" t="n">
        <f aca="false">L4</f>
        <v>8</v>
      </c>
      <c r="M65" s="372" t="n">
        <f aca="false">M4</f>
        <v>9</v>
      </c>
      <c r="N65" s="372" t="n">
        <f aca="false">N4</f>
        <v>10</v>
      </c>
      <c r="O65" s="372" t="n">
        <f aca="false">O4</f>
        <v>11</v>
      </c>
      <c r="P65" s="372" t="n">
        <f aca="false">P4</f>
        <v>12</v>
      </c>
      <c r="Q65" s="372" t="n">
        <f aca="false">Q4</f>
        <v>13</v>
      </c>
      <c r="R65" s="372" t="n">
        <f aca="false">R4</f>
        <v>14</v>
      </c>
      <c r="S65" s="372" t="n">
        <f aca="false">S4</f>
        <v>15</v>
      </c>
      <c r="T65" s="372" t="n">
        <f aca="false">T4</f>
        <v>16</v>
      </c>
      <c r="U65" s="372" t="n">
        <f aca="false">U4</f>
        <v>17</v>
      </c>
      <c r="V65" s="372" t="n">
        <f aca="false">V4</f>
        <v>18</v>
      </c>
      <c r="W65" s="372" t="n">
        <f aca="false">W4</f>
        <v>19</v>
      </c>
      <c r="X65" s="372" t="n">
        <f aca="false">X4</f>
        <v>20</v>
      </c>
      <c r="Y65" s="372" t="n">
        <f aca="false">Y4</f>
        <v>21</v>
      </c>
      <c r="Z65" s="372" t="n">
        <f aca="false">Z4</f>
        <v>22</v>
      </c>
      <c r="AA65" s="372" t="n">
        <f aca="false">AA4</f>
        <v>23</v>
      </c>
      <c r="AB65" s="372" t="n">
        <f aca="false">AB4</f>
        <v>24</v>
      </c>
      <c r="AC65" s="372" t="n">
        <f aca="false">AC4</f>
        <v>25</v>
      </c>
      <c r="AD65" s="0"/>
      <c r="AE65" s="0"/>
      <c r="AF65" s="0"/>
    </row>
    <row r="66" customFormat="false" ht="12.6" hidden="false" customHeight="true" outlineLevel="0" collapsed="false">
      <c r="A66" s="265"/>
      <c r="B66" s="265"/>
      <c r="C66" s="20" t="s">
        <v>457</v>
      </c>
      <c r="E66" s="591" t="n">
        <f aca="false">E5</f>
        <v>2000</v>
      </c>
      <c r="F66" s="591" t="n">
        <f aca="false">F5</f>
        <v>2001</v>
      </c>
      <c r="G66" s="591" t="n">
        <f aca="false">G5</f>
        <v>2002</v>
      </c>
      <c r="H66" s="591" t="n">
        <f aca="false">H5</f>
        <v>2003</v>
      </c>
      <c r="I66" s="591" t="n">
        <f aca="false">I5</f>
        <v>2004</v>
      </c>
      <c r="J66" s="591" t="n">
        <f aca="false">J5</f>
        <v>2005</v>
      </c>
      <c r="K66" s="591" t="n">
        <f aca="false">K5</f>
        <v>2006</v>
      </c>
      <c r="L66" s="591" t="n">
        <f aca="false">L5</f>
        <v>2007</v>
      </c>
      <c r="M66" s="591" t="n">
        <f aca="false">M5</f>
        <v>2008</v>
      </c>
      <c r="N66" s="591" t="n">
        <f aca="false">N5</f>
        <v>2009</v>
      </c>
      <c r="O66" s="591" t="n">
        <f aca="false">O5</f>
        <v>2010</v>
      </c>
      <c r="P66" s="591" t="n">
        <f aca="false">P5</f>
        <v>2011</v>
      </c>
      <c r="Q66" s="591" t="n">
        <f aca="false">Q5</f>
        <v>2012</v>
      </c>
      <c r="R66" s="591" t="n">
        <f aca="false">R5</f>
        <v>2013</v>
      </c>
      <c r="S66" s="591" t="n">
        <f aca="false">S5</f>
        <v>2014</v>
      </c>
      <c r="T66" s="591" t="n">
        <f aca="false">T5</f>
        <v>2015</v>
      </c>
      <c r="U66" s="591" t="n">
        <f aca="false">U5</f>
        <v>2016</v>
      </c>
      <c r="V66" s="591" t="n">
        <f aca="false">V5</f>
        <v>2017</v>
      </c>
      <c r="W66" s="591" t="n">
        <f aca="false">W5</f>
        <v>2018</v>
      </c>
      <c r="X66" s="591" t="n">
        <f aca="false">X5</f>
        <v>2019</v>
      </c>
      <c r="Y66" s="591" t="n">
        <f aca="false">Y5</f>
        <v>2020</v>
      </c>
      <c r="Z66" s="591" t="n">
        <f aca="false">Z5</f>
        <v>2021</v>
      </c>
      <c r="AA66" s="591" t="n">
        <f aca="false">AA5</f>
        <v>2022</v>
      </c>
      <c r="AB66" s="591" t="n">
        <f aca="false">AB5</f>
        <v>2023</v>
      </c>
      <c r="AC66" s="591" t="n">
        <f aca="false">AC5</f>
        <v>2024</v>
      </c>
      <c r="AD66" s="0"/>
      <c r="AE66" s="0"/>
      <c r="AF66" s="0"/>
      <c r="AH66" s="486"/>
      <c r="AI66" s="486"/>
      <c r="AJ66" s="486"/>
      <c r="AK66" s="486"/>
      <c r="AL66" s="486"/>
      <c r="AM66" s="486"/>
      <c r="AN66" s="486"/>
      <c r="AO66" s="486"/>
      <c r="AP66" s="486"/>
      <c r="AQ66" s="486"/>
      <c r="AR66" s="486"/>
      <c r="AS66" s="486"/>
      <c r="AT66" s="486"/>
      <c r="AU66" s="486"/>
      <c r="AV66" s="486"/>
      <c r="AW66" s="486"/>
      <c r="AX66" s="486"/>
      <c r="AY66" s="486"/>
      <c r="AZ66" s="486"/>
      <c r="BA66" s="486"/>
    </row>
    <row r="67" customFormat="false" ht="12.6" hidden="false" customHeight="true" outlineLevel="0" collapsed="false">
      <c r="A67" s="592"/>
      <c r="B67" s="593"/>
      <c r="C67" s="593"/>
      <c r="D67" s="593"/>
      <c r="E67" s="594"/>
      <c r="F67" s="594"/>
      <c r="G67" s="594"/>
      <c r="H67" s="594"/>
      <c r="I67" s="594"/>
      <c r="J67" s="594"/>
      <c r="K67" s="594"/>
      <c r="L67" s="594"/>
      <c r="M67" s="594"/>
      <c r="N67" s="594"/>
      <c r="O67" s="594"/>
      <c r="P67" s="594"/>
      <c r="Q67" s="594"/>
      <c r="R67" s="594"/>
      <c r="S67" s="594"/>
      <c r="AD67" s="0"/>
      <c r="AE67" s="0"/>
      <c r="AF67" s="0"/>
    </row>
    <row r="68" customFormat="false" ht="12.6" hidden="false" customHeight="true" outlineLevel="0" collapsed="false">
      <c r="A68" s="528" t="s">
        <v>458</v>
      </c>
      <c r="B68" s="595"/>
      <c r="C68" s="596" t="n">
        <f aca="false">B63</f>
        <v>19293.89832</v>
      </c>
      <c r="E68" s="595" t="n">
        <f aca="false">C68</f>
        <v>19293.89832</v>
      </c>
      <c r="F68" s="595" t="n">
        <f aca="false">E72</f>
        <v>14470.42374</v>
      </c>
      <c r="G68" s="595" t="n">
        <f aca="false">F72</f>
        <v>9646.94916</v>
      </c>
      <c r="H68" s="595" t="n">
        <f aca="false">G72</f>
        <v>4823.47458</v>
      </c>
      <c r="I68" s="595" t="n">
        <f aca="false">H72</f>
        <v>0</v>
      </c>
      <c r="J68" s="595" t="n">
        <f aca="false">I72</f>
        <v>0</v>
      </c>
      <c r="K68" s="595" t="n">
        <f aca="false">J72</f>
        <v>0</v>
      </c>
      <c r="L68" s="595" t="n">
        <f aca="false">K72</f>
        <v>0</v>
      </c>
      <c r="M68" s="595" t="n">
        <f aca="false">L72</f>
        <v>0</v>
      </c>
      <c r="N68" s="595" t="n">
        <f aca="false">M72</f>
        <v>0</v>
      </c>
      <c r="O68" s="595" t="n">
        <f aca="false">N72</f>
        <v>0</v>
      </c>
      <c r="P68" s="595" t="n">
        <f aca="false">O72</f>
        <v>0</v>
      </c>
      <c r="Q68" s="595" t="n">
        <f aca="false">P72</f>
        <v>0</v>
      </c>
      <c r="R68" s="595" t="n">
        <f aca="false">Q72</f>
        <v>0</v>
      </c>
      <c r="S68" s="595" t="n">
        <f aca="false">R72</f>
        <v>0</v>
      </c>
      <c r="T68" s="595" t="n">
        <f aca="false">S72</f>
        <v>0</v>
      </c>
      <c r="U68" s="595" t="n">
        <f aca="false">T72</f>
        <v>0</v>
      </c>
      <c r="V68" s="595" t="n">
        <f aca="false">U72</f>
        <v>0</v>
      </c>
      <c r="W68" s="595" t="n">
        <f aca="false">V72</f>
        <v>0</v>
      </c>
      <c r="X68" s="595" t="n">
        <f aca="false">W72</f>
        <v>0</v>
      </c>
      <c r="Y68" s="595" t="n">
        <f aca="false">X72</f>
        <v>0</v>
      </c>
      <c r="Z68" s="595" t="n">
        <f aca="false">Y72</f>
        <v>0</v>
      </c>
      <c r="AA68" s="595" t="n">
        <f aca="false">Z72</f>
        <v>0</v>
      </c>
      <c r="AB68" s="595" t="n">
        <f aca="false">AA72</f>
        <v>0</v>
      </c>
      <c r="AC68" s="595" t="n">
        <f aca="false">AB72</f>
        <v>0</v>
      </c>
      <c r="AD68" s="0"/>
      <c r="AE68" s="0"/>
      <c r="AF68" s="0"/>
    </row>
    <row r="69" customFormat="false" ht="12.6" hidden="false" customHeight="true" outlineLevel="0" collapsed="false">
      <c r="A69" s="528" t="s">
        <v>459</v>
      </c>
      <c r="B69" s="597"/>
      <c r="C69" s="595"/>
      <c r="E69" s="595" t="n">
        <f aca="false">E68*$B$64</f>
        <v>1298.479356936</v>
      </c>
      <c r="F69" s="595" t="n">
        <f aca="false">F68*$B$64</f>
        <v>973.859517702</v>
      </c>
      <c r="G69" s="595" t="n">
        <f aca="false">G68*$B$64</f>
        <v>649.239678468</v>
      </c>
      <c r="H69" s="595" t="n">
        <f aca="false">H68*$B$64</f>
        <v>324.619839234</v>
      </c>
      <c r="I69" s="595" t="n">
        <f aca="false">I68*$B$64</f>
        <v>0</v>
      </c>
      <c r="J69" s="595" t="n">
        <f aca="false">J68*$B$64</f>
        <v>0</v>
      </c>
      <c r="K69" s="595" t="n">
        <f aca="false">K68*$B$64</f>
        <v>0</v>
      </c>
      <c r="L69" s="595" t="n">
        <f aca="false">L68*$B$64</f>
        <v>0</v>
      </c>
      <c r="M69" s="595" t="n">
        <f aca="false">M68*$B$64</f>
        <v>0</v>
      </c>
      <c r="N69" s="595" t="n">
        <f aca="false">N68*$B$64</f>
        <v>0</v>
      </c>
      <c r="O69" s="595" t="n">
        <f aca="false">O68*$B$64</f>
        <v>0</v>
      </c>
      <c r="P69" s="595" t="n">
        <f aca="false">P68*$B$64</f>
        <v>0</v>
      </c>
      <c r="Q69" s="595" t="n">
        <f aca="false">Q68*$B$64</f>
        <v>0</v>
      </c>
      <c r="R69" s="595" t="n">
        <f aca="false">R68*$B$64</f>
        <v>0</v>
      </c>
      <c r="S69" s="595" t="n">
        <f aca="false">S68*$B$64</f>
        <v>0</v>
      </c>
      <c r="T69" s="595" t="n">
        <f aca="false">T68*$B$64</f>
        <v>0</v>
      </c>
      <c r="U69" s="595" t="n">
        <f aca="false">U68*$B$64</f>
        <v>0</v>
      </c>
      <c r="V69" s="595" t="n">
        <f aca="false">V68*$B$64</f>
        <v>0</v>
      </c>
      <c r="W69" s="595" t="n">
        <f aca="false">W68*$B$64</f>
        <v>0</v>
      </c>
      <c r="X69" s="595" t="n">
        <f aca="false">X68*$B$64</f>
        <v>0</v>
      </c>
      <c r="Y69" s="595" t="n">
        <f aca="false">Y68*$B$64</f>
        <v>0</v>
      </c>
      <c r="Z69" s="595" t="n">
        <f aca="false">Z68*$B$64</f>
        <v>0</v>
      </c>
      <c r="AA69" s="595" t="n">
        <f aca="false">AA68*$B$64</f>
        <v>0</v>
      </c>
      <c r="AB69" s="595" t="n">
        <f aca="false">AB68*$B$64</f>
        <v>0</v>
      </c>
      <c r="AC69" s="595" t="n">
        <f aca="false">AC68*$B$64</f>
        <v>0</v>
      </c>
      <c r="AD69" s="0"/>
      <c r="AE69" s="0"/>
      <c r="AF69" s="0"/>
    </row>
    <row r="70" customFormat="false" ht="12.6" hidden="false" customHeight="true" outlineLevel="0" collapsed="false">
      <c r="A70" s="528" t="s">
        <v>460</v>
      </c>
      <c r="B70" s="595"/>
      <c r="C70" s="595"/>
      <c r="E70" s="598" t="n">
        <f aca="false">$C$68*E74</f>
        <v>4823.47458</v>
      </c>
      <c r="F70" s="598" t="n">
        <f aca="false">$C$68*F74</f>
        <v>4823.47458</v>
      </c>
      <c r="G70" s="598" t="n">
        <f aca="false">$C$68*G74</f>
        <v>4823.47458</v>
      </c>
      <c r="H70" s="598" t="n">
        <f aca="false">$C$68*H74</f>
        <v>4823.47458</v>
      </c>
      <c r="I70" s="598" t="n">
        <f aca="false">$C$68*I74</f>
        <v>0</v>
      </c>
      <c r="J70" s="598" t="n">
        <f aca="false">$C$68*J74</f>
        <v>0</v>
      </c>
      <c r="K70" s="598" t="n">
        <f aca="false">$C$68*K74</f>
        <v>0</v>
      </c>
      <c r="L70" s="598" t="n">
        <f aca="false">$C$68*L74</f>
        <v>0</v>
      </c>
      <c r="M70" s="598" t="n">
        <f aca="false">$C$68*M74</f>
        <v>0</v>
      </c>
      <c r="N70" s="598" t="n">
        <f aca="false">$C$68*N74</f>
        <v>0</v>
      </c>
      <c r="O70" s="598" t="n">
        <f aca="false">$C$68*O74</f>
        <v>0</v>
      </c>
      <c r="P70" s="598" t="n">
        <f aca="false">$C$68*P74</f>
        <v>0</v>
      </c>
      <c r="Q70" s="598" t="n">
        <f aca="false">$C$68*Q74</f>
        <v>0</v>
      </c>
      <c r="R70" s="598" t="n">
        <f aca="false">$C$68*R74</f>
        <v>0</v>
      </c>
      <c r="S70" s="598" t="n">
        <f aca="false">$C$68*S74</f>
        <v>0</v>
      </c>
      <c r="T70" s="598" t="n">
        <f aca="false">$C$68*T74</f>
        <v>0</v>
      </c>
      <c r="U70" s="598" t="n">
        <f aca="false">$C$68*U74</f>
        <v>0</v>
      </c>
      <c r="V70" s="598" t="n">
        <f aca="false">$C$68*V74</f>
        <v>0</v>
      </c>
      <c r="W70" s="598" t="n">
        <f aca="false">$C$68*W74</f>
        <v>0</v>
      </c>
      <c r="X70" s="598" t="n">
        <f aca="false">$C$68*X74</f>
        <v>0</v>
      </c>
      <c r="Y70" s="598" t="n">
        <f aca="false">$C$68*Y74</f>
        <v>0</v>
      </c>
      <c r="Z70" s="598" t="n">
        <f aca="false">$C$68*Z74</f>
        <v>0</v>
      </c>
      <c r="AA70" s="598" t="n">
        <f aca="false">$C$68*AA74</f>
        <v>0</v>
      </c>
      <c r="AB70" s="598" t="n">
        <f aca="false">$C$68*AB74</f>
        <v>0</v>
      </c>
      <c r="AC70" s="598" t="n">
        <f aca="false">$C$68*AC74</f>
        <v>0</v>
      </c>
      <c r="AD70" s="0"/>
      <c r="AE70" s="0"/>
      <c r="AF70" s="0"/>
    </row>
    <row r="71" customFormat="false" ht="12.6" hidden="false" customHeight="true" outlineLevel="0" collapsed="false">
      <c r="A71" s="528" t="s">
        <v>461</v>
      </c>
      <c r="B71" s="595"/>
      <c r="C71" s="599"/>
      <c r="E71" s="599" t="n">
        <f aca="false">E70+E69</f>
        <v>6121.953936936</v>
      </c>
      <c r="F71" s="599" t="n">
        <f aca="false">F70+F69</f>
        <v>5797.334097702</v>
      </c>
      <c r="G71" s="599" t="n">
        <f aca="false">G70+G69</f>
        <v>5472.714258468</v>
      </c>
      <c r="H71" s="599" t="n">
        <f aca="false">H70+H69</f>
        <v>5148.094419234</v>
      </c>
      <c r="I71" s="599" t="n">
        <f aca="false">I70+I69</f>
        <v>0</v>
      </c>
      <c r="J71" s="599" t="n">
        <f aca="false">J70+J69</f>
        <v>0</v>
      </c>
      <c r="K71" s="599" t="n">
        <f aca="false">K70+K69</f>
        <v>0</v>
      </c>
      <c r="L71" s="599" t="n">
        <f aca="false">L70+L69</f>
        <v>0</v>
      </c>
      <c r="M71" s="599" t="n">
        <f aca="false">M70+M69</f>
        <v>0</v>
      </c>
      <c r="N71" s="599" t="n">
        <f aca="false">N70+N69</f>
        <v>0</v>
      </c>
      <c r="O71" s="599" t="n">
        <f aca="false">O70+O69</f>
        <v>0</v>
      </c>
      <c r="P71" s="599" t="n">
        <f aca="false">P70+P69</f>
        <v>0</v>
      </c>
      <c r="Q71" s="599" t="n">
        <f aca="false">Q70+Q69</f>
        <v>0</v>
      </c>
      <c r="R71" s="599" t="n">
        <f aca="false">R70+R69</f>
        <v>0</v>
      </c>
      <c r="S71" s="599" t="n">
        <f aca="false">S70+S69</f>
        <v>0</v>
      </c>
      <c r="T71" s="599" t="n">
        <f aca="false">T70+T69</f>
        <v>0</v>
      </c>
      <c r="U71" s="599" t="n">
        <f aca="false">U70+U69</f>
        <v>0</v>
      </c>
      <c r="V71" s="599" t="n">
        <f aca="false">V70+V69</f>
        <v>0</v>
      </c>
      <c r="W71" s="599" t="n">
        <f aca="false">W70+W69</f>
        <v>0</v>
      </c>
      <c r="X71" s="599" t="n">
        <f aca="false">X70+X69</f>
        <v>0</v>
      </c>
      <c r="Y71" s="599" t="n">
        <f aca="false">Y70+Y69</f>
        <v>0</v>
      </c>
      <c r="Z71" s="599" t="n">
        <f aca="false">Z70+Z69</f>
        <v>0</v>
      </c>
      <c r="AA71" s="599" t="n">
        <f aca="false">AA70+AA69</f>
        <v>0</v>
      </c>
      <c r="AB71" s="599" t="n">
        <f aca="false">AB70+AB69</f>
        <v>0</v>
      </c>
      <c r="AC71" s="599" t="n">
        <f aca="false">AC70+AC69</f>
        <v>0</v>
      </c>
      <c r="AD71" s="0"/>
      <c r="AE71" s="0"/>
      <c r="AF71" s="0"/>
    </row>
    <row r="72" customFormat="false" ht="12.6" hidden="false" customHeight="true" outlineLevel="0" collapsed="false">
      <c r="A72" s="528" t="s">
        <v>462</v>
      </c>
      <c r="B72" s="595"/>
      <c r="C72" s="595"/>
      <c r="E72" s="595" t="n">
        <f aca="false">E68-E70</f>
        <v>14470.42374</v>
      </c>
      <c r="F72" s="595" t="n">
        <f aca="false">F68-F70</f>
        <v>9646.94916</v>
      </c>
      <c r="G72" s="595" t="n">
        <f aca="false">G68-G70</f>
        <v>4823.47458</v>
      </c>
      <c r="H72" s="595" t="n">
        <f aca="false">H68-H70</f>
        <v>0</v>
      </c>
      <c r="I72" s="595" t="n">
        <f aca="false">I68-I70</f>
        <v>0</v>
      </c>
      <c r="J72" s="595" t="n">
        <f aca="false">J68-J70</f>
        <v>0</v>
      </c>
      <c r="K72" s="595" t="n">
        <f aca="false">K68-K70</f>
        <v>0</v>
      </c>
      <c r="L72" s="595" t="n">
        <f aca="false">L68-L70</f>
        <v>0</v>
      </c>
      <c r="M72" s="595" t="n">
        <f aca="false">M68-M70</f>
        <v>0</v>
      </c>
      <c r="N72" s="595" t="n">
        <f aca="false">N68-N70</f>
        <v>0</v>
      </c>
      <c r="O72" s="595" t="n">
        <f aca="false">O68-O70</f>
        <v>0</v>
      </c>
      <c r="P72" s="595" t="n">
        <f aca="false">P68-P70</f>
        <v>0</v>
      </c>
      <c r="Q72" s="595" t="n">
        <f aca="false">Q68-Q70</f>
        <v>0</v>
      </c>
      <c r="R72" s="595" t="n">
        <f aca="false">R68-R70</f>
        <v>0</v>
      </c>
      <c r="S72" s="595" t="n">
        <f aca="false">S68-S70</f>
        <v>0</v>
      </c>
      <c r="T72" s="595" t="n">
        <f aca="false">T68-T70</f>
        <v>0</v>
      </c>
      <c r="U72" s="595" t="n">
        <f aca="false">U68-U70</f>
        <v>0</v>
      </c>
      <c r="V72" s="595" t="n">
        <f aca="false">V68-V70</f>
        <v>0</v>
      </c>
      <c r="W72" s="595" t="n">
        <f aca="false">W68-W70</f>
        <v>0</v>
      </c>
      <c r="X72" s="595" t="n">
        <f aca="false">X68-X70</f>
        <v>0</v>
      </c>
      <c r="Y72" s="595" t="n">
        <f aca="false">Y68-Y70</f>
        <v>0</v>
      </c>
      <c r="Z72" s="595" t="n">
        <f aca="false">Z68-Z70</f>
        <v>0</v>
      </c>
      <c r="AA72" s="595" t="n">
        <f aca="false">AA68-AA70</f>
        <v>0</v>
      </c>
      <c r="AB72" s="595" t="n">
        <f aca="false">AB68-AB70</f>
        <v>0</v>
      </c>
      <c r="AC72" s="595" t="n">
        <f aca="false">AC68-AC70</f>
        <v>0</v>
      </c>
      <c r="AD72" s="0"/>
      <c r="AE72" s="0"/>
      <c r="AF72" s="0"/>
    </row>
    <row r="73" customFormat="false" ht="12.6" hidden="false" customHeight="true" outlineLevel="0" collapsed="false">
      <c r="A73" s="528" t="s">
        <v>463</v>
      </c>
      <c r="B73" s="595"/>
      <c r="C73" s="600" t="n">
        <f aca="false">SUMPRODUCT(E70:AC70,E65:AC65)/SUM(E70:AC70)</f>
        <v>2.5</v>
      </c>
      <c r="D73" s="481"/>
      <c r="E73" s="597"/>
      <c r="F73" s="595"/>
      <c r="G73" s="595"/>
      <c r="H73" s="595"/>
      <c r="I73" s="595"/>
      <c r="J73" s="595"/>
      <c r="K73" s="595"/>
      <c r="L73" s="595"/>
      <c r="M73" s="595"/>
      <c r="N73" s="595"/>
      <c r="O73" s="595"/>
      <c r="P73" s="595"/>
      <c r="Q73" s="595"/>
      <c r="R73" s="595"/>
      <c r="S73" s="595"/>
      <c r="T73" s="595"/>
      <c r="U73" s="595"/>
      <c r="V73" s="595"/>
      <c r="W73" s="595"/>
      <c r="X73" s="595"/>
      <c r="Y73" s="595"/>
      <c r="Z73" s="595"/>
      <c r="AA73" s="595"/>
      <c r="AB73" s="595"/>
      <c r="AC73" s="595"/>
      <c r="AD73" s="0"/>
      <c r="AE73" s="0"/>
      <c r="AF73" s="0"/>
    </row>
    <row r="74" customFormat="false" ht="12.6" hidden="false" customHeight="true" outlineLevel="0" collapsed="false">
      <c r="B74" s="527"/>
      <c r="C74" s="601" t="s">
        <v>464</v>
      </c>
      <c r="D74" s="602" t="n">
        <f aca="false">SUM(E74:AC74)</f>
        <v>1</v>
      </c>
      <c r="E74" s="556" t="n">
        <v>0.25</v>
      </c>
      <c r="F74" s="556" t="n">
        <v>0.25</v>
      </c>
      <c r="G74" s="556" t="n">
        <v>0.25</v>
      </c>
      <c r="H74" s="556" t="n">
        <v>0.25</v>
      </c>
      <c r="I74" s="556" t="n">
        <v>0</v>
      </c>
      <c r="J74" s="556" t="n">
        <v>0</v>
      </c>
      <c r="K74" s="556" t="n">
        <v>0</v>
      </c>
      <c r="L74" s="556" t="n">
        <v>0</v>
      </c>
      <c r="M74" s="556" t="n">
        <v>0</v>
      </c>
      <c r="N74" s="556" t="n">
        <v>0</v>
      </c>
      <c r="O74" s="556" t="n">
        <v>0</v>
      </c>
      <c r="P74" s="556" t="n">
        <v>0</v>
      </c>
      <c r="Q74" s="556" t="n">
        <v>0</v>
      </c>
      <c r="R74" s="556" t="n">
        <v>0</v>
      </c>
      <c r="S74" s="556" t="n">
        <v>0</v>
      </c>
      <c r="T74" s="556" t="n">
        <v>0</v>
      </c>
      <c r="U74" s="556" t="n">
        <v>0</v>
      </c>
      <c r="V74" s="556" t="n">
        <v>0</v>
      </c>
      <c r="W74" s="556" t="n">
        <v>0</v>
      </c>
      <c r="X74" s="556" t="n">
        <v>0</v>
      </c>
      <c r="Y74" s="556" t="n">
        <v>0</v>
      </c>
      <c r="Z74" s="556" t="n">
        <v>0</v>
      </c>
      <c r="AA74" s="556" t="n">
        <v>0</v>
      </c>
      <c r="AB74" s="556" t="n">
        <v>0</v>
      </c>
      <c r="AC74" s="556" t="n">
        <v>0</v>
      </c>
      <c r="AD74" s="0"/>
      <c r="AE74" s="0"/>
      <c r="AF74" s="0"/>
    </row>
    <row r="75" customFormat="false" ht="12.6" hidden="false" customHeight="true" outlineLevel="0" collapsed="false">
      <c r="AD75" s="0"/>
      <c r="AE75" s="0"/>
      <c r="AF75" s="0"/>
    </row>
    <row r="76" customFormat="false" ht="12.6" hidden="false" customHeight="true" outlineLevel="0" collapsed="false">
      <c r="A76" s="20" t="s">
        <v>465</v>
      </c>
      <c r="AD76" s="0"/>
      <c r="AE76" s="0"/>
      <c r="AF76" s="0"/>
    </row>
    <row r="77" customFormat="false" ht="12.6" hidden="false" customHeight="true" outlineLevel="0" collapsed="false">
      <c r="A77" s="373" t="s">
        <v>456</v>
      </c>
      <c r="B77" s="589" t="n">
        <f aca="false">Principal2</f>
        <v>36176.05935</v>
      </c>
      <c r="AD77" s="0"/>
      <c r="AE77" s="0"/>
      <c r="AF77" s="0"/>
    </row>
    <row r="78" customFormat="false" ht="12.75" hidden="false" customHeight="false" outlineLevel="0" collapsed="false">
      <c r="A78" s="393" t="s">
        <v>243</v>
      </c>
      <c r="B78" s="590" t="n">
        <f aca="false">Int2</f>
        <v>0.0757</v>
      </c>
      <c r="AD78" s="0"/>
      <c r="AE78" s="0"/>
      <c r="AF78" s="0"/>
    </row>
    <row r="79" customFormat="false" ht="12.75" hidden="false" customHeight="false" outlineLevel="0" collapsed="false">
      <c r="A79" s="393" t="s">
        <v>240</v>
      </c>
      <c r="B79" s="441" t="n">
        <f aca="false">Term2</f>
        <v>10</v>
      </c>
      <c r="E79" s="372" t="n">
        <f aca="false">E4</f>
        <v>1</v>
      </c>
      <c r="F79" s="372" t="n">
        <f aca="false">F4</f>
        <v>2</v>
      </c>
      <c r="G79" s="372" t="n">
        <f aca="false">G4</f>
        <v>3</v>
      </c>
      <c r="H79" s="372" t="n">
        <f aca="false">H4</f>
        <v>4</v>
      </c>
      <c r="I79" s="372" t="n">
        <f aca="false">I4</f>
        <v>5</v>
      </c>
      <c r="J79" s="372" t="n">
        <f aca="false">J4</f>
        <v>6</v>
      </c>
      <c r="K79" s="372" t="n">
        <f aca="false">K4</f>
        <v>7</v>
      </c>
      <c r="L79" s="372" t="n">
        <f aca="false">L4</f>
        <v>8</v>
      </c>
      <c r="M79" s="372" t="n">
        <f aca="false">M4</f>
        <v>9</v>
      </c>
      <c r="N79" s="372" t="n">
        <f aca="false">N4</f>
        <v>10</v>
      </c>
      <c r="O79" s="372" t="n">
        <f aca="false">O4</f>
        <v>11</v>
      </c>
      <c r="P79" s="372" t="n">
        <f aca="false">P4</f>
        <v>12</v>
      </c>
      <c r="Q79" s="372" t="n">
        <f aca="false">Q4</f>
        <v>13</v>
      </c>
      <c r="R79" s="372" t="n">
        <f aca="false">R4</f>
        <v>14</v>
      </c>
      <c r="S79" s="372" t="n">
        <f aca="false">S4</f>
        <v>15</v>
      </c>
      <c r="T79" s="372" t="n">
        <f aca="false">T4</f>
        <v>16</v>
      </c>
      <c r="U79" s="372" t="n">
        <f aca="false">U4</f>
        <v>17</v>
      </c>
      <c r="V79" s="372" t="n">
        <f aca="false">V4</f>
        <v>18</v>
      </c>
      <c r="W79" s="372" t="n">
        <f aca="false">W4</f>
        <v>19</v>
      </c>
      <c r="X79" s="372" t="n">
        <f aca="false">X4</f>
        <v>20</v>
      </c>
      <c r="Y79" s="372" t="n">
        <f aca="false">Y4</f>
        <v>21</v>
      </c>
      <c r="Z79" s="372" t="n">
        <f aca="false">Z4</f>
        <v>22</v>
      </c>
      <c r="AA79" s="372" t="n">
        <f aca="false">AA4</f>
        <v>23</v>
      </c>
      <c r="AB79" s="372" t="n">
        <f aca="false">AB4</f>
        <v>24</v>
      </c>
      <c r="AC79" s="372" t="n">
        <f aca="false">AC4</f>
        <v>25</v>
      </c>
      <c r="AD79" s="0"/>
      <c r="AE79" s="0"/>
      <c r="AF79" s="0"/>
    </row>
    <row r="80" customFormat="false" ht="12.75" hidden="false" customHeight="false" outlineLevel="0" collapsed="false">
      <c r="A80" s="265"/>
      <c r="B80" s="265"/>
      <c r="C80" s="20" t="s">
        <v>457</v>
      </c>
      <c r="E80" s="591" t="n">
        <f aca="false">E5</f>
        <v>2000</v>
      </c>
      <c r="F80" s="591" t="n">
        <f aca="false">F5</f>
        <v>2001</v>
      </c>
      <c r="G80" s="591" t="n">
        <f aca="false">G5</f>
        <v>2002</v>
      </c>
      <c r="H80" s="591" t="n">
        <f aca="false">H5</f>
        <v>2003</v>
      </c>
      <c r="I80" s="591" t="n">
        <f aca="false">I5</f>
        <v>2004</v>
      </c>
      <c r="J80" s="591" t="n">
        <f aca="false">J5</f>
        <v>2005</v>
      </c>
      <c r="K80" s="591" t="n">
        <f aca="false">K5</f>
        <v>2006</v>
      </c>
      <c r="L80" s="591" t="n">
        <f aca="false">L5</f>
        <v>2007</v>
      </c>
      <c r="M80" s="591" t="n">
        <f aca="false">M5</f>
        <v>2008</v>
      </c>
      <c r="N80" s="591" t="n">
        <f aca="false">N5</f>
        <v>2009</v>
      </c>
      <c r="O80" s="591" t="n">
        <f aca="false">O5</f>
        <v>2010</v>
      </c>
      <c r="P80" s="591" t="n">
        <f aca="false">P5</f>
        <v>2011</v>
      </c>
      <c r="Q80" s="591" t="n">
        <f aca="false">Q5</f>
        <v>2012</v>
      </c>
      <c r="R80" s="591" t="n">
        <f aca="false">R5</f>
        <v>2013</v>
      </c>
      <c r="S80" s="591" t="n">
        <f aca="false">S5</f>
        <v>2014</v>
      </c>
      <c r="T80" s="591" t="n">
        <f aca="false">T5</f>
        <v>2015</v>
      </c>
      <c r="U80" s="591" t="n">
        <f aca="false">U5</f>
        <v>2016</v>
      </c>
      <c r="V80" s="591" t="n">
        <f aca="false">V5</f>
        <v>2017</v>
      </c>
      <c r="W80" s="591" t="n">
        <f aca="false">W5</f>
        <v>2018</v>
      </c>
      <c r="X80" s="591" t="n">
        <f aca="false">X5</f>
        <v>2019</v>
      </c>
      <c r="Y80" s="591" t="n">
        <f aca="false">Y5</f>
        <v>2020</v>
      </c>
      <c r="Z80" s="591" t="n">
        <f aca="false">Z5</f>
        <v>2021</v>
      </c>
      <c r="AA80" s="591" t="n">
        <f aca="false">AA5</f>
        <v>2022</v>
      </c>
      <c r="AB80" s="591" t="n">
        <f aca="false">AB5</f>
        <v>2023</v>
      </c>
      <c r="AC80" s="591" t="n">
        <f aca="false">AC5</f>
        <v>2024</v>
      </c>
      <c r="AD80" s="0"/>
      <c r="AE80" s="0"/>
      <c r="AF80" s="0"/>
    </row>
    <row r="81" customFormat="false" ht="12.75" hidden="false" customHeight="false" outlineLevel="0" collapsed="false">
      <c r="A81" s="592"/>
      <c r="B81" s="593"/>
      <c r="C81" s="593"/>
      <c r="D81" s="593"/>
      <c r="E81" s="594"/>
      <c r="F81" s="594"/>
      <c r="G81" s="594"/>
      <c r="H81" s="594"/>
      <c r="I81" s="594"/>
      <c r="J81" s="594"/>
      <c r="K81" s="594"/>
      <c r="L81" s="594"/>
      <c r="M81" s="594"/>
      <c r="N81" s="594"/>
      <c r="O81" s="594"/>
      <c r="P81" s="594"/>
      <c r="Q81" s="594"/>
      <c r="R81" s="594"/>
      <c r="S81" s="594"/>
      <c r="AD81" s="0"/>
      <c r="AE81" s="0"/>
      <c r="AF81" s="0"/>
    </row>
    <row r="82" customFormat="false" ht="12.75" hidden="false" customHeight="false" outlineLevel="0" collapsed="false">
      <c r="A82" s="528" t="s">
        <v>458</v>
      </c>
      <c r="B82" s="595"/>
      <c r="C82" s="596" t="n">
        <f aca="false">B77</f>
        <v>36176.05935</v>
      </c>
      <c r="E82" s="595" t="n">
        <f aca="false">C82</f>
        <v>36176.05935</v>
      </c>
      <c r="F82" s="595" t="n">
        <f aca="false">E86</f>
        <v>36176.05935</v>
      </c>
      <c r="G82" s="595" t="n">
        <f aca="false">F86</f>
        <v>36176.05935</v>
      </c>
      <c r="H82" s="595" t="n">
        <f aca="false">G86</f>
        <v>34367.2563825</v>
      </c>
      <c r="I82" s="595" t="n">
        <f aca="false">H86</f>
        <v>30749.6504475</v>
      </c>
      <c r="J82" s="595" t="n">
        <f aca="false">I86</f>
        <v>27132.0445125</v>
      </c>
      <c r="K82" s="595" t="n">
        <f aca="false">J86</f>
        <v>23514.4385775</v>
      </c>
      <c r="L82" s="595" t="n">
        <f aca="false">K86</f>
        <v>19896.8326425</v>
      </c>
      <c r="M82" s="595" t="n">
        <f aca="false">L86</f>
        <v>16279.2267075</v>
      </c>
      <c r="N82" s="595" t="n">
        <f aca="false">M86</f>
        <v>9044.0148375</v>
      </c>
      <c r="O82" s="595" t="n">
        <f aca="false">N86</f>
        <v>0</v>
      </c>
      <c r="P82" s="595" t="n">
        <f aca="false">O86</f>
        <v>0</v>
      </c>
      <c r="Q82" s="595" t="n">
        <f aca="false">P86</f>
        <v>0</v>
      </c>
      <c r="R82" s="595" t="n">
        <f aca="false">Q86</f>
        <v>0</v>
      </c>
      <c r="S82" s="595" t="n">
        <f aca="false">R86</f>
        <v>0</v>
      </c>
      <c r="T82" s="595" t="n">
        <f aca="false">S86</f>
        <v>0</v>
      </c>
      <c r="U82" s="595" t="n">
        <f aca="false">T86</f>
        <v>0</v>
      </c>
      <c r="V82" s="595" t="n">
        <f aca="false">U86</f>
        <v>0</v>
      </c>
      <c r="W82" s="595" t="n">
        <f aca="false">V86</f>
        <v>0</v>
      </c>
      <c r="X82" s="595" t="n">
        <f aca="false">W86</f>
        <v>0</v>
      </c>
      <c r="Y82" s="595" t="n">
        <f aca="false">X86</f>
        <v>0</v>
      </c>
      <c r="Z82" s="595" t="n">
        <f aca="false">Y86</f>
        <v>0</v>
      </c>
      <c r="AA82" s="595" t="n">
        <f aca="false">Z86</f>
        <v>0</v>
      </c>
      <c r="AB82" s="595" t="n">
        <f aca="false">AA86</f>
        <v>0</v>
      </c>
      <c r="AC82" s="595" t="n">
        <f aca="false">AB86</f>
        <v>0</v>
      </c>
      <c r="AD82" s="0"/>
      <c r="AE82" s="0"/>
      <c r="AF82" s="0"/>
    </row>
    <row r="83" customFormat="false" ht="12.75" hidden="false" customHeight="false" outlineLevel="0" collapsed="false">
      <c r="A83" s="528" t="s">
        <v>459</v>
      </c>
      <c r="B83" s="597"/>
      <c r="C83" s="595"/>
      <c r="E83" s="595" t="n">
        <f aca="false">E82*$B$78</f>
        <v>2738.527692795</v>
      </c>
      <c r="F83" s="595" t="n">
        <f aca="false">F82*$B$78</f>
        <v>2738.527692795</v>
      </c>
      <c r="G83" s="595" t="n">
        <f aca="false">G82*$B$78</f>
        <v>2738.527692795</v>
      </c>
      <c r="H83" s="595" t="n">
        <f aca="false">H82*$B$78</f>
        <v>2601.60130815525</v>
      </c>
      <c r="I83" s="595" t="n">
        <f aca="false">I82*$B$78</f>
        <v>2327.74853887575</v>
      </c>
      <c r="J83" s="595" t="n">
        <f aca="false">J82*$B$78</f>
        <v>2053.89576959625</v>
      </c>
      <c r="K83" s="595" t="n">
        <f aca="false">K82*$B$78</f>
        <v>1780.04300031675</v>
      </c>
      <c r="L83" s="595" t="n">
        <f aca="false">L82*$B$78</f>
        <v>1506.19023103725</v>
      </c>
      <c r="M83" s="595" t="n">
        <f aca="false">M82*$B$78</f>
        <v>1232.33746175775</v>
      </c>
      <c r="N83" s="595" t="n">
        <f aca="false">N82*$B$78</f>
        <v>684.63192319875</v>
      </c>
      <c r="O83" s="595" t="n">
        <f aca="false">O82*$B$78</f>
        <v>0</v>
      </c>
      <c r="P83" s="595" t="n">
        <f aca="false">P82*$B$78</f>
        <v>0</v>
      </c>
      <c r="Q83" s="595" t="n">
        <f aca="false">Q82*$B$78</f>
        <v>0</v>
      </c>
      <c r="R83" s="595" t="n">
        <f aca="false">R82*$B$78</f>
        <v>0</v>
      </c>
      <c r="S83" s="595" t="n">
        <f aca="false">S82*$B$78</f>
        <v>0</v>
      </c>
      <c r="T83" s="595" t="n">
        <f aca="false">T82*$B$78</f>
        <v>0</v>
      </c>
      <c r="U83" s="595" t="n">
        <f aca="false">U82*$B$78</f>
        <v>0</v>
      </c>
      <c r="V83" s="595" t="n">
        <f aca="false">V82*$B$78</f>
        <v>0</v>
      </c>
      <c r="W83" s="595" t="n">
        <f aca="false">W82*$B$78</f>
        <v>0</v>
      </c>
      <c r="X83" s="595" t="n">
        <f aca="false">X82*$B$78</f>
        <v>0</v>
      </c>
      <c r="Y83" s="595" t="n">
        <f aca="false">Y82*$B$78</f>
        <v>0</v>
      </c>
      <c r="Z83" s="595" t="n">
        <f aca="false">Z82*$B$78</f>
        <v>0</v>
      </c>
      <c r="AA83" s="595" t="n">
        <f aca="false">AA82*$B$78</f>
        <v>0</v>
      </c>
      <c r="AB83" s="595" t="n">
        <f aca="false">AB82*$B$78</f>
        <v>0</v>
      </c>
      <c r="AC83" s="595" t="n">
        <f aca="false">AC82*$B$78</f>
        <v>0</v>
      </c>
      <c r="AD83" s="0"/>
      <c r="AE83" s="0"/>
      <c r="AF83" s="0"/>
    </row>
    <row r="84" customFormat="false" ht="12.6" hidden="false" customHeight="true" outlineLevel="0" collapsed="false">
      <c r="A84" s="528" t="s">
        <v>460</v>
      </c>
      <c r="B84" s="595"/>
      <c r="C84" s="595"/>
      <c r="E84" s="598" t="n">
        <f aca="false">$C$82*E88</f>
        <v>0</v>
      </c>
      <c r="F84" s="598" t="n">
        <f aca="false">$C$82*F88</f>
        <v>0</v>
      </c>
      <c r="G84" s="598" t="n">
        <f aca="false">$C$82*G88</f>
        <v>1808.8029675</v>
      </c>
      <c r="H84" s="598" t="n">
        <f aca="false">$C$82*H88</f>
        <v>3617.605935</v>
      </c>
      <c r="I84" s="598" t="n">
        <f aca="false">$C$82*I88</f>
        <v>3617.605935</v>
      </c>
      <c r="J84" s="598" t="n">
        <f aca="false">$C$82*J88</f>
        <v>3617.605935</v>
      </c>
      <c r="K84" s="598" t="n">
        <f aca="false">$C$82*K88</f>
        <v>3617.605935</v>
      </c>
      <c r="L84" s="598" t="n">
        <f aca="false">$C$82*L88</f>
        <v>3617.605935</v>
      </c>
      <c r="M84" s="598" t="n">
        <f aca="false">$C$82*M88</f>
        <v>7235.21187</v>
      </c>
      <c r="N84" s="598" t="n">
        <f aca="false">$C$82*N88</f>
        <v>9044.0148375</v>
      </c>
      <c r="O84" s="598" t="n">
        <f aca="false">$C$82*O88</f>
        <v>0</v>
      </c>
      <c r="P84" s="598" t="n">
        <f aca="false">$C$82*P88</f>
        <v>0</v>
      </c>
      <c r="Q84" s="598" t="n">
        <f aca="false">$C$82*Q88</f>
        <v>0</v>
      </c>
      <c r="R84" s="598" t="n">
        <f aca="false">$C$82*R88</f>
        <v>0</v>
      </c>
      <c r="S84" s="598" t="n">
        <f aca="false">$C$82*S88</f>
        <v>0</v>
      </c>
      <c r="T84" s="598" t="n">
        <f aca="false">$C$82*T88</f>
        <v>0</v>
      </c>
      <c r="U84" s="598" t="n">
        <f aca="false">$C$82*U88</f>
        <v>0</v>
      </c>
      <c r="V84" s="598" t="n">
        <f aca="false">$C$82*V88</f>
        <v>0</v>
      </c>
      <c r="W84" s="598" t="n">
        <f aca="false">$C$82*W88</f>
        <v>0</v>
      </c>
      <c r="X84" s="598" t="n">
        <f aca="false">$C$82*X88</f>
        <v>0</v>
      </c>
      <c r="Y84" s="598" t="n">
        <f aca="false">$C$82*Y88</f>
        <v>0</v>
      </c>
      <c r="Z84" s="598" t="n">
        <f aca="false">$C$82*Z88</f>
        <v>0</v>
      </c>
      <c r="AA84" s="598" t="n">
        <f aca="false">$C$82*AA88</f>
        <v>0</v>
      </c>
      <c r="AB84" s="598" t="n">
        <f aca="false">$C$82*AB88</f>
        <v>0</v>
      </c>
      <c r="AC84" s="598" t="n">
        <f aca="false">$C$82*AC88</f>
        <v>0</v>
      </c>
      <c r="AD84" s="0"/>
      <c r="AE84" s="0"/>
      <c r="AF84" s="0"/>
    </row>
    <row r="85" customFormat="false" ht="12.6" hidden="false" customHeight="true" outlineLevel="0" collapsed="false">
      <c r="A85" s="528" t="s">
        <v>461</v>
      </c>
      <c r="B85" s="595"/>
      <c r="C85" s="599"/>
      <c r="E85" s="599" t="n">
        <f aca="false">E84+E83</f>
        <v>2738.527692795</v>
      </c>
      <c r="F85" s="599" t="n">
        <f aca="false">F84+F83</f>
        <v>2738.527692795</v>
      </c>
      <c r="G85" s="599" t="n">
        <f aca="false">G84+G83</f>
        <v>4547.330660295</v>
      </c>
      <c r="H85" s="599" t="n">
        <f aca="false">H84+H83</f>
        <v>6219.20724315525</v>
      </c>
      <c r="I85" s="599" t="n">
        <f aca="false">I84+I83</f>
        <v>5945.35447387575</v>
      </c>
      <c r="J85" s="599" t="n">
        <f aca="false">J84+J83</f>
        <v>5671.50170459625</v>
      </c>
      <c r="K85" s="599" t="n">
        <f aca="false">K84+K83</f>
        <v>5397.64893531675</v>
      </c>
      <c r="L85" s="599" t="n">
        <f aca="false">L84+L83</f>
        <v>5123.79616603725</v>
      </c>
      <c r="M85" s="599" t="n">
        <f aca="false">M84+M83</f>
        <v>8467.54933175775</v>
      </c>
      <c r="N85" s="599" t="n">
        <f aca="false">N84+N83</f>
        <v>9728.64676069875</v>
      </c>
      <c r="O85" s="599" t="n">
        <f aca="false">O84+O83</f>
        <v>0</v>
      </c>
      <c r="P85" s="599" t="n">
        <f aca="false">P84+P83</f>
        <v>0</v>
      </c>
      <c r="Q85" s="599" t="n">
        <f aca="false">Q84+Q83</f>
        <v>0</v>
      </c>
      <c r="R85" s="599" t="n">
        <f aca="false">R84+R83</f>
        <v>0</v>
      </c>
      <c r="S85" s="599" t="n">
        <f aca="false">S84+S83</f>
        <v>0</v>
      </c>
      <c r="T85" s="599" t="n">
        <f aca="false">T84+T83</f>
        <v>0</v>
      </c>
      <c r="U85" s="599" t="n">
        <f aca="false">U84+U83</f>
        <v>0</v>
      </c>
      <c r="V85" s="599" t="n">
        <f aca="false">V84+V83</f>
        <v>0</v>
      </c>
      <c r="W85" s="599" t="n">
        <f aca="false">W84+W83</f>
        <v>0</v>
      </c>
      <c r="X85" s="599" t="n">
        <f aca="false">X84+X83</f>
        <v>0</v>
      </c>
      <c r="Y85" s="599" t="n">
        <f aca="false">Y84+Y83</f>
        <v>0</v>
      </c>
      <c r="Z85" s="599" t="n">
        <f aca="false">Z84+Z83</f>
        <v>0</v>
      </c>
      <c r="AA85" s="599" t="n">
        <f aca="false">AA84+AA83</f>
        <v>0</v>
      </c>
      <c r="AB85" s="599" t="n">
        <f aca="false">AB84+AB83</f>
        <v>0</v>
      </c>
      <c r="AC85" s="599" t="n">
        <f aca="false">AC84+AC83</f>
        <v>0</v>
      </c>
      <c r="AD85" s="0"/>
      <c r="AE85" s="0"/>
      <c r="AF85" s="0"/>
    </row>
    <row r="86" customFormat="false" ht="12.6" hidden="false" customHeight="true" outlineLevel="0" collapsed="false">
      <c r="A86" s="528" t="s">
        <v>462</v>
      </c>
      <c r="B86" s="595"/>
      <c r="C86" s="595"/>
      <c r="E86" s="595" t="n">
        <f aca="false">E82-E84</f>
        <v>36176.05935</v>
      </c>
      <c r="F86" s="595" t="n">
        <f aca="false">F82-F84</f>
        <v>36176.05935</v>
      </c>
      <c r="G86" s="595" t="n">
        <f aca="false">G82-G84</f>
        <v>34367.2563825</v>
      </c>
      <c r="H86" s="595" t="n">
        <f aca="false">H82-H84</f>
        <v>30749.6504475</v>
      </c>
      <c r="I86" s="595" t="n">
        <f aca="false">I82-I84</f>
        <v>27132.0445125</v>
      </c>
      <c r="J86" s="595" t="n">
        <f aca="false">J82-J84</f>
        <v>23514.4385775</v>
      </c>
      <c r="K86" s="595" t="n">
        <f aca="false">K82-K84</f>
        <v>19896.8326425</v>
      </c>
      <c r="L86" s="595" t="n">
        <f aca="false">L82-L84</f>
        <v>16279.2267075</v>
      </c>
      <c r="M86" s="595" t="n">
        <f aca="false">M82-M84</f>
        <v>9044.0148375</v>
      </c>
      <c r="N86" s="595" t="n">
        <f aca="false">N82-N84</f>
        <v>0</v>
      </c>
      <c r="O86" s="595" t="n">
        <f aca="false">O82-O84</f>
        <v>0</v>
      </c>
      <c r="P86" s="595" t="n">
        <f aca="false">P82-P84</f>
        <v>0</v>
      </c>
      <c r="Q86" s="595" t="n">
        <f aca="false">Q82-Q84</f>
        <v>0</v>
      </c>
      <c r="R86" s="595" t="n">
        <f aca="false">R82-R84</f>
        <v>0</v>
      </c>
      <c r="S86" s="595" t="n">
        <f aca="false">S82-S84</f>
        <v>0</v>
      </c>
      <c r="T86" s="595" t="n">
        <f aca="false">T82-T84</f>
        <v>0</v>
      </c>
      <c r="U86" s="595" t="n">
        <f aca="false">U82-U84</f>
        <v>0</v>
      </c>
      <c r="V86" s="595" t="n">
        <f aca="false">V82-V84</f>
        <v>0</v>
      </c>
      <c r="W86" s="595" t="n">
        <f aca="false">W82-W84</f>
        <v>0</v>
      </c>
      <c r="X86" s="595" t="n">
        <f aca="false">X82-X84</f>
        <v>0</v>
      </c>
      <c r="Y86" s="595" t="n">
        <f aca="false">Y82-Y84</f>
        <v>0</v>
      </c>
      <c r="Z86" s="595" t="n">
        <f aca="false">Z82-Z84</f>
        <v>0</v>
      </c>
      <c r="AA86" s="595" t="n">
        <f aca="false">AA82-AA84</f>
        <v>0</v>
      </c>
      <c r="AB86" s="595" t="n">
        <f aca="false">AB82-AB84</f>
        <v>0</v>
      </c>
      <c r="AC86" s="595" t="n">
        <f aca="false">AC82-AC84</f>
        <v>0</v>
      </c>
      <c r="AD86" s="0"/>
      <c r="AE86" s="0"/>
      <c r="AF86" s="0"/>
    </row>
    <row r="87" customFormat="false" ht="12.6" hidden="false" customHeight="true" outlineLevel="0" collapsed="false">
      <c r="A87" s="528" t="s">
        <v>463</v>
      </c>
      <c r="B87" s="595"/>
      <c r="C87" s="603" t="n">
        <f aca="false">SUMPRODUCT(E84:AC84,E79:AC79)/SUM(E84:AC84)</f>
        <v>7.45</v>
      </c>
      <c r="E87" s="597"/>
      <c r="F87" s="595"/>
      <c r="G87" s="595"/>
      <c r="H87" s="595"/>
      <c r="I87" s="595"/>
      <c r="J87" s="595"/>
      <c r="K87" s="595"/>
      <c r="L87" s="595"/>
      <c r="M87" s="595"/>
      <c r="N87" s="595"/>
      <c r="O87" s="595"/>
      <c r="P87" s="595"/>
      <c r="Q87" s="595"/>
      <c r="R87" s="595"/>
      <c r="S87" s="595"/>
      <c r="T87" s="595"/>
      <c r="U87" s="595"/>
      <c r="V87" s="595"/>
      <c r="W87" s="595"/>
      <c r="X87" s="595"/>
      <c r="Y87" s="595"/>
      <c r="Z87" s="595"/>
      <c r="AA87" s="595"/>
      <c r="AB87" s="595"/>
      <c r="AC87" s="595"/>
      <c r="AD87" s="0"/>
      <c r="AE87" s="0"/>
      <c r="AF87" s="0"/>
    </row>
    <row r="88" customFormat="false" ht="12.6" hidden="false" customHeight="true" outlineLevel="0" collapsed="false">
      <c r="B88" s="527"/>
      <c r="C88" s="601" t="s">
        <v>464</v>
      </c>
      <c r="D88" s="602" t="n">
        <f aca="false">SUM(E88:AC88)</f>
        <v>1</v>
      </c>
      <c r="E88" s="556" t="n">
        <v>0</v>
      </c>
      <c r="F88" s="556" t="n">
        <v>0</v>
      </c>
      <c r="G88" s="556" t="n">
        <v>0.05</v>
      </c>
      <c r="H88" s="556" t="n">
        <v>0.1</v>
      </c>
      <c r="I88" s="556" t="n">
        <v>0.1</v>
      </c>
      <c r="J88" s="556" t="n">
        <v>0.1</v>
      </c>
      <c r="K88" s="556" t="n">
        <v>0.1</v>
      </c>
      <c r="L88" s="556" t="n">
        <v>0.1</v>
      </c>
      <c r="M88" s="556" t="n">
        <v>0.2</v>
      </c>
      <c r="N88" s="556" t="n">
        <v>0.25</v>
      </c>
      <c r="O88" s="556" t="n">
        <v>0</v>
      </c>
      <c r="P88" s="556" t="n">
        <v>0</v>
      </c>
      <c r="Q88" s="556" t="n">
        <v>0</v>
      </c>
      <c r="R88" s="556" t="n">
        <v>0</v>
      </c>
      <c r="S88" s="556" t="n">
        <v>0</v>
      </c>
      <c r="T88" s="556" t="n">
        <v>0</v>
      </c>
      <c r="U88" s="556" t="n">
        <v>0</v>
      </c>
      <c r="V88" s="556" t="n">
        <v>0</v>
      </c>
      <c r="W88" s="556" t="n">
        <v>0</v>
      </c>
      <c r="X88" s="556" t="n">
        <v>0</v>
      </c>
      <c r="Y88" s="556" t="n">
        <v>0</v>
      </c>
      <c r="Z88" s="556" t="n">
        <v>0</v>
      </c>
      <c r="AA88" s="556" t="n">
        <v>0</v>
      </c>
      <c r="AB88" s="556" t="n">
        <v>0</v>
      </c>
      <c r="AC88" s="556" t="n">
        <v>0</v>
      </c>
      <c r="AD88" s="0"/>
      <c r="AE88" s="0"/>
      <c r="AF88" s="0"/>
    </row>
    <row r="89" customFormat="false" ht="12.6" hidden="false" customHeight="true" outlineLevel="0" collapsed="false">
      <c r="AD89" s="0"/>
      <c r="AE89" s="0"/>
      <c r="AF89" s="0"/>
    </row>
    <row r="90" customFormat="false" ht="12.6" hidden="false" customHeight="true" outlineLevel="0" collapsed="false">
      <c r="A90" s="20" t="s">
        <v>466</v>
      </c>
      <c r="AD90" s="0"/>
      <c r="AE90" s="0"/>
      <c r="AF90" s="0"/>
    </row>
    <row r="91" customFormat="false" ht="12.6" hidden="false" customHeight="true" outlineLevel="0" collapsed="false">
      <c r="A91" s="373" t="s">
        <v>456</v>
      </c>
      <c r="B91" s="589" t="n">
        <f aca="false">Principal3</f>
        <v>65116.90683</v>
      </c>
      <c r="AD91" s="0"/>
      <c r="AE91" s="0"/>
      <c r="AF91" s="0"/>
    </row>
    <row r="92" customFormat="false" ht="12.6" hidden="false" customHeight="true" outlineLevel="0" collapsed="false">
      <c r="A92" s="393" t="s">
        <v>243</v>
      </c>
      <c r="B92" s="590" t="n">
        <f aca="false">Int3</f>
        <v>0.0818</v>
      </c>
      <c r="AD92" s="0"/>
      <c r="AE92" s="0"/>
      <c r="AF92" s="0"/>
    </row>
    <row r="93" customFormat="false" ht="12.6" hidden="false" customHeight="true" outlineLevel="0" collapsed="false">
      <c r="A93" s="393" t="s">
        <v>240</v>
      </c>
      <c r="B93" s="441" t="n">
        <f aca="false">Term3</f>
        <v>20</v>
      </c>
      <c r="E93" s="372" t="n">
        <f aca="false">E4</f>
        <v>1</v>
      </c>
      <c r="F93" s="372" t="n">
        <f aca="false">F4</f>
        <v>2</v>
      </c>
      <c r="G93" s="372" t="n">
        <f aca="false">G4</f>
        <v>3</v>
      </c>
      <c r="H93" s="372" t="n">
        <f aca="false">H4</f>
        <v>4</v>
      </c>
      <c r="I93" s="372" t="n">
        <f aca="false">I4</f>
        <v>5</v>
      </c>
      <c r="J93" s="372" t="n">
        <f aca="false">J4</f>
        <v>6</v>
      </c>
      <c r="K93" s="372" t="n">
        <f aca="false">K4</f>
        <v>7</v>
      </c>
      <c r="L93" s="372" t="n">
        <f aca="false">L4</f>
        <v>8</v>
      </c>
      <c r="M93" s="372" t="n">
        <f aca="false">M4</f>
        <v>9</v>
      </c>
      <c r="N93" s="372" t="n">
        <f aca="false">N4</f>
        <v>10</v>
      </c>
      <c r="O93" s="372" t="n">
        <f aca="false">O4</f>
        <v>11</v>
      </c>
      <c r="P93" s="372" t="n">
        <f aca="false">P4</f>
        <v>12</v>
      </c>
      <c r="Q93" s="372" t="n">
        <f aca="false">Q4</f>
        <v>13</v>
      </c>
      <c r="R93" s="372" t="n">
        <f aca="false">R4</f>
        <v>14</v>
      </c>
      <c r="S93" s="372" t="n">
        <f aca="false">S4</f>
        <v>15</v>
      </c>
      <c r="T93" s="372" t="n">
        <f aca="false">T4</f>
        <v>16</v>
      </c>
      <c r="U93" s="372" t="n">
        <f aca="false">U4</f>
        <v>17</v>
      </c>
      <c r="V93" s="372" t="n">
        <f aca="false">V4</f>
        <v>18</v>
      </c>
      <c r="W93" s="372" t="n">
        <f aca="false">W4</f>
        <v>19</v>
      </c>
      <c r="X93" s="372" t="n">
        <f aca="false">X4</f>
        <v>20</v>
      </c>
      <c r="Y93" s="372" t="n">
        <f aca="false">Y4</f>
        <v>21</v>
      </c>
      <c r="Z93" s="372" t="n">
        <f aca="false">Z4</f>
        <v>22</v>
      </c>
      <c r="AA93" s="372" t="n">
        <f aca="false">AA4</f>
        <v>23</v>
      </c>
      <c r="AB93" s="372" t="n">
        <f aca="false">AB4</f>
        <v>24</v>
      </c>
      <c r="AC93" s="372" t="n">
        <f aca="false">AC4</f>
        <v>25</v>
      </c>
      <c r="AD93" s="0"/>
      <c r="AE93" s="0"/>
      <c r="AF93" s="0"/>
    </row>
    <row r="94" customFormat="false" ht="12.75" hidden="false" customHeight="false" outlineLevel="0" collapsed="false">
      <c r="A94" s="265"/>
      <c r="B94" s="265"/>
      <c r="C94" s="20" t="s">
        <v>457</v>
      </c>
      <c r="E94" s="604" t="n">
        <f aca="false">E5</f>
        <v>2000</v>
      </c>
      <c r="F94" s="604" t="n">
        <f aca="false">F5</f>
        <v>2001</v>
      </c>
      <c r="G94" s="604" t="n">
        <f aca="false">G5</f>
        <v>2002</v>
      </c>
      <c r="H94" s="604" t="n">
        <f aca="false">H5</f>
        <v>2003</v>
      </c>
      <c r="I94" s="604" t="n">
        <f aca="false">I5</f>
        <v>2004</v>
      </c>
      <c r="J94" s="604" t="n">
        <f aca="false">J5</f>
        <v>2005</v>
      </c>
      <c r="K94" s="604" t="n">
        <f aca="false">K5</f>
        <v>2006</v>
      </c>
      <c r="L94" s="604" t="n">
        <f aca="false">L5</f>
        <v>2007</v>
      </c>
      <c r="M94" s="604" t="n">
        <f aca="false">M5</f>
        <v>2008</v>
      </c>
      <c r="N94" s="604" t="n">
        <f aca="false">N5</f>
        <v>2009</v>
      </c>
      <c r="O94" s="604" t="n">
        <f aca="false">O5</f>
        <v>2010</v>
      </c>
      <c r="P94" s="604" t="n">
        <f aca="false">P5</f>
        <v>2011</v>
      </c>
      <c r="Q94" s="604" t="n">
        <f aca="false">Q5</f>
        <v>2012</v>
      </c>
      <c r="R94" s="604" t="n">
        <f aca="false">R5</f>
        <v>2013</v>
      </c>
      <c r="S94" s="604" t="n">
        <f aca="false">S5</f>
        <v>2014</v>
      </c>
      <c r="T94" s="604" t="n">
        <f aca="false">T5</f>
        <v>2015</v>
      </c>
      <c r="U94" s="604" t="n">
        <f aca="false">U5</f>
        <v>2016</v>
      </c>
      <c r="V94" s="604" t="n">
        <f aca="false">V5</f>
        <v>2017</v>
      </c>
      <c r="W94" s="604" t="n">
        <f aca="false">W5</f>
        <v>2018</v>
      </c>
      <c r="X94" s="604" t="n">
        <f aca="false">X5</f>
        <v>2019</v>
      </c>
      <c r="Y94" s="604" t="n">
        <f aca="false">Y5</f>
        <v>2020</v>
      </c>
      <c r="Z94" s="604" t="n">
        <f aca="false">Z5</f>
        <v>2021</v>
      </c>
      <c r="AA94" s="604" t="n">
        <f aca="false">AA5</f>
        <v>2022</v>
      </c>
      <c r="AB94" s="604" t="n">
        <f aca="false">AB5</f>
        <v>2023</v>
      </c>
      <c r="AC94" s="604" t="n">
        <f aca="false">AC5</f>
        <v>2024</v>
      </c>
      <c r="AD94" s="0"/>
      <c r="AE94" s="0"/>
      <c r="AF94" s="0"/>
    </row>
    <row r="95" customFormat="false" ht="12.75" hidden="false" customHeight="false" outlineLevel="0" collapsed="false">
      <c r="A95" s="592" t="s">
        <v>228</v>
      </c>
      <c r="B95" s="593"/>
      <c r="C95" s="593"/>
      <c r="E95" s="593"/>
      <c r="F95" s="594"/>
      <c r="G95" s="594"/>
      <c r="H95" s="594"/>
      <c r="I95" s="594"/>
      <c r="J95" s="594"/>
      <c r="K95" s="594"/>
      <c r="L95" s="594"/>
      <c r="M95" s="594"/>
      <c r="N95" s="594"/>
      <c r="O95" s="594"/>
      <c r="P95" s="594"/>
      <c r="Q95" s="594"/>
      <c r="R95" s="594"/>
      <c r="S95" s="594"/>
      <c r="T95" s="594"/>
      <c r="AD95" s="0"/>
      <c r="AE95" s="0"/>
      <c r="AF95" s="0"/>
    </row>
    <row r="96" customFormat="false" ht="12.75" hidden="false" customHeight="false" outlineLevel="0" collapsed="false">
      <c r="A96" s="528" t="s">
        <v>458</v>
      </c>
      <c r="B96" s="595"/>
      <c r="C96" s="596" t="n">
        <f aca="false">B91</f>
        <v>65116.90683</v>
      </c>
      <c r="D96" s="481"/>
      <c r="E96" s="595" t="n">
        <f aca="false">C96</f>
        <v>65116.90683</v>
      </c>
      <c r="F96" s="595" t="n">
        <f aca="false">E100</f>
        <v>65116.90683</v>
      </c>
      <c r="G96" s="595" t="n">
        <f aca="false">F100</f>
        <v>65116.90683</v>
      </c>
      <c r="H96" s="595" t="n">
        <f aca="false">G100</f>
        <v>65116.90683</v>
      </c>
      <c r="I96" s="595" t="n">
        <f aca="false">H100</f>
        <v>65116.90683</v>
      </c>
      <c r="J96" s="595" t="n">
        <f aca="false">I100</f>
        <v>63814.5686934</v>
      </c>
      <c r="K96" s="595" t="n">
        <f aca="false">J100</f>
        <v>62512.2305568</v>
      </c>
      <c r="L96" s="595" t="n">
        <f aca="false">K100</f>
        <v>60558.7233519</v>
      </c>
      <c r="M96" s="595" t="n">
        <f aca="false">L100</f>
        <v>58605.216147</v>
      </c>
      <c r="N96" s="595" t="n">
        <f aca="false">M100</f>
        <v>56651.7089421</v>
      </c>
      <c r="O96" s="595" t="n">
        <f aca="false">N100</f>
        <v>54047.0326689</v>
      </c>
      <c r="P96" s="595" t="n">
        <f aca="false">O100</f>
        <v>51442.3563957</v>
      </c>
      <c r="Q96" s="595" t="n">
        <f aca="false">P100</f>
        <v>48186.5110542</v>
      </c>
      <c r="R96" s="595" t="n">
        <f aca="false">Q100</f>
        <v>44930.6657127</v>
      </c>
      <c r="S96" s="595" t="n">
        <f aca="false">R100</f>
        <v>41674.8203712</v>
      </c>
      <c r="T96" s="595" t="n">
        <f aca="false">S100</f>
        <v>38418.9750297</v>
      </c>
      <c r="U96" s="595" t="n">
        <f aca="false">T100</f>
        <v>35163.1296882</v>
      </c>
      <c r="V96" s="595" t="n">
        <f aca="false">U100</f>
        <v>28651.4390052</v>
      </c>
      <c r="W96" s="595" t="n">
        <f aca="false">V100</f>
        <v>20837.4101856</v>
      </c>
      <c r="X96" s="595" t="n">
        <f aca="false">W100</f>
        <v>11069.8741611</v>
      </c>
      <c r="Y96" s="595" t="n">
        <f aca="false">X100</f>
        <v>0</v>
      </c>
      <c r="Z96" s="595" t="n">
        <f aca="false">Y100</f>
        <v>0</v>
      </c>
      <c r="AA96" s="595" t="n">
        <f aca="false">Z100</f>
        <v>0</v>
      </c>
      <c r="AB96" s="595" t="n">
        <f aca="false">AA100</f>
        <v>0</v>
      </c>
      <c r="AC96" s="595" t="n">
        <f aca="false">AB100</f>
        <v>0</v>
      </c>
      <c r="AD96" s="0"/>
      <c r="AE96" s="0"/>
      <c r="AF96" s="0"/>
    </row>
    <row r="97" customFormat="false" ht="12.75" hidden="false" customHeight="false" outlineLevel="0" collapsed="false">
      <c r="A97" s="528" t="s">
        <v>459</v>
      </c>
      <c r="B97" s="597" t="n">
        <f aca="false">'[3]Consolidated Model Assumptions'!I144</f>
        <v>0</v>
      </c>
      <c r="C97" s="595"/>
      <c r="D97" s="481"/>
      <c r="E97" s="595" t="n">
        <f aca="false">E96*$B$92</f>
        <v>5326.562978694</v>
      </c>
      <c r="F97" s="595" t="n">
        <f aca="false">F96*$B$92</f>
        <v>5326.562978694</v>
      </c>
      <c r="G97" s="595" t="n">
        <f aca="false">G96*$B$92</f>
        <v>5326.562978694</v>
      </c>
      <c r="H97" s="595" t="n">
        <f aca="false">H96*$B$92</f>
        <v>5326.562978694</v>
      </c>
      <c r="I97" s="595" t="n">
        <f aca="false">I96*$B$92</f>
        <v>5326.562978694</v>
      </c>
      <c r="J97" s="595" t="n">
        <f aca="false">J96*$B$92</f>
        <v>5220.03171912012</v>
      </c>
      <c r="K97" s="595" t="n">
        <f aca="false">K96*$B$92</f>
        <v>5113.50045954624</v>
      </c>
      <c r="L97" s="595" t="n">
        <f aca="false">L96*$B$92</f>
        <v>4953.70357018542</v>
      </c>
      <c r="M97" s="595" t="n">
        <f aca="false">M96*$B$92</f>
        <v>4793.9066808246</v>
      </c>
      <c r="N97" s="595" t="n">
        <f aca="false">N96*$B$92</f>
        <v>4634.10979146378</v>
      </c>
      <c r="O97" s="595" t="n">
        <f aca="false">O96*$B$92</f>
        <v>4421.04727231602</v>
      </c>
      <c r="P97" s="595" t="n">
        <f aca="false">P96*$B$92</f>
        <v>4207.98475316826</v>
      </c>
      <c r="Q97" s="595" t="n">
        <f aca="false">Q96*$B$92</f>
        <v>3941.65660423356</v>
      </c>
      <c r="R97" s="595" t="n">
        <f aca="false">R96*$B$92</f>
        <v>3675.32845529886</v>
      </c>
      <c r="S97" s="595" t="n">
        <f aca="false">S96*$B$92</f>
        <v>3409.00030636416</v>
      </c>
      <c r="T97" s="595" t="n">
        <f aca="false">T96*$B$92</f>
        <v>3142.67215742946</v>
      </c>
      <c r="U97" s="595" t="n">
        <f aca="false">U96*$B$92</f>
        <v>2876.34400849476</v>
      </c>
      <c r="V97" s="595" t="n">
        <f aca="false">V96*$B$92</f>
        <v>2343.68771062536</v>
      </c>
      <c r="W97" s="595" t="n">
        <f aca="false">W96*$B$92</f>
        <v>1704.50015318208</v>
      </c>
      <c r="X97" s="595" t="n">
        <f aca="false">X96*$B$92</f>
        <v>905.51570637798</v>
      </c>
      <c r="Y97" s="595" t="n">
        <f aca="false">Y96*$B$92</f>
        <v>0</v>
      </c>
      <c r="Z97" s="595" t="n">
        <f aca="false">Z96*$B$92</f>
        <v>0</v>
      </c>
      <c r="AA97" s="595" t="n">
        <f aca="false">AA96*$B$92</f>
        <v>0</v>
      </c>
      <c r="AB97" s="595" t="n">
        <f aca="false">AB96*$B$92</f>
        <v>0</v>
      </c>
      <c r="AC97" s="595" t="n">
        <f aca="false">AC96*$B$92</f>
        <v>0</v>
      </c>
      <c r="AD97" s="0"/>
      <c r="AE97" s="0"/>
      <c r="AF97" s="0"/>
    </row>
    <row r="98" customFormat="false" ht="12.75" hidden="false" customHeight="false" outlineLevel="0" collapsed="false">
      <c r="A98" s="528" t="s">
        <v>460</v>
      </c>
      <c r="B98" s="595"/>
      <c r="C98" s="595"/>
      <c r="E98" s="598" t="n">
        <f aca="false">$C$96*E102</f>
        <v>0</v>
      </c>
      <c r="F98" s="598" t="n">
        <f aca="false">$C$96*F102</f>
        <v>0</v>
      </c>
      <c r="G98" s="598" t="n">
        <f aca="false">$C$96*G102</f>
        <v>0</v>
      </c>
      <c r="H98" s="598" t="n">
        <f aca="false">$C$96*H102</f>
        <v>0</v>
      </c>
      <c r="I98" s="598" t="n">
        <f aca="false">$C$96*I102</f>
        <v>1302.3381366</v>
      </c>
      <c r="J98" s="598" t="n">
        <f aca="false">$C$96*J102</f>
        <v>1302.3381366</v>
      </c>
      <c r="K98" s="598" t="n">
        <f aca="false">$C$96*K102</f>
        <v>1953.5072049</v>
      </c>
      <c r="L98" s="598" t="n">
        <f aca="false">$C$96*L102</f>
        <v>1953.5072049</v>
      </c>
      <c r="M98" s="598" t="n">
        <f aca="false">$C$96*M102</f>
        <v>1953.5072049</v>
      </c>
      <c r="N98" s="598" t="n">
        <f aca="false">$C$96*N102</f>
        <v>2604.6762732</v>
      </c>
      <c r="O98" s="598" t="n">
        <f aca="false">$C$96*O102</f>
        <v>2604.6762732</v>
      </c>
      <c r="P98" s="598" t="n">
        <f aca="false">$C$96*P102</f>
        <v>3255.8453415</v>
      </c>
      <c r="Q98" s="598" t="n">
        <f aca="false">$C$96*Q102</f>
        <v>3255.8453415</v>
      </c>
      <c r="R98" s="598" t="n">
        <f aca="false">$C$96*R102</f>
        <v>3255.8453415</v>
      </c>
      <c r="S98" s="598" t="n">
        <f aca="false">$C$96*S102</f>
        <v>3255.8453415</v>
      </c>
      <c r="T98" s="598" t="n">
        <f aca="false">$C$96*T102</f>
        <v>3255.8453415</v>
      </c>
      <c r="U98" s="598" t="n">
        <f aca="false">$C$96*U102</f>
        <v>6511.690683</v>
      </c>
      <c r="V98" s="598" t="n">
        <f aca="false">$C$96*V102</f>
        <v>7814.0288196</v>
      </c>
      <c r="W98" s="598" t="n">
        <f aca="false">$C$96*W102</f>
        <v>9767.5360245</v>
      </c>
      <c r="X98" s="598" t="n">
        <f aca="false">$C$96*X102</f>
        <v>11069.8741611</v>
      </c>
      <c r="Y98" s="598" t="n">
        <f aca="false">$C$96*Y102</f>
        <v>0</v>
      </c>
      <c r="Z98" s="598" t="n">
        <f aca="false">$C$96*Z102</f>
        <v>0</v>
      </c>
      <c r="AA98" s="598" t="n">
        <f aca="false">$C$96*AA102</f>
        <v>0</v>
      </c>
      <c r="AB98" s="598" t="n">
        <f aca="false">$C$96*AB102</f>
        <v>0</v>
      </c>
      <c r="AC98" s="598" t="n">
        <f aca="false">$C$96*AC102</f>
        <v>0</v>
      </c>
      <c r="AD98" s="0"/>
      <c r="AE98" s="0"/>
      <c r="AF98" s="0"/>
    </row>
    <row r="99" customFormat="false" ht="12.75" hidden="false" customHeight="false" outlineLevel="0" collapsed="false">
      <c r="A99" s="528" t="s">
        <v>461</v>
      </c>
      <c r="B99" s="595"/>
      <c r="C99" s="599"/>
      <c r="E99" s="599" t="n">
        <f aca="false">E98+E97</f>
        <v>5326.562978694</v>
      </c>
      <c r="F99" s="599" t="n">
        <f aca="false">F98+F97</f>
        <v>5326.562978694</v>
      </c>
      <c r="G99" s="599" t="n">
        <f aca="false">G98+G97</f>
        <v>5326.562978694</v>
      </c>
      <c r="H99" s="599" t="n">
        <f aca="false">H98+H97</f>
        <v>5326.562978694</v>
      </c>
      <c r="I99" s="599" t="n">
        <f aca="false">I98+I97</f>
        <v>6628.901115294</v>
      </c>
      <c r="J99" s="599" t="n">
        <f aca="false">J98+J97</f>
        <v>6522.36985572012</v>
      </c>
      <c r="K99" s="599" t="n">
        <f aca="false">K98+K97</f>
        <v>7067.00766444624</v>
      </c>
      <c r="L99" s="599" t="n">
        <f aca="false">L98+L97</f>
        <v>6907.21077508542</v>
      </c>
      <c r="M99" s="599" t="n">
        <f aca="false">M98+M97</f>
        <v>6747.4138857246</v>
      </c>
      <c r="N99" s="599" t="n">
        <f aca="false">N98+N97</f>
        <v>7238.78606466378</v>
      </c>
      <c r="O99" s="599" t="n">
        <f aca="false">O98+O97</f>
        <v>7025.72354551602</v>
      </c>
      <c r="P99" s="599" t="n">
        <f aca="false">P98+P97</f>
        <v>7463.83009466826</v>
      </c>
      <c r="Q99" s="599" t="n">
        <f aca="false">Q98+Q97</f>
        <v>7197.50194573356</v>
      </c>
      <c r="R99" s="599" t="n">
        <f aca="false">R98+R97</f>
        <v>6931.17379679886</v>
      </c>
      <c r="S99" s="599" t="n">
        <f aca="false">S98+S97</f>
        <v>6664.84564786416</v>
      </c>
      <c r="T99" s="599" t="n">
        <f aca="false">T98+T97</f>
        <v>6398.51749892946</v>
      </c>
      <c r="U99" s="599" t="n">
        <f aca="false">U98+U97</f>
        <v>9388.03469149476</v>
      </c>
      <c r="V99" s="599" t="n">
        <f aca="false">V98+V97</f>
        <v>10157.7165302254</v>
      </c>
      <c r="W99" s="599" t="n">
        <f aca="false">W98+W97</f>
        <v>11472.0361776821</v>
      </c>
      <c r="X99" s="599" t="n">
        <f aca="false">X98+X97</f>
        <v>11975.389867478</v>
      </c>
      <c r="Y99" s="599" t="n">
        <f aca="false">Y98+Y97</f>
        <v>0</v>
      </c>
      <c r="Z99" s="599" t="n">
        <f aca="false">Z98+Z97</f>
        <v>0</v>
      </c>
      <c r="AA99" s="599" t="n">
        <f aca="false">AA98+AA97</f>
        <v>0</v>
      </c>
      <c r="AB99" s="599" t="n">
        <f aca="false">AB98+AB97</f>
        <v>0</v>
      </c>
      <c r="AC99" s="599" t="n">
        <f aca="false">AC98+AC97</f>
        <v>0</v>
      </c>
      <c r="AD99" s="0"/>
      <c r="AE99" s="0"/>
      <c r="AF99" s="0"/>
    </row>
    <row r="100" customFormat="false" ht="12.75" hidden="false" customHeight="false" outlineLevel="0" collapsed="false">
      <c r="A100" s="528" t="s">
        <v>462</v>
      </c>
      <c r="B100" s="595"/>
      <c r="C100" s="595"/>
      <c r="E100" s="595" t="n">
        <f aca="false">E96-E98</f>
        <v>65116.90683</v>
      </c>
      <c r="F100" s="595" t="n">
        <f aca="false">F96-F98</f>
        <v>65116.90683</v>
      </c>
      <c r="G100" s="595" t="n">
        <f aca="false">G96-G98</f>
        <v>65116.90683</v>
      </c>
      <c r="H100" s="595" t="n">
        <f aca="false">H96-H98</f>
        <v>65116.90683</v>
      </c>
      <c r="I100" s="595" t="n">
        <f aca="false">I96-I98</f>
        <v>63814.5686934</v>
      </c>
      <c r="J100" s="595" t="n">
        <f aca="false">J96-J98</f>
        <v>62512.2305568</v>
      </c>
      <c r="K100" s="595" t="n">
        <f aca="false">K96-K98</f>
        <v>60558.7233519</v>
      </c>
      <c r="L100" s="595" t="n">
        <f aca="false">L96-L98</f>
        <v>58605.216147</v>
      </c>
      <c r="M100" s="595" t="n">
        <f aca="false">M96-M98</f>
        <v>56651.7089421</v>
      </c>
      <c r="N100" s="595" t="n">
        <f aca="false">N96-N98</f>
        <v>54047.0326689</v>
      </c>
      <c r="O100" s="595" t="n">
        <f aca="false">O96-O98</f>
        <v>51442.3563957</v>
      </c>
      <c r="P100" s="595" t="n">
        <f aca="false">P96-P98</f>
        <v>48186.5110542</v>
      </c>
      <c r="Q100" s="595" t="n">
        <f aca="false">Q96-Q98</f>
        <v>44930.6657127</v>
      </c>
      <c r="R100" s="595" t="n">
        <f aca="false">R96-R98</f>
        <v>41674.8203712</v>
      </c>
      <c r="S100" s="595" t="n">
        <f aca="false">S96-S98</f>
        <v>38418.9750297</v>
      </c>
      <c r="T100" s="595" t="n">
        <f aca="false">T96-T98</f>
        <v>35163.1296882</v>
      </c>
      <c r="U100" s="595" t="n">
        <f aca="false">U96-U98</f>
        <v>28651.4390052</v>
      </c>
      <c r="V100" s="595" t="n">
        <f aca="false">V96-V98</f>
        <v>20837.4101856</v>
      </c>
      <c r="W100" s="595" t="n">
        <f aca="false">W96-W98</f>
        <v>11069.8741611</v>
      </c>
      <c r="X100" s="595" t="n">
        <f aca="false">X96-X98</f>
        <v>0</v>
      </c>
      <c r="Y100" s="595" t="n">
        <f aca="false">Y96-Y98</f>
        <v>0</v>
      </c>
      <c r="Z100" s="595" t="n">
        <f aca="false">Z96-Z98</f>
        <v>0</v>
      </c>
      <c r="AA100" s="595" t="n">
        <f aca="false">AA96-AA98</f>
        <v>0</v>
      </c>
      <c r="AB100" s="595" t="n">
        <f aca="false">AB96-AB98</f>
        <v>0</v>
      </c>
      <c r="AC100" s="595" t="n">
        <f aca="false">AC96-AC98</f>
        <v>0</v>
      </c>
      <c r="AD100" s="0"/>
      <c r="AE100" s="0"/>
      <c r="AF100" s="0"/>
    </row>
    <row r="101" customFormat="false" ht="12.6" hidden="false" customHeight="true" outlineLevel="0" collapsed="false">
      <c r="A101" s="528" t="s">
        <v>463</v>
      </c>
      <c r="B101" s="595"/>
      <c r="C101" s="605" t="n">
        <f aca="false">SUMPRODUCT(E98:AC98,E93:AC93)/SUM(E98:AC98)</f>
        <v>15.39</v>
      </c>
      <c r="E101" s="597"/>
      <c r="F101" s="595"/>
      <c r="G101" s="595"/>
      <c r="H101" s="595"/>
      <c r="I101" s="595"/>
      <c r="J101" s="595"/>
      <c r="K101" s="595"/>
      <c r="L101" s="595"/>
      <c r="M101" s="595"/>
      <c r="N101" s="595"/>
      <c r="O101" s="595"/>
      <c r="P101" s="595"/>
      <c r="Q101" s="595"/>
      <c r="R101" s="595"/>
      <c r="S101" s="595"/>
      <c r="T101" s="595"/>
      <c r="U101" s="595"/>
      <c r="V101" s="595"/>
      <c r="W101" s="595"/>
      <c r="X101" s="595"/>
      <c r="Y101" s="595"/>
      <c r="Z101" s="595"/>
      <c r="AA101" s="595"/>
      <c r="AB101" s="595"/>
      <c r="AC101" s="595"/>
      <c r="AD101" s="0"/>
      <c r="AE101" s="0"/>
      <c r="AF101" s="0"/>
    </row>
    <row r="102" customFormat="false" ht="12.75" hidden="false" customHeight="false" outlineLevel="0" collapsed="false">
      <c r="B102" s="527"/>
      <c r="C102" s="601" t="s">
        <v>464</v>
      </c>
      <c r="D102" s="602" t="n">
        <f aca="false">SUM(E102:AC102)</f>
        <v>1</v>
      </c>
      <c r="E102" s="556" t="n">
        <v>0</v>
      </c>
      <c r="F102" s="556" t="n">
        <v>0</v>
      </c>
      <c r="G102" s="556" t="n">
        <v>0</v>
      </c>
      <c r="H102" s="556" t="n">
        <v>0</v>
      </c>
      <c r="I102" s="556" t="n">
        <v>0.02</v>
      </c>
      <c r="J102" s="556" t="n">
        <v>0.02</v>
      </c>
      <c r="K102" s="556" t="n">
        <v>0.03</v>
      </c>
      <c r="L102" s="556" t="n">
        <v>0.03</v>
      </c>
      <c r="M102" s="556" t="n">
        <v>0.03</v>
      </c>
      <c r="N102" s="556" t="n">
        <v>0.04</v>
      </c>
      <c r="O102" s="556" t="n">
        <v>0.04</v>
      </c>
      <c r="P102" s="556" t="n">
        <v>0.05</v>
      </c>
      <c r="Q102" s="556" t="n">
        <v>0.05</v>
      </c>
      <c r="R102" s="556" t="n">
        <v>0.05</v>
      </c>
      <c r="S102" s="556" t="n">
        <v>0.05</v>
      </c>
      <c r="T102" s="556" t="n">
        <v>0.05</v>
      </c>
      <c r="U102" s="556" t="n">
        <v>0.1</v>
      </c>
      <c r="V102" s="556" t="n">
        <v>0.12</v>
      </c>
      <c r="W102" s="556" t="n">
        <v>0.15</v>
      </c>
      <c r="X102" s="556" t="n">
        <v>0.17</v>
      </c>
      <c r="Y102" s="556" t="n">
        <v>0</v>
      </c>
      <c r="Z102" s="556" t="n">
        <v>0</v>
      </c>
      <c r="AA102" s="556" t="n">
        <v>0</v>
      </c>
      <c r="AB102" s="556" t="n">
        <v>0</v>
      </c>
      <c r="AC102" s="556" t="n">
        <v>0</v>
      </c>
      <c r="AD102" s="0"/>
      <c r="AE102" s="0"/>
      <c r="AF102" s="0"/>
    </row>
    <row r="103" customFormat="false" ht="12.75" hidden="false" customHeight="false" outlineLevel="0" collapsed="false">
      <c r="A103" s="0"/>
      <c r="B103" s="0"/>
      <c r="C103" s="0"/>
      <c r="D103" s="0"/>
      <c r="E103" s="0"/>
      <c r="F103" s="0"/>
      <c r="G103" s="0"/>
      <c r="H103" s="0"/>
      <c r="I103" s="0"/>
      <c r="J103" s="0"/>
      <c r="K103" s="0"/>
      <c r="L103" s="0"/>
      <c r="M103" s="0"/>
      <c r="N103" s="0"/>
      <c r="O103" s="0"/>
      <c r="P103" s="0"/>
      <c r="Q103" s="0"/>
      <c r="R103" s="0"/>
      <c r="S103" s="0"/>
      <c r="T103" s="0"/>
      <c r="U103" s="0"/>
      <c r="V103" s="0"/>
      <c r="W103" s="0"/>
      <c r="X103" s="0"/>
      <c r="Y103" s="0"/>
      <c r="Z103" s="0"/>
      <c r="AA103" s="0"/>
      <c r="AB103" s="0"/>
      <c r="AC103" s="0"/>
      <c r="AD103" s="0"/>
      <c r="AE103" s="0"/>
      <c r="AF103" s="0"/>
    </row>
    <row r="104" customFormat="false" ht="12.75" hidden="false" customHeight="false" outlineLevel="0" collapsed="false">
      <c r="A104" s="0"/>
      <c r="B104" s="0"/>
      <c r="C104" s="0"/>
      <c r="D104" s="0"/>
      <c r="E104" s="0"/>
      <c r="F104" s="0"/>
      <c r="G104" s="0"/>
      <c r="H104" s="0"/>
      <c r="I104" s="0"/>
      <c r="J104" s="0"/>
      <c r="K104" s="0"/>
      <c r="L104" s="0"/>
      <c r="M104" s="0"/>
      <c r="N104" s="0"/>
      <c r="O104" s="0"/>
      <c r="P104" s="0"/>
      <c r="Q104" s="0"/>
      <c r="R104" s="0"/>
      <c r="S104" s="0"/>
      <c r="T104" s="0"/>
      <c r="U104" s="0"/>
      <c r="V104" s="0"/>
      <c r="W104" s="0"/>
      <c r="X104" s="0"/>
      <c r="Y104" s="0"/>
      <c r="Z104" s="0"/>
      <c r="AA104" s="0"/>
      <c r="AB104" s="0"/>
      <c r="AC104" s="0"/>
      <c r="AD104" s="0"/>
      <c r="AE104" s="0"/>
      <c r="AF104" s="0"/>
    </row>
    <row r="105" customFormat="false" ht="12.75" hidden="false" customHeight="false" outlineLevel="0" collapsed="false">
      <c r="A105" s="0"/>
      <c r="B105" s="0"/>
      <c r="C105" s="0"/>
      <c r="D105" s="0"/>
      <c r="E105" s="0"/>
      <c r="F105" s="0"/>
      <c r="G105" s="0"/>
      <c r="H105" s="0"/>
      <c r="I105" s="0"/>
      <c r="J105" s="0"/>
      <c r="K105" s="0"/>
      <c r="L105" s="0"/>
      <c r="M105" s="0"/>
      <c r="N105" s="0"/>
      <c r="O105" s="0"/>
      <c r="P105" s="0"/>
      <c r="Q105" s="0"/>
      <c r="R105" s="0"/>
      <c r="S105" s="0"/>
      <c r="T105" s="0"/>
      <c r="U105" s="0"/>
      <c r="V105" s="0"/>
      <c r="W105" s="0"/>
      <c r="X105" s="0"/>
      <c r="Y105" s="0"/>
      <c r="Z105" s="0"/>
      <c r="AA105" s="0"/>
      <c r="AB105" s="0"/>
      <c r="AC105" s="0"/>
      <c r="AD105" s="0"/>
      <c r="AE105" s="0"/>
      <c r="AF105" s="0"/>
    </row>
    <row r="106" customFormat="false" ht="12.75" hidden="false" customHeight="false" outlineLevel="0" collapsed="false">
      <c r="A106" s="0"/>
      <c r="B106" s="0"/>
      <c r="C106" s="0"/>
      <c r="D106" s="0"/>
      <c r="E106" s="0"/>
      <c r="F106" s="0"/>
      <c r="G106" s="0"/>
      <c r="H106" s="0"/>
      <c r="I106" s="0"/>
      <c r="J106" s="0"/>
      <c r="K106" s="0"/>
      <c r="L106" s="0"/>
      <c r="M106" s="0"/>
      <c r="N106" s="0"/>
      <c r="O106" s="0"/>
      <c r="P106" s="0"/>
      <c r="Q106" s="0"/>
      <c r="R106" s="0"/>
      <c r="S106" s="0"/>
      <c r="T106" s="0"/>
      <c r="U106" s="0"/>
      <c r="V106" s="0"/>
      <c r="W106" s="0"/>
      <c r="X106" s="0"/>
      <c r="Y106" s="0"/>
      <c r="Z106" s="0"/>
      <c r="AA106" s="0"/>
      <c r="AB106" s="0"/>
      <c r="AC106" s="0"/>
      <c r="AD106" s="0"/>
      <c r="AE106" s="0"/>
      <c r="AF106" s="0"/>
    </row>
    <row r="107" customFormat="false" ht="12.6" hidden="false" customHeight="true" outlineLevel="0" collapsed="false">
      <c r="A107" s="0"/>
      <c r="B107" s="0"/>
      <c r="C107" s="0"/>
      <c r="D107" s="0"/>
      <c r="E107" s="0"/>
      <c r="F107" s="0"/>
      <c r="G107" s="0"/>
      <c r="H107" s="0"/>
      <c r="I107" s="0"/>
      <c r="J107" s="0"/>
      <c r="K107" s="0"/>
      <c r="L107" s="0"/>
      <c r="M107" s="0"/>
      <c r="N107" s="0"/>
      <c r="O107" s="0"/>
      <c r="P107" s="0"/>
      <c r="Q107" s="0"/>
      <c r="R107" s="0"/>
      <c r="S107" s="0"/>
      <c r="T107" s="0"/>
      <c r="U107" s="0"/>
      <c r="V107" s="0"/>
      <c r="W107" s="0"/>
      <c r="X107" s="0"/>
      <c r="Y107" s="0"/>
      <c r="Z107" s="0"/>
      <c r="AA107" s="0"/>
      <c r="AB107" s="0"/>
      <c r="AC107" s="0"/>
      <c r="AD107" s="0"/>
      <c r="AE107" s="0"/>
      <c r="AF107" s="0"/>
    </row>
    <row r="108" customFormat="false" ht="12.6" hidden="false" customHeight="true" outlineLevel="0" collapsed="false">
      <c r="A108" s="0"/>
      <c r="B108" s="0"/>
      <c r="C108" s="0"/>
      <c r="D108" s="0"/>
      <c r="E108" s="0"/>
      <c r="F108" s="0"/>
      <c r="G108" s="0"/>
      <c r="H108" s="0"/>
      <c r="I108" s="0"/>
      <c r="J108" s="0"/>
      <c r="K108" s="0"/>
      <c r="L108" s="0"/>
      <c r="M108" s="0"/>
      <c r="N108" s="0"/>
      <c r="O108" s="0"/>
      <c r="P108" s="0"/>
      <c r="Q108" s="0"/>
      <c r="R108" s="0"/>
      <c r="S108" s="0"/>
      <c r="T108" s="0"/>
      <c r="U108" s="0"/>
      <c r="V108" s="0"/>
      <c r="W108" s="0"/>
      <c r="X108" s="0"/>
      <c r="Y108" s="0"/>
      <c r="Z108" s="0"/>
      <c r="AA108" s="0"/>
      <c r="AB108" s="0"/>
      <c r="AC108" s="0"/>
      <c r="AD108" s="0"/>
      <c r="AE108" s="0"/>
      <c r="AF108" s="0"/>
    </row>
    <row r="109" customFormat="false" ht="12.6" hidden="false" customHeight="true" outlineLevel="0" collapsed="false">
      <c r="A109" s="0"/>
      <c r="B109" s="0"/>
      <c r="C109" s="0"/>
      <c r="D109" s="0"/>
      <c r="E109" s="0"/>
      <c r="F109" s="0"/>
      <c r="G109" s="0"/>
      <c r="H109" s="0"/>
      <c r="I109" s="0"/>
      <c r="J109" s="0"/>
      <c r="K109" s="0"/>
      <c r="L109" s="0"/>
      <c r="M109" s="0"/>
      <c r="N109" s="0"/>
      <c r="O109" s="0"/>
      <c r="P109" s="0"/>
      <c r="Q109" s="0"/>
      <c r="R109" s="0"/>
      <c r="S109" s="0"/>
      <c r="T109" s="0"/>
      <c r="U109" s="0"/>
      <c r="V109" s="0"/>
      <c r="W109" s="0"/>
      <c r="X109" s="0"/>
      <c r="Y109" s="0"/>
      <c r="Z109" s="0"/>
      <c r="AA109" s="0"/>
      <c r="AB109" s="0"/>
      <c r="AC109" s="0"/>
      <c r="AD109" s="0"/>
      <c r="AE109" s="0"/>
      <c r="AF109" s="0"/>
    </row>
    <row r="110" customFormat="false" ht="12.6" hidden="false" customHeight="true" outlineLevel="0" collapsed="false">
      <c r="A110" s="0"/>
      <c r="B110" s="0"/>
      <c r="C110" s="0"/>
      <c r="D110" s="0"/>
      <c r="E110" s="0"/>
      <c r="F110" s="0"/>
      <c r="G110" s="0"/>
      <c r="H110" s="0"/>
      <c r="I110" s="0"/>
      <c r="J110" s="0"/>
      <c r="K110" s="0"/>
      <c r="L110" s="0"/>
      <c r="M110" s="0"/>
      <c r="N110" s="0"/>
      <c r="O110" s="0"/>
      <c r="P110" s="0"/>
      <c r="Q110" s="0"/>
      <c r="R110" s="0"/>
      <c r="S110" s="0"/>
      <c r="T110" s="0"/>
      <c r="U110" s="0"/>
      <c r="V110" s="0"/>
      <c r="W110" s="0"/>
      <c r="X110" s="0"/>
      <c r="Y110" s="0"/>
      <c r="Z110" s="0"/>
      <c r="AA110" s="0"/>
      <c r="AB110" s="0"/>
      <c r="AC110" s="0"/>
      <c r="AD110" s="0"/>
      <c r="AE110" s="0"/>
      <c r="AF110" s="0"/>
    </row>
    <row r="111" customFormat="false" ht="12.6" hidden="false" customHeight="true" outlineLevel="0" collapsed="false">
      <c r="A111" s="0"/>
      <c r="B111" s="0"/>
      <c r="C111" s="0"/>
      <c r="D111" s="0"/>
      <c r="E111" s="0"/>
      <c r="F111" s="0"/>
      <c r="G111" s="0"/>
      <c r="H111" s="0"/>
      <c r="I111" s="0"/>
      <c r="J111" s="0"/>
      <c r="K111" s="0"/>
      <c r="L111" s="0"/>
      <c r="M111" s="0"/>
      <c r="N111" s="0"/>
      <c r="O111" s="0"/>
      <c r="P111" s="0"/>
      <c r="Q111" s="0"/>
      <c r="R111" s="0"/>
      <c r="S111" s="0"/>
      <c r="T111" s="0"/>
      <c r="U111" s="0"/>
      <c r="V111" s="0"/>
      <c r="W111" s="0"/>
      <c r="X111" s="0"/>
      <c r="Y111" s="0"/>
      <c r="Z111" s="0"/>
      <c r="AA111" s="0"/>
      <c r="AB111" s="0"/>
      <c r="AC111" s="0"/>
      <c r="AD111" s="0"/>
      <c r="AE111" s="0"/>
      <c r="AF111" s="0"/>
    </row>
    <row r="112" customFormat="false" ht="12.6" hidden="false" customHeight="true" outlineLevel="0" collapsed="false">
      <c r="A112" s="0"/>
      <c r="B112" s="0"/>
      <c r="C112" s="0"/>
      <c r="D112" s="0"/>
      <c r="E112" s="0"/>
      <c r="F112" s="0"/>
      <c r="G112" s="0"/>
      <c r="H112" s="0"/>
      <c r="I112" s="0"/>
      <c r="J112" s="0"/>
      <c r="K112" s="0"/>
      <c r="L112" s="0"/>
      <c r="M112" s="0"/>
      <c r="N112" s="0"/>
      <c r="O112" s="0"/>
      <c r="P112" s="0"/>
      <c r="Q112" s="0"/>
      <c r="R112" s="0"/>
      <c r="S112" s="0"/>
      <c r="T112" s="0"/>
      <c r="U112" s="0"/>
      <c r="V112" s="0"/>
      <c r="W112" s="0"/>
      <c r="X112" s="0"/>
      <c r="Y112" s="0"/>
      <c r="Z112" s="0"/>
      <c r="AA112" s="0"/>
      <c r="AB112" s="0"/>
      <c r="AC112" s="0"/>
      <c r="AD112" s="0"/>
      <c r="AE112" s="0"/>
      <c r="AF112" s="0"/>
    </row>
    <row r="113" customFormat="false" ht="12.6" hidden="false" customHeight="true" outlineLevel="0" collapsed="false">
      <c r="A113" s="0"/>
      <c r="B113" s="0"/>
      <c r="C113" s="0"/>
      <c r="D113" s="0"/>
      <c r="E113" s="0"/>
      <c r="F113" s="0"/>
      <c r="G113" s="0"/>
      <c r="H113" s="0"/>
      <c r="I113" s="0"/>
      <c r="J113" s="0"/>
      <c r="K113" s="0"/>
      <c r="L113" s="0"/>
      <c r="M113" s="0"/>
      <c r="N113" s="0"/>
      <c r="O113" s="0"/>
      <c r="P113" s="0"/>
      <c r="Q113" s="0"/>
      <c r="R113" s="0"/>
      <c r="S113" s="0"/>
      <c r="T113" s="0"/>
      <c r="U113" s="0"/>
      <c r="V113" s="0"/>
      <c r="W113" s="0"/>
      <c r="X113" s="0"/>
      <c r="Y113" s="0"/>
      <c r="Z113" s="0"/>
      <c r="AA113" s="0"/>
      <c r="AB113" s="0"/>
      <c r="AC113" s="0"/>
      <c r="AD113" s="0"/>
      <c r="AE113" s="0"/>
      <c r="AF113" s="0"/>
    </row>
    <row r="114" customFormat="false" ht="12.6" hidden="false" customHeight="true" outlineLevel="0" collapsed="false"/>
    <row r="115" customFormat="false" ht="12.6" hidden="false" customHeight="true" outlineLevel="0" collapsed="false"/>
    <row r="116" customFormat="false" ht="12.6" hidden="false" customHeight="true" outlineLevel="0" collapsed="false"/>
    <row r="117" customFormat="false" ht="12.6" hidden="false" customHeight="true" outlineLevel="0" collapsed="false">
      <c r="A117" s="606"/>
      <c r="B117" s="481"/>
      <c r="C117" s="481"/>
      <c r="D117" s="607"/>
      <c r="E117" s="410"/>
      <c r="F117" s="410"/>
      <c r="G117" s="410"/>
      <c r="H117" s="410"/>
      <c r="I117" s="410"/>
      <c r="J117" s="410"/>
      <c r="K117" s="410"/>
      <c r="L117" s="410"/>
      <c r="M117" s="410"/>
      <c r="N117" s="410"/>
      <c r="O117" s="410"/>
      <c r="P117" s="410"/>
      <c r="Q117" s="410"/>
      <c r="R117" s="410"/>
      <c r="S117" s="410"/>
      <c r="T117" s="410"/>
      <c r="U117" s="410"/>
      <c r="V117" s="410"/>
      <c r="W117" s="410"/>
      <c r="X117" s="410"/>
      <c r="Y117" s="410"/>
      <c r="Z117" s="410"/>
      <c r="AA117" s="410"/>
      <c r="AB117" s="410"/>
      <c r="AC117" s="410"/>
      <c r="AD117" s="481"/>
      <c r="AE117" s="481"/>
      <c r="AF117" s="481"/>
    </row>
    <row r="118" customFormat="false" ht="12.6" hidden="false" customHeight="true" outlineLevel="0" collapsed="false">
      <c r="A118" s="1"/>
      <c r="B118" s="481"/>
      <c r="C118" s="481"/>
      <c r="D118" s="410"/>
      <c r="E118" s="410"/>
      <c r="F118" s="410"/>
      <c r="G118" s="410"/>
      <c r="H118" s="410"/>
      <c r="I118" s="410"/>
      <c r="J118" s="410"/>
      <c r="K118" s="410"/>
      <c r="L118" s="410"/>
      <c r="M118" s="410"/>
      <c r="N118" s="410"/>
      <c r="O118" s="410"/>
      <c r="P118" s="410"/>
      <c r="Q118" s="410"/>
      <c r="R118" s="410"/>
      <c r="S118" s="410"/>
      <c r="T118" s="410"/>
      <c r="U118" s="410"/>
      <c r="V118" s="410"/>
      <c r="W118" s="410"/>
      <c r="X118" s="410"/>
      <c r="Y118" s="410"/>
      <c r="Z118" s="410"/>
      <c r="AA118" s="410"/>
      <c r="AB118" s="410"/>
      <c r="AC118" s="410"/>
      <c r="AD118" s="481"/>
      <c r="AE118" s="481"/>
      <c r="AF118" s="481"/>
    </row>
    <row r="119" customFormat="false" ht="12.6" hidden="false" customHeight="true" outlineLevel="0" collapsed="false">
      <c r="A119" s="606"/>
      <c r="B119" s="481"/>
      <c r="C119" s="481"/>
      <c r="D119" s="410"/>
      <c r="E119" s="608"/>
      <c r="F119" s="608"/>
      <c r="G119" s="608"/>
      <c r="H119" s="608"/>
      <c r="I119" s="608"/>
      <c r="J119" s="608"/>
      <c r="K119" s="608"/>
      <c r="L119" s="608"/>
      <c r="M119" s="608"/>
      <c r="N119" s="608"/>
      <c r="O119" s="608"/>
      <c r="P119" s="608"/>
      <c r="Q119" s="608"/>
      <c r="R119" s="608"/>
      <c r="S119" s="608"/>
      <c r="T119" s="608"/>
      <c r="U119" s="608"/>
      <c r="V119" s="608"/>
      <c r="W119" s="608"/>
      <c r="X119" s="608"/>
      <c r="Y119" s="608"/>
      <c r="Z119" s="608"/>
      <c r="AA119" s="608"/>
      <c r="AB119" s="608"/>
      <c r="AC119" s="608"/>
      <c r="AD119" s="608"/>
      <c r="AE119" s="608"/>
      <c r="AF119" s="608"/>
      <c r="AG119" s="609"/>
      <c r="AH119" s="609"/>
      <c r="AI119" s="609"/>
      <c r="AJ119" s="609"/>
      <c r="AK119" s="609"/>
      <c r="AL119" s="609"/>
      <c r="AM119" s="609"/>
      <c r="AN119" s="609"/>
      <c r="AO119" s="609"/>
      <c r="AP119" s="609"/>
      <c r="AQ119" s="609"/>
      <c r="AR119" s="609"/>
      <c r="AS119" s="609"/>
    </row>
    <row r="120" customFormat="false" ht="12.6" hidden="false" customHeight="true" outlineLevel="0" collapsed="false">
      <c r="A120" s="606"/>
      <c r="B120" s="481"/>
      <c r="C120" s="481"/>
      <c r="D120" s="410"/>
      <c r="E120" s="610"/>
      <c r="F120" s="610"/>
      <c r="G120" s="610"/>
      <c r="H120" s="610"/>
      <c r="I120" s="610"/>
      <c r="J120" s="610"/>
      <c r="K120" s="610"/>
      <c r="L120" s="610"/>
      <c r="M120" s="610"/>
      <c r="N120" s="610"/>
      <c r="O120" s="610"/>
      <c r="P120" s="610"/>
      <c r="Q120" s="610"/>
      <c r="R120" s="610"/>
      <c r="S120" s="610"/>
      <c r="T120" s="610"/>
      <c r="U120" s="610"/>
      <c r="V120" s="610"/>
      <c r="W120" s="610"/>
      <c r="X120" s="610"/>
      <c r="Y120" s="610"/>
      <c r="Z120" s="610"/>
      <c r="AA120" s="610"/>
      <c r="AB120" s="610"/>
      <c r="AC120" s="610"/>
      <c r="AD120" s="610"/>
      <c r="AE120" s="610"/>
      <c r="AF120" s="610"/>
      <c r="AG120" s="611"/>
      <c r="AH120" s="611"/>
      <c r="AI120" s="611"/>
      <c r="AJ120" s="611"/>
      <c r="AK120" s="611"/>
      <c r="AL120" s="611"/>
      <c r="AM120" s="611"/>
      <c r="AN120" s="611"/>
      <c r="AO120" s="611"/>
      <c r="AP120" s="611"/>
      <c r="AQ120" s="611"/>
      <c r="AR120" s="611"/>
      <c r="AS120" s="611"/>
    </row>
    <row r="121" customFormat="false" ht="12.6" hidden="false" customHeight="true" outlineLevel="0" collapsed="false">
      <c r="A121" s="606"/>
      <c r="B121" s="481"/>
      <c r="C121" s="481"/>
      <c r="D121" s="410"/>
      <c r="E121" s="410"/>
      <c r="F121" s="410"/>
      <c r="G121" s="410"/>
      <c r="H121" s="410"/>
      <c r="I121" s="410"/>
      <c r="J121" s="410"/>
      <c r="K121" s="410"/>
      <c r="L121" s="410"/>
      <c r="M121" s="410"/>
      <c r="N121" s="410"/>
      <c r="O121" s="410"/>
      <c r="P121" s="410"/>
      <c r="Q121" s="410"/>
      <c r="R121" s="410"/>
      <c r="S121" s="410"/>
      <c r="T121" s="410"/>
      <c r="U121" s="410"/>
      <c r="V121" s="410"/>
      <c r="W121" s="410"/>
      <c r="X121" s="410"/>
      <c r="Y121" s="410"/>
      <c r="Z121" s="410"/>
      <c r="AA121" s="410"/>
      <c r="AB121" s="410"/>
      <c r="AC121" s="410"/>
      <c r="AD121" s="410"/>
      <c r="AE121" s="410"/>
      <c r="AF121" s="410"/>
      <c r="AG121" s="612"/>
      <c r="AH121" s="612"/>
      <c r="AI121" s="612"/>
      <c r="AJ121" s="612"/>
      <c r="AK121" s="612"/>
      <c r="AL121" s="612"/>
      <c r="AM121" s="612"/>
      <c r="AN121" s="612"/>
      <c r="AO121" s="612"/>
      <c r="AP121" s="612"/>
      <c r="AQ121" s="612"/>
      <c r="AR121" s="612"/>
      <c r="AS121" s="612"/>
    </row>
    <row r="122" customFormat="false" ht="12.6" hidden="false" customHeight="true" outlineLevel="0" collapsed="false">
      <c r="A122" s="606"/>
      <c r="B122" s="613"/>
      <c r="C122" s="613"/>
      <c r="D122" s="410"/>
      <c r="E122" s="410"/>
      <c r="F122" s="410"/>
      <c r="G122" s="410"/>
      <c r="H122" s="410"/>
      <c r="I122" s="410"/>
      <c r="J122" s="410"/>
      <c r="K122" s="410"/>
      <c r="L122" s="410"/>
      <c r="M122" s="410"/>
      <c r="N122" s="410"/>
      <c r="O122" s="410"/>
      <c r="P122" s="410"/>
      <c r="Q122" s="410"/>
      <c r="R122" s="410"/>
      <c r="S122" s="410"/>
      <c r="T122" s="410"/>
      <c r="U122" s="410"/>
      <c r="V122" s="410"/>
      <c r="W122" s="410"/>
      <c r="X122" s="410"/>
      <c r="Y122" s="410"/>
      <c r="Z122" s="410"/>
      <c r="AA122" s="410"/>
      <c r="AB122" s="410"/>
      <c r="AC122" s="410"/>
      <c r="AD122" s="410"/>
      <c r="AE122" s="410"/>
      <c r="AF122" s="410"/>
      <c r="AG122" s="612"/>
      <c r="AH122" s="612"/>
      <c r="AI122" s="612"/>
      <c r="AJ122" s="612"/>
      <c r="AK122" s="612"/>
      <c r="AL122" s="612"/>
      <c r="AM122" s="612"/>
      <c r="AN122" s="612"/>
      <c r="AO122" s="612"/>
      <c r="AP122" s="612"/>
      <c r="AQ122" s="612"/>
      <c r="AR122" s="612"/>
      <c r="AS122" s="612"/>
    </row>
    <row r="123" customFormat="false" ht="12.6" hidden="false" customHeight="true" outlineLevel="0" collapsed="false">
      <c r="A123" s="606"/>
      <c r="B123" s="481"/>
      <c r="C123" s="481"/>
      <c r="D123" s="607"/>
      <c r="E123" s="610"/>
      <c r="F123" s="610"/>
      <c r="G123" s="610"/>
      <c r="H123" s="610"/>
      <c r="I123" s="610"/>
      <c r="J123" s="610"/>
      <c r="K123" s="610"/>
      <c r="L123" s="610"/>
      <c r="M123" s="610"/>
      <c r="N123" s="610"/>
      <c r="O123" s="610"/>
      <c r="P123" s="610"/>
      <c r="Q123" s="610"/>
      <c r="R123" s="610"/>
      <c r="S123" s="610"/>
      <c r="T123" s="610"/>
      <c r="U123" s="610"/>
      <c r="V123" s="610"/>
      <c r="W123" s="610"/>
      <c r="X123" s="610"/>
      <c r="Y123" s="610"/>
      <c r="Z123" s="610"/>
      <c r="AA123" s="610"/>
      <c r="AB123" s="610"/>
      <c r="AC123" s="610"/>
      <c r="AD123" s="610"/>
      <c r="AE123" s="610"/>
      <c r="AF123" s="610"/>
      <c r="AG123" s="611"/>
      <c r="AH123" s="611"/>
      <c r="AI123" s="611"/>
      <c r="AJ123" s="611"/>
      <c r="AK123" s="611"/>
      <c r="AL123" s="611"/>
      <c r="AM123" s="611"/>
      <c r="AN123" s="611"/>
      <c r="AO123" s="611"/>
      <c r="AP123" s="611"/>
      <c r="AQ123" s="611"/>
      <c r="AR123" s="611"/>
      <c r="AS123" s="611"/>
    </row>
    <row r="124" customFormat="false" ht="12.6" hidden="false" customHeight="true" outlineLevel="0" collapsed="false">
      <c r="A124" s="606"/>
      <c r="B124" s="481"/>
      <c r="C124" s="481"/>
      <c r="D124" s="410"/>
      <c r="E124" s="410"/>
      <c r="F124" s="410"/>
      <c r="G124" s="410"/>
      <c r="H124" s="410"/>
      <c r="I124" s="410"/>
      <c r="J124" s="410"/>
      <c r="K124" s="410"/>
      <c r="L124" s="410"/>
      <c r="M124" s="410"/>
      <c r="N124" s="410"/>
      <c r="O124" s="410"/>
      <c r="P124" s="410"/>
      <c r="Q124" s="410"/>
      <c r="R124" s="410"/>
      <c r="S124" s="410"/>
      <c r="T124" s="410"/>
      <c r="U124" s="410"/>
      <c r="V124" s="410"/>
      <c r="W124" s="410"/>
      <c r="X124" s="410"/>
      <c r="Y124" s="410"/>
      <c r="Z124" s="410"/>
      <c r="AA124" s="410"/>
      <c r="AB124" s="410"/>
      <c r="AC124" s="410"/>
      <c r="AD124" s="481"/>
      <c r="AE124" s="481"/>
      <c r="AF124" s="481"/>
    </row>
    <row r="125" customFormat="false" ht="12.6" hidden="false" customHeight="true" outlineLevel="0" collapsed="false">
      <c r="A125" s="481"/>
      <c r="B125" s="481"/>
      <c r="C125" s="481"/>
      <c r="D125" s="410"/>
      <c r="E125" s="410"/>
      <c r="F125" s="410"/>
      <c r="G125" s="410"/>
      <c r="H125" s="410"/>
      <c r="I125" s="410"/>
      <c r="J125" s="410"/>
      <c r="K125" s="410"/>
      <c r="L125" s="410"/>
      <c r="M125" s="410"/>
      <c r="N125" s="410"/>
      <c r="O125" s="410"/>
      <c r="P125" s="410"/>
      <c r="Q125" s="410"/>
      <c r="R125" s="410"/>
      <c r="S125" s="410"/>
      <c r="T125" s="410"/>
      <c r="U125" s="410"/>
      <c r="V125" s="410"/>
      <c r="W125" s="410"/>
      <c r="X125" s="410"/>
      <c r="Y125" s="410"/>
      <c r="Z125" s="410"/>
      <c r="AA125" s="410"/>
      <c r="AB125" s="410"/>
      <c r="AC125" s="410"/>
      <c r="AD125" s="481"/>
      <c r="AE125" s="481"/>
      <c r="AF125" s="481"/>
    </row>
    <row r="126" customFormat="false" ht="12.6" hidden="false" customHeight="true" outlineLevel="0" collapsed="false">
      <c r="A126" s="481"/>
      <c r="B126" s="481"/>
      <c r="C126" s="481"/>
      <c r="D126" s="410"/>
      <c r="E126" s="410"/>
      <c r="F126" s="410"/>
      <c r="G126" s="410"/>
      <c r="H126" s="410"/>
      <c r="I126" s="410"/>
      <c r="J126" s="410"/>
      <c r="K126" s="410"/>
      <c r="L126" s="410"/>
      <c r="M126" s="410"/>
      <c r="N126" s="410"/>
      <c r="O126" s="410"/>
      <c r="P126" s="410"/>
      <c r="Q126" s="410"/>
      <c r="R126" s="410"/>
      <c r="S126" s="410"/>
      <c r="T126" s="410"/>
      <c r="U126" s="410"/>
      <c r="V126" s="410"/>
      <c r="W126" s="410"/>
      <c r="X126" s="410"/>
      <c r="Y126" s="410"/>
      <c r="Z126" s="410"/>
      <c r="AA126" s="410"/>
      <c r="AB126" s="410"/>
      <c r="AC126" s="410"/>
      <c r="AD126" s="481"/>
      <c r="AE126" s="481"/>
      <c r="AF126" s="481"/>
    </row>
    <row r="127" customFormat="false" ht="12.6" hidden="false" customHeight="true" outlineLevel="0" collapsed="false">
      <c r="A127" s="481"/>
      <c r="B127" s="481"/>
      <c r="C127" s="481"/>
      <c r="AD127" s="481"/>
      <c r="AE127" s="481"/>
      <c r="AF127" s="481"/>
    </row>
    <row r="128" customFormat="false" ht="12.6" hidden="false" customHeight="true" outlineLevel="0" collapsed="false"/>
    <row r="129" customFormat="false" ht="12.6" hidden="false" customHeight="true" outlineLevel="0" collapsed="false"/>
    <row r="130" customFormat="false" ht="12.6" hidden="false" customHeight="true" outlineLevel="0" collapsed="false"/>
    <row r="131" customFormat="false" ht="12.6" hidden="false" customHeight="true" outlineLevel="0" collapsed="false"/>
    <row r="132" customFormat="false" ht="12.6" hidden="false" customHeight="true" outlineLevel="0" collapsed="false"/>
    <row r="133" customFormat="false" ht="12.6" hidden="false" customHeight="true" outlineLevel="0" collapsed="false"/>
    <row r="134" customFormat="false" ht="12.6" hidden="false" customHeight="true" outlineLevel="0" collapsed="false"/>
    <row r="135" customFormat="false" ht="12.6" hidden="false" customHeight="true" outlineLevel="0" collapsed="false"/>
    <row r="136" customFormat="false" ht="12.6" hidden="false" customHeight="true" outlineLevel="0" collapsed="false"/>
    <row r="137" customFormat="false" ht="12.6" hidden="false" customHeight="true" outlineLevel="0" collapsed="false"/>
    <row r="138" customFormat="false" ht="12.6" hidden="false" customHeight="true" outlineLevel="0" collapsed="false"/>
    <row r="139" customFormat="false" ht="12.6" hidden="false" customHeight="true" outlineLevel="0" collapsed="false"/>
    <row r="140" customFormat="false" ht="12.6" hidden="false" customHeight="true" outlineLevel="0" collapsed="false"/>
    <row r="141" customFormat="false" ht="12.6" hidden="false" customHeight="true" outlineLevel="0" collapsed="false"/>
    <row r="142" customFormat="false" ht="12.6" hidden="false" customHeight="true" outlineLevel="0" collapsed="false"/>
    <row r="143" customFormat="false" ht="12.6" hidden="false" customHeight="true" outlineLevel="0" collapsed="false"/>
    <row r="144" customFormat="false" ht="12.6" hidden="false" customHeight="true" outlineLevel="0" collapsed="false"/>
    <row r="145" customFormat="false" ht="12.6" hidden="false" customHeight="true" outlineLevel="0" collapsed="false"/>
    <row r="146" customFormat="false" ht="12.6" hidden="false" customHeight="true" outlineLevel="0" collapsed="false"/>
    <row r="147" customFormat="false" ht="12.6" hidden="false" customHeight="true" outlineLevel="0" collapsed="false"/>
    <row r="148" customFormat="false" ht="12.6" hidden="false" customHeight="true" outlineLevel="0" collapsed="false"/>
    <row r="149" customFormat="false" ht="12.6" hidden="false" customHeight="true" outlineLevel="0" collapsed="false"/>
    <row r="150" customFormat="false" ht="12.6" hidden="false" customHeight="true" outlineLevel="0" collapsed="false"/>
    <row r="151" customFormat="false" ht="12.6" hidden="false" customHeight="true" outlineLevel="0" collapsed="false"/>
    <row r="152" customFormat="false" ht="12.6" hidden="false" customHeight="true" outlineLevel="0" collapsed="false"/>
    <row r="153" customFormat="false" ht="12.6" hidden="false" customHeight="true" outlineLevel="0" collapsed="false"/>
    <row r="154" customFormat="false" ht="12.6" hidden="false" customHeight="true" outlineLevel="0" collapsed="false"/>
    <row r="155" customFormat="false" ht="12.6" hidden="false" customHeight="true" outlineLevel="0" collapsed="false"/>
    <row r="156" customFormat="false" ht="12.6" hidden="false" customHeight="true" outlineLevel="0" collapsed="false"/>
    <row r="157" customFormat="false" ht="12.6" hidden="false" customHeight="true" outlineLevel="0" collapsed="false"/>
    <row r="158" customFormat="false" ht="12.6" hidden="false" customHeight="true" outlineLevel="0" collapsed="false"/>
    <row r="159" customFormat="false" ht="12.6" hidden="false" customHeight="true" outlineLevel="0" collapsed="false"/>
    <row r="160" customFormat="false" ht="12.6" hidden="false" customHeight="true" outlineLevel="0" collapsed="false"/>
    <row r="161" customFormat="false" ht="12.6" hidden="false" customHeight="true" outlineLevel="0" collapsed="false"/>
    <row r="162" customFormat="false" ht="12.6" hidden="false" customHeight="true" outlineLevel="0" collapsed="false"/>
    <row r="163" customFormat="false" ht="12.6" hidden="false" customHeight="true" outlineLevel="0" collapsed="false"/>
    <row r="164" customFormat="false" ht="12.6" hidden="false" customHeight="true" outlineLevel="0" collapsed="false"/>
    <row r="165" customFormat="false" ht="12.6" hidden="false" customHeight="true" outlineLevel="0" collapsed="false"/>
    <row r="166" customFormat="false" ht="12.6" hidden="false" customHeight="true" outlineLevel="0" collapsed="false"/>
    <row r="167" customFormat="false" ht="12.6" hidden="false" customHeight="true" outlineLevel="0" collapsed="false"/>
    <row r="168" customFormat="false" ht="12.6" hidden="false" customHeight="true" outlineLevel="0" collapsed="false"/>
    <row r="169" customFormat="false" ht="12.6" hidden="false" customHeight="true" outlineLevel="0" collapsed="false"/>
    <row r="170" customFormat="false" ht="12.6" hidden="false" customHeight="true" outlineLevel="0" collapsed="false"/>
    <row r="171" customFormat="false" ht="12.6" hidden="false" customHeight="true" outlineLevel="0" collapsed="false"/>
    <row r="172" customFormat="false" ht="12.6" hidden="false" customHeight="true" outlineLevel="0" collapsed="false"/>
    <row r="173" customFormat="false" ht="12.6" hidden="false" customHeight="true" outlineLevel="0" collapsed="false"/>
    <row r="174" customFormat="false" ht="12.6" hidden="false" customHeight="true" outlineLevel="0" collapsed="false"/>
    <row r="175" customFormat="false" ht="12.6" hidden="false" customHeight="true" outlineLevel="0" collapsed="false"/>
    <row r="176" customFormat="false" ht="12.6" hidden="false" customHeight="true" outlineLevel="0" collapsed="false"/>
    <row r="177" customFormat="false" ht="12.6" hidden="false" customHeight="true" outlineLevel="0" collapsed="false"/>
    <row r="178" customFormat="false" ht="12.6" hidden="false" customHeight="true" outlineLevel="0" collapsed="false"/>
    <row r="179" customFormat="false" ht="12.6" hidden="false" customHeight="true" outlineLevel="0" collapsed="false"/>
    <row r="180" customFormat="false" ht="12.6" hidden="false" customHeight="true" outlineLevel="0" collapsed="false"/>
    <row r="181" customFormat="false" ht="12.6" hidden="false" customHeight="true" outlineLevel="0" collapsed="false"/>
    <row r="182" customFormat="false" ht="12.6" hidden="false" customHeight="true" outlineLevel="0" collapsed="false"/>
    <row r="183" customFormat="false" ht="12.6" hidden="false" customHeight="true" outlineLevel="0" collapsed="false"/>
    <row r="184" customFormat="false" ht="12.6" hidden="false" customHeight="true" outlineLevel="0" collapsed="false"/>
    <row r="185" customFormat="false" ht="12.6" hidden="false" customHeight="true" outlineLevel="0" collapsed="false"/>
    <row r="186" customFormat="false" ht="12.6" hidden="false" customHeight="true" outlineLevel="0" collapsed="false"/>
    <row r="187" customFormat="false" ht="12.6" hidden="false" customHeight="true" outlineLevel="0" collapsed="false"/>
    <row r="188" customFormat="false" ht="12.6" hidden="false" customHeight="true" outlineLevel="0" collapsed="false"/>
    <row r="189" customFormat="false" ht="12.6" hidden="false" customHeight="true" outlineLevel="0" collapsed="false"/>
    <row r="190" customFormat="false" ht="12.6" hidden="false" customHeight="true" outlineLevel="0" collapsed="false"/>
    <row r="191" customFormat="false" ht="12.6" hidden="false" customHeight="true" outlineLevel="0" collapsed="false"/>
    <row r="192" customFormat="false" ht="12.6" hidden="false" customHeight="true" outlineLevel="0" collapsed="false"/>
    <row r="193" customFormat="false" ht="12.6" hidden="false" customHeight="true" outlineLevel="0" collapsed="false"/>
    <row r="194" customFormat="false" ht="12.6" hidden="false" customHeight="true" outlineLevel="0" collapsed="false"/>
    <row r="195" customFormat="false" ht="12.6" hidden="false" customHeight="true" outlineLevel="0" collapsed="false"/>
    <row r="196" customFormat="false" ht="12.6" hidden="false" customHeight="true" outlineLevel="0" collapsed="false"/>
    <row r="197" customFormat="false" ht="12.6" hidden="false" customHeight="true" outlineLevel="0" collapsed="false"/>
    <row r="198" customFormat="false" ht="12.6" hidden="false" customHeight="true" outlineLevel="0" collapsed="false"/>
    <row r="199" customFormat="false" ht="12.6" hidden="false" customHeight="true" outlineLevel="0" collapsed="false"/>
    <row r="200" customFormat="false" ht="12.6" hidden="false" customHeight="true" outlineLevel="0" collapsed="false"/>
    <row r="201" customFormat="false" ht="12.6" hidden="false" customHeight="true" outlineLevel="0" collapsed="false"/>
    <row r="202" customFormat="false" ht="12.6" hidden="false" customHeight="true" outlineLevel="0" collapsed="false"/>
    <row r="203" customFormat="false" ht="12.6" hidden="false" customHeight="true" outlineLevel="0" collapsed="false"/>
    <row r="204" customFormat="false" ht="12.6" hidden="false" customHeight="true" outlineLevel="0" collapsed="false"/>
    <row r="205" customFormat="false" ht="12.6" hidden="false" customHeight="true" outlineLevel="0" collapsed="false"/>
    <row r="206" customFormat="false" ht="12.6" hidden="false" customHeight="true" outlineLevel="0" collapsed="false"/>
    <row r="207" customFormat="false" ht="12.6" hidden="false" customHeight="true" outlineLevel="0" collapsed="false"/>
    <row r="208" customFormat="false" ht="12.6" hidden="false" customHeight="true" outlineLevel="0" collapsed="false"/>
    <row r="209" customFormat="false" ht="12.6" hidden="false" customHeight="true" outlineLevel="0" collapsed="false"/>
    <row r="210" customFormat="false" ht="12.6" hidden="false" customHeight="true" outlineLevel="0" collapsed="false"/>
    <row r="211" customFormat="false" ht="12.6" hidden="false" customHeight="true" outlineLevel="0" collapsed="false"/>
    <row r="212" customFormat="false" ht="12.6" hidden="false" customHeight="true" outlineLevel="0" collapsed="false"/>
    <row r="213" customFormat="false" ht="12.6" hidden="false" customHeight="true" outlineLevel="0" collapsed="false"/>
    <row r="214" customFormat="false" ht="12.6" hidden="false" customHeight="true" outlineLevel="0" collapsed="false"/>
    <row r="215" customFormat="false" ht="12.6" hidden="false" customHeight="true" outlineLevel="0" collapsed="false"/>
    <row r="216" customFormat="false" ht="12.6" hidden="false" customHeight="true" outlineLevel="0" collapsed="false"/>
    <row r="217" customFormat="false" ht="12.6" hidden="false" customHeight="true" outlineLevel="0" collapsed="false"/>
    <row r="218" customFormat="false" ht="12.6" hidden="false" customHeight="true" outlineLevel="0" collapsed="false"/>
    <row r="219" customFormat="false" ht="12.6" hidden="false" customHeight="true" outlineLevel="0" collapsed="false"/>
    <row r="220" customFormat="false" ht="12.6" hidden="false" customHeight="true" outlineLevel="0" collapsed="false"/>
    <row r="221" customFormat="false" ht="12.6" hidden="false" customHeight="true" outlineLevel="0" collapsed="false"/>
    <row r="222" customFormat="false" ht="12.6" hidden="false" customHeight="true" outlineLevel="0" collapsed="false"/>
    <row r="223" customFormat="false" ht="12.6" hidden="false" customHeight="true" outlineLevel="0" collapsed="false"/>
    <row r="224" customFormat="false" ht="12.6" hidden="false" customHeight="true" outlineLevel="0" collapsed="false"/>
    <row r="225" customFormat="false" ht="12.6" hidden="false" customHeight="true" outlineLevel="0" collapsed="false"/>
    <row r="226" customFormat="false" ht="12.6" hidden="false" customHeight="true" outlineLevel="0" collapsed="false"/>
    <row r="227" customFormat="false" ht="12.6" hidden="false" customHeight="true" outlineLevel="0" collapsed="false"/>
    <row r="228" customFormat="false" ht="12.6" hidden="false" customHeight="true" outlineLevel="0" collapsed="false"/>
    <row r="229" customFormat="false" ht="12.6" hidden="false" customHeight="true" outlineLevel="0" collapsed="false"/>
    <row r="230" customFormat="false" ht="12.6" hidden="false" customHeight="true" outlineLevel="0" collapsed="false"/>
    <row r="231" customFormat="false" ht="12.6" hidden="false" customHeight="true" outlineLevel="0" collapsed="false"/>
    <row r="232" customFormat="false" ht="12.6" hidden="false" customHeight="true" outlineLevel="0" collapsed="false"/>
    <row r="233" customFormat="false" ht="12.6" hidden="false" customHeight="true" outlineLevel="0" collapsed="false"/>
    <row r="234" customFormat="false" ht="12.6" hidden="false" customHeight="true" outlineLevel="0" collapsed="false"/>
    <row r="235" customFormat="false" ht="12.6" hidden="false" customHeight="true" outlineLevel="0" collapsed="false"/>
    <row r="236" customFormat="false" ht="12.6" hidden="false" customHeight="true" outlineLevel="0" collapsed="false"/>
    <row r="237" customFormat="false" ht="12.6" hidden="false" customHeight="true" outlineLevel="0" collapsed="false"/>
    <row r="238" customFormat="false" ht="12.6" hidden="false" customHeight="true" outlineLevel="0" collapsed="false"/>
    <row r="239" customFormat="false" ht="12.6" hidden="false" customHeight="true" outlineLevel="0" collapsed="false"/>
    <row r="240" customFormat="false" ht="12.6" hidden="false" customHeight="true" outlineLevel="0" collapsed="false"/>
    <row r="241" customFormat="false" ht="12.6" hidden="false" customHeight="true" outlineLevel="0" collapsed="false"/>
    <row r="242" customFormat="false" ht="12.6" hidden="false" customHeight="true" outlineLevel="0" collapsed="false"/>
    <row r="243" customFormat="false" ht="12.6" hidden="false" customHeight="true" outlineLevel="0" collapsed="false"/>
    <row r="244" customFormat="false" ht="12.6" hidden="false" customHeight="true" outlineLevel="0" collapsed="false"/>
    <row r="245" customFormat="false" ht="12.6" hidden="false" customHeight="true" outlineLevel="0" collapsed="false"/>
    <row r="246" customFormat="false" ht="12.6" hidden="false" customHeight="true" outlineLevel="0" collapsed="false"/>
    <row r="247" customFormat="false" ht="12.6" hidden="false" customHeight="true" outlineLevel="0" collapsed="false"/>
    <row r="248" customFormat="false" ht="12.6" hidden="false" customHeight="true" outlineLevel="0" collapsed="false"/>
    <row r="249" customFormat="false" ht="12.6" hidden="false" customHeight="true" outlineLevel="0" collapsed="false"/>
    <row r="250" customFormat="false" ht="12.6" hidden="false" customHeight="true" outlineLevel="0" collapsed="false"/>
    <row r="251" customFormat="false" ht="12.6" hidden="false" customHeight="true" outlineLevel="0" collapsed="false"/>
    <row r="252" customFormat="false" ht="12.6" hidden="false" customHeight="true" outlineLevel="0" collapsed="false"/>
    <row r="253" customFormat="false" ht="12.6" hidden="false" customHeight="true" outlineLevel="0" collapsed="false"/>
    <row r="254" customFormat="false" ht="12.6" hidden="false" customHeight="true" outlineLevel="0" collapsed="false"/>
    <row r="255" customFormat="false" ht="12.6" hidden="false" customHeight="true" outlineLevel="0" collapsed="false"/>
    <row r="256" customFormat="false" ht="12.6" hidden="false" customHeight="true" outlineLevel="0" collapsed="false"/>
    <row r="257" customFormat="false" ht="12.6" hidden="false" customHeight="true" outlineLevel="0" collapsed="false"/>
    <row r="258" customFormat="false" ht="12.6" hidden="false" customHeight="true" outlineLevel="0" collapsed="false"/>
    <row r="259" customFormat="false" ht="12.6" hidden="false" customHeight="true" outlineLevel="0" collapsed="false"/>
    <row r="260" customFormat="false" ht="12.6" hidden="false" customHeight="true" outlineLevel="0" collapsed="false"/>
    <row r="261" customFormat="false" ht="12.6" hidden="false" customHeight="true" outlineLevel="0" collapsed="false"/>
    <row r="262" customFormat="false" ht="12.6" hidden="false" customHeight="true" outlineLevel="0" collapsed="false"/>
    <row r="263" customFormat="false" ht="12.6" hidden="false" customHeight="true" outlineLevel="0" collapsed="false"/>
    <row r="264" customFormat="false" ht="12.6" hidden="false" customHeight="true" outlineLevel="0" collapsed="false"/>
    <row r="265" customFormat="false" ht="12.6" hidden="false" customHeight="true" outlineLevel="0" collapsed="false"/>
    <row r="266" customFormat="false" ht="12.6" hidden="false" customHeight="true" outlineLevel="0" collapsed="false"/>
    <row r="267" customFormat="false" ht="12.6" hidden="false" customHeight="true" outlineLevel="0" collapsed="false"/>
    <row r="268" customFormat="false" ht="12.6" hidden="false" customHeight="true" outlineLevel="0" collapsed="false"/>
    <row r="269" customFormat="false" ht="12.6" hidden="false" customHeight="true" outlineLevel="0" collapsed="false"/>
    <row r="270" customFormat="false" ht="12.6" hidden="false" customHeight="true" outlineLevel="0" collapsed="false"/>
    <row r="271" customFormat="false" ht="12.6" hidden="false" customHeight="true" outlineLevel="0" collapsed="false"/>
    <row r="272" customFormat="false" ht="12.6" hidden="false" customHeight="true" outlineLevel="0" collapsed="false"/>
    <row r="273" customFormat="false" ht="12.6" hidden="false" customHeight="true" outlineLevel="0" collapsed="false"/>
    <row r="274" customFormat="false" ht="12.6" hidden="false" customHeight="true" outlineLevel="0" collapsed="false"/>
    <row r="275" customFormat="false" ht="12.6" hidden="false" customHeight="true" outlineLevel="0" collapsed="false"/>
    <row r="276" customFormat="false" ht="12.6" hidden="false" customHeight="true" outlineLevel="0" collapsed="false"/>
    <row r="277" customFormat="false" ht="12.6" hidden="false" customHeight="true" outlineLevel="0" collapsed="false"/>
    <row r="278" customFormat="false" ht="12.6" hidden="false" customHeight="true" outlineLevel="0" collapsed="false"/>
    <row r="279" customFormat="false" ht="12.6" hidden="false" customHeight="true" outlineLevel="0" collapsed="false"/>
    <row r="280" customFormat="false" ht="12.6" hidden="false" customHeight="true" outlineLevel="0" collapsed="false"/>
    <row r="281"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rowBreaks count="1" manualBreakCount="1">
    <brk id="62" man="true" max="16383" min="0"/>
  </rowBreaks>
  <colBreaks count="4" manualBreakCount="4">
    <brk id="16" man="true" max="65535" min="0"/>
    <brk id="29" man="true" max="65535" min="0"/>
    <brk id="46" man="true" max="65535" min="0"/>
    <brk id="63" man="true" max="65535" min="0"/>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U179"/>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R1" activeCellId="0" sqref="R1"/>
    </sheetView>
  </sheetViews>
  <sheetFormatPr defaultColWidth="9.0546875" defaultRowHeight="12.75" customHeight="true" zeroHeight="false" outlineLevelRow="0" outlineLevelCol="0"/>
  <cols>
    <col collapsed="false" customWidth="true" hidden="false" outlineLevel="0" max="1" min="1" style="6" width="40.99"/>
    <col collapsed="false" customWidth="true" hidden="false" outlineLevel="0" max="2" min="2" style="6" width="11.42"/>
    <col collapsed="false" customWidth="true" hidden="false" outlineLevel="0" max="27" min="3" style="6" width="10.28"/>
    <col collapsed="false" customWidth="true" hidden="false" outlineLevel="0" max="29" min="28" style="6" width="9.14"/>
  </cols>
  <sheetData>
    <row r="1" customFormat="false" ht="20.25" hidden="false" customHeight="false" outlineLevel="0" collapsed="false">
      <c r="A1" s="367" t="str">
        <f aca="false">'Project Assumtions'!$A$2</f>
        <v>WHEATLAND POWER IN, L.L.C.</v>
      </c>
      <c r="B1" s="368"/>
    </row>
    <row r="2" customFormat="false" ht="12.75" hidden="false" customHeight="false" outlineLevel="0" collapsed="false">
      <c r="A2" s="370" t="s">
        <v>467</v>
      </c>
      <c r="B2" s="371"/>
    </row>
    <row r="3" customFormat="false" ht="12.6" hidden="false" customHeight="true" outlineLevel="0" collapsed="false">
      <c r="A3" s="480"/>
      <c r="C3" s="481" t="n">
        <f aca="false">'Book Income Statement'!D3</f>
        <v>1</v>
      </c>
      <c r="D3" s="481" t="n">
        <f aca="false">'Book Income Statement'!E3</f>
        <v>2</v>
      </c>
      <c r="E3" s="481" t="n">
        <f aca="false">'Book Income Statement'!F3</f>
        <v>3</v>
      </c>
      <c r="F3" s="481" t="n">
        <f aca="false">'Book Income Statement'!G3</f>
        <v>4</v>
      </c>
      <c r="G3" s="481" t="n">
        <f aca="false">'Book Income Statement'!H3</f>
        <v>5</v>
      </c>
      <c r="H3" s="481" t="n">
        <f aca="false">'Book Income Statement'!I3</f>
        <v>6</v>
      </c>
      <c r="I3" s="482" t="n">
        <f aca="false">'Book Income Statement'!J3</f>
        <v>7</v>
      </c>
      <c r="J3" s="481" t="n">
        <f aca="false">'Book Income Statement'!K3</f>
        <v>8</v>
      </c>
      <c r="K3" s="481" t="n">
        <f aca="false">'Book Income Statement'!L3</f>
        <v>9</v>
      </c>
      <c r="L3" s="481" t="n">
        <f aca="false">'Book Income Statement'!M3</f>
        <v>10</v>
      </c>
      <c r="M3" s="481" t="n">
        <f aca="false">'Book Income Statement'!N3</f>
        <v>11</v>
      </c>
      <c r="N3" s="481" t="n">
        <f aca="false">'Book Income Statement'!O3</f>
        <v>12</v>
      </c>
      <c r="O3" s="482" t="n">
        <f aca="false">'Book Income Statement'!P3</f>
        <v>13</v>
      </c>
      <c r="P3" s="481" t="n">
        <f aca="false">'Book Income Statement'!Q3</f>
        <v>14</v>
      </c>
      <c r="Q3" s="481" t="n">
        <f aca="false">'Book Income Statement'!R3</f>
        <v>15</v>
      </c>
      <c r="R3" s="481" t="n">
        <f aca="false">'Book Income Statement'!S3</f>
        <v>16</v>
      </c>
      <c r="S3" s="481" t="n">
        <f aca="false">'Book Income Statement'!T3</f>
        <v>17</v>
      </c>
      <c r="T3" s="481" t="n">
        <f aca="false">'Book Income Statement'!U3</f>
        <v>18</v>
      </c>
      <c r="U3" s="482" t="n">
        <f aca="false">'Book Income Statement'!V3</f>
        <v>19</v>
      </c>
      <c r="V3" s="481" t="n">
        <f aca="false">'Book Income Statement'!W3</f>
        <v>20</v>
      </c>
      <c r="W3" s="481" t="n">
        <f aca="false">'Book Income Statement'!X3</f>
        <v>21</v>
      </c>
      <c r="X3" s="481" t="n">
        <f aca="false">'Book Income Statement'!Y3</f>
        <v>22</v>
      </c>
      <c r="Y3" s="481" t="n">
        <f aca="false">'Book Income Statement'!Z3</f>
        <v>23</v>
      </c>
      <c r="Z3" s="481" t="n">
        <f aca="false">'Book Income Statement'!AA3</f>
        <v>24</v>
      </c>
      <c r="AA3" s="482" t="n">
        <f aca="false">'Book Income Statement'!AB3</f>
        <v>25</v>
      </c>
      <c r="AB3" s="481"/>
      <c r="AC3" s="483"/>
    </row>
    <row r="4" customFormat="false" ht="12.6" hidden="false" customHeight="true" outlineLevel="0" collapsed="false">
      <c r="A4" s="484"/>
      <c r="B4" s="485"/>
      <c r="C4" s="375" t="n">
        <f aca="false">'Book Income Statement'!D4</f>
        <v>2000</v>
      </c>
      <c r="D4" s="375" t="n">
        <f aca="false">'Book Income Statement'!E4</f>
        <v>2001</v>
      </c>
      <c r="E4" s="375" t="n">
        <f aca="false">'Book Income Statement'!F4</f>
        <v>2002</v>
      </c>
      <c r="F4" s="375" t="n">
        <f aca="false">'Book Income Statement'!G4</f>
        <v>2003</v>
      </c>
      <c r="G4" s="375" t="n">
        <f aca="false">'Book Income Statement'!H4</f>
        <v>2004</v>
      </c>
      <c r="H4" s="375" t="n">
        <f aca="false">'Book Income Statement'!I4</f>
        <v>2005</v>
      </c>
      <c r="I4" s="375" t="n">
        <f aca="false">'Book Income Statement'!J4</f>
        <v>2006</v>
      </c>
      <c r="J4" s="375" t="n">
        <f aca="false">'Book Income Statement'!K4</f>
        <v>2007</v>
      </c>
      <c r="K4" s="375" t="n">
        <f aca="false">'Book Income Statement'!L4</f>
        <v>2008</v>
      </c>
      <c r="L4" s="375" t="n">
        <f aca="false">'Book Income Statement'!M4</f>
        <v>2009</v>
      </c>
      <c r="M4" s="375" t="n">
        <f aca="false">'Book Income Statement'!N4</f>
        <v>2010</v>
      </c>
      <c r="N4" s="375" t="n">
        <f aca="false">'Book Income Statement'!O4</f>
        <v>2011</v>
      </c>
      <c r="O4" s="375" t="n">
        <f aca="false">'Book Income Statement'!P4</f>
        <v>2012</v>
      </c>
      <c r="P4" s="375" t="n">
        <f aca="false">'Book Income Statement'!Q4</f>
        <v>2013</v>
      </c>
      <c r="Q4" s="375" t="n">
        <f aca="false">'Book Income Statement'!R4</f>
        <v>2014</v>
      </c>
      <c r="R4" s="375" t="n">
        <f aca="false">'Book Income Statement'!S4</f>
        <v>2015</v>
      </c>
      <c r="S4" s="375" t="n">
        <f aca="false">'Book Income Statement'!T4</f>
        <v>2016</v>
      </c>
      <c r="T4" s="375" t="n">
        <f aca="false">'Book Income Statement'!U4</f>
        <v>2017</v>
      </c>
      <c r="U4" s="375" t="n">
        <f aca="false">'Book Income Statement'!V4</f>
        <v>2018</v>
      </c>
      <c r="V4" s="375" t="n">
        <f aca="false">'Book Income Statement'!W4</f>
        <v>2019</v>
      </c>
      <c r="W4" s="375" t="n">
        <f aca="false">'Book Income Statement'!X4</f>
        <v>2020</v>
      </c>
      <c r="X4" s="375" t="n">
        <f aca="false">'Book Income Statement'!Y4</f>
        <v>2021</v>
      </c>
      <c r="Y4" s="375" t="n">
        <f aca="false">'Book Income Statement'!Z4</f>
        <v>2022</v>
      </c>
      <c r="Z4" s="375" t="n">
        <f aca="false">'Book Income Statement'!AA4</f>
        <v>2023</v>
      </c>
      <c r="AA4" s="376" t="n">
        <f aca="false">'Book Income Statement'!AB4</f>
        <v>2024</v>
      </c>
      <c r="AB4" s="390"/>
      <c r="AC4" s="390"/>
      <c r="AE4" s="486"/>
      <c r="AF4" s="486"/>
      <c r="AG4" s="486"/>
      <c r="AH4" s="486"/>
      <c r="AI4" s="486"/>
      <c r="AJ4" s="486"/>
      <c r="AK4" s="486"/>
      <c r="AL4" s="486"/>
      <c r="AM4" s="486"/>
      <c r="AN4" s="486"/>
      <c r="AO4" s="486"/>
      <c r="AP4" s="486"/>
      <c r="AQ4" s="486"/>
      <c r="AR4" s="486"/>
      <c r="AS4" s="486"/>
      <c r="AT4" s="486"/>
      <c r="AU4" s="486"/>
      <c r="AV4" s="486"/>
      <c r="AW4" s="486"/>
      <c r="AX4" s="486"/>
      <c r="AY4" s="486"/>
      <c r="AZ4" s="486"/>
    </row>
    <row r="5" customFormat="false" ht="15.75" hidden="false" customHeight="false" outlineLevel="0" collapsed="false">
      <c r="A5" s="407" t="s">
        <v>468</v>
      </c>
      <c r="B5" s="378"/>
      <c r="C5" s="378"/>
      <c r="D5" s="378"/>
      <c r="E5" s="378"/>
      <c r="F5" s="378"/>
      <c r="G5" s="378"/>
      <c r="H5" s="378"/>
      <c r="I5" s="378"/>
      <c r="J5" s="378"/>
      <c r="K5" s="378"/>
      <c r="L5" s="378"/>
      <c r="M5" s="378"/>
      <c r="N5" s="378"/>
      <c r="O5" s="378"/>
      <c r="P5" s="378"/>
      <c r="Q5" s="378"/>
      <c r="R5" s="378"/>
      <c r="S5" s="378"/>
      <c r="T5" s="378"/>
      <c r="U5" s="378"/>
      <c r="V5" s="378"/>
      <c r="W5" s="378"/>
      <c r="X5" s="378"/>
      <c r="Y5" s="378"/>
      <c r="Z5" s="378"/>
      <c r="AA5" s="408"/>
      <c r="AB5" s="378"/>
      <c r="AC5" s="378"/>
    </row>
    <row r="6" customFormat="false" ht="12.6" hidden="false" customHeight="true" outlineLevel="0" collapsed="false">
      <c r="A6" s="440" t="s">
        <v>469</v>
      </c>
      <c r="B6" s="614" t="n">
        <f aca="false">'Project Assumtions'!G16</f>
        <v>36678</v>
      </c>
      <c r="C6" s="614" t="n">
        <f aca="false">DATE(YEAR(B6),12,31)</f>
        <v>36891</v>
      </c>
      <c r="D6" s="614" t="n">
        <f aca="false">EDATE(C6,12)</f>
        <v>37256</v>
      </c>
      <c r="E6" s="614" t="n">
        <f aca="false">EDATE(D6,12)</f>
        <v>37621</v>
      </c>
      <c r="F6" s="614" t="n">
        <f aca="false">EDATE(E6,12)</f>
        <v>37986</v>
      </c>
      <c r="G6" s="614" t="n">
        <f aca="false">EDATE(F6,12)</f>
        <v>38352</v>
      </c>
      <c r="H6" s="614" t="n">
        <f aca="false">EDATE(G6,12)</f>
        <v>38717</v>
      </c>
      <c r="I6" s="614" t="n">
        <f aca="false">EDATE(H6,12)</f>
        <v>39082</v>
      </c>
      <c r="J6" s="614" t="n">
        <f aca="false">EDATE(I6,12)</f>
        <v>39447</v>
      </c>
      <c r="K6" s="614" t="n">
        <f aca="false">EDATE(J6,12)</f>
        <v>39813</v>
      </c>
      <c r="L6" s="614" t="n">
        <f aca="false">EDATE(K6,12)</f>
        <v>40178</v>
      </c>
      <c r="M6" s="614" t="n">
        <f aca="false">EDATE(L6,12)</f>
        <v>40543</v>
      </c>
      <c r="N6" s="614" t="n">
        <f aca="false">EDATE(M6,12)</f>
        <v>40908</v>
      </c>
      <c r="O6" s="614" t="n">
        <f aca="false">EDATE(N6,12)</f>
        <v>41274</v>
      </c>
      <c r="P6" s="614" t="n">
        <f aca="false">EDATE(O6,12)</f>
        <v>41639</v>
      </c>
      <c r="Q6" s="614" t="n">
        <f aca="false">EDATE(P6,12)</f>
        <v>42004</v>
      </c>
      <c r="R6" s="614" t="n">
        <f aca="false">EDATE(Q6,12)</f>
        <v>42369</v>
      </c>
      <c r="S6" s="614" t="n">
        <f aca="false">EDATE(R6,12)</f>
        <v>42735</v>
      </c>
      <c r="T6" s="614" t="n">
        <f aca="false">EDATE(S6,12)</f>
        <v>43100</v>
      </c>
      <c r="U6" s="614" t="n">
        <f aca="false">EDATE(T6,12)</f>
        <v>43465</v>
      </c>
      <c r="V6" s="614" t="n">
        <f aca="false">EDATE(U6,12)</f>
        <v>43830</v>
      </c>
      <c r="W6" s="614" t="n">
        <f aca="false">EDATE(V6,12)</f>
        <v>44196</v>
      </c>
      <c r="X6" s="614" t="n">
        <f aca="false">EDATE(W6,12)</f>
        <v>44561</v>
      </c>
      <c r="Y6" s="614" t="n">
        <f aca="false">EDATE(X6,12)</f>
        <v>44926</v>
      </c>
      <c r="Z6" s="614" t="n">
        <f aca="false">EDATE(Y6,12)</f>
        <v>45291</v>
      </c>
      <c r="AA6" s="615" t="n">
        <f aca="false">EDATE(Z6,12)</f>
        <v>45657</v>
      </c>
      <c r="AB6" s="378"/>
      <c r="AC6" s="378"/>
    </row>
    <row r="7" customFormat="false" ht="12.6" hidden="false" customHeight="true" outlineLevel="0" collapsed="false">
      <c r="A7" s="427" t="s">
        <v>470</v>
      </c>
      <c r="B7" s="431" t="n">
        <f aca="false">'Project Assumtions'!C8*-1</f>
        <v>-40195.6215</v>
      </c>
      <c r="C7" s="431" t="n">
        <f aca="false">'Cash Flow Statement'!D20</f>
        <v>-2035.94518215442</v>
      </c>
      <c r="D7" s="431" t="n">
        <f aca="false">'Cash Flow Statement'!E20+'Cash Flow Statement'!E43</f>
        <v>6400.21803806929</v>
      </c>
      <c r="E7" s="431" t="n">
        <f aca="false">'Cash Flow Statement'!F20+'Cash Flow Statement'!F43</f>
        <v>4988.74488036494</v>
      </c>
      <c r="F7" s="431" t="n">
        <f aca="false">'Cash Flow Statement'!G20+'Cash Flow Statement'!G43</f>
        <v>10976.7475192027</v>
      </c>
      <c r="G7" s="431" t="n">
        <f aca="false">'Cash Flow Statement'!H20+'Cash Flow Statement'!H43</f>
        <v>21375.3802301962</v>
      </c>
      <c r="H7" s="431" t="n">
        <f aca="false">'Cash Flow Statement'!I20+'Cash Flow Statement'!I43</f>
        <v>22719.1331050268</v>
      </c>
      <c r="I7" s="431" t="n">
        <f aca="false">'Cash Flow Statement'!J20+'Cash Flow Statement'!J43</f>
        <v>22821.3129255746</v>
      </c>
      <c r="J7" s="431" t="n">
        <f aca="false">'Cash Flow Statement'!K20+'Cash Flow Statement'!K43</f>
        <v>23580.8230712949</v>
      </c>
      <c r="K7" s="431" t="n">
        <f aca="false">'Cash Flow Statement'!L20+'Cash Flow Statement'!L43</f>
        <v>20694.1474993586</v>
      </c>
      <c r="L7" s="431" t="n">
        <f aca="false">'Cash Flow Statement'!M20+'Cash Flow Statement'!M43</f>
        <v>19271.5716060654</v>
      </c>
      <c r="M7" s="431" t="n">
        <f aca="false">'Cash Flow Statement'!N20+'Cash Flow Statement'!N43</f>
        <v>29609.9444668249</v>
      </c>
      <c r="N7" s="431" t="n">
        <f aca="false">'Cash Flow Statement'!O20+'Cash Flow Statement'!O43</f>
        <v>29554.8019275439</v>
      </c>
      <c r="O7" s="431" t="n">
        <f aca="false">'Cash Flow Statement'!P20+'Cash Flow Statement'!P43</f>
        <v>30023.9698774528</v>
      </c>
      <c r="P7" s="431" t="n">
        <f aca="false">'Cash Flow Statement'!Q20+'Cash Flow Statement'!Q43</f>
        <v>29868.1338036681</v>
      </c>
      <c r="Q7" s="431" t="n">
        <f aca="false">'Cash Flow Statement'!R20+'Cash Flow Statement'!R43</f>
        <v>30455.8509067655</v>
      </c>
      <c r="R7" s="431" t="n">
        <f aca="false">'Cash Flow Statement'!S20+'Cash Flow Statement'!S43</f>
        <v>31029.1198440547</v>
      </c>
      <c r="S7" s="431" t="n">
        <f aca="false">'Cash Flow Statement'!T20+'Cash Flow Statement'!T43</f>
        <v>28330.9391340284</v>
      </c>
      <c r="T7" s="431" t="n">
        <f aca="false">'Cash Flow Statement'!U20+'Cash Flow Statement'!U43</f>
        <v>27835.7769669629</v>
      </c>
      <c r="U7" s="431" t="n">
        <f aca="false">'Cash Flow Statement'!V20+'Cash Flow Statement'!V43</f>
        <v>26777.8889688106</v>
      </c>
      <c r="V7" s="431" t="n">
        <f aca="false">'Cash Flow Statement'!W20+'Cash Flow Statement'!W43</f>
        <v>25580.6558731629</v>
      </c>
      <c r="W7" s="431" t="n">
        <f aca="false">'Cash Flow Statement'!X20+'Cash Flow Statement'!X43</f>
        <v>13693.1326211776</v>
      </c>
      <c r="X7" s="431" t="n">
        <f aca="false">'Cash Flow Statement'!Y20+'Cash Flow Statement'!Y43</f>
        <v>0</v>
      </c>
      <c r="Y7" s="431" t="n">
        <f aca="false">'Cash Flow Statement'!Z20+'Cash Flow Statement'!Z43</f>
        <v>0</v>
      </c>
      <c r="Z7" s="431" t="n">
        <f aca="false">'Cash Flow Statement'!AA20+'Cash Flow Statement'!AA43</f>
        <v>0</v>
      </c>
      <c r="AA7" s="432" t="n">
        <f aca="false">'Cash Flow Statement'!AB20+'Cash Flow Statement'!AB43</f>
        <v>0</v>
      </c>
      <c r="AB7" s="378"/>
      <c r="AC7" s="378"/>
    </row>
    <row r="8" customFormat="false" ht="12.6" hidden="false" customHeight="true" outlineLevel="0" collapsed="false">
      <c r="A8" s="403" t="s">
        <v>471</v>
      </c>
      <c r="B8" s="378"/>
      <c r="C8" s="616" t="e">
        <f aca="false">XIRR($B$7:C7,$B$6:C6)</f>
        <v>#VALUE!</v>
      </c>
      <c r="D8" s="616" t="n">
        <f aca="false">XIRR($B$7:D7,$B$6:D6)</f>
        <v>-0.705486840452728</v>
      </c>
      <c r="E8" s="616" t="n">
        <f aca="false">XIRR($B$7:E7,$B$6:E6)</f>
        <v>-0.469593202191502</v>
      </c>
      <c r="F8" s="616" t="n">
        <f aca="false">XIRR($B$7:F7,$B$6:F6)</f>
        <v>-0.200660529108735</v>
      </c>
      <c r="G8" s="616" t="n">
        <f aca="false">XIRR($B$7:G7,$B$6:G6)</f>
        <v>0.00971356725560387</v>
      </c>
      <c r="H8" s="616" t="n">
        <f aca="false">XIRR($B$7:H7,$B$6:H6)</f>
        <v>0.11384082332729</v>
      </c>
      <c r="I8" s="616" t="n">
        <f aca="false">XIRR($B$7:I7,$B$6:I6)</f>
        <v>0.172988643900572</v>
      </c>
      <c r="J8" s="616" t="n">
        <f aca="false">XIRR($B$7:J7,$B$6:J6)</f>
        <v>0.21067677515497</v>
      </c>
      <c r="K8" s="616" t="n">
        <f aca="false">XIRR($B$7:K7,$B$6:K6)</f>
        <v>0.23239227345178</v>
      </c>
      <c r="L8" s="616" t="n">
        <f aca="false">XIRR($B$7:L7,$B$6:L6)</f>
        <v>0.246382537392647</v>
      </c>
      <c r="M8" s="616" t="n">
        <f aca="false">XIRR($B$7:M7,$B$6:M6)</f>
        <v>0.261235248178318</v>
      </c>
      <c r="N8" s="616" t="n">
        <f aca="false">XIRR($B$7:N7,$B$6:N6)</f>
        <v>0.271437910189296</v>
      </c>
      <c r="O8" s="616" t="n">
        <f aca="false">XIRR($B$7:O7,$B$6:O6)</f>
        <v>0.27874025280193</v>
      </c>
      <c r="P8" s="616" t="n">
        <f aca="false">XIRR($B$7:P7,$B$6:P6)</f>
        <v>0.283953489284879</v>
      </c>
      <c r="Q8" s="616" t="n">
        <f aca="false">XIRR($B$7:Q7,$B$6:Q6)</f>
        <v>0.287820803315128</v>
      </c>
      <c r="R8" s="616" t="n">
        <f aca="false">XIRR($B$7:R7,$B$6:R6)</f>
        <v>0.290716011248641</v>
      </c>
      <c r="S8" s="616" t="n">
        <f aca="false">XIRR($B$7:S7,$B$6:S6)</f>
        <v>0.292676911203051</v>
      </c>
      <c r="T8" s="616" t="n">
        <f aca="false">XIRR($B$7:T7,$B$6:T6)</f>
        <v>0.294119829797834</v>
      </c>
      <c r="U8" s="616" t="n">
        <f aca="false">XIRR($B$7:U7,$B$6:U6)</f>
        <v>0.295165520361142</v>
      </c>
      <c r="V8" s="616" t="n">
        <f aca="false">XIRR($B$7:V7,$B$6:V6)</f>
        <v>0.29592176995871</v>
      </c>
      <c r="W8" s="616" t="n">
        <f aca="false">XIRR($B$7:W7,$B$6:W6)</f>
        <v>0.296230110956115</v>
      </c>
      <c r="X8" s="616" t="n">
        <f aca="false">XIRR($B$7:X7,$B$6:X6)</f>
        <v>0.296230110956115</v>
      </c>
      <c r="Y8" s="616" t="n">
        <f aca="false">XIRR($B$7:Y7,$B$6:Y6)</f>
        <v>0.296230110956115</v>
      </c>
      <c r="Z8" s="616" t="n">
        <f aca="false">XIRR($B$7:Z7,$B$6:Z6)</f>
        <v>0.296230110956115</v>
      </c>
      <c r="AA8" s="617" t="n">
        <f aca="false">XIRR($B$7:AA7,$B$6:AA6)</f>
        <v>0.296230110956115</v>
      </c>
      <c r="AB8" s="378"/>
      <c r="AC8" s="378"/>
    </row>
    <row r="9" customFormat="false" ht="12.6" hidden="false" customHeight="true" outlineLevel="0" collapsed="false">
      <c r="A9" s="403" t="s">
        <v>472</v>
      </c>
      <c r="B9" s="265"/>
      <c r="C9" s="618" t="n">
        <f aca="false">XNPV('Project Assumtions'!$I$56,$B$7:C7,$B$6:C6)</f>
        <v>-42101.2767260978</v>
      </c>
      <c r="D9" s="618" t="n">
        <f aca="false">XNPV('Project Assumtions'!$I$56,$B$7:D7,$B$6:D6)</f>
        <v>-36752.493508726</v>
      </c>
      <c r="E9" s="618" t="n">
        <f aca="false">XNPV('Project Assumtions'!$I$56,$B$7:E7,$B$6:E6)</f>
        <v>-33030.0038533057</v>
      </c>
      <c r="F9" s="618" t="n">
        <f aca="false">XNPV('Project Assumtions'!$I$56,$B$7:F7,$B$6:F6)</f>
        <v>-25716.9654054961</v>
      </c>
      <c r="G9" s="618" t="n">
        <f aca="false">XNPV('Project Assumtions'!$I$56,$B$7:G7,$B$6:G6)</f>
        <v>-13005.8060310429</v>
      </c>
      <c r="H9" s="618" t="n">
        <f aca="false">XNPV('Project Assumtions'!$I$56,$B$7:H7,$B$6:H6)</f>
        <v>-943.091547077931</v>
      </c>
      <c r="I9" s="618" t="n">
        <f aca="false">XNPV('Project Assumtions'!$I$56,$B$7:I7,$B$6:I6)</f>
        <v>9875.6288262578</v>
      </c>
      <c r="J9" s="618" t="n">
        <f aca="false">XNPV('Project Assumtions'!$I$56,$B$7:J7,$B$6:J6)</f>
        <v>19856.6782691556</v>
      </c>
      <c r="K9" s="618" t="n">
        <f aca="false">XNPV('Project Assumtions'!$I$56,$B$7:K7,$B$6:K6)</f>
        <v>27674.9708865822</v>
      </c>
      <c r="L9" s="618" t="n">
        <f aca="false">XNPV('Project Assumtions'!$I$56,$B$7:L7,$B$6:L6)</f>
        <v>34175.7212807015</v>
      </c>
      <c r="M9" s="618" t="n">
        <f aca="false">XNPV('Project Assumtions'!$I$56,$B$7:M7,$B$6:M6)</f>
        <v>43093.6896607418</v>
      </c>
      <c r="N9" s="618" t="n">
        <f aca="false">XNPV('Project Assumtions'!$I$56,$B$7:N7,$B$6:N6)</f>
        <v>51041.3329336768</v>
      </c>
      <c r="O9" s="618" t="n">
        <f aca="false">XNPV('Project Assumtions'!$I$56,$B$7:O7,$B$6:O6)</f>
        <v>58247.8523608923</v>
      </c>
      <c r="P9" s="618" t="n">
        <f aca="false">XNPV('Project Assumtions'!$I$56,$B$7:P7,$B$6:P6)</f>
        <v>64648.8477093398</v>
      </c>
      <c r="Q9" s="618" t="n">
        <f aca="false">XNPV('Project Assumtions'!$I$56,$B$7:Q7,$B$6:Q6)</f>
        <v>70476.4799656012</v>
      </c>
      <c r="R9" s="618" t="n">
        <f aca="false">XNPV('Project Assumtions'!$I$56,$B$7:R7,$B$6:R6)</f>
        <v>75777.6634323141</v>
      </c>
      <c r="S9" s="618" t="n">
        <f aca="false">XNPV('Project Assumtions'!$I$56,$B$7:S7,$B$6:S6)</f>
        <v>80097.939332935</v>
      </c>
      <c r="T9" s="618" t="n">
        <f aca="false">XNPV('Project Assumtions'!$I$56,$B$7:T7,$B$6:T6)</f>
        <v>83887.9098967073</v>
      </c>
      <c r="U9" s="618" t="n">
        <f aca="false">XNPV('Project Assumtions'!$I$56,$B$7:U7,$B$6:U6)</f>
        <v>87143.2082807221</v>
      </c>
      <c r="V9" s="618" t="n">
        <f aca="false">XNPV('Project Assumtions'!$I$56,$B$7:V7,$B$6:V6)</f>
        <v>89919.7750321371</v>
      </c>
      <c r="W9" s="618" t="n">
        <f aca="false">XNPV('Project Assumtions'!$I$56,$B$7:W7,$B$6:W6)</f>
        <v>91246.3945767406</v>
      </c>
      <c r="X9" s="618" t="n">
        <f aca="false">XNPV('Project Assumtions'!$I$56,$B$7:X7,$B$6:X6)</f>
        <v>91246.3945767406</v>
      </c>
      <c r="Y9" s="618" t="n">
        <f aca="false">XNPV('Project Assumtions'!$I$56,$B$7:Y7,$B$6:Y6)</f>
        <v>91246.3945767406</v>
      </c>
      <c r="Z9" s="618" t="n">
        <f aca="false">XNPV('Project Assumtions'!$I$56,$B$7:Z7,$B$6:Z6)</f>
        <v>91246.3945767406</v>
      </c>
      <c r="AA9" s="619" t="n">
        <f aca="false">XNPV('Project Assumtions'!$I$56,$B$7:AA7,$B$6:AA6)</f>
        <v>91246.3945767406</v>
      </c>
    </row>
    <row r="10" customFormat="false" ht="12.6" hidden="false" customHeight="true" outlineLevel="0" collapsed="false">
      <c r="A10" s="403"/>
      <c r="B10" s="378"/>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408"/>
      <c r="AB10" s="378"/>
      <c r="AC10" s="378"/>
    </row>
    <row r="11" customFormat="false" ht="12.6" hidden="false" customHeight="true" outlineLevel="0" collapsed="false">
      <c r="A11" s="427" t="s">
        <v>473</v>
      </c>
      <c r="B11" s="431" t="n">
        <f aca="false">'Project Assumtions'!C8*-1</f>
        <v>-40195.6215</v>
      </c>
      <c r="C11" s="431" t="n">
        <f aca="false">'Cash Flow Statement'!D22</f>
        <v>-2224.28540815442</v>
      </c>
      <c r="D11" s="431" t="n">
        <f aca="false">'Cash Flow Statement'!E22+'Cash Flow Statement'!E43</f>
        <v>6094.68439238929</v>
      </c>
      <c r="E11" s="431" t="n">
        <f aca="false">'Cash Flow Statement'!F22+'Cash Flow Statement'!F43</f>
        <v>4682.16682531454</v>
      </c>
      <c r="F11" s="431" t="n">
        <f aca="false">'Cash Flow Statement'!G22+'Cash Flow Statement'!G43</f>
        <v>10491.52086977</v>
      </c>
      <c r="G11" s="431" t="n">
        <f aca="false">'Cash Flow Statement'!H22+'Cash Flow Statement'!H43</f>
        <v>17513.4716832123</v>
      </c>
      <c r="H11" s="431" t="n">
        <f aca="false">'Cash Flow Statement'!I22+'Cash Flow Statement'!I43</f>
        <v>15532.5517179437</v>
      </c>
      <c r="I11" s="431" t="n">
        <f aca="false">'Cash Flow Statement'!J22+'Cash Flow Statement'!J43</f>
        <v>15094.3569718763</v>
      </c>
      <c r="J11" s="431" t="n">
        <f aca="false">'Cash Flow Statement'!K22+'Cash Flow Statement'!K43</f>
        <v>15563.8056243121</v>
      </c>
      <c r="K11" s="431" t="n">
        <f aca="false">'Cash Flow Statement'!L22+'Cash Flow Statement'!L43</f>
        <v>12361.8741895561</v>
      </c>
      <c r="L11" s="431" t="n">
        <f aca="false">'Cash Flow Statement'!M22+'Cash Flow Statement'!M43</f>
        <v>10498.5691124288</v>
      </c>
      <c r="M11" s="431" t="n">
        <f aca="false">'Cash Flow Statement'!N22+'Cash Flow Statement'!N43</f>
        <v>20312.2063172535</v>
      </c>
      <c r="N11" s="431" t="n">
        <f aca="false">'Cash Flow Statement'!O22+'Cash Flow Statement'!O43</f>
        <v>20092.6811399803</v>
      </c>
      <c r="O11" s="431" t="n">
        <f aca="false">'Cash Flow Statement'!P22+'Cash Flow Statement'!P43</f>
        <v>20300.8477052698</v>
      </c>
      <c r="P11" s="431" t="n">
        <f aca="false">'Cash Flow Statement'!Q22+'Cash Flow Statement'!Q43</f>
        <v>20213.5380694933</v>
      </c>
      <c r="Q11" s="431" t="n">
        <f aca="false">'Cash Flow Statement'!R22+'Cash Flow Statement'!R43</f>
        <v>20559.3932834679</v>
      </c>
      <c r="R11" s="431" t="n">
        <f aca="false">'Cash Flow Statement'!S22+'Cash Flow Statement'!S43</f>
        <v>19137.9999433617</v>
      </c>
      <c r="S11" s="431" t="n">
        <f aca="false">'Cash Flow Statement'!T22+'Cash Flow Statement'!T43</f>
        <v>14451.419744079</v>
      </c>
      <c r="T11" s="431" t="n">
        <f aca="false">'Cash Flow Statement'!U22+'Cash Flow Statement'!U43</f>
        <v>13632.2975016409</v>
      </c>
      <c r="U11" s="431" t="n">
        <f aca="false">'Cash Flow Statement'!V22+'Cash Flow Statement'!V43</f>
        <v>12214.9527348604</v>
      </c>
      <c r="V11" s="431" t="n">
        <f aca="false">'Cash Flow Statement'!W22+'Cash Flow Statement'!W43</f>
        <v>10975.5357310265</v>
      </c>
      <c r="W11" s="431" t="n">
        <f aca="false">'Cash Flow Statement'!X22+'Cash Flow Statement'!X43</f>
        <v>8702.4880599524</v>
      </c>
      <c r="X11" s="431" t="n">
        <f aca="false">'Cash Flow Statement'!Y22+'Cash Flow Statement'!Y43</f>
        <v>0</v>
      </c>
      <c r="Y11" s="431" t="n">
        <f aca="false">'Cash Flow Statement'!Z22+'Cash Flow Statement'!Z43</f>
        <v>0</v>
      </c>
      <c r="Z11" s="431" t="n">
        <f aca="false">'Cash Flow Statement'!AA22+'Cash Flow Statement'!AA43</f>
        <v>0</v>
      </c>
      <c r="AA11" s="432" t="n">
        <f aca="false">'Cash Flow Statement'!AB22+'Cash Flow Statement'!AB43</f>
        <v>0</v>
      </c>
      <c r="AB11" s="378"/>
      <c r="AC11" s="378"/>
    </row>
    <row r="12" customFormat="false" ht="12.6" hidden="false" customHeight="true" outlineLevel="0" collapsed="false">
      <c r="A12" s="403" t="s">
        <v>474</v>
      </c>
      <c r="B12" s="378"/>
      <c r="C12" s="616" t="e">
        <f aca="false">XIRR($B$11:C11,$B$6:C6)</f>
        <v>#VALUE!</v>
      </c>
      <c r="D12" s="616" t="n">
        <f aca="false">XIRR($B$11:D11,$B$6:D6)</f>
        <v>-0.716401691998342</v>
      </c>
      <c r="E12" s="616" t="n">
        <f aca="false">XIRR($B$11:E11,$B$6:E6)</f>
        <v>-0.485213777735794</v>
      </c>
      <c r="F12" s="616" t="n">
        <f aca="false">XIRR($B$11:F11,$B$6:F6)</f>
        <v>-0.215535203927726</v>
      </c>
      <c r="G12" s="616" t="n">
        <f aca="false">XIRR($B$11:G11,$B$6:G6)</f>
        <v>-0.0246978591583133</v>
      </c>
      <c r="H12" s="616" t="n">
        <f aca="false">XIRR($B$11:H11,$B$6:H6)</f>
        <v>0.0623323711980385</v>
      </c>
      <c r="I12" s="616" t="n">
        <f aca="false">XIRR($B$11:I11,$B$6:I6)</f>
        <v>0.114638841243659</v>
      </c>
      <c r="J12" s="616" t="n">
        <f aca="false">XIRR($B$11:J11,$B$6:J6)</f>
        <v>0.150020155746033</v>
      </c>
      <c r="K12" s="616" t="n">
        <f aca="false">XIRR($B$11:K11,$B$6:K6)</f>
        <v>0.169541773939923</v>
      </c>
      <c r="L12" s="616" t="n">
        <f aca="false">XIRR($B$11:L11,$B$6:L6)</f>
        <v>0.18173993436036</v>
      </c>
      <c r="M12" s="616" t="n">
        <f aca="false">XIRR($B$11:M11,$B$6:M6)</f>
        <v>0.198720001788002</v>
      </c>
      <c r="N12" s="616" t="n">
        <f aca="false">XIRR($B$11:N11,$B$6:N6)</f>
        <v>0.210526468892127</v>
      </c>
      <c r="O12" s="616" t="n">
        <f aca="false">XIRR($B$11:O11,$B$6:O6)</f>
        <v>0.219144198347339</v>
      </c>
      <c r="P12" s="616" t="n">
        <f aca="false">XIRR($B$11:P11,$B$6:P6)</f>
        <v>0.225469283409613</v>
      </c>
      <c r="Q12" s="616" t="n">
        <f aca="false">XIRR($B$11:Q11,$B$6:Q6)</f>
        <v>0.230282611374398</v>
      </c>
      <c r="R12" s="616" t="n">
        <f aca="false">XIRR($B$11:R11,$B$6:R6)</f>
        <v>0.23368101456315</v>
      </c>
      <c r="S12" s="616" t="n">
        <f aca="false">XIRR($B$11:S11,$B$6:S6)</f>
        <v>0.23566097016558</v>
      </c>
      <c r="T12" s="616" t="n">
        <f aca="false">XIRR($B$11:T11,$B$6:T6)</f>
        <v>0.237122198570127</v>
      </c>
      <c r="U12" s="616" t="n">
        <f aca="false">XIRR($B$11:U11,$B$6:U6)</f>
        <v>0.238153068167229</v>
      </c>
      <c r="V12" s="616" t="n">
        <f aca="false">XIRR($B$11:V11,$B$6:V6)</f>
        <v>0.238886405826415</v>
      </c>
      <c r="W12" s="616" t="n">
        <f aca="false">XIRR($B$11:W11,$B$6:W6)</f>
        <v>0.23934877156268</v>
      </c>
      <c r="X12" s="616" t="n">
        <f aca="false">XIRR($B$11:X11,$B$6:X6)</f>
        <v>0.23934877156268</v>
      </c>
      <c r="Y12" s="616" t="n">
        <f aca="false">XIRR($B$11:Y11,$B$6:Y6)</f>
        <v>0.23934877156268</v>
      </c>
      <c r="Z12" s="616" t="n">
        <f aca="false">XIRR($B$11:Z11,$B$6:Z6)</f>
        <v>0.23934877156268</v>
      </c>
      <c r="AA12" s="617" t="n">
        <f aca="false">XIRR($B$11:AA11,$B$6:AA6)</f>
        <v>0.23934877156268</v>
      </c>
      <c r="AB12" s="378"/>
      <c r="AC12" s="378"/>
    </row>
    <row r="13" customFormat="false" ht="12.6" hidden="false" customHeight="true" outlineLevel="0" collapsed="false">
      <c r="A13" s="403" t="s">
        <v>475</v>
      </c>
      <c r="B13" s="265"/>
      <c r="C13" s="618" t="n">
        <f aca="false">XNPV('Project Assumtions'!$I$56,$B$11:C11,$B$6:C6)</f>
        <v>-42277.5641522561</v>
      </c>
      <c r="D13" s="618" t="n">
        <f aca="false">XNPV('Project Assumtions'!$I$56,$B$11:D11,$B$6:D6)</f>
        <v>-37184.121179019</v>
      </c>
      <c r="E13" s="618" t="n">
        <f aca="false">XNPV('Project Assumtions'!$I$56,$B$11:E11,$B$6:E6)</f>
        <v>-33690.393199305</v>
      </c>
      <c r="F13" s="618" t="n">
        <f aca="false">XNPV('Project Assumtions'!$I$56,$B$11:F11,$B$6:F6)</f>
        <v>-26700.6272998523</v>
      </c>
      <c r="G13" s="618" t="n">
        <f aca="false">XNPV('Project Assumtions'!$I$56,$B$11:G11,$B$6:G6)</f>
        <v>-16286.0041507959</v>
      </c>
      <c r="H13" s="618" t="n">
        <f aca="false">XNPV('Project Assumtions'!$I$56,$B$11:H11,$B$6:H6)</f>
        <v>-8039.00213206489</v>
      </c>
      <c r="I13" s="618" t="n">
        <f aca="false">XNPV('Project Assumtions'!$I$56,$B$11:I11,$B$6:I6)</f>
        <v>-883.339010201411</v>
      </c>
      <c r="J13" s="618" t="n">
        <f aca="false">XNPV('Project Assumtions'!$I$56,$B$11:J11,$B$6:J6)</f>
        <v>5704.34934088971</v>
      </c>
      <c r="K13" s="618" t="n">
        <f aca="false">XNPV('Project Assumtions'!$I$56,$B$11:K11,$B$6:K6)</f>
        <v>10374.6915096965</v>
      </c>
      <c r="L13" s="618" t="n">
        <f aca="false">XNPV('Project Assumtions'!$I$56,$B$11:L11,$B$6:L6)</f>
        <v>13916.1036316757</v>
      </c>
      <c r="M13" s="618" t="n">
        <f aca="false">XNPV('Project Assumtions'!$I$56,$B$11:M11,$B$6:M6)</f>
        <v>20033.7650095644</v>
      </c>
      <c r="N13" s="618" t="n">
        <f aca="false">XNPV('Project Assumtions'!$I$56,$B$11:N11,$B$6:N6)</f>
        <v>25436.9296962669</v>
      </c>
      <c r="O13" s="618" t="n">
        <f aca="false">XNPV('Project Assumtions'!$I$56,$B$11:O11,$B$6:O6)</f>
        <v>30309.6515239968</v>
      </c>
      <c r="P13" s="618" t="n">
        <f aca="false">XNPV('Project Assumtions'!$I$56,$B$11:P11,$B$6:P6)</f>
        <v>34641.5848148073</v>
      </c>
      <c r="Q13" s="618" t="n">
        <f aca="false">XNPV('Project Assumtions'!$I$56,$B$11:Q11,$B$6:Q6)</f>
        <v>38575.5607143704</v>
      </c>
      <c r="R13" s="618" t="n">
        <f aca="false">XNPV('Project Assumtions'!$I$56,$B$11:R11,$B$6:R6)</f>
        <v>41845.2006331172</v>
      </c>
      <c r="S13" s="618" t="n">
        <f aca="false">XNPV('Project Assumtions'!$I$56,$B$11:S11,$B$6:S6)</f>
        <v>44048.9440443306</v>
      </c>
      <c r="T13" s="618" t="n">
        <f aca="false">XNPV('Project Assumtions'!$I$56,$B$11:T11,$B$6:T6)</f>
        <v>45905.0447850833</v>
      </c>
      <c r="U13" s="618" t="n">
        <f aca="false">XNPV('Project Assumtions'!$I$56,$B$11:U11,$B$6:U6)</f>
        <v>47389.9757273589</v>
      </c>
      <c r="V13" s="618" t="n">
        <f aca="false">XNPV('Project Assumtions'!$I$56,$B$11:V11,$B$6:V6)</f>
        <v>48581.278551682</v>
      </c>
      <c r="W13" s="618" t="n">
        <f aca="false">XNPV('Project Assumtions'!$I$56,$B$11:W11,$B$6:W6)</f>
        <v>49424.3939341443</v>
      </c>
      <c r="X13" s="618" t="n">
        <f aca="false">XNPV('Project Assumtions'!$I$56,$B$11:X11,$B$6:X6)</f>
        <v>49424.3939341443</v>
      </c>
      <c r="Y13" s="618" t="n">
        <f aca="false">XNPV('Project Assumtions'!$I$56,$B$11:Y11,$B$6:Y6)</f>
        <v>49424.3939341443</v>
      </c>
      <c r="Z13" s="618" t="n">
        <f aca="false">XNPV('Project Assumtions'!$I$56,$B$11:Z11,$B$6:Z6)</f>
        <v>49424.3939341443</v>
      </c>
      <c r="AA13" s="619" t="n">
        <f aca="false">XNPV('Project Assumtions'!$I$56,$B$11:AA11,$B$6:AA6)</f>
        <v>49424.3939341443</v>
      </c>
    </row>
    <row r="14" customFormat="false" ht="12.6" hidden="false" customHeight="true" outlineLevel="0" collapsed="false">
      <c r="A14" s="403"/>
      <c r="B14" s="378"/>
      <c r="C14" s="378"/>
      <c r="D14" s="378"/>
      <c r="E14" s="378"/>
      <c r="F14" s="378"/>
      <c r="G14" s="378"/>
      <c r="H14" s="378"/>
      <c r="I14" s="378"/>
      <c r="J14" s="378"/>
      <c r="K14" s="378"/>
      <c r="L14" s="378"/>
      <c r="M14" s="378"/>
      <c r="N14" s="378"/>
      <c r="O14" s="378"/>
      <c r="P14" s="378"/>
      <c r="Q14" s="378"/>
      <c r="R14" s="378"/>
      <c r="S14" s="378"/>
      <c r="T14" s="378"/>
      <c r="U14" s="378"/>
      <c r="V14" s="378"/>
      <c r="W14" s="378"/>
      <c r="X14" s="378"/>
      <c r="Y14" s="378"/>
      <c r="Z14" s="378"/>
      <c r="AA14" s="408"/>
      <c r="AB14" s="378"/>
      <c r="AC14" s="378"/>
    </row>
    <row r="15" customFormat="false" ht="12.6" hidden="false" customHeight="true" outlineLevel="0" collapsed="false">
      <c r="A15" s="427" t="s">
        <v>476</v>
      </c>
      <c r="B15" s="431" t="n">
        <f aca="false">-('Project Assumtions'!C8+'Project Assumtions'!C9)</f>
        <v>-160782.486</v>
      </c>
      <c r="C15" s="618" t="n">
        <f aca="false">+'Cash Flow Statement'!D20+'Cash Flow Statement'!D17+'Cash Flow Statement'!D13+'Cash Flow Statement'!D12+'Cash Flow Statement'!D10</f>
        <v>21514.6694546956</v>
      </c>
      <c r="D15" s="618" t="n">
        <f aca="false">+'Cash Flow Statement'!E20+'Cash Flow Statement'!E17+'Cash Flow Statement'!E13+'Cash Flow Statement'!E12+'Cash Flow Statement'!E10</f>
        <v>29301.5929964513</v>
      </c>
      <c r="E15" s="618" t="n">
        <f aca="false">+'Cash Flow Statement'!F20+'Cash Flow Statement'!F17+'Cash Flow Statement'!F13+'Cash Flow Statement'!F12+'Cash Flow Statement'!F10</f>
        <v>29049.6831277789</v>
      </c>
      <c r="F15" s="618" t="n">
        <f aca="false">+'Cash Flow Statement'!G20+'Cash Flow Statement'!G17+'Cash Flow Statement'!G13+'Cash Flow Statement'!G12+'Cash Flow Statement'!G10</f>
        <v>35923.3962863692</v>
      </c>
      <c r="G15" s="618" t="n">
        <f aca="false">+'Cash Flow Statement'!H20+'Cash Flow Statement'!H17+'Cash Flow Statement'!H13+'Cash Flow Statement'!H12+'Cash Flow Statement'!H10</f>
        <v>41603.9473369357</v>
      </c>
      <c r="H15" s="618" t="n">
        <f aca="false">+'Cash Flow Statement'!I20+'Cash Flow Statement'!I17+'Cash Flow Statement'!I13+'Cash Flow Statement'!I12+'Cash Flow Statement'!I10</f>
        <v>42186.9321540595</v>
      </c>
      <c r="I15" s="618" t="n">
        <f aca="false">+'Cash Flow Statement'!J20+'Cash Flow Statement'!J17+'Cash Flow Statement'!J13+'Cash Flow Statement'!J12+'Cash Flow Statement'!J10</f>
        <v>42179.5129852006</v>
      </c>
      <c r="J15" s="618" t="n">
        <f aca="false">+'Cash Flow Statement'!K20+'Cash Flow Statement'!K17+'Cash Flow Statement'!K13+'Cash Flow Statement'!K12+'Cash Flow Statement'!K10</f>
        <v>42071.7238136403</v>
      </c>
      <c r="K15" s="618" t="n">
        <f aca="false">+'Cash Flow Statement'!L20+'Cash Flow Statement'!L17+'Cash Flow Statement'!L13+'Cash Flow Statement'!L12+'Cash Flow Statement'!L10</f>
        <v>41935.3548594233</v>
      </c>
      <c r="L15" s="618" t="n">
        <f aca="false">+'Cash Flow Statement'!M20+'Cash Flow Statement'!M17+'Cash Flow Statement'!M13+'Cash Flow Statement'!M12+'Cash Flow Statement'!M10</f>
        <v>41557.7461460904</v>
      </c>
      <c r="M15" s="618" t="n">
        <f aca="false">+'Cash Flow Statement'!N20+'Cash Flow Statement'!N17+'Cash Flow Statement'!N13+'Cash Flow Statement'!N12+'Cash Flow Statement'!N10</f>
        <v>41056.7152846569</v>
      </c>
      <c r="N15" s="618" t="n">
        <f aca="false">+'Cash Flow Statement'!O20+'Cash Flow Statement'!O17+'Cash Flow Statement'!O13+'Cash Flow Statement'!O12+'Cash Flow Statement'!O10</f>
        <v>41226.6167753805</v>
      </c>
      <c r="O15" s="618" t="n">
        <f aca="false">+'Cash Flow Statement'!P20+'Cash Flow Statement'!P17+'Cash Flow Statement'!P13+'Cash Flow Statement'!P12+'Cash Flow Statement'!P10</f>
        <v>41163.1284274199</v>
      </c>
      <c r="P15" s="618" t="n">
        <f aca="false">+'Cash Flow Statement'!Q20+'Cash Flow Statement'!Q17+'Cash Flow Statement'!Q13+'Cash Flow Statement'!Q12+'Cash Flow Statement'!Q10</f>
        <v>40474.6360557659</v>
      </c>
      <c r="Q15" s="618" t="n">
        <f aca="false">+'Cash Flow Statement'!R20+'Cash Flow Statement'!R17+'Cash Flow Statement'!R13+'Cash Flow Statement'!R12+'Cash Flow Statement'!R10</f>
        <v>40529.6968609939</v>
      </c>
      <c r="R15" s="618" t="n">
        <f aca="false">+'Cash Flow Statement'!S20+'Cash Flow Statement'!S17+'Cash Flow Statement'!S13+'Cash Flow Statement'!S12+'Cash Flow Statement'!S10</f>
        <v>40570.3095004136</v>
      </c>
      <c r="S15" s="618" t="n">
        <f aca="false">+'Cash Flow Statement'!T20+'Cash Flow Statement'!T17+'Cash Flow Statement'!T13+'Cash Flow Statement'!T12+'Cash Flow Statement'!T10</f>
        <v>40595.3178340179</v>
      </c>
      <c r="T15" s="618" t="n">
        <f aca="false">+'Cash Flow Statement'!U20+'Cash Flow Statement'!U17+'Cash Flow Statement'!U13+'Cash Flow Statement'!U12+'Cash Flow Statement'!U10</f>
        <v>40337.1812078136</v>
      </c>
      <c r="U15" s="618" t="n">
        <f aca="false">+'Cash Flow Statement'!V20+'Cash Flow Statement'!V17+'Cash Flow Statement'!V13+'Cash Flow Statement'!V12+'Cash Flow Statement'!V10</f>
        <v>39954.4252996748</v>
      </c>
      <c r="V15" s="618" t="n">
        <f aca="false">+'Cash Flow Statement'!W20+'Cash Flow Statement'!W17+'Cash Flow Statement'!W13+'Cash Flow Statement'!W12+'Cash Flow Statement'!W10</f>
        <v>38461.5614470189</v>
      </c>
      <c r="W15" s="618" t="n">
        <f aca="false">+'Cash Flow Statement'!X20+'Cash Flow Statement'!X17+'Cash Flow Statement'!X13+'Cash Flow Statement'!X12+'Cash Flow Statement'!X10</f>
        <v>13693.1326211776</v>
      </c>
      <c r="X15" s="618" t="n">
        <f aca="false">+'Cash Flow Statement'!Y20+'Cash Flow Statement'!Y17+'Cash Flow Statement'!Y13+'Cash Flow Statement'!Y12+'Cash Flow Statement'!Y10</f>
        <v>0</v>
      </c>
      <c r="Y15" s="618" t="n">
        <f aca="false">+'Cash Flow Statement'!Z20+'Cash Flow Statement'!Z17+'Cash Flow Statement'!Z13+'Cash Flow Statement'!Z12+'Cash Flow Statement'!Z10</f>
        <v>0</v>
      </c>
      <c r="Z15" s="618" t="n">
        <f aca="false">+'Cash Flow Statement'!AA20+'Cash Flow Statement'!AA17+'Cash Flow Statement'!AA13+'Cash Flow Statement'!AA12+'Cash Flow Statement'!AA10</f>
        <v>0</v>
      </c>
      <c r="AA15" s="619" t="n">
        <f aca="false">+'Cash Flow Statement'!AB20+'Cash Flow Statement'!AB17+'Cash Flow Statement'!AB13+'Cash Flow Statement'!AB12+'Cash Flow Statement'!AB10</f>
        <v>0</v>
      </c>
    </row>
    <row r="16" customFormat="false" ht="12.6" hidden="false" customHeight="true" outlineLevel="0" collapsed="false">
      <c r="A16" s="403" t="s">
        <v>477</v>
      </c>
      <c r="B16" s="378"/>
      <c r="C16" s="616" t="n">
        <f aca="false">XIRR($B$15:C15,$B$6:C6)</f>
        <v>-0.968147001768121</v>
      </c>
      <c r="D16" s="616" t="n">
        <f aca="false">XIRR($B$15:D15,$B$6:D6)</f>
        <v>-0.598197210508604</v>
      </c>
      <c r="E16" s="616" t="n">
        <f aca="false">XIRR($B$15:E15,$B$6:E6)</f>
        <v>-0.322643713827221</v>
      </c>
      <c r="F16" s="616" t="n">
        <f aca="false">XIRR($B$15:F15,$B$6:F6)</f>
        <v>-0.130253851548163</v>
      </c>
      <c r="G16" s="616" t="n">
        <f aca="false">XIRR($B$15:G15,$B$6:G6)</f>
        <v>-0.00734793434195684</v>
      </c>
      <c r="H16" s="616" t="n">
        <f aca="false">XIRR($B$15:H15,$B$6:H6)</f>
        <v>0.0663583699190782</v>
      </c>
      <c r="I16" s="616" t="n">
        <f aca="false">XIRR($B$15:I15,$B$6:I6)</f>
        <v>0.113321056044182</v>
      </c>
      <c r="J16" s="616" t="n">
        <f aca="false">XIRR($B$15:J15,$B$6:J6)</f>
        <v>0.144708773710907</v>
      </c>
      <c r="K16" s="616" t="n">
        <f aca="false">XIRR($B$15:K15,$B$6:K6)</f>
        <v>0.166439633700788</v>
      </c>
      <c r="L16" s="616" t="n">
        <f aca="false">XIRR($B$15:L15,$B$6:L6)</f>
        <v>0.181830261063186</v>
      </c>
      <c r="M16" s="616" t="n">
        <f aca="false">XIRR($B$15:M15,$B$6:M6)</f>
        <v>0.192946181445769</v>
      </c>
      <c r="N16" s="616" t="n">
        <f aca="false">XIRR($B$15:N15,$B$6:N6)</f>
        <v>0.201249356191084</v>
      </c>
      <c r="O16" s="616" t="n">
        <f aca="false">XIRR($B$15:O15,$B$6:O6)</f>
        <v>0.207497749649464</v>
      </c>
      <c r="P16" s="616" t="n">
        <f aca="false">XIRR($B$15:P15,$B$6:P6)</f>
        <v>0.212187360560929</v>
      </c>
      <c r="Q16" s="616" t="n">
        <f aca="false">XIRR($B$15:Q15,$B$6:Q6)</f>
        <v>0.215808060483849</v>
      </c>
      <c r="R16" s="616" t="n">
        <f aca="false">XIRR($B$15:R15,$B$6:R6)</f>
        <v>0.218624459807998</v>
      </c>
      <c r="S16" s="616" t="n">
        <f aca="false">XIRR($B$15:S15,$B$6:S6)</f>
        <v>0.220827867826098</v>
      </c>
      <c r="T16" s="616" t="n">
        <f aca="false">XIRR($B$15:T15,$B$6:T6)</f>
        <v>0.222550619842424</v>
      </c>
      <c r="U16" s="616" t="n">
        <f aca="false">XIRR($B$15:U15,$B$6:U6)</f>
        <v>0.223900214157544</v>
      </c>
      <c r="V16" s="616" t="n">
        <f aca="false">XIRR($B$15:V15,$B$6:V6)</f>
        <v>0.224932600535657</v>
      </c>
      <c r="W16" s="616" t="n">
        <f aca="false">XIRR($B$15:W15,$B$6:W6)</f>
        <v>0.225227658192139</v>
      </c>
      <c r="X16" s="616" t="n">
        <f aca="false">XIRR($B$15:X15,$B$6:X6)</f>
        <v>0.225227658192139</v>
      </c>
      <c r="Y16" s="616" t="n">
        <f aca="false">XIRR($B$15:Y15,$B$6:Y6)</f>
        <v>0.225227658192139</v>
      </c>
      <c r="Z16" s="616" t="n">
        <f aca="false">XIRR($B$15:Z15,$B$6:Z6)</f>
        <v>0.225227658192139</v>
      </c>
      <c r="AA16" s="617" t="n">
        <f aca="false">XIRR($B$15:AA15,$B$6:AA6)</f>
        <v>0.225227658192139</v>
      </c>
      <c r="AB16" s="378"/>
      <c r="AC16" s="378"/>
    </row>
    <row r="17" customFormat="false" ht="12.6" hidden="false" customHeight="true" outlineLevel="0" collapsed="false">
      <c r="A17" s="403" t="s">
        <v>478</v>
      </c>
      <c r="B17" s="265"/>
      <c r="C17" s="618" t="n">
        <f aca="false">XNPV('Project Assumtions'!$I$56,$B$15:C15,$B$6:C6)</f>
        <v>-140644.644056377</v>
      </c>
      <c r="D17" s="618" t="n">
        <f aca="false">XNPV('Project Assumtions'!$I$56,$B$15:D15,$B$6:D6)</f>
        <v>-116156.748811333</v>
      </c>
      <c r="E17" s="618" t="n">
        <f aca="false">XNPV('Project Assumtions'!$I$56,$B$15:E15,$B$6:E6)</f>
        <v>-94480.5261281472</v>
      </c>
      <c r="F17" s="618" t="n">
        <f aca="false">XNPV('Project Assumtions'!$I$56,$B$15:F15,$B$6:F6)</f>
        <v>-70547.2819901603</v>
      </c>
      <c r="G17" s="618" t="n">
        <f aca="false">XNPV('Project Assumtions'!$I$56,$B$15:G15,$B$6:G6)</f>
        <v>-45806.9311982206</v>
      </c>
      <c r="H17" s="618" t="n">
        <f aca="false">XNPV('Project Assumtions'!$I$56,$B$15:H15,$B$6:H6)</f>
        <v>-23407.7967252497</v>
      </c>
      <c r="I17" s="618" t="n">
        <f aca="false">XNPV('Project Assumtions'!$I$56,$B$15:I15,$B$6:I6)</f>
        <v>-3412.08666428356</v>
      </c>
      <c r="J17" s="618" t="n">
        <f aca="false">XNPV('Project Assumtions'!$I$56,$B$15:J15,$B$6:J6)</f>
        <v>14395.6019928209</v>
      </c>
      <c r="K17" s="618" t="n">
        <f aca="false">XNPV('Project Assumtions'!$I$56,$B$15:K15,$B$6:K6)</f>
        <v>30238.8675980725</v>
      </c>
      <c r="L17" s="618" t="n">
        <f aca="false">XNPV('Project Assumtions'!$I$56,$B$15:L15,$B$6:L6)</f>
        <v>44257.2642374457</v>
      </c>
      <c r="M17" s="618" t="n">
        <f aca="false">XNPV('Project Assumtions'!$I$56,$B$15:M15,$B$6:M6)</f>
        <v>56622.7885668518</v>
      </c>
      <c r="N17" s="618" t="n">
        <f aca="false">XNPV('Project Assumtions'!$I$56,$B$15:N15,$B$6:N6)</f>
        <v>67709.1238528739</v>
      </c>
      <c r="O17" s="618" t="n">
        <f aca="false">XNPV('Project Assumtions'!$I$56,$B$15:O15,$B$6:O6)</f>
        <v>77589.3257684753</v>
      </c>
      <c r="P17" s="618" t="n">
        <f aca="false">XNPV('Project Assumtions'!$I$56,$B$15:P15,$B$6:P6)</f>
        <v>86263.3848451507</v>
      </c>
      <c r="Q17" s="618" t="n">
        <f aca="false">XNPV('Project Assumtions'!$I$56,$B$15:Q15,$B$6:Q6)</f>
        <v>94018.616162991</v>
      </c>
      <c r="R17" s="618" t="n">
        <f aca="false">XNPV('Project Assumtions'!$I$56,$B$15:R15,$B$6:R6)</f>
        <v>100949.868323668</v>
      </c>
      <c r="S17" s="618" t="n">
        <f aca="false">XNPV('Project Assumtions'!$I$56,$B$15:S15,$B$6:S6)</f>
        <v>107140.378722446</v>
      </c>
      <c r="T17" s="618" t="n">
        <f aca="false">XNPV('Project Assumtions'!$I$56,$B$15:T15,$B$6:T6)</f>
        <v>112632.473647068</v>
      </c>
      <c r="U17" s="618" t="n">
        <f aca="false">XNPV('Project Assumtions'!$I$56,$B$15:U15,$B$6:U6)</f>
        <v>117489.599474416</v>
      </c>
      <c r="V17" s="618" t="n">
        <f aca="false">XNPV('Project Assumtions'!$I$56,$B$15:V15,$B$6:V6)</f>
        <v>121664.28104829</v>
      </c>
      <c r="W17" s="618" t="n">
        <f aca="false">XNPV('Project Assumtions'!$I$56,$B$15:W15,$B$6:W6)</f>
        <v>122990.900592894</v>
      </c>
      <c r="X17" s="618" t="n">
        <f aca="false">XNPV('Project Assumtions'!$I$56,$B$15:X15,$B$6:X6)</f>
        <v>122990.900592894</v>
      </c>
      <c r="Y17" s="618" t="n">
        <f aca="false">XNPV('Project Assumtions'!$I$56,$B$15:Y15,$B$6:Y6)</f>
        <v>122990.900592894</v>
      </c>
      <c r="Z17" s="618" t="n">
        <f aca="false">XNPV('Project Assumtions'!$I$56,$B$15:Z15,$B$6:Z6)</f>
        <v>122990.900592894</v>
      </c>
      <c r="AA17" s="619" t="n">
        <f aca="false">XNPV('Project Assumtions'!$I$56,$B$15:AA15,$B$6:AA6)</f>
        <v>122990.900592894</v>
      </c>
    </row>
    <row r="18" customFormat="false" ht="12.6" hidden="false" customHeight="true" outlineLevel="0" collapsed="false">
      <c r="A18" s="403" t="s">
        <v>479</v>
      </c>
      <c r="B18" s="620" t="n">
        <v>0.12</v>
      </c>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408"/>
      <c r="AB18" s="378"/>
      <c r="AC18" s="378"/>
    </row>
    <row r="19" customFormat="false" ht="12.6" hidden="false" customHeight="true" outlineLevel="0" collapsed="false">
      <c r="A19" s="393" t="s">
        <v>480</v>
      </c>
      <c r="B19" s="621" t="n">
        <f aca="false">NPV(B18,C11:E11)</f>
        <v>6205.34983202103</v>
      </c>
      <c r="C19" s="265"/>
      <c r="D19" s="622" t="s">
        <v>350</v>
      </c>
      <c r="E19" s="622" t="n">
        <f aca="false">E15</f>
        <v>29049.6831277789</v>
      </c>
      <c r="F19" s="265"/>
      <c r="G19" s="265"/>
      <c r="H19" s="265"/>
      <c r="I19" s="265"/>
      <c r="J19" s="265"/>
      <c r="K19" s="265"/>
      <c r="L19" s="265"/>
      <c r="M19" s="265"/>
      <c r="N19" s="265"/>
      <c r="O19" s="265"/>
      <c r="P19" s="265"/>
      <c r="Q19" s="265"/>
      <c r="R19" s="265"/>
      <c r="S19" s="265"/>
      <c r="T19" s="265"/>
      <c r="U19" s="265"/>
      <c r="V19" s="265"/>
      <c r="W19" s="265"/>
      <c r="X19" s="265"/>
      <c r="Y19" s="265"/>
      <c r="Z19" s="265"/>
      <c r="AA19" s="441"/>
    </row>
    <row r="20" customFormat="false" ht="12.75" hidden="false" customHeight="false" outlineLevel="0" collapsed="false">
      <c r="A20" s="474" t="s">
        <v>481</v>
      </c>
      <c r="B20" s="475"/>
      <c r="C20" s="475"/>
      <c r="D20" s="475"/>
      <c r="E20" s="475"/>
      <c r="F20" s="475"/>
      <c r="G20" s="475"/>
      <c r="H20" s="475"/>
      <c r="I20" s="475"/>
      <c r="J20" s="475"/>
      <c r="K20" s="475"/>
      <c r="L20" s="475"/>
      <c r="M20" s="475"/>
      <c r="N20" s="475"/>
      <c r="O20" s="475"/>
      <c r="P20" s="475"/>
      <c r="Q20" s="475"/>
      <c r="R20" s="475"/>
      <c r="S20" s="475"/>
      <c r="T20" s="475"/>
      <c r="U20" s="475"/>
      <c r="V20" s="475"/>
      <c r="W20" s="475"/>
      <c r="X20" s="475"/>
      <c r="Y20" s="475"/>
      <c r="Z20" s="475"/>
      <c r="AA20" s="477"/>
    </row>
    <row r="21" customFormat="false" ht="12.6" hidden="false" customHeight="true" outlineLevel="0" collapsed="false">
      <c r="A21" s="428"/>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378"/>
      <c r="AB21" s="1"/>
      <c r="AC21" s="1"/>
    </row>
    <row r="22" customFormat="false" ht="15.75" hidden="false" customHeight="false" outlineLevel="0" collapsed="false">
      <c r="A22" s="424" t="s">
        <v>482</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511"/>
      <c r="AB22" s="378"/>
      <c r="AC22" s="378"/>
    </row>
    <row r="23" customFormat="false" ht="12.6" hidden="false" customHeight="true" outlineLevel="0" collapsed="false">
      <c r="A23" s="403" t="s">
        <v>483</v>
      </c>
      <c r="B23" s="431"/>
      <c r="C23" s="431" t="n">
        <f aca="false">IF('Project Assumtions'!$I$34="Normal",'Debt Amortization'!E54,'Debt Amortization'!E106)</f>
        <v>0</v>
      </c>
      <c r="D23" s="431" t="n">
        <f aca="false">IF('Project Assumtions'!$I$34="Normal",'Debt Amortization'!F54,'Debt Amortization'!F106)</f>
        <v>0</v>
      </c>
      <c r="E23" s="431" t="n">
        <f aca="false">IF('Project Assumtions'!$I$34="Normal",'Debt Amortization'!G54,'Debt Amortization'!G106)</f>
        <v>0</v>
      </c>
      <c r="F23" s="431" t="n">
        <f aca="false">IF('Project Assumtions'!$I$34="Normal",'Debt Amortization'!H54,'Debt Amortization'!H106)</f>
        <v>0</v>
      </c>
      <c r="G23" s="431" t="n">
        <f aca="false">IF('Project Assumtions'!$I$34="Normal",'Debt Amortization'!I54,'Debt Amortization'!I106)</f>
        <v>0</v>
      </c>
      <c r="H23" s="431" t="n">
        <f aca="false">IF('Project Assumtions'!$I$34="Normal",'Debt Amortization'!J54,'Debt Amortization'!J106)</f>
        <v>0</v>
      </c>
      <c r="I23" s="431" t="n">
        <f aca="false">IF('Project Assumtions'!$I$34="Normal",'Debt Amortization'!K54,'Debt Amortization'!K106)</f>
        <v>0</v>
      </c>
      <c r="J23" s="431" t="n">
        <f aca="false">IF('Project Assumtions'!$I$34="Normal",'Debt Amortization'!L54,'Debt Amortization'!L106)</f>
        <v>0</v>
      </c>
      <c r="K23" s="431" t="n">
        <f aca="false">IF('Project Assumtions'!$I$34="Normal",'Debt Amortization'!M54,'Debt Amortization'!M106)</f>
        <v>0</v>
      </c>
      <c r="L23" s="431" t="n">
        <f aca="false">IF('Project Assumtions'!$I$34="Normal",'Debt Amortization'!N54,'Debt Amortization'!N106)</f>
        <v>0</v>
      </c>
      <c r="M23" s="431" t="n">
        <f aca="false">IF('Project Assumtions'!$I$34="Normal",'Debt Amortization'!O54,'Debt Amortization'!O106)</f>
        <v>0</v>
      </c>
      <c r="N23" s="431" t="n">
        <f aca="false">IF('Project Assumtions'!$I$34="Normal",'Debt Amortization'!P54,'Debt Amortization'!P106)</f>
        <v>0</v>
      </c>
      <c r="O23" s="431" t="n">
        <f aca="false">IF('Project Assumtions'!$I$34="Normal",'Debt Amortization'!Q54,'Debt Amortization'!Q106)</f>
        <v>0</v>
      </c>
      <c r="P23" s="431" t="n">
        <f aca="false">IF('Project Assumtions'!$I$34="Normal",'Debt Amortization'!R54,'Debt Amortization'!R106)</f>
        <v>0</v>
      </c>
      <c r="Q23" s="431" t="n">
        <f aca="false">IF('Project Assumtions'!$I$34="Normal",'Debt Amortization'!S54,'Debt Amortization'!S106)</f>
        <v>0</v>
      </c>
      <c r="R23" s="431" t="n">
        <f aca="false">IF('Project Assumtions'!$I$34="Normal",'Debt Amortization'!T54,'Debt Amortization'!T106)</f>
        <v>0</v>
      </c>
      <c r="S23" s="431" t="n">
        <f aca="false">IF('Project Assumtions'!$I$34="Normal",'Debt Amortization'!U54,'Debt Amortization'!U106)</f>
        <v>0</v>
      </c>
      <c r="T23" s="431" t="n">
        <f aca="false">IF('Project Assumtions'!$I$34="Normal",'Debt Amortization'!V54,'Debt Amortization'!V106)</f>
        <v>0</v>
      </c>
      <c r="U23" s="431" t="n">
        <f aca="false">IF('Project Assumtions'!$I$34="Normal",'Debt Amortization'!W54,'Debt Amortization'!W106)</f>
        <v>0</v>
      </c>
      <c r="V23" s="431" t="n">
        <f aca="false">IF('Project Assumtions'!$I$34="Normal",'Debt Amortization'!X54,'Debt Amortization'!X106)</f>
        <v>0</v>
      </c>
      <c r="W23" s="431" t="n">
        <f aca="false">IF('Project Assumtions'!$I$34="Normal",'Debt Amortization'!Y54,'Debt Amortization'!Y106)</f>
        <v>0</v>
      </c>
      <c r="X23" s="431" t="n">
        <f aca="false">IF('Project Assumtions'!$I$34="Normal",'Debt Amortization'!Z54,'Debt Amortization'!Z106)</f>
        <v>0</v>
      </c>
      <c r="Y23" s="431" t="n">
        <f aca="false">IF('Project Assumtions'!$I$34="Normal",'Debt Amortization'!AA54,'Debt Amortization'!AA106)</f>
        <v>0</v>
      </c>
      <c r="Z23" s="431" t="n">
        <f aca="false">IF('Project Assumtions'!$I$34="Normal",'Debt Amortization'!AB54,'Debt Amortization'!AB106)</f>
        <v>0</v>
      </c>
      <c r="AA23" s="432" t="n">
        <f aca="false">IF('Project Assumtions'!$I$34="Normal",'Debt Amortization'!AC54,'Debt Amortization'!AC106)</f>
        <v>0</v>
      </c>
      <c r="AB23" s="431"/>
      <c r="AC23" s="431"/>
    </row>
    <row r="24" customFormat="false" ht="12.6" hidden="false" customHeight="true" outlineLevel="0" collapsed="false">
      <c r="A24" s="403" t="s">
        <v>484</v>
      </c>
      <c r="B24" s="378"/>
      <c r="C24" s="623" t="str">
        <f aca="false">IF(C23&lt;=0,"N/A",+'Book Income Statement'!D63/C23)</f>
        <v>N/A</v>
      </c>
      <c r="D24" s="623" t="str">
        <f aca="false">IF(D23&lt;=0,"N/A",+'Book Income Statement'!E63/D23)</f>
        <v>N/A</v>
      </c>
      <c r="E24" s="623" t="str">
        <f aca="false">IF(E23&lt;=0,"N/A",+'Book Income Statement'!F63/E23)</f>
        <v>N/A</v>
      </c>
      <c r="F24" s="623" t="str">
        <f aca="false">IF(F23&lt;=0,"N/A",+'Book Income Statement'!G63/F23)</f>
        <v>N/A</v>
      </c>
      <c r="G24" s="623" t="str">
        <f aca="false">IF(G23&lt;=0,"N/A",+'Book Income Statement'!H63/G23)</f>
        <v>N/A</v>
      </c>
      <c r="H24" s="623" t="str">
        <f aca="false">IF(H23&lt;=0,"N/A",+'Book Income Statement'!I63/H23)</f>
        <v>N/A</v>
      </c>
      <c r="I24" s="623" t="str">
        <f aca="false">IF(I23&lt;=0,"N/A",+'Book Income Statement'!J63/I23)</f>
        <v>N/A</v>
      </c>
      <c r="J24" s="623" t="str">
        <f aca="false">IF(J23&lt;=0,"N/A",+'Book Income Statement'!K63/J23)</f>
        <v>N/A</v>
      </c>
      <c r="K24" s="623" t="str">
        <f aca="false">IF(K23&lt;=0,"N/A",+'Book Income Statement'!L63/K23)</f>
        <v>N/A</v>
      </c>
      <c r="L24" s="623" t="str">
        <f aca="false">IF(L23&lt;=0,"N/A",+'Book Income Statement'!M63/L23)</f>
        <v>N/A</v>
      </c>
      <c r="M24" s="623" t="str">
        <f aca="false">IF(M23&lt;=0,"N/A",+'Book Income Statement'!N63/M23)</f>
        <v>N/A</v>
      </c>
      <c r="N24" s="623" t="str">
        <f aca="false">IF(N23&lt;=0,"N/A",+'Book Income Statement'!O63/N23)</f>
        <v>N/A</v>
      </c>
      <c r="O24" s="623" t="str">
        <f aca="false">IF(O23&lt;=0,"N/A",+'Book Income Statement'!P63/O23)</f>
        <v>N/A</v>
      </c>
      <c r="P24" s="623" t="str">
        <f aca="false">IF(P23&lt;=0,"N/A",+'Book Income Statement'!Q63/P23)</f>
        <v>N/A</v>
      </c>
      <c r="Q24" s="623" t="str">
        <f aca="false">IF(Q23&lt;=0,"N/A",+'Book Income Statement'!R63/Q23)</f>
        <v>N/A</v>
      </c>
      <c r="R24" s="623" t="str">
        <f aca="false">IF(R23&lt;=0,"N/A",+'Book Income Statement'!S63/R23)</f>
        <v>N/A</v>
      </c>
      <c r="S24" s="623" t="str">
        <f aca="false">IF(S23&lt;=0,"N/A",+'Book Income Statement'!T63/S23)</f>
        <v>N/A</v>
      </c>
      <c r="T24" s="623" t="str">
        <f aca="false">IF(T23&lt;=0,"N/A",+'Book Income Statement'!U63/T23)</f>
        <v>N/A</v>
      </c>
      <c r="U24" s="623" t="str">
        <f aca="false">IF(U23&lt;=0,"N/A",+'Book Income Statement'!V63/U23)</f>
        <v>N/A</v>
      </c>
      <c r="V24" s="623" t="str">
        <f aca="false">IF(V23&lt;=0,"N/A",+'Book Income Statement'!W63/V23)</f>
        <v>N/A</v>
      </c>
      <c r="W24" s="623" t="str">
        <f aca="false">IF(W23&lt;=0,"N/A",+'Book Income Statement'!X63/W23)</f>
        <v>N/A</v>
      </c>
      <c r="X24" s="623" t="str">
        <f aca="false">IF(X23&lt;=0,"N/A",+'Book Income Statement'!Y63/X23)</f>
        <v>N/A</v>
      </c>
      <c r="Y24" s="623" t="str">
        <f aca="false">IF(Y23&lt;=0,"N/A",+'Book Income Statement'!Z63/Y23)</f>
        <v>N/A</v>
      </c>
      <c r="Z24" s="623" t="str">
        <f aca="false">IF(Z23&lt;=0,"N/A",+'Book Income Statement'!AA63/Z23)</f>
        <v>N/A</v>
      </c>
      <c r="AA24" s="624" t="str">
        <f aca="false">IF(AA23&lt;=0,"N/A",+'Book Income Statement'!AB63/AA23)</f>
        <v>N/A</v>
      </c>
      <c r="AB24" s="1"/>
      <c r="AC24" s="1"/>
    </row>
    <row r="25" customFormat="false" ht="12.6" hidden="false" customHeight="true" outlineLevel="0" collapsed="false">
      <c r="A25" s="403" t="s">
        <v>485</v>
      </c>
      <c r="B25" s="431" t="n">
        <f aca="false">B29+B34</f>
        <v>36176.05935</v>
      </c>
      <c r="C25" s="616" t="n">
        <f aca="false">(($B$29+$B$34)-(IF('Project Assumtions'!$I$34="Normal",SUM('Debt Amortization'!$E$53:E53),SUM('Debt Amortization'!$E$105:E105))))/($B$29+$B$34)</f>
        <v>1</v>
      </c>
      <c r="D25" s="616" t="n">
        <f aca="false">(($B$29+$B$34)-(IF('Project Assumtions'!$I$34="Normal",SUM('Debt Amortization'!$E$53:F53),SUM('Debt Amortization'!$E$105:F105))))/($B$29+$B$34)</f>
        <v>1</v>
      </c>
      <c r="E25" s="616" t="n">
        <f aca="false">(($B$29+$B$34)-(IF('Project Assumtions'!$I$34="Normal",SUM('Debt Amortization'!$E$53:G53),SUM('Debt Amortization'!$E$105:G105))))/($B$29+$B$34)</f>
        <v>1</v>
      </c>
      <c r="F25" s="616" t="n">
        <f aca="false">(($B$29+$B$34)-(IF('Project Assumtions'!$I$34="Normal",SUM('Debt Amortization'!$E$53:H53),SUM('Debt Amortization'!$E$105:H105))))/($B$29+$B$34)</f>
        <v>1</v>
      </c>
      <c r="G25" s="616" t="n">
        <f aca="false">(($B$29+$B$34)-(IF('Project Assumtions'!$I$34="Normal",SUM('Debt Amortization'!$E$53:I53),SUM('Debt Amortization'!$E$105:I105))))/($B$29+$B$34)</f>
        <v>1</v>
      </c>
      <c r="H25" s="616" t="n">
        <f aca="false">(($B$29+$B$34)-(IF('Project Assumtions'!$I$34="Normal",SUM('Debt Amortization'!$E$53:J53),SUM('Debt Amortization'!$E$105:J105))))/($B$29+$B$34)</f>
        <v>1</v>
      </c>
      <c r="I25" s="616" t="n">
        <f aca="false">(($B$29+$B$34)-(IF('Project Assumtions'!$I$34="Normal",SUM('Debt Amortization'!$E$53:K53),SUM('Debt Amortization'!$E$105:K105))))/($B$29+$B$34)</f>
        <v>1</v>
      </c>
      <c r="J25" s="616" t="n">
        <f aca="false">(($B$29+$B$34)-(IF('Project Assumtions'!$I$34="Normal",SUM('Debt Amortization'!$E$53:L53),SUM('Debt Amortization'!$E$105:L105))))/($B$29+$B$34)</f>
        <v>1</v>
      </c>
      <c r="K25" s="616" t="n">
        <f aca="false">(($B$29+$B$34)-(IF('Project Assumtions'!$I$34="Normal",SUM('Debt Amortization'!$E$53:M53),SUM('Debt Amortization'!$E$105:M105))))/($B$29+$B$34)</f>
        <v>1</v>
      </c>
      <c r="L25" s="616" t="n">
        <f aca="false">(($B$29+$B$34)-(IF('Project Assumtions'!$I$34="Normal",SUM('Debt Amortization'!$E$53:N53),SUM('Debt Amortization'!$E$105:N105))))/($B$29+$B$34)</f>
        <v>1</v>
      </c>
      <c r="M25" s="616" t="n">
        <f aca="false">(($B$29+$B$34)-(IF('Project Assumtions'!$I$34="Normal",SUM('Debt Amortization'!$E$53:O53),SUM('Debt Amortization'!$E$105:O105))))/($B$29+$B$34)</f>
        <v>1</v>
      </c>
      <c r="N25" s="616" t="n">
        <f aca="false">(($B$29+$B$34)-(IF('Project Assumtions'!$I$34="Normal",SUM('Debt Amortization'!$E$53:P53),SUM('Debt Amortization'!$E$105:P105))))/($B$29+$B$34)</f>
        <v>1</v>
      </c>
      <c r="O25" s="616" t="n">
        <f aca="false">(($B$29+$B$34)-(IF('Project Assumtions'!$I$34="Normal",SUM('Debt Amortization'!$E$53:Q53),SUM('Debt Amortization'!$E$105:Q105))))/($B$29+$B$34)</f>
        <v>1</v>
      </c>
      <c r="P25" s="616" t="n">
        <f aca="false">(($B$29+$B$34)-(IF('Project Assumtions'!$I$34="Normal",SUM('Debt Amortization'!$E$53:R53),SUM('Debt Amortization'!$E$105:R105))))/($B$29+$B$34)</f>
        <v>1</v>
      </c>
      <c r="Q25" s="616" t="n">
        <f aca="false">(($B$29+$B$34)-(IF('Project Assumtions'!$I$34="Normal",SUM('Debt Amortization'!$E$53:S53),SUM('Debt Amortization'!$E$105:S105))))/($B$29+$B$34)</f>
        <v>1</v>
      </c>
      <c r="R25" s="616" t="n">
        <f aca="false">(($B$29+$B$34)-(IF('Project Assumtions'!$I$34="Normal",SUM('Debt Amortization'!$E$53:T53),SUM('Debt Amortization'!$E$105:T105))))/($B$29+$B$34)</f>
        <v>1</v>
      </c>
      <c r="S25" s="616" t="n">
        <f aca="false">(($B$29+$B$34)-(IF('Project Assumtions'!$I$34="Normal",SUM('Debt Amortization'!$E$53:U53),SUM('Debt Amortization'!$E$105:U105))))/($B$29+$B$34)</f>
        <v>1</v>
      </c>
      <c r="T25" s="616" t="n">
        <f aca="false">(($B$29+$B$34)-(IF('Project Assumtions'!$I$34="Normal",SUM('Debt Amortization'!$E$53:V53),SUM('Debt Amortization'!$E$105:V105))))/($B$29+$B$34)</f>
        <v>1</v>
      </c>
      <c r="U25" s="616" t="n">
        <f aca="false">(($B$29+$B$34)-(IF('Project Assumtions'!$I$34="Normal",SUM('Debt Amortization'!$E$53:W53),SUM('Debt Amortization'!$E$105:W105))))/($B$29+$B$34)</f>
        <v>1</v>
      </c>
      <c r="V25" s="616" t="n">
        <f aca="false">(($B$29+$B$34)-(IF('Project Assumtions'!$I$34="Normal",SUM('Debt Amortization'!$E$53:X53),SUM('Debt Amortization'!$E$105:X105))))/($B$29+$B$34)</f>
        <v>1</v>
      </c>
      <c r="W25" s="616" t="n">
        <f aca="false">(($B$29+$B$34)-(IF('Project Assumtions'!$I$34="Normal",SUM('Debt Amortization'!$E$53:Y53),SUM('Debt Amortization'!$E$105:Y105))))/($B$29+$B$34)</f>
        <v>1</v>
      </c>
      <c r="X25" s="616" t="n">
        <f aca="false">(($B$29+$B$34)-(IF('Project Assumtions'!$I$34="Normal",SUM('Debt Amortization'!$E$53:Z53),SUM('Debt Amortization'!$E$105:Z105))))/($B$29+$B$34)</f>
        <v>1</v>
      </c>
      <c r="Y25" s="616" t="n">
        <f aca="false">(($B$29+$B$34)-(IF('Project Assumtions'!$I$34="Normal",SUM('Debt Amortization'!$E$53:AA53),SUM('Debt Amortization'!$E$105:AA105))))/($B$29+$B$34)</f>
        <v>1</v>
      </c>
      <c r="Z25" s="616" t="n">
        <f aca="false">(($B$29+$B$34)-(IF('Project Assumtions'!$I$34="Normal",SUM('Debt Amortization'!$E$53:AB53),SUM('Debt Amortization'!$E$105:AB105))))/($B$29+$B$34)</f>
        <v>1</v>
      </c>
      <c r="AA25" s="617" t="n">
        <f aca="false">(($B$29+$B$34)-(IF('Project Assumtions'!$I$34="Normal",SUM('Debt Amortization'!$E$53:AC53),SUM('Debt Amortization'!$E$105:AC105))))/($B$29+$B$34)</f>
        <v>1</v>
      </c>
      <c r="AB25" s="1"/>
      <c r="AC25" s="1"/>
    </row>
    <row r="26" customFormat="false" ht="12.6" hidden="false" customHeight="true" outlineLevel="0" collapsed="false">
      <c r="A26" s="403" t="s">
        <v>486</v>
      </c>
      <c r="B26" s="431" t="n">
        <f aca="false">+'Project Assumtions'!C49</f>
        <v>0</v>
      </c>
      <c r="C26" s="431" t="n">
        <f aca="false">B26+'Cash Flow Statement'!D16-'Cash Flow Statement'!D17</f>
        <v>0</v>
      </c>
      <c r="D26" s="431" t="n">
        <f aca="false">C26+'Cash Flow Statement'!E16-'Cash Flow Statement'!E17</f>
        <v>0</v>
      </c>
      <c r="E26" s="431" t="n">
        <f aca="false">D26+'Cash Flow Statement'!F16-'Cash Flow Statement'!F17</f>
        <v>0</v>
      </c>
      <c r="F26" s="431" t="n">
        <f aca="false">E26+'Cash Flow Statement'!G16-'Cash Flow Statement'!G17</f>
        <v>0</v>
      </c>
      <c r="G26" s="431" t="n">
        <f aca="false">F26+'Cash Flow Statement'!H16-'Cash Flow Statement'!H17</f>
        <v>0</v>
      </c>
      <c r="H26" s="431" t="n">
        <f aca="false">G26+'Cash Flow Statement'!I16-'Cash Flow Statement'!I17</f>
        <v>0</v>
      </c>
      <c r="I26" s="431" t="n">
        <f aca="false">H26+'Cash Flow Statement'!J16-'Cash Flow Statement'!J17</f>
        <v>0</v>
      </c>
      <c r="J26" s="431" t="n">
        <f aca="false">I26+'Cash Flow Statement'!K16-'Cash Flow Statement'!K17</f>
        <v>0</v>
      </c>
      <c r="K26" s="431" t="n">
        <f aca="false">J26+'Cash Flow Statement'!L16-'Cash Flow Statement'!L17</f>
        <v>0</v>
      </c>
      <c r="L26" s="431" t="n">
        <f aca="false">K26+'Cash Flow Statement'!M16-'Cash Flow Statement'!M17</f>
        <v>0</v>
      </c>
      <c r="M26" s="431" t="n">
        <f aca="false">L26+'Cash Flow Statement'!N16-'Cash Flow Statement'!N17</f>
        <v>0</v>
      </c>
      <c r="N26" s="431" t="n">
        <f aca="false">M26+'Cash Flow Statement'!O16-'Cash Flow Statement'!O17</f>
        <v>0</v>
      </c>
      <c r="O26" s="431" t="n">
        <f aca="false">N26+'Cash Flow Statement'!P16-'Cash Flow Statement'!P17</f>
        <v>0</v>
      </c>
      <c r="P26" s="431" t="n">
        <f aca="false">O26+'Cash Flow Statement'!Q16-'Cash Flow Statement'!Q17</f>
        <v>0</v>
      </c>
      <c r="Q26" s="431" t="n">
        <f aca="false">P26+'Cash Flow Statement'!R16+'Cash Flow Statement'!R17</f>
        <v>0</v>
      </c>
      <c r="R26" s="431" t="n">
        <f aca="false">Q26+'Cash Flow Statement'!S16+'Cash Flow Statement'!S17</f>
        <v>0</v>
      </c>
      <c r="S26" s="431" t="n">
        <f aca="false">R26+'Cash Flow Statement'!T16+'Cash Flow Statement'!T17</f>
        <v>0</v>
      </c>
      <c r="T26" s="431" t="n">
        <f aca="false">S26+'Cash Flow Statement'!U16+'Cash Flow Statement'!U17</f>
        <v>0</v>
      </c>
      <c r="U26" s="431" t="n">
        <f aca="false">T26+'Cash Flow Statement'!V16+'Cash Flow Statement'!V17</f>
        <v>0</v>
      </c>
      <c r="V26" s="431" t="n">
        <f aca="false">U26+'Cash Flow Statement'!W16+'Cash Flow Statement'!W17</f>
        <v>0</v>
      </c>
      <c r="W26" s="431" t="n">
        <f aca="false">V26+'Cash Flow Statement'!X16+'Cash Flow Statement'!X17</f>
        <v>0</v>
      </c>
      <c r="X26" s="431" t="n">
        <f aca="false">W26+'Cash Flow Statement'!Y16+'Cash Flow Statement'!Y17</f>
        <v>0</v>
      </c>
      <c r="Y26" s="431" t="n">
        <f aca="false">X26+'Cash Flow Statement'!Z16+'Cash Flow Statement'!Z17</f>
        <v>0</v>
      </c>
      <c r="Z26" s="431" t="n">
        <f aca="false">Y26+'Cash Flow Statement'!AA16+'Cash Flow Statement'!AA17</f>
        <v>0</v>
      </c>
      <c r="AA26" s="432" t="n">
        <f aca="false">Z26+'Cash Flow Statement'!AB16+'Cash Flow Statement'!AB17</f>
        <v>0</v>
      </c>
      <c r="AB26" s="1"/>
      <c r="AC26" s="1"/>
    </row>
    <row r="27" customFormat="false" ht="12.6" hidden="false" customHeight="true" outlineLevel="0" collapsed="false">
      <c r="A27" s="403" t="str">
        <f aca="false">"  Debt Reserve Interest Income @ "&amp;'Project Assumtions'!I48*100&amp;"%"</f>
        <v>  Debt Reserve Interest Income @ 0%</v>
      </c>
      <c r="B27" s="498"/>
      <c r="C27" s="431" t="n">
        <f aca="false">C26*'Project Assumtions'!$I$48*(SUM('Book Income Statement'!D6:D8)/12)</f>
        <v>0</v>
      </c>
      <c r="D27" s="431" t="n">
        <f aca="false">D26*'Project Assumtions'!$I$48*(SUM('Book Income Statement'!E6:E8)/12)</f>
        <v>0</v>
      </c>
      <c r="E27" s="431" t="n">
        <f aca="false">E26*'Project Assumtions'!$I$48*(SUM('Book Income Statement'!F6:F8)/12)</f>
        <v>0</v>
      </c>
      <c r="F27" s="431" t="n">
        <f aca="false">F26*'Project Assumtions'!$I$48*(SUM('Book Income Statement'!G6:G8)/12)</f>
        <v>0</v>
      </c>
      <c r="G27" s="431" t="n">
        <f aca="false">G26*'Project Assumtions'!$I$48*(SUM('Book Income Statement'!H6:H8)/12)</f>
        <v>0</v>
      </c>
      <c r="H27" s="431" t="n">
        <f aca="false">H26*'Project Assumtions'!$I$48*(SUM('Book Income Statement'!I6:I8)/12)</f>
        <v>0</v>
      </c>
      <c r="I27" s="431" t="n">
        <f aca="false">I26*'Project Assumtions'!$I$48*(SUM('Book Income Statement'!J6:J8)/12)</f>
        <v>0</v>
      </c>
      <c r="J27" s="431" t="n">
        <f aca="false">J26*'Project Assumtions'!$I$48*(SUM('Book Income Statement'!K6:K8)/12)</f>
        <v>0</v>
      </c>
      <c r="K27" s="431" t="n">
        <f aca="false">K26*'Project Assumtions'!$I$48*(SUM('Book Income Statement'!L6:L8)/12)</f>
        <v>0</v>
      </c>
      <c r="L27" s="431" t="n">
        <f aca="false">L26*'Project Assumtions'!$I$48*(SUM('Book Income Statement'!M6:M8)/12)</f>
        <v>0</v>
      </c>
      <c r="M27" s="431" t="n">
        <f aca="false">M26*'Project Assumtions'!$I$48*(SUM('Book Income Statement'!N6:N8)/12)</f>
        <v>0</v>
      </c>
      <c r="N27" s="431" t="n">
        <f aca="false">N26*'Project Assumtions'!$I$48*(SUM('Book Income Statement'!O6:O8)/12)</f>
        <v>0</v>
      </c>
      <c r="O27" s="431" t="n">
        <f aca="false">O26*'Project Assumtions'!$I$48*(SUM('Book Income Statement'!P6:P8)/12)</f>
        <v>0</v>
      </c>
      <c r="P27" s="431" t="n">
        <f aca="false">P26*'Project Assumtions'!$I$48*(SUM('Book Income Statement'!Q6:Q8)/12)</f>
        <v>0</v>
      </c>
      <c r="Q27" s="431" t="n">
        <f aca="false">Q26*'Project Assumtions'!$I$48*(SUM('Book Income Statement'!R6:R8)/12)</f>
        <v>0</v>
      </c>
      <c r="R27" s="431" t="n">
        <f aca="false">R26*'Project Assumtions'!$I$48*(SUM('Book Income Statement'!S6:S8)/12)</f>
        <v>0</v>
      </c>
      <c r="S27" s="431" t="n">
        <f aca="false">S26*'Project Assumtions'!$I$48*(SUM('Book Income Statement'!T6:T8)/12)</f>
        <v>0</v>
      </c>
      <c r="T27" s="431" t="n">
        <f aca="false">T26*'Project Assumtions'!$I$48*(SUM('Book Income Statement'!U6:U8)/12)</f>
        <v>0</v>
      </c>
      <c r="U27" s="431" t="n">
        <f aca="false">U26*'Project Assumtions'!$I$48*(SUM('Book Income Statement'!V6:V8)/12)</f>
        <v>0</v>
      </c>
      <c r="V27" s="431" t="n">
        <f aca="false">V26*'Project Assumtions'!$I$48*(SUM('Book Income Statement'!W6:W8)/12)</f>
        <v>0</v>
      </c>
      <c r="W27" s="431" t="n">
        <f aca="false">W26*'Project Assumtions'!$I$48*(SUM('Book Income Statement'!X6:X8)/12)</f>
        <v>0</v>
      </c>
      <c r="X27" s="431" t="n">
        <f aca="false">X26*'Project Assumtions'!$I$48*(SUM('Book Income Statement'!Y6:Y8)/12)</f>
        <v>0</v>
      </c>
      <c r="Y27" s="431" t="n">
        <f aca="false">Y26*'Project Assumtions'!$I$48*(SUM('Book Income Statement'!Z6:Z8)/12)</f>
        <v>0</v>
      </c>
      <c r="Z27" s="431" t="n">
        <f aca="false">Z26*'Project Assumtions'!$I$48*(SUM('Book Income Statement'!AA6:AA8)/12)</f>
        <v>0</v>
      </c>
      <c r="AA27" s="432" t="n">
        <f aca="false">AA26*'Project Assumtions'!$I$48*(SUM('Book Income Statement'!AB6:AB8)/12)</f>
        <v>0</v>
      </c>
      <c r="AB27" s="431"/>
      <c r="AC27" s="431"/>
    </row>
    <row r="28" customFormat="false" ht="12.6" hidden="false" customHeight="true" outlineLevel="0" collapsed="false">
      <c r="A28" s="403"/>
      <c r="B28" s="378"/>
      <c r="C28" s="625"/>
      <c r="D28" s="625"/>
      <c r="E28" s="625"/>
      <c r="F28" s="625"/>
      <c r="G28" s="625"/>
      <c r="H28" s="625"/>
      <c r="I28" s="625"/>
      <c r="J28" s="625"/>
      <c r="K28" s="625"/>
      <c r="L28" s="625"/>
      <c r="M28" s="625"/>
      <c r="N28" s="625"/>
      <c r="O28" s="625"/>
      <c r="P28" s="625"/>
      <c r="Q28" s="625"/>
      <c r="R28" s="625"/>
      <c r="S28" s="625"/>
      <c r="T28" s="625"/>
      <c r="U28" s="625"/>
      <c r="V28" s="625"/>
      <c r="W28" s="625"/>
      <c r="X28" s="625"/>
      <c r="Y28" s="625"/>
      <c r="Z28" s="625"/>
      <c r="AA28" s="626"/>
      <c r="AB28" s="1"/>
      <c r="AC28" s="1"/>
    </row>
    <row r="29" customFormat="false" ht="12.6" hidden="false" customHeight="true" outlineLevel="0" collapsed="false">
      <c r="A29" s="427" t="s">
        <v>228</v>
      </c>
      <c r="B29" s="431" t="n">
        <f aca="false">IF('Project Assumtions'!$I$34="Normal",'Debt Amortization'!B19,'Debt Amortization'!B76)</f>
        <v>0</v>
      </c>
      <c r="C29" s="625"/>
      <c r="D29" s="625"/>
      <c r="E29" s="625"/>
      <c r="F29" s="625"/>
      <c r="G29" s="625"/>
      <c r="H29" s="625"/>
      <c r="I29" s="625"/>
      <c r="J29" s="625"/>
      <c r="K29" s="625"/>
      <c r="L29" s="625"/>
      <c r="M29" s="625"/>
      <c r="N29" s="625"/>
      <c r="O29" s="625"/>
      <c r="P29" s="625"/>
      <c r="Q29" s="625"/>
      <c r="R29" s="625"/>
      <c r="S29" s="625"/>
      <c r="T29" s="625"/>
      <c r="U29" s="625"/>
      <c r="V29" s="625"/>
      <c r="W29" s="625"/>
      <c r="X29" s="625"/>
      <c r="Y29" s="625"/>
      <c r="Z29" s="625"/>
      <c r="AA29" s="626"/>
      <c r="AB29" s="1"/>
      <c r="AC29" s="1"/>
    </row>
    <row r="30" customFormat="false" ht="12.6" hidden="false" customHeight="true" outlineLevel="0" collapsed="false">
      <c r="A30" s="403" t="s">
        <v>487</v>
      </c>
      <c r="B30" s="378"/>
      <c r="C30" s="431" t="n">
        <f aca="false">IF('Project Assumtions'!$I$34="Normal",'Debt Amortization'!E29,'Debt Amortization'!E81)</f>
        <v>0</v>
      </c>
      <c r="D30" s="431" t="n">
        <f aca="false">IF('Project Assumtions'!$I$34="Normal",'Debt Amortization'!F29,'Debt Amortization'!F81)</f>
        <v>0</v>
      </c>
      <c r="E30" s="431" t="n">
        <f aca="false">IF('Project Assumtions'!$I$34="Normal",'Debt Amortization'!G29,'Debt Amortization'!G81)</f>
        <v>0</v>
      </c>
      <c r="F30" s="431" t="n">
        <f aca="false">IF('Project Assumtions'!$I$34="Normal",'Debt Amortization'!H29,'Debt Amortization'!H81)</f>
        <v>0</v>
      </c>
      <c r="G30" s="431" t="n">
        <f aca="false">IF('Project Assumtions'!$I$34="Normal",'Debt Amortization'!I29,'Debt Amortization'!I81)</f>
        <v>0</v>
      </c>
      <c r="H30" s="431" t="n">
        <f aca="false">IF('Project Assumtions'!$I$34="Normal",'Debt Amortization'!J29,'Debt Amortization'!J81)</f>
        <v>0</v>
      </c>
      <c r="I30" s="431" t="n">
        <f aca="false">IF('Project Assumtions'!$I$34="Normal",'Debt Amortization'!K29,'Debt Amortization'!K81)</f>
        <v>0</v>
      </c>
      <c r="J30" s="431" t="n">
        <f aca="false">IF('Project Assumtions'!$I$34="Normal",'Debt Amortization'!L29,'Debt Amortization'!L81)</f>
        <v>0</v>
      </c>
      <c r="K30" s="431" t="n">
        <f aca="false">IF('Project Assumtions'!$I$34="Normal",'Debt Amortization'!M29,'Debt Amortization'!M81)</f>
        <v>0</v>
      </c>
      <c r="L30" s="431" t="n">
        <f aca="false">IF('Project Assumtions'!$I$34="Normal",'Debt Amortization'!N29,'Debt Amortization'!N81)</f>
        <v>0</v>
      </c>
      <c r="M30" s="431" t="n">
        <f aca="false">IF('Project Assumtions'!$I$34="Normal",'Debt Amortization'!O29,'Debt Amortization'!O81)</f>
        <v>0</v>
      </c>
      <c r="N30" s="431" t="n">
        <f aca="false">IF('Project Assumtions'!$I$34="Normal",'Debt Amortization'!P29,'Debt Amortization'!P81)</f>
        <v>0</v>
      </c>
      <c r="O30" s="431" t="n">
        <f aca="false">IF('Project Assumtions'!$I$34="Normal",'Debt Amortization'!Q29,'Debt Amortization'!Q81)</f>
        <v>0</v>
      </c>
      <c r="P30" s="431" t="n">
        <f aca="false">IF('Project Assumtions'!$I$34="Normal",'Debt Amortization'!R29,'Debt Amortization'!R81)</f>
        <v>0</v>
      </c>
      <c r="Q30" s="431" t="n">
        <f aca="false">IF('Project Assumtions'!$I$34="Normal",'Debt Amortization'!S29,'Debt Amortization'!S81)</f>
        <v>0</v>
      </c>
      <c r="R30" s="431" t="n">
        <f aca="false">IF('Project Assumtions'!$I$34="Normal",'Debt Amortization'!T29,'Debt Amortization'!T81)</f>
        <v>0</v>
      </c>
      <c r="S30" s="431" t="n">
        <f aca="false">IF('Project Assumtions'!$I$34="Normal",'Debt Amortization'!U29,'Debt Amortization'!U81)</f>
        <v>0</v>
      </c>
      <c r="T30" s="431" t="n">
        <f aca="false">IF('Project Assumtions'!$I$34="Normal",'Debt Amortization'!V29,'Debt Amortization'!V81)</f>
        <v>0</v>
      </c>
      <c r="U30" s="431" t="n">
        <f aca="false">IF('Project Assumtions'!$I$34="Normal",'Debt Amortization'!W29,'Debt Amortization'!W81)</f>
        <v>0</v>
      </c>
      <c r="V30" s="431" t="n">
        <f aca="false">IF('Project Assumtions'!$I$34="Normal",'Debt Amortization'!X29,'Debt Amortization'!X81)</f>
        <v>0</v>
      </c>
      <c r="W30" s="431" t="n">
        <f aca="false">IF('Project Assumtions'!$I$34="Normal",'Debt Amortization'!Y29,'Debt Amortization'!Y81)</f>
        <v>0</v>
      </c>
      <c r="X30" s="431" t="n">
        <f aca="false">IF('Project Assumtions'!$I$34="Normal",'Debt Amortization'!Z29,'Debt Amortization'!Z81)</f>
        <v>0</v>
      </c>
      <c r="Y30" s="431" t="n">
        <f aca="false">IF('Project Assumtions'!$I$34="Normal",'Debt Amortization'!AA29,'Debt Amortization'!AA81)</f>
        <v>0</v>
      </c>
      <c r="Z30" s="431" t="n">
        <f aca="false">IF('Project Assumtions'!$I$34="Normal",'Debt Amortization'!AB29,'Debt Amortization'!AB81)</f>
        <v>0</v>
      </c>
      <c r="AA30" s="432" t="n">
        <f aca="false">IF('Project Assumtions'!$I$34="Normal",'Debt Amortization'!AC29,'Debt Amortization'!AC81)</f>
        <v>0</v>
      </c>
      <c r="AB30" s="1"/>
      <c r="AC30" s="1"/>
    </row>
    <row r="31" customFormat="false" ht="12.6" hidden="false" customHeight="true" outlineLevel="0" collapsed="false">
      <c r="A31" s="403" t="s">
        <v>488</v>
      </c>
      <c r="B31" s="378"/>
      <c r="C31" s="627" t="str">
        <f aca="false">IF(C30&lt;1,"N/A",'Book Income Statement'!D63/C30)</f>
        <v>N/A</v>
      </c>
      <c r="D31" s="627" t="str">
        <f aca="false">IF(D30&lt;1,"N/A",+'Book Income Statement'!E63/D30)</f>
        <v>N/A</v>
      </c>
      <c r="E31" s="627" t="str">
        <f aca="false">IF(E30&lt;1,"N/A",+'Book Income Statement'!F63/E30)</f>
        <v>N/A</v>
      </c>
      <c r="F31" s="627" t="str">
        <f aca="false">IF(F30&lt;1,"N/A",+'Book Income Statement'!G63/F30)</f>
        <v>N/A</v>
      </c>
      <c r="G31" s="627" t="str">
        <f aca="false">IF(G30&lt;1,"N/A",+'Book Income Statement'!H63/G30)</f>
        <v>N/A</v>
      </c>
      <c r="H31" s="627" t="str">
        <f aca="false">IF(H30&lt;1,"N/A",+'Book Income Statement'!I63/H30)</f>
        <v>N/A</v>
      </c>
      <c r="I31" s="627" t="str">
        <f aca="false">IF(I30&lt;1,"N/A",+'Book Income Statement'!J63/I30)</f>
        <v>N/A</v>
      </c>
      <c r="J31" s="627" t="str">
        <f aca="false">IF(J30&lt;1,"N/A",+'Book Income Statement'!K63/J30)</f>
        <v>N/A</v>
      </c>
      <c r="K31" s="627" t="str">
        <f aca="false">IF(K30&lt;1,"N/A",+'Book Income Statement'!L63/K30)</f>
        <v>N/A</v>
      </c>
      <c r="L31" s="627" t="str">
        <f aca="false">IF(L30&lt;1,"N/A",+'Book Income Statement'!M63/L30)</f>
        <v>N/A</v>
      </c>
      <c r="M31" s="627" t="str">
        <f aca="false">IF(M30&lt;1,"N/A",+'Book Income Statement'!N63/M30)</f>
        <v>N/A</v>
      </c>
      <c r="N31" s="627" t="str">
        <f aca="false">IF(N30&lt;1,"N/A",+'Book Income Statement'!O63/N30)</f>
        <v>N/A</v>
      </c>
      <c r="O31" s="627" t="str">
        <f aca="false">IF(O30&lt;1,"N/A",+'Book Income Statement'!P63/O30)</f>
        <v>N/A</v>
      </c>
      <c r="P31" s="627" t="str">
        <f aca="false">IF(P30&lt;1,"N/A",+'Book Income Statement'!Q63/P30)</f>
        <v>N/A</v>
      </c>
      <c r="Q31" s="627" t="str">
        <f aca="false">IF(Q30&lt;1,"N/A",+'Book Income Statement'!R63/Q30)</f>
        <v>N/A</v>
      </c>
      <c r="R31" s="627" t="str">
        <f aca="false">IF(R30&lt;1,"N/A",+'Book Income Statement'!S63/R30)</f>
        <v>N/A</v>
      </c>
      <c r="S31" s="627" t="str">
        <f aca="false">IF(S30&lt;1,"N/A",+'Book Income Statement'!T63/S30)</f>
        <v>N/A</v>
      </c>
      <c r="T31" s="627" t="str">
        <f aca="false">IF(T30&lt;1,"N/A",+'Book Income Statement'!U63/T30)</f>
        <v>N/A</v>
      </c>
      <c r="U31" s="627" t="str">
        <f aca="false">IF(U30&lt;1,"N/A",+'Book Income Statement'!V63/U30)</f>
        <v>N/A</v>
      </c>
      <c r="V31" s="627" t="str">
        <f aca="false">IF(V30&lt;1,"N/A",+'Book Income Statement'!W63/V30)</f>
        <v>N/A</v>
      </c>
      <c r="W31" s="627" t="str">
        <f aca="false">IF(W30&lt;1,"N/A",+'Book Income Statement'!X63/W30)</f>
        <v>N/A</v>
      </c>
      <c r="X31" s="627" t="str">
        <f aca="false">IF(X30&lt;1,"N/A",+'Book Income Statement'!Y63/X30)</f>
        <v>N/A</v>
      </c>
      <c r="Y31" s="627" t="str">
        <f aca="false">IF(Y30&lt;1,"N/A",+'Book Income Statement'!Z63/Y30)</f>
        <v>N/A</v>
      </c>
      <c r="Z31" s="627" t="str">
        <f aca="false">IF(Z30&lt;1,"N/A",+'Book Income Statement'!AA63/Z30)</f>
        <v>N/A</v>
      </c>
      <c r="AA31" s="628" t="str">
        <f aca="false">IF(AA30&lt;1,"N/A",+'Book Income Statement'!AB63/AA30)</f>
        <v>N/A</v>
      </c>
      <c r="AB31" s="1"/>
      <c r="AC31" s="1"/>
    </row>
    <row r="32" customFormat="false" ht="12.6" hidden="false" customHeight="true" outlineLevel="0" collapsed="false">
      <c r="A32" s="403" t="s">
        <v>485</v>
      </c>
      <c r="B32" s="378"/>
      <c r="C32" s="620" t="e">
        <f aca="false">($B$29-IF('Project Assumtions'!$I$34="Normal",SUM('Debt Amortization'!$E$28:E28),SUM('Debt Amortization'!$E$80:E80)))/$B$29</f>
        <v>#DIV/0!</v>
      </c>
      <c r="D32" s="620" t="e">
        <f aca="false">($B$29-IF('Project Assumtions'!$I$34="Normal",SUM('Debt Amortization'!$E$28:F28),SUM('Debt Amortization'!$E$80:F80)))/$B$29</f>
        <v>#DIV/0!</v>
      </c>
      <c r="E32" s="620" t="e">
        <f aca="false">($B$29-IF('Project Assumtions'!$I$34="Normal",SUM('Debt Amortization'!$E$28:G28),SUM('Debt Amortization'!$E$80:G80)))/$B$29</f>
        <v>#DIV/0!</v>
      </c>
      <c r="F32" s="620" t="e">
        <f aca="false">($B$29-IF('Project Assumtions'!$I$34="Normal",SUM('Debt Amortization'!$E$28:H28),SUM('Debt Amortization'!$E$80:H80)))/$B$29</f>
        <v>#DIV/0!</v>
      </c>
      <c r="G32" s="620" t="e">
        <f aca="false">($B$29-IF('Project Assumtions'!$I$34="Normal",SUM('Debt Amortization'!$E$28:I28),SUM('Debt Amortization'!$E$80:I80)))/$B$29</f>
        <v>#DIV/0!</v>
      </c>
      <c r="H32" s="620" t="e">
        <f aca="false">($B$29-IF('Project Assumtions'!$I$34="Normal",SUM('Debt Amortization'!$E$28:J28),SUM('Debt Amortization'!$E$80:J80)))/$B$29</f>
        <v>#DIV/0!</v>
      </c>
      <c r="I32" s="620" t="e">
        <f aca="false">($B$29-IF('Project Assumtions'!$I$34="Normal",SUM('Debt Amortization'!$E$28:K28),SUM('Debt Amortization'!$E$80:K80)))/$B$29</f>
        <v>#DIV/0!</v>
      </c>
      <c r="J32" s="620" t="e">
        <f aca="false">($B$29-IF('Project Assumtions'!$I$34="Normal",SUM('Debt Amortization'!$E$28:L28),SUM('Debt Amortization'!$E$80:L80)))/$B$29</f>
        <v>#DIV/0!</v>
      </c>
      <c r="K32" s="620" t="e">
        <f aca="false">($B$29-IF('Project Assumtions'!$I$34="Normal",SUM('Debt Amortization'!$E$28:M28),SUM('Debt Amortization'!$E$80:M80)))/$B$29</f>
        <v>#DIV/0!</v>
      </c>
      <c r="L32" s="620" t="e">
        <f aca="false">($B$29-IF('Project Assumtions'!$I$34="Normal",SUM('Debt Amortization'!$E$28:N28),SUM('Debt Amortization'!$E$80:N80)))/$B$29</f>
        <v>#DIV/0!</v>
      </c>
      <c r="M32" s="620" t="e">
        <f aca="false">($B$29-IF('Project Assumtions'!$I$34="Normal",SUM('Debt Amortization'!$E$28:O28),SUM('Debt Amortization'!$E$80:O80)))/$B$29</f>
        <v>#DIV/0!</v>
      </c>
      <c r="N32" s="620" t="e">
        <f aca="false">($B$29-IF('Project Assumtions'!$I$34="Normal",SUM('Debt Amortization'!$E$28:P28),SUM('Debt Amortization'!$E$80:P80)))/$B$29</f>
        <v>#DIV/0!</v>
      </c>
      <c r="O32" s="620" t="e">
        <f aca="false">($B$29-IF('Project Assumtions'!$I$34="Normal",SUM('Debt Amortization'!$E$28:Q28),SUM('Debt Amortization'!$E$80:Q80)))/$B$29</f>
        <v>#DIV/0!</v>
      </c>
      <c r="P32" s="620" t="e">
        <f aca="false">($B$29-IF('Project Assumtions'!$I$34="Normal",SUM('Debt Amortization'!$E$28:R28),SUM('Debt Amortization'!$E$80:R80)))/$B$29</f>
        <v>#DIV/0!</v>
      </c>
      <c r="Q32" s="620" t="e">
        <f aca="false">($B$29-IF('Project Assumtions'!$I$34="Normal",SUM('Debt Amortization'!$E$28:S28),SUM('Debt Amortization'!$E$80:S80)))/$B$29</f>
        <v>#DIV/0!</v>
      </c>
      <c r="R32" s="620" t="e">
        <f aca="false">($B$29-IF('Project Assumtions'!$I$34="Normal",SUM('Debt Amortization'!$E$28:T28),SUM('Debt Amortization'!$E$80:T80)))/$B$29</f>
        <v>#DIV/0!</v>
      </c>
      <c r="S32" s="620" t="e">
        <f aca="false">($B$29-IF('Project Assumtions'!$I$34="Normal",SUM('Debt Amortization'!$E$28:U28),SUM('Debt Amortization'!$E$80:U80)))/$B$29</f>
        <v>#DIV/0!</v>
      </c>
      <c r="T32" s="620" t="e">
        <f aca="false">($B$29-IF('Project Assumtions'!$I$34="Normal",SUM('Debt Amortization'!$E$28:V28),SUM('Debt Amortization'!$E$80:V80)))/$B$29</f>
        <v>#DIV/0!</v>
      </c>
      <c r="U32" s="620" t="e">
        <f aca="false">($B$29-IF('Project Assumtions'!$I$34="Normal",SUM('Debt Amortization'!$E$28:W28),SUM('Debt Amortization'!$E$80:W80)))/$B$29</f>
        <v>#DIV/0!</v>
      </c>
      <c r="V32" s="620" t="e">
        <f aca="false">($B$29-IF('Project Assumtions'!$I$34="Normal",SUM('Debt Amortization'!$E$28:X28),SUM('Debt Amortization'!$E$80:X80)))/$B$29</f>
        <v>#DIV/0!</v>
      </c>
      <c r="W32" s="620" t="e">
        <f aca="false">($B$29-IF('Project Assumtions'!$I$34="Normal",SUM('Debt Amortization'!$E$28:Y28),SUM('Debt Amortization'!$E$80:Y80)))/$B$29</f>
        <v>#DIV/0!</v>
      </c>
      <c r="X32" s="620" t="e">
        <f aca="false">($B$29-IF('Project Assumtions'!$I$34="Normal",SUM('Debt Amortization'!$E$28:Z28),SUM('Debt Amortization'!$E$80:Z80)))/$B$29</f>
        <v>#DIV/0!</v>
      </c>
      <c r="Y32" s="620" t="e">
        <f aca="false">($B$29-IF('Project Assumtions'!$I$34="Normal",SUM('Debt Amortization'!$E$28:AA28),SUM('Debt Amortization'!$E$80:AA80)))/$B$29</f>
        <v>#DIV/0!</v>
      </c>
      <c r="Z32" s="620" t="e">
        <f aca="false">($B$29-IF('Project Assumtions'!$I$34="Normal",SUM('Debt Amortization'!$E$28:AB28),SUM('Debt Amortization'!$E$80:AB80)))/$B$29</f>
        <v>#DIV/0!</v>
      </c>
      <c r="AA32" s="629" t="e">
        <f aca="false">($B$29-IF('Project Assumtions'!$I$34="Normal",SUM('Debt Amortization'!$E$28:AC28),SUM('Debt Amortization'!$E$80:AC80)))/$B$29</f>
        <v>#DIV/0!</v>
      </c>
      <c r="AB32" s="1"/>
      <c r="AC32" s="1"/>
    </row>
    <row r="33" customFormat="false" ht="12.6" hidden="false" customHeight="true" outlineLevel="0" collapsed="false">
      <c r="A33" s="403"/>
      <c r="B33" s="378"/>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9"/>
      <c r="AB33" s="1"/>
      <c r="AC33" s="1"/>
    </row>
    <row r="34" customFormat="false" ht="12.6" hidden="false" customHeight="true" outlineLevel="0" collapsed="false">
      <c r="A34" s="427" t="s">
        <v>229</v>
      </c>
      <c r="B34" s="431" t="n">
        <f aca="false">IF('Project Assumtions'!$I$34="Normal",'Debt Amortization'!B20,'Debt Amortization'!B77)</f>
        <v>36176.05935</v>
      </c>
      <c r="C34" s="625"/>
      <c r="D34" s="625"/>
      <c r="E34" s="625"/>
      <c r="F34" s="625"/>
      <c r="G34" s="625"/>
      <c r="H34" s="625"/>
      <c r="I34" s="625"/>
      <c r="J34" s="625"/>
      <c r="K34" s="625"/>
      <c r="L34" s="625"/>
      <c r="M34" s="625"/>
      <c r="N34" s="625"/>
      <c r="O34" s="625"/>
      <c r="P34" s="625"/>
      <c r="Q34" s="625"/>
      <c r="R34" s="625"/>
      <c r="S34" s="625"/>
      <c r="T34" s="625"/>
      <c r="U34" s="625"/>
      <c r="V34" s="625"/>
      <c r="W34" s="625"/>
      <c r="X34" s="625"/>
      <c r="Y34" s="625"/>
      <c r="Z34" s="625"/>
      <c r="AA34" s="626"/>
      <c r="AB34" s="1"/>
      <c r="AC34" s="1"/>
    </row>
    <row r="35" customFormat="false" ht="12.6" hidden="false" customHeight="true" outlineLevel="0" collapsed="false">
      <c r="A35" s="403" t="s">
        <v>487</v>
      </c>
      <c r="B35" s="378"/>
      <c r="C35" s="431" t="n">
        <f aca="false">IF('Project Assumtions'!$I$34="Normal",'Debt Amortization'!E37,'Debt Amortization'!E96)</f>
        <v>65116.90683</v>
      </c>
      <c r="D35" s="431" t="n">
        <f aca="false">IF('Project Assumtions'!$I$34="Normal",'Debt Amortization'!F37,'Debt Amortization'!F96)</f>
        <v>65116.90683</v>
      </c>
      <c r="E35" s="431" t="n">
        <f aca="false">IF('Project Assumtions'!$I$34="Normal",'Debt Amortization'!G37,'Debt Amortization'!G96)</f>
        <v>65116.90683</v>
      </c>
      <c r="F35" s="431" t="n">
        <f aca="false">IF('Project Assumtions'!$I$34="Normal",'Debt Amortization'!H37,'Debt Amortization'!H96)</f>
        <v>65116.90683</v>
      </c>
      <c r="G35" s="431" t="n">
        <f aca="false">IF('Project Assumtions'!$I$34="Normal",'Debt Amortization'!I37,'Debt Amortization'!I96)</f>
        <v>65116.90683</v>
      </c>
      <c r="H35" s="431" t="n">
        <f aca="false">IF('Project Assumtions'!$I$34="Normal",'Debt Amortization'!J37,'Debt Amortization'!J96)</f>
        <v>63814.5686934</v>
      </c>
      <c r="I35" s="431" t="n">
        <f aca="false">IF('Project Assumtions'!$I$34="Normal",'Debt Amortization'!K37,'Debt Amortization'!K96)</f>
        <v>62512.2305568</v>
      </c>
      <c r="J35" s="431" t="n">
        <f aca="false">IF('Project Assumtions'!$I$34="Normal",'Debt Amortization'!L37,'Debt Amortization'!L96)</f>
        <v>60558.7233519</v>
      </c>
      <c r="K35" s="431" t="n">
        <f aca="false">IF('Project Assumtions'!$I$34="Normal",'Debt Amortization'!M37,'Debt Amortization'!M96)</f>
        <v>58605.216147</v>
      </c>
      <c r="L35" s="431" t="n">
        <f aca="false">IF('Project Assumtions'!$I$34="Normal",'Debt Amortization'!N37,'Debt Amortization'!N96)</f>
        <v>56651.7089421</v>
      </c>
      <c r="M35" s="431" t="n">
        <f aca="false">IF('Project Assumtions'!$I$34="Normal",'Debt Amortization'!O37,'Debt Amortization'!O96)</f>
        <v>54047.0326689</v>
      </c>
      <c r="N35" s="431" t="n">
        <f aca="false">IF('Project Assumtions'!$I$34="Normal",'Debt Amortization'!P37,'Debt Amortization'!P96)</f>
        <v>51442.3563957</v>
      </c>
      <c r="O35" s="431" t="n">
        <f aca="false">IF('Project Assumtions'!$I$34="Normal",'Debt Amortization'!Q37,'Debt Amortization'!Q96)</f>
        <v>48186.5110542</v>
      </c>
      <c r="P35" s="431" t="n">
        <f aca="false">IF('Project Assumtions'!$I$34="Normal",'Debt Amortization'!R37,'Debt Amortization'!R96)</f>
        <v>44930.6657127</v>
      </c>
      <c r="Q35" s="431" t="n">
        <f aca="false">IF('Project Assumtions'!$I$34="Normal",'Debt Amortization'!S37,'Debt Amortization'!S96)</f>
        <v>41674.8203712</v>
      </c>
      <c r="R35" s="431" t="n">
        <f aca="false">IF('Project Assumtions'!$I$34="Normal",'Debt Amortization'!T37,'Debt Amortization'!T96)</f>
        <v>38418.9750297</v>
      </c>
      <c r="S35" s="431" t="n">
        <f aca="false">IF('Project Assumtions'!$I$34="Normal",'Debt Amortization'!U37,'Debt Amortization'!U96)</f>
        <v>35163.1296882</v>
      </c>
      <c r="T35" s="431" t="n">
        <f aca="false">IF('Project Assumtions'!$I$34="Normal",'Debt Amortization'!V37,'Debt Amortization'!V96)</f>
        <v>28651.4390052</v>
      </c>
      <c r="U35" s="431" t="n">
        <f aca="false">IF('Project Assumtions'!$I$34="Normal",'Debt Amortization'!W37,'Debt Amortization'!W96)</f>
        <v>20837.4101856</v>
      </c>
      <c r="V35" s="431" t="n">
        <f aca="false">IF('Project Assumtions'!$I$34="Normal",'Debt Amortization'!X37,'Debt Amortization'!X96)</f>
        <v>11069.8741611</v>
      </c>
      <c r="W35" s="431" t="n">
        <f aca="false">IF('Project Assumtions'!$I$34="Normal",'Debt Amortization'!Y37,'Debt Amortization'!Y96)</f>
        <v>0</v>
      </c>
      <c r="X35" s="431" t="n">
        <f aca="false">IF('Project Assumtions'!$I$34="Normal",'Debt Amortization'!Z37,'Debt Amortization'!Z96)</f>
        <v>0</v>
      </c>
      <c r="Y35" s="431" t="n">
        <f aca="false">IF('Project Assumtions'!$I$34="Normal",'Debt Amortization'!AA37,'Debt Amortization'!AA96)</f>
        <v>0</v>
      </c>
      <c r="Z35" s="431" t="n">
        <f aca="false">IF('Project Assumtions'!$I$34="Normal",'Debt Amortization'!AB37,'Debt Amortization'!AB96)</f>
        <v>0</v>
      </c>
      <c r="AA35" s="432" t="n">
        <f aca="false">IF('Project Assumtions'!$I$34="Normal",'Debt Amortization'!AC37,'Debt Amortization'!AC96)</f>
        <v>0</v>
      </c>
      <c r="AB35" s="1"/>
      <c r="AC35" s="1"/>
    </row>
    <row r="36" customFormat="false" ht="12.6" hidden="false" customHeight="true" outlineLevel="0" collapsed="false">
      <c r="A36" s="403" t="s">
        <v>488</v>
      </c>
      <c r="B36" s="378"/>
      <c r="C36" s="627" t="n">
        <f aca="false">IF(C35&lt;1,"N/A",'Book Income Statement'!D63/C35)</f>
        <v>0.178322113633494</v>
      </c>
      <c r="D36" s="627" t="n">
        <f aca="false">IF(D35&lt;1,"N/A",'Book Income Statement'!E63/D35)</f>
        <v>0.309557920842129</v>
      </c>
      <c r="E36" s="627" t="n">
        <f aca="false">IF(E35&lt;1,"N/A",'Book Income Statement'!F63/E35)</f>
        <v>0.307109009105958</v>
      </c>
      <c r="F36" s="627" t="n">
        <f aca="false">IF(F35&lt;1,"N/A",'Book Income Statement'!G63/F35)</f>
        <v>0.41855575220098</v>
      </c>
      <c r="G36" s="627" t="n">
        <f aca="false">IF(G35&lt;1,"N/A",'Book Income Statement'!H63/G35)</f>
        <v>0.51403092837678</v>
      </c>
      <c r="H36" s="627" t="n">
        <f aca="false">IF(H35&lt;1,"N/A",'Book Income Statement'!I63/H35)</f>
        <v>0.539637205321003</v>
      </c>
      <c r="I36" s="627" t="n">
        <f aca="false">IF(I35&lt;1,"N/A",'Book Income Statement'!J63/I35)</f>
        <v>0.556133803984902</v>
      </c>
      <c r="J36" s="627" t="n">
        <f aca="false">IF(J35&lt;1,"N/A",'Book Income Statement'!K63/J35)</f>
        <v>0.579031039982012</v>
      </c>
      <c r="K36" s="627" t="n">
        <f aca="false">IF(K35&lt;1,"N/A",'Book Income Statement'!L63/K35)</f>
        <v>0.604010332115167</v>
      </c>
      <c r="L36" s="627" t="n">
        <f aca="false">IF(L35&lt;1,"N/A",'Book Income Statement'!M63/L35)</f>
        <v>0.631907995393792</v>
      </c>
      <c r="M36" s="627" t="n">
        <f aca="false">IF(M35&lt;1,"N/A",'Book Income Statement'!N63/M35)</f>
        <v>0.669576477756014</v>
      </c>
      <c r="N36" s="627" t="n">
        <f aca="false">IF(N35&lt;1,"N/A",'Book Income Statement'!O63/N35)</f>
        <v>0.707538102573634</v>
      </c>
      <c r="O36" s="627" t="n">
        <f aca="false">IF(O35&lt;1,"N/A",'Book Income Statement'!P63/O35)</f>
        <v>0.762909508811305</v>
      </c>
      <c r="P36" s="627" t="n">
        <f aca="false">IF(P35&lt;1,"N/A",'Book Income Statement'!Q63/P35)</f>
        <v>0.8089129013435</v>
      </c>
      <c r="Q36" s="627" t="n">
        <f aca="false">IF(Q35&lt;1,"N/A",'Book Income Statement'!R63/Q35)</f>
        <v>0.8797258398164</v>
      </c>
      <c r="R36" s="627" t="n">
        <f aca="false">IF(R35&lt;1,"N/A",'Book Income Statement'!S63/R35)</f>
        <v>0.962169545584721</v>
      </c>
      <c r="S36" s="627" t="n">
        <f aca="false">IF(S35&lt;1,"N/A",'Book Income Statement'!T63/S35)</f>
        <v>1.05944231393315</v>
      </c>
      <c r="T36" s="627" t="n">
        <f aca="false">IF(T35&lt;1,"N/A",'Book Income Statement'!U63/T35)</f>
        <v>1.30968772685742</v>
      </c>
      <c r="U36" s="627" t="n">
        <f aca="false">IF(U35&lt;1,"N/A",'Book Income Statement'!V63/U35)</f>
        <v>1.81297500562208</v>
      </c>
      <c r="V36" s="627" t="n">
        <f aca="false">IF(V35&lt;1,"N/A",'Book Income Statement'!W63/V35)</f>
        <v>3.3507509042242</v>
      </c>
      <c r="W36" s="627" t="str">
        <f aca="false">IF(W35&lt;1,"N/A",'Book Income Statement'!X63/W35)</f>
        <v>N/A</v>
      </c>
      <c r="X36" s="627" t="str">
        <f aca="false">IF(X35&lt;1,"N/A",'Book Income Statement'!Y63/X35)</f>
        <v>N/A</v>
      </c>
      <c r="Y36" s="627" t="str">
        <f aca="false">IF(Y35&lt;1,"N/A",'Book Income Statement'!Z63/Y35)</f>
        <v>N/A</v>
      </c>
      <c r="Z36" s="627" t="str">
        <f aca="false">IF(Z35&lt;1,"N/A",'Book Income Statement'!AA63/Z35)</f>
        <v>N/A</v>
      </c>
      <c r="AA36" s="628" t="str">
        <f aca="false">IF(AA35&lt;1,"N/A",'Book Income Statement'!AB63/AA35)</f>
        <v>N/A</v>
      </c>
      <c r="AB36" s="1"/>
      <c r="AC36" s="1"/>
    </row>
    <row r="37" customFormat="false" ht="12.6" hidden="false" customHeight="true" outlineLevel="0" collapsed="false">
      <c r="A37" s="403" t="s">
        <v>485</v>
      </c>
      <c r="B37" s="378"/>
      <c r="C37" s="620" t="n">
        <f aca="false">IF($B$34&gt;0,(($B$34-IF('Project Assumtions'!$I$34="Normal",SUM('Debt Amortization'!$E$36:E36),SUM('Debt Amortization'!$E$95:E95)))/$B$34),0)</f>
        <v>1</v>
      </c>
      <c r="D37" s="620" t="n">
        <f aca="false">IF($B$34&gt;0,(($B$34-IF('Project Assumtions'!$I$34="Normal",SUM('Debt Amortization'!$E$36:F36),SUM('Debt Amortization'!$E$95:F95)))/$B$34),0)</f>
        <v>1</v>
      </c>
      <c r="E37" s="620" t="n">
        <f aca="false">IF($B$34&gt;0,(($B$34-IF('Project Assumtions'!$I$34="Normal",SUM('Debt Amortization'!$E$36:G36),SUM('Debt Amortization'!$E$95:G95)))/$B$34),0)</f>
        <v>1</v>
      </c>
      <c r="F37" s="620" t="n">
        <f aca="false">IF($B$34&gt;0,(($B$34-IF('Project Assumtions'!$I$34="Normal",SUM('Debt Amortization'!$E$36:H36),SUM('Debt Amortization'!$E$95:H95)))/$B$34),0)</f>
        <v>1</v>
      </c>
      <c r="G37" s="620" t="n">
        <f aca="false">IF($B$34&gt;0,(($B$34-IF('Project Assumtions'!$I$34="Normal",SUM('Debt Amortization'!$E$36:I36),SUM('Debt Amortization'!$E$95:I95)))/$B$34),0)</f>
        <v>1</v>
      </c>
      <c r="H37" s="620" t="n">
        <f aca="false">IF($B$34&gt;0,(($B$34-IF('Project Assumtions'!$I$34="Normal",SUM('Debt Amortization'!$E$36:J36),SUM('Debt Amortization'!$E$95:J95)))/$B$34),0)</f>
        <v>1</v>
      </c>
      <c r="I37" s="620" t="n">
        <f aca="false">IF($B$34&gt;0,(($B$34-IF('Project Assumtions'!$I$34="Normal",SUM('Debt Amortization'!$E$36:K36),SUM('Debt Amortization'!$E$95:K95)))/$B$34),0)</f>
        <v>1</v>
      </c>
      <c r="J37" s="620" t="n">
        <f aca="false">IF($B$34&gt;0,(($B$34-IF('Project Assumtions'!$I$34="Normal",SUM('Debt Amortization'!$E$36:L36),SUM('Debt Amortization'!$E$95:L95)))/$B$34),0)</f>
        <v>1</v>
      </c>
      <c r="K37" s="620" t="n">
        <f aca="false">IF($B$34&gt;0,(($B$34-IF('Project Assumtions'!$I$34="Normal",SUM('Debt Amortization'!$E$36:M36),SUM('Debt Amortization'!$E$95:M95)))/$B$34),0)</f>
        <v>1</v>
      </c>
      <c r="L37" s="620" t="n">
        <f aca="false">IF($B$34&gt;0,(($B$34-IF('Project Assumtions'!$I$34="Normal",SUM('Debt Amortization'!$E$36:N36),SUM('Debt Amortization'!$E$95:N95)))/$B$34),0)</f>
        <v>1</v>
      </c>
      <c r="M37" s="620" t="n">
        <f aca="false">IF($B$34&gt;0,(($B$34-IF('Project Assumtions'!$I$34="Normal",SUM('Debt Amortization'!$E$36:O36),SUM('Debt Amortization'!$E$95:O95)))/$B$34),0)</f>
        <v>1</v>
      </c>
      <c r="N37" s="620" t="n">
        <f aca="false">IF($B$34&gt;0,(($B$34-IF('Project Assumtions'!$I$34="Normal",SUM('Debt Amortization'!$E$36:P36),SUM('Debt Amortization'!$E$95:P95)))/$B$34),0)</f>
        <v>1</v>
      </c>
      <c r="O37" s="620" t="n">
        <f aca="false">IF($B$34&gt;0,(($B$34-IF('Project Assumtions'!$I$34="Normal",SUM('Debt Amortization'!$E$36:Q36),SUM('Debt Amortization'!$E$95:Q95)))/$B$34),0)</f>
        <v>1</v>
      </c>
      <c r="P37" s="620" t="n">
        <f aca="false">IF($B$34&gt;0,(($B$34-IF('Project Assumtions'!$I$34="Normal",SUM('Debt Amortization'!$E$36:R36),SUM('Debt Amortization'!$E$95:R95)))/$B$34),0)</f>
        <v>1</v>
      </c>
      <c r="Q37" s="620" t="n">
        <f aca="false">IF($B$34&gt;0,(($B$34-IF('Project Assumtions'!$I$34="Normal",SUM('Debt Amortization'!$E$36:S36),SUM('Debt Amortization'!$E$95:S95)))/$B$34),0)</f>
        <v>1</v>
      </c>
      <c r="R37" s="620" t="n">
        <f aca="false">IF($B$34&gt;0,(($B$34-IF('Project Assumtions'!$I$34="Normal",SUM('Debt Amortization'!$E$36:T36),SUM('Debt Amortization'!$E$95:T95)))/$B$34),0)</f>
        <v>1</v>
      </c>
      <c r="S37" s="620" t="n">
        <f aca="false">IF($B$34&gt;0,(($B$34-IF('Project Assumtions'!$I$34="Normal",SUM('Debt Amortization'!$E$36:U36),SUM('Debt Amortization'!$E$95:U95)))/$B$34),0)</f>
        <v>1</v>
      </c>
      <c r="T37" s="620" t="n">
        <f aca="false">IF($B$34&gt;0,(($B$34-IF('Project Assumtions'!$I$34="Normal",SUM('Debt Amortization'!$E$36:V36),SUM('Debt Amortization'!$E$95:V95)))/$B$34),0)</f>
        <v>1</v>
      </c>
      <c r="U37" s="620" t="n">
        <f aca="false">IF($B$34&gt;0,(($B$34-IF('Project Assumtions'!$I$34="Normal",SUM('Debt Amortization'!$E$36:W36),SUM('Debt Amortization'!$E$95:W95)))/$B$34),0)</f>
        <v>1</v>
      </c>
      <c r="V37" s="620" t="n">
        <f aca="false">IF($B$34&gt;0,(($B$34-IF('Project Assumtions'!$I$34="Normal",SUM('Debt Amortization'!$E$36:X36),SUM('Debt Amortization'!$E$95:X95)))/$B$34),0)</f>
        <v>1</v>
      </c>
      <c r="W37" s="620" t="n">
        <f aca="false">IF($B$34&gt;0,(($B$34-IF('Project Assumtions'!$I$34="Normal",SUM('Debt Amortization'!$E$36:Y36),SUM('Debt Amortization'!$E$95:Y95)))/$B$34),0)</f>
        <v>1</v>
      </c>
      <c r="X37" s="620" t="n">
        <f aca="false">IF($B$34&gt;0,(($B$34-IF('Project Assumtions'!$I$34="Normal",SUM('Debt Amortization'!$E$36:Z36),SUM('Debt Amortization'!$E$95:Z95)))/$B$34),0)</f>
        <v>1</v>
      </c>
      <c r="Y37" s="620" t="n">
        <f aca="false">IF($B$34&gt;0,(($B$34-IF('Project Assumtions'!$I$34="Normal",SUM('Debt Amortization'!$E$36:AA36),SUM('Debt Amortization'!$E$95:AA95)))/$B$34),0)</f>
        <v>1</v>
      </c>
      <c r="Z37" s="620" t="n">
        <f aca="false">IF($B$34&gt;0,(($B$34-IF('Project Assumtions'!$I$34="Normal",SUM('Debt Amortization'!$E$36:AB36),SUM('Debt Amortization'!$E$95:AB95)))/$B$34),0)</f>
        <v>1</v>
      </c>
      <c r="AA37" s="629" t="n">
        <f aca="false">IF($B$34&gt;0,(($B$34-IF('Project Assumtions'!$I$34="Normal",SUM('Debt Amortization'!$E$36:AC36),SUM('Debt Amortization'!$E$95:AC95)))/$B$34),0)</f>
        <v>1</v>
      </c>
      <c r="AB37" s="1"/>
      <c r="AC37" s="1"/>
    </row>
    <row r="38" customFormat="false" ht="11.25" hidden="false" customHeight="false" outlineLevel="0" collapsed="false">
      <c r="A38" s="403"/>
      <c r="B38" s="378"/>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408"/>
      <c r="AB38" s="1"/>
      <c r="AC38" s="1"/>
    </row>
    <row r="39" customFormat="false" ht="12.6" hidden="false" customHeight="true" outlineLevel="0" collapsed="false">
      <c r="A39" s="427" t="s">
        <v>230</v>
      </c>
      <c r="B39" s="431" t="str">
        <f aca="false">IF('Project Assumtions'!$I$34="Normal",'Debt Amortization'!B21,"N/A")</f>
        <v>N/A</v>
      </c>
      <c r="C39" s="625"/>
      <c r="D39" s="625"/>
      <c r="E39" s="625"/>
      <c r="F39" s="625"/>
      <c r="G39" s="625"/>
      <c r="H39" s="625"/>
      <c r="I39" s="625"/>
      <c r="J39" s="625"/>
      <c r="K39" s="625"/>
      <c r="L39" s="625"/>
      <c r="M39" s="625"/>
      <c r="N39" s="625"/>
      <c r="O39" s="625"/>
      <c r="P39" s="625"/>
      <c r="Q39" s="625"/>
      <c r="R39" s="625"/>
      <c r="S39" s="625"/>
      <c r="T39" s="625"/>
      <c r="U39" s="625"/>
      <c r="V39" s="625"/>
      <c r="W39" s="625"/>
      <c r="X39" s="625"/>
      <c r="Y39" s="625"/>
      <c r="Z39" s="625"/>
      <c r="AA39" s="626"/>
      <c r="AB39" s="1"/>
      <c r="AC39" s="1"/>
    </row>
    <row r="40" customFormat="false" ht="12.6" hidden="false" customHeight="true" outlineLevel="0" collapsed="false">
      <c r="A40" s="403" t="s">
        <v>487</v>
      </c>
      <c r="B40" s="378"/>
      <c r="C40" s="431" t="str">
        <f aca="false">IF('Project Assumtions'!$I$34="Normal",'Debt Amortization'!E45,"N/A")</f>
        <v>N/A</v>
      </c>
      <c r="D40" s="431" t="str">
        <f aca="false">IF('Project Assumtions'!$I$34="Normal",'Debt Amortization'!F45,"N/A")</f>
        <v>N/A</v>
      </c>
      <c r="E40" s="431" t="str">
        <f aca="false">IF('Project Assumtions'!$I$34="Normal",'Debt Amortization'!G45,"N/A")</f>
        <v>N/A</v>
      </c>
      <c r="F40" s="431" t="str">
        <f aca="false">IF('Project Assumtions'!$I$34="Normal",'Debt Amortization'!H45,"N/A")</f>
        <v>N/A</v>
      </c>
      <c r="G40" s="431" t="str">
        <f aca="false">IF('Project Assumtions'!$I$34="Normal",'Debt Amortization'!I45,"N/A")</f>
        <v>N/A</v>
      </c>
      <c r="H40" s="431" t="str">
        <f aca="false">IF('Project Assumtions'!$I$34="Normal",'Debt Amortization'!J45,"N/A")</f>
        <v>N/A</v>
      </c>
      <c r="I40" s="431" t="str">
        <f aca="false">IF('Project Assumtions'!$I$34="Normal",'Debt Amortization'!K45,"N/A")</f>
        <v>N/A</v>
      </c>
      <c r="J40" s="431" t="str">
        <f aca="false">IF('Project Assumtions'!$I$34="Normal",'Debt Amortization'!L45,"N/A")</f>
        <v>N/A</v>
      </c>
      <c r="K40" s="431" t="str">
        <f aca="false">IF('Project Assumtions'!$I$34="Normal",'Debt Amortization'!M45,"N/A")</f>
        <v>N/A</v>
      </c>
      <c r="L40" s="431" t="str">
        <f aca="false">IF('Project Assumtions'!$I$34="Normal",'Debt Amortization'!N45,"N/A")</f>
        <v>N/A</v>
      </c>
      <c r="M40" s="431" t="str">
        <f aca="false">IF('Project Assumtions'!$I$34="Normal",'Debt Amortization'!O45,"N/A")</f>
        <v>N/A</v>
      </c>
      <c r="N40" s="431" t="str">
        <f aca="false">IF('Project Assumtions'!$I$34="Normal",'Debt Amortization'!P45,"N/A")</f>
        <v>N/A</v>
      </c>
      <c r="O40" s="431" t="str">
        <f aca="false">IF('Project Assumtions'!$I$34="Normal",'Debt Amortization'!Q45,"N/A")</f>
        <v>N/A</v>
      </c>
      <c r="P40" s="431" t="str">
        <f aca="false">IF('Project Assumtions'!$I$34="Normal",'Debt Amortization'!R45,"N/A")</f>
        <v>N/A</v>
      </c>
      <c r="Q40" s="431" t="str">
        <f aca="false">IF('Project Assumtions'!$I$34="Normal",'Debt Amortization'!S45,"N/A")</f>
        <v>N/A</v>
      </c>
      <c r="R40" s="431" t="str">
        <f aca="false">IF('Project Assumtions'!$I$34="Normal",'Debt Amortization'!T45,"N/A")</f>
        <v>N/A</v>
      </c>
      <c r="S40" s="431" t="str">
        <f aca="false">IF('Project Assumtions'!$I$34="Normal",'Debt Amortization'!U45,"N/A")</f>
        <v>N/A</v>
      </c>
      <c r="T40" s="431" t="str">
        <f aca="false">IF('Project Assumtions'!$I$34="Normal",'Debt Amortization'!V45,"N/A")</f>
        <v>N/A</v>
      </c>
      <c r="U40" s="431" t="str">
        <f aca="false">IF('Project Assumtions'!$I$34="Normal",'Debt Amortization'!W45,"N/A")</f>
        <v>N/A</v>
      </c>
      <c r="V40" s="431" t="str">
        <f aca="false">IF('Project Assumtions'!$I$34="Normal",'Debt Amortization'!X45,"N/A")</f>
        <v>N/A</v>
      </c>
      <c r="W40" s="431" t="str">
        <f aca="false">IF('Project Assumtions'!$I$34="Normal",'Debt Amortization'!Y45,"N/A")</f>
        <v>N/A</v>
      </c>
      <c r="X40" s="431" t="str">
        <f aca="false">IF('Project Assumtions'!$I$34="Normal",'Debt Amortization'!Z45,"N/A")</f>
        <v>N/A</v>
      </c>
      <c r="Y40" s="431" t="str">
        <f aca="false">IF('Project Assumtions'!$I$34="Normal",'Debt Amortization'!AA45,"N/A")</f>
        <v>N/A</v>
      </c>
      <c r="Z40" s="431" t="str">
        <f aca="false">IF('Project Assumtions'!$I$34="Normal",'Debt Amortization'!AB45,"N/A")</f>
        <v>N/A</v>
      </c>
      <c r="AA40" s="432" t="str">
        <f aca="false">IF('Project Assumtions'!$I$34="Normal",'Debt Amortization'!AC45,"N/A")</f>
        <v>N/A</v>
      </c>
      <c r="AB40" s="1"/>
      <c r="AC40" s="1"/>
    </row>
    <row r="41" customFormat="false" ht="12.6" hidden="false" customHeight="true" outlineLevel="0" collapsed="false">
      <c r="A41" s="403" t="s">
        <v>488</v>
      </c>
      <c r="B41" s="378"/>
      <c r="C41" s="627" t="e">
        <f aca="false">+IF(C40&lt;1,"N/A",'Book Income Statement'!D63/C40)</f>
        <v>#VALUE!</v>
      </c>
      <c r="D41" s="627" t="e">
        <f aca="false">+IF(D40&lt;1,"N/A",'Book Income Statement'!E63/D40)</f>
        <v>#VALUE!</v>
      </c>
      <c r="E41" s="627" t="e">
        <f aca="false">+IF(E40&lt;1,"N/A",'Book Income Statement'!F63/E40)</f>
        <v>#VALUE!</v>
      </c>
      <c r="F41" s="627" t="e">
        <f aca="false">+IF(F40&lt;1,"N/A",'Book Income Statement'!G63/F40)</f>
        <v>#VALUE!</v>
      </c>
      <c r="G41" s="627" t="e">
        <f aca="false">+IF(G40&lt;1,"N/A",'Book Income Statement'!H63/G40)</f>
        <v>#VALUE!</v>
      </c>
      <c r="H41" s="627" t="e">
        <f aca="false">+IF(H40&lt;1,"N/A",'Book Income Statement'!I63/H40)</f>
        <v>#VALUE!</v>
      </c>
      <c r="I41" s="627" t="e">
        <f aca="false">+IF(I40&lt;1,"N/A",'Book Income Statement'!J63/I40)</f>
        <v>#VALUE!</v>
      </c>
      <c r="J41" s="627" t="e">
        <f aca="false">+IF(J40&lt;1,"N/A",'Book Income Statement'!K63/J40)</f>
        <v>#VALUE!</v>
      </c>
      <c r="K41" s="627" t="e">
        <f aca="false">+IF(K40&lt;1,"N/A",'Book Income Statement'!L63/K40)</f>
        <v>#VALUE!</v>
      </c>
      <c r="L41" s="627" t="e">
        <f aca="false">+IF(L40&lt;1,"N/A",'Book Income Statement'!M63/L40)</f>
        <v>#VALUE!</v>
      </c>
      <c r="M41" s="627" t="e">
        <f aca="false">+IF(M40&lt;1,"N/A",'Book Income Statement'!N63/M40)</f>
        <v>#VALUE!</v>
      </c>
      <c r="N41" s="627" t="e">
        <f aca="false">+IF(N40&lt;1,"N/A",'Book Income Statement'!O63/N40)</f>
        <v>#VALUE!</v>
      </c>
      <c r="O41" s="627" t="e">
        <f aca="false">+IF(O40&lt;1,"N/A",'Book Income Statement'!P63/O40)</f>
        <v>#VALUE!</v>
      </c>
      <c r="P41" s="627" t="e">
        <f aca="false">+IF(P40&lt;1,"N/A",'Book Income Statement'!Q63/P40)</f>
        <v>#VALUE!</v>
      </c>
      <c r="Q41" s="627" t="e">
        <f aca="false">+IF(Q40&lt;1,"N/A",'Book Income Statement'!R63/Q40)</f>
        <v>#VALUE!</v>
      </c>
      <c r="R41" s="627" t="e">
        <f aca="false">+IF(R40&lt;1,"N/A",'Book Income Statement'!S63/R40)</f>
        <v>#VALUE!</v>
      </c>
      <c r="S41" s="627" t="e">
        <f aca="false">+IF(S40&lt;1,"N/A",'Book Income Statement'!T63/S40)</f>
        <v>#VALUE!</v>
      </c>
      <c r="T41" s="627" t="e">
        <f aca="false">+IF(T40&lt;1,"N/A",'Book Income Statement'!U63/T40)</f>
        <v>#VALUE!</v>
      </c>
      <c r="U41" s="627" t="e">
        <f aca="false">+IF(U40&lt;1,"N/A",'Book Income Statement'!V63/U40)</f>
        <v>#VALUE!</v>
      </c>
      <c r="V41" s="627" t="e">
        <f aca="false">+IF(V40&lt;1,"N/A",'Book Income Statement'!W63/V40)</f>
        <v>#VALUE!</v>
      </c>
      <c r="W41" s="627" t="e">
        <f aca="false">+IF(W40&lt;1,"N/A",'Book Income Statement'!X63/W40)</f>
        <v>#VALUE!</v>
      </c>
      <c r="X41" s="627" t="e">
        <f aca="false">+IF(X40&lt;1,"N/A",'Book Income Statement'!Y63/X40)</f>
        <v>#VALUE!</v>
      </c>
      <c r="Y41" s="627" t="e">
        <f aca="false">+IF(Y40&lt;1,"N/A",'Book Income Statement'!Z63/Y40)</f>
        <v>#VALUE!</v>
      </c>
      <c r="Z41" s="627" t="e">
        <f aca="false">+IF(Z40&lt;1,"N/A",'Book Income Statement'!AA63/Z40)</f>
        <v>#VALUE!</v>
      </c>
      <c r="AA41" s="628" t="e">
        <f aca="false">+IF(AA40&lt;1,"N/A",'Book Income Statement'!AB63/AA40)</f>
        <v>#VALUE!</v>
      </c>
      <c r="AB41" s="1"/>
      <c r="AC41" s="1"/>
    </row>
    <row r="42" customFormat="false" ht="12.6" hidden="false" customHeight="true" outlineLevel="0" collapsed="false">
      <c r="A42" s="457" t="s">
        <v>485</v>
      </c>
      <c r="B42" s="630"/>
      <c r="C42" s="631" t="e">
        <f aca="false">IF($B$39&gt;0,(($B$39-IF('Project Assumtions'!$I$34="Normal",SUM('Debt Amortization'!$E$44:E44),0))/$B$39),0)</f>
        <v>#VALUE!</v>
      </c>
      <c r="D42" s="631" t="e">
        <f aca="false">IF($B$39&gt;0,(($B$39-IF('Project Assumtions'!$I$34="Normal",SUM('Debt Amortization'!$E$44:F44),0))/$B$39),0)</f>
        <v>#VALUE!</v>
      </c>
      <c r="E42" s="631" t="e">
        <f aca="false">IF($B$39&gt;0,(($B$39-IF('Project Assumtions'!$I$34="Normal",SUM('Debt Amortization'!$E$44:G44),0))/$B$39),0)</f>
        <v>#VALUE!</v>
      </c>
      <c r="F42" s="631" t="e">
        <f aca="false">IF($B$39&gt;0,(($B$39-IF('Project Assumtions'!$I$34="Normal",SUM('Debt Amortization'!$E$44:H44),0))/$B$39),0)</f>
        <v>#VALUE!</v>
      </c>
      <c r="G42" s="631" t="e">
        <f aca="false">IF($B$39&gt;0,(($B$39-IF('Project Assumtions'!$I$34="Normal",SUM('Debt Amortization'!$E$44:I44),0))/$B$39),0)</f>
        <v>#VALUE!</v>
      </c>
      <c r="H42" s="631" t="e">
        <f aca="false">IF($B$39&gt;0,(($B$39-IF('Project Assumtions'!$I$34="Normal",SUM('Debt Amortization'!$E$44:J44),0))/$B$39),0)</f>
        <v>#VALUE!</v>
      </c>
      <c r="I42" s="631" t="e">
        <f aca="false">IF($B$39&gt;0,(($B$39-IF('Project Assumtions'!$I$34="Normal",SUM('Debt Amortization'!$E$44:K44),0))/$B$39),0)</f>
        <v>#VALUE!</v>
      </c>
      <c r="J42" s="631" t="e">
        <f aca="false">IF($B$39&gt;0,(($B$39-IF('Project Assumtions'!$I$34="Normal",SUM('Debt Amortization'!$E$44:L44),0))/$B$39),0)</f>
        <v>#VALUE!</v>
      </c>
      <c r="K42" s="631" t="e">
        <f aca="false">IF($B$39&gt;0,(($B$39-IF('Project Assumtions'!$I$34="Normal",SUM('Debt Amortization'!$E$44:M44),0))/$B$39),0)</f>
        <v>#VALUE!</v>
      </c>
      <c r="L42" s="631" t="e">
        <f aca="false">IF($B$39&gt;0,(($B$39-IF('Project Assumtions'!$I$34="Normal",SUM('Debt Amortization'!$E$44:N44),0))/$B$39),0)</f>
        <v>#VALUE!</v>
      </c>
      <c r="M42" s="631" t="e">
        <f aca="false">IF($B$39&gt;0,(($B$39-IF('Project Assumtions'!$I$34="Normal",SUM('Debt Amortization'!$E$44:O44),0))/$B$39),0)</f>
        <v>#VALUE!</v>
      </c>
      <c r="N42" s="631" t="e">
        <f aca="false">IF($B$39&gt;0,(($B$39-IF('Project Assumtions'!$I$34="Normal",SUM('Debt Amortization'!$E$44:P44),0))/$B$39),0)</f>
        <v>#VALUE!</v>
      </c>
      <c r="O42" s="631" t="e">
        <f aca="false">IF($B$39&gt;0,(($B$39-IF('Project Assumtions'!$I$34="Normal",SUM('Debt Amortization'!$E$44:Q44),0))/$B$39),0)</f>
        <v>#VALUE!</v>
      </c>
      <c r="P42" s="631" t="e">
        <f aca="false">IF($B$39&gt;0,(($B$39-IF('Project Assumtions'!$I$34="Normal",SUM('Debt Amortization'!$E$44:R44),0))/$B$39),0)</f>
        <v>#VALUE!</v>
      </c>
      <c r="Q42" s="631" t="e">
        <f aca="false">IF($B$39&gt;0,(($B$39-IF('Project Assumtions'!$I$34="Normal",SUM('Debt Amortization'!$E$44:S44),0))/$B$39),0)</f>
        <v>#VALUE!</v>
      </c>
      <c r="R42" s="631" t="e">
        <f aca="false">IF($B$39&gt;0,(($B$39-IF('Project Assumtions'!$I$34="Normal",SUM('Debt Amortization'!$E$44:T44),0))/$B$39),0)</f>
        <v>#VALUE!</v>
      </c>
      <c r="S42" s="631" t="e">
        <f aca="false">IF($B$39&gt;0,(($B$39-IF('Project Assumtions'!$I$34="Normal",SUM('Debt Amortization'!$E$44:U44),0))/$B$39),0)</f>
        <v>#VALUE!</v>
      </c>
      <c r="T42" s="631" t="e">
        <f aca="false">IF($B$39&gt;0,(($B$39-IF('Project Assumtions'!$I$34="Normal",SUM('Debt Amortization'!$E$44:V44),0))/$B$39),0)</f>
        <v>#VALUE!</v>
      </c>
      <c r="U42" s="631" t="e">
        <f aca="false">IF($B$39&gt;0,(($B$39-IF('Project Assumtions'!$I$34="Normal",SUM('Debt Amortization'!$E$44:W44),0))/$B$39),0)</f>
        <v>#VALUE!</v>
      </c>
      <c r="V42" s="631" t="e">
        <f aca="false">IF($B$39&gt;0,(($B$39-IF('Project Assumtions'!$I$34="Normal",SUM('Debt Amortization'!$E$44:X44),0))/$B$39),0)</f>
        <v>#VALUE!</v>
      </c>
      <c r="W42" s="631" t="e">
        <f aca="false">IF($B$39&gt;0,(($B$39-IF('Project Assumtions'!$I$34="Normal",SUM('Debt Amortization'!$E$44:Y44),0))/$B$39),0)</f>
        <v>#VALUE!</v>
      </c>
      <c r="X42" s="631" t="e">
        <f aca="false">IF($B$39&gt;0,(($B$39-IF('Project Assumtions'!$I$34="Normal",SUM('Debt Amortization'!$E$44:Z44),0))/$B$39),0)</f>
        <v>#VALUE!</v>
      </c>
      <c r="Y42" s="631" t="e">
        <f aca="false">IF($B$39&gt;0,(($B$39-IF('Project Assumtions'!$I$34="Normal",SUM('Debt Amortization'!$E$44:AA44),0))/$B$39),0)</f>
        <v>#VALUE!</v>
      </c>
      <c r="Z42" s="631" t="e">
        <f aca="false">IF($B$39&gt;0,(($B$39-IF('Project Assumtions'!$I$34="Normal",SUM('Debt Amortization'!$E$44:AB44),0))/$B$39),0)</f>
        <v>#VALUE!</v>
      </c>
      <c r="AA42" s="632" t="e">
        <f aca="false">IF($B$39&gt;0,(($B$39-IF('Project Assumtions'!$I$34="Normal",SUM('Debt Amortization'!$E$44:AC44),0))/$B$39),0)</f>
        <v>#VALUE!</v>
      </c>
      <c r="AB42" s="1"/>
      <c r="AC42" s="1"/>
    </row>
    <row r="43" customFormat="false" ht="12.6" hidden="false" customHeight="true" outlineLevel="0" collapsed="false"/>
    <row r="44" customFormat="false" ht="12.6" hidden="false" customHeight="true" outlineLevel="0" collapsed="false"/>
    <row r="45" customFormat="false" ht="12.6" hidden="false" customHeight="true" outlineLevel="0" collapsed="false"/>
    <row r="46" customFormat="false" ht="12.6" hidden="false" customHeight="true" outlineLevel="0" collapsed="false"/>
    <row r="47" customFormat="false" ht="12.6" hidden="false" customHeight="true" outlineLevel="0" collapsed="false"/>
    <row r="48" customFormat="false" ht="12.6" hidden="false" customHeight="true" outlineLevel="0" collapsed="false"/>
    <row r="49" customFormat="false" ht="12.6" hidden="false" customHeight="true" outlineLevel="0" collapsed="false"/>
    <row r="87" customFormat="false" ht="12.6" hidden="false" customHeight="true" outlineLevel="0" collapsed="false">
      <c r="A87" s="1"/>
      <c r="B87" s="1"/>
      <c r="C87" s="633"/>
      <c r="D87" s="633"/>
      <c r="E87" s="633"/>
      <c r="F87" s="633"/>
      <c r="G87" s="633"/>
      <c r="H87" s="633"/>
      <c r="I87" s="633"/>
      <c r="J87" s="633"/>
      <c r="K87" s="633"/>
      <c r="L87" s="633"/>
      <c r="M87" s="633"/>
      <c r="N87" s="633"/>
      <c r="O87" s="633"/>
      <c r="P87" s="633"/>
      <c r="Q87" s="633"/>
      <c r="R87" s="633"/>
      <c r="S87" s="633"/>
      <c r="T87" s="633"/>
      <c r="U87" s="633"/>
      <c r="V87" s="633"/>
      <c r="W87" s="633"/>
      <c r="X87" s="633"/>
      <c r="Y87" s="633"/>
      <c r="Z87" s="633"/>
      <c r="AA87" s="633"/>
      <c r="AB87" s="1"/>
      <c r="AC87" s="1"/>
    </row>
    <row r="88" customFormat="false" ht="12.6" hidden="false" customHeight="true" outlineLevel="0" collapsed="false">
      <c r="A88" s="1"/>
      <c r="B88" s="1"/>
      <c r="C88" s="452"/>
      <c r="D88" s="452"/>
      <c r="E88" s="452"/>
      <c r="F88" s="452"/>
      <c r="G88" s="452"/>
      <c r="H88" s="452"/>
      <c r="I88" s="452"/>
      <c r="J88" s="452"/>
      <c r="K88" s="452"/>
      <c r="L88" s="452"/>
      <c r="M88" s="452"/>
      <c r="N88" s="452"/>
      <c r="O88" s="452"/>
      <c r="P88" s="452"/>
      <c r="Q88" s="452"/>
      <c r="R88" s="452"/>
      <c r="S88" s="452"/>
      <c r="T88" s="452"/>
      <c r="U88" s="452"/>
      <c r="V88" s="452"/>
      <c r="W88" s="452"/>
      <c r="X88" s="452"/>
      <c r="Y88" s="452"/>
      <c r="Z88" s="452"/>
      <c r="AA88" s="452"/>
      <c r="AB88" s="1"/>
      <c r="AC88" s="1"/>
    </row>
    <row r="89" customFormat="false" ht="12.6" hidden="false" customHeight="true" outlineLevel="0" collapsed="false">
      <c r="A89" s="1"/>
      <c r="B89" s="1"/>
      <c r="C89" s="633"/>
      <c r="D89" s="633"/>
      <c r="E89" s="633"/>
      <c r="F89" s="633"/>
      <c r="G89" s="633"/>
      <c r="H89" s="633"/>
      <c r="I89" s="633"/>
      <c r="J89" s="633"/>
      <c r="K89" s="633"/>
      <c r="L89" s="633"/>
      <c r="M89" s="633"/>
      <c r="N89" s="633"/>
      <c r="O89" s="633"/>
      <c r="P89" s="633"/>
      <c r="Q89" s="633"/>
      <c r="R89" s="633"/>
      <c r="S89" s="633"/>
      <c r="T89" s="633"/>
      <c r="U89" s="633"/>
      <c r="V89" s="633"/>
      <c r="W89" s="633"/>
      <c r="X89" s="633"/>
      <c r="Y89" s="633"/>
      <c r="Z89" s="633"/>
      <c r="AA89" s="633"/>
      <c r="AB89" s="1"/>
      <c r="AC89" s="1"/>
    </row>
    <row r="90" customFormat="false" ht="12.6" hidden="false" customHeight="true" outlineLevel="0" collapsed="false">
      <c r="A90" s="1"/>
      <c r="B90" s="1"/>
      <c r="C90" s="452"/>
      <c r="D90" s="452"/>
      <c r="E90" s="452"/>
      <c r="F90" s="452"/>
      <c r="G90" s="452"/>
      <c r="H90" s="452"/>
      <c r="I90" s="452"/>
      <c r="J90" s="452"/>
      <c r="K90" s="452"/>
      <c r="L90" s="452"/>
      <c r="M90" s="452"/>
      <c r="N90" s="452"/>
      <c r="O90" s="452"/>
      <c r="P90" s="452"/>
      <c r="Q90" s="452"/>
      <c r="R90" s="452"/>
      <c r="S90" s="452"/>
      <c r="T90" s="452"/>
      <c r="U90" s="452"/>
      <c r="V90" s="452"/>
      <c r="W90" s="452"/>
      <c r="X90" s="452"/>
      <c r="Y90" s="452"/>
      <c r="Z90" s="452"/>
      <c r="AA90" s="452"/>
      <c r="AB90" s="1"/>
      <c r="AC90" s="1"/>
    </row>
    <row r="91" customFormat="false" ht="12.75" hidden="false" customHeight="false" outlineLevel="0" collapsed="false">
      <c r="C91" s="634"/>
      <c r="D91" s="634"/>
      <c r="E91" s="634"/>
      <c r="F91" s="634"/>
      <c r="G91" s="634"/>
      <c r="H91" s="634"/>
      <c r="I91" s="634"/>
      <c r="J91" s="634"/>
      <c r="K91" s="634"/>
      <c r="L91" s="634"/>
      <c r="M91" s="634"/>
      <c r="N91" s="634"/>
      <c r="O91" s="634"/>
      <c r="P91" s="634"/>
      <c r="Q91" s="634"/>
      <c r="R91" s="634"/>
      <c r="S91" s="634"/>
      <c r="T91" s="634"/>
      <c r="U91" s="634"/>
      <c r="V91" s="634"/>
      <c r="W91" s="634"/>
      <c r="X91" s="634"/>
      <c r="Y91" s="634"/>
      <c r="Z91" s="634"/>
      <c r="AA91" s="634"/>
    </row>
    <row r="93" customFormat="false" ht="12.75" hidden="false" customHeight="false" outlineLevel="0" collapsed="false">
      <c r="C93" s="634"/>
      <c r="D93" s="634"/>
      <c r="E93" s="634"/>
      <c r="F93" s="634"/>
      <c r="G93" s="634"/>
      <c r="H93" s="634"/>
      <c r="I93" s="634"/>
      <c r="J93" s="634"/>
      <c r="K93" s="634"/>
      <c r="L93" s="634"/>
      <c r="M93" s="634"/>
      <c r="N93" s="634"/>
      <c r="O93" s="634"/>
      <c r="P93" s="634"/>
      <c r="Q93" s="634"/>
      <c r="R93" s="634"/>
      <c r="S93" s="634"/>
      <c r="T93" s="634"/>
      <c r="U93" s="634"/>
      <c r="V93" s="634"/>
      <c r="W93" s="634"/>
      <c r="X93" s="634"/>
      <c r="Y93" s="634"/>
      <c r="Z93" s="634"/>
      <c r="AA93" s="634"/>
    </row>
    <row r="96" customFormat="false" ht="12.6" hidden="false" customHeight="true" outlineLevel="0" collapsed="false"/>
    <row r="97" customFormat="false" ht="12.6" hidden="false" customHeight="true" outlineLevel="0" collapsed="false"/>
    <row r="131" customFormat="false" ht="12.6" hidden="false" customHeight="true" outlineLevel="0" collapsed="false">
      <c r="A131" s="1"/>
      <c r="B131" s="1"/>
      <c r="C131" s="401"/>
      <c r="D131" s="401"/>
      <c r="E131" s="401"/>
      <c r="F131" s="401"/>
      <c r="G131" s="401"/>
      <c r="H131" s="401"/>
      <c r="I131" s="401"/>
      <c r="J131" s="401"/>
      <c r="K131" s="401"/>
      <c r="L131" s="401"/>
      <c r="M131" s="401"/>
      <c r="N131" s="401"/>
      <c r="O131" s="401"/>
      <c r="P131" s="401"/>
      <c r="Q131" s="401"/>
      <c r="R131" s="401"/>
      <c r="S131" s="401"/>
      <c r="T131" s="401"/>
      <c r="U131" s="401"/>
      <c r="V131" s="401"/>
      <c r="W131" s="401"/>
      <c r="X131" s="401"/>
      <c r="Y131" s="401"/>
      <c r="Z131" s="401"/>
      <c r="AA131" s="401"/>
      <c r="AB131" s="1"/>
      <c r="AC131" s="1"/>
    </row>
    <row r="132" customFormat="false" ht="12.6" hidden="false" customHeight="true" outlineLevel="0" collapsed="false">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customFormat="false" ht="12.6" hidden="false" customHeight="true" outlineLevel="0" collapsed="false">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customFormat="false" ht="15.75" hidden="false" customHeight="false" outlineLevel="0" collapsed="false">
      <c r="A134" s="635"/>
      <c r="B134" s="378"/>
      <c r="C134" s="378"/>
      <c r="D134" s="378"/>
      <c r="E134" s="378"/>
      <c r="F134" s="378"/>
      <c r="G134" s="378"/>
      <c r="H134" s="378"/>
      <c r="I134" s="378"/>
      <c r="J134" s="378"/>
      <c r="K134" s="378"/>
      <c r="L134" s="378"/>
      <c r="M134" s="378"/>
      <c r="N134" s="378"/>
      <c r="O134" s="378"/>
      <c r="P134" s="378"/>
      <c r="Q134" s="378"/>
      <c r="R134" s="378"/>
      <c r="S134" s="378"/>
      <c r="T134" s="378"/>
      <c r="U134" s="378"/>
      <c r="V134" s="378"/>
      <c r="W134" s="378"/>
      <c r="X134" s="378"/>
      <c r="Y134" s="378"/>
      <c r="Z134" s="378"/>
      <c r="AA134" s="378"/>
      <c r="AB134" s="378"/>
      <c r="AC134" s="378"/>
    </row>
    <row r="135" customFormat="false" ht="12.6" hidden="false" customHeight="true" outlineLevel="0" collapsed="false">
      <c r="A135" s="1"/>
      <c r="B135" s="1"/>
      <c r="C135" s="452"/>
      <c r="D135" s="452"/>
      <c r="E135" s="452"/>
      <c r="F135" s="452"/>
      <c r="G135" s="452"/>
      <c r="H135" s="452"/>
      <c r="I135" s="452"/>
      <c r="J135" s="452"/>
      <c r="K135" s="452"/>
      <c r="L135" s="452"/>
      <c r="M135" s="452"/>
      <c r="N135" s="452"/>
      <c r="O135" s="452"/>
      <c r="P135" s="452"/>
      <c r="Q135" s="452"/>
      <c r="R135" s="452"/>
      <c r="S135" s="452"/>
      <c r="T135" s="452"/>
      <c r="U135" s="452"/>
      <c r="V135" s="452"/>
      <c r="W135" s="452"/>
      <c r="X135" s="452"/>
      <c r="Y135" s="452"/>
      <c r="Z135" s="452"/>
      <c r="AA135" s="452"/>
      <c r="AB135" s="1"/>
      <c r="AC135" s="1"/>
    </row>
    <row r="136" customFormat="false" ht="12.6" hidden="false" customHeight="true" outlineLevel="0" collapsed="false">
      <c r="A136" s="1"/>
      <c r="B136" s="1"/>
      <c r="C136" s="452"/>
      <c r="D136" s="452"/>
      <c r="E136" s="452"/>
      <c r="F136" s="452"/>
      <c r="G136" s="452"/>
      <c r="H136" s="452"/>
      <c r="I136" s="452"/>
      <c r="J136" s="452"/>
      <c r="K136" s="452"/>
      <c r="L136" s="452"/>
      <c r="M136" s="452"/>
      <c r="N136" s="452"/>
      <c r="O136" s="452"/>
      <c r="P136" s="452"/>
      <c r="Q136" s="452"/>
      <c r="R136" s="452"/>
      <c r="S136" s="452"/>
      <c r="T136" s="452"/>
      <c r="U136" s="452"/>
      <c r="V136" s="452"/>
      <c r="W136" s="452"/>
      <c r="X136" s="452"/>
      <c r="Y136" s="452"/>
      <c r="Z136" s="452"/>
      <c r="AA136" s="452"/>
      <c r="AB136" s="1"/>
      <c r="AC136" s="1"/>
    </row>
    <row r="137" customFormat="false" ht="12.6" hidden="false" customHeight="true" outlineLevel="0" collapsed="false">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customFormat="false" ht="12.6" hidden="false" customHeight="true" outlineLevel="0" collapsed="false">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customFormat="false" ht="12.6" hidden="false" customHeight="true" outlineLevel="0" collapsed="false">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customFormat="false" ht="12.6" hidden="false" customHeight="true" outlineLevel="0" collapsed="false">
      <c r="A140" s="422"/>
      <c r="B140" s="481"/>
      <c r="C140" s="410"/>
      <c r="D140" s="438"/>
      <c r="E140" s="438"/>
      <c r="F140" s="438"/>
      <c r="G140" s="438"/>
      <c r="H140" s="438"/>
      <c r="I140" s="438"/>
      <c r="J140" s="438"/>
      <c r="K140" s="438"/>
      <c r="L140" s="438"/>
      <c r="M140" s="438"/>
      <c r="N140" s="438"/>
      <c r="O140" s="438"/>
      <c r="P140" s="438"/>
      <c r="Q140" s="438"/>
      <c r="R140" s="438"/>
      <c r="S140" s="438"/>
      <c r="T140" s="438"/>
      <c r="U140" s="438"/>
      <c r="V140" s="438"/>
      <c r="W140" s="438"/>
      <c r="X140" s="438"/>
      <c r="Y140" s="438"/>
      <c r="Z140" s="438"/>
      <c r="AA140" s="438"/>
      <c r="AB140" s="438"/>
      <c r="AC140" s="481"/>
    </row>
    <row r="141" customFormat="false" ht="12.6" hidden="false" customHeight="true" outlineLevel="0" collapsed="false">
      <c r="A141" s="606"/>
      <c r="B141" s="482"/>
      <c r="C141" s="410"/>
      <c r="D141" s="410"/>
      <c r="E141" s="410"/>
      <c r="F141" s="410"/>
      <c r="G141" s="410"/>
      <c r="H141" s="410"/>
      <c r="I141" s="410"/>
      <c r="J141" s="410"/>
      <c r="K141" s="410"/>
      <c r="L141" s="410"/>
      <c r="M141" s="410"/>
      <c r="N141" s="410"/>
      <c r="O141" s="410"/>
      <c r="P141" s="410"/>
      <c r="Q141" s="410"/>
      <c r="R141" s="410"/>
      <c r="S141" s="410"/>
      <c r="T141" s="410"/>
      <c r="U141" s="410"/>
      <c r="V141" s="410"/>
      <c r="W141" s="410"/>
      <c r="X141" s="410"/>
      <c r="Y141" s="410"/>
      <c r="Z141" s="410"/>
      <c r="AA141" s="410"/>
      <c r="AB141" s="410"/>
      <c r="AC141" s="410"/>
      <c r="AD141" s="636"/>
      <c r="AE141" s="636"/>
      <c r="AF141" s="636"/>
      <c r="AG141" s="636"/>
      <c r="AH141" s="636"/>
      <c r="AI141" s="636"/>
      <c r="AJ141" s="636"/>
      <c r="AK141" s="636"/>
      <c r="AL141" s="636"/>
      <c r="AM141" s="636"/>
      <c r="AN141" s="636"/>
      <c r="AO141" s="636"/>
      <c r="AP141" s="636"/>
      <c r="AQ141" s="636"/>
      <c r="AR141" s="636"/>
      <c r="AS141" s="636"/>
      <c r="AT141" s="636"/>
      <c r="AU141" s="636"/>
      <c r="AV141" s="636"/>
      <c r="AW141" s="636"/>
      <c r="AX141" s="636"/>
      <c r="AY141" s="636"/>
      <c r="AZ141" s="636"/>
      <c r="BA141" s="636"/>
      <c r="BB141" s="636"/>
      <c r="BC141" s="636"/>
      <c r="BD141" s="636"/>
      <c r="BE141" s="636"/>
      <c r="BF141" s="636"/>
      <c r="BG141" s="636"/>
      <c r="BH141" s="636"/>
      <c r="BI141" s="636"/>
      <c r="BJ141" s="636"/>
      <c r="BK141" s="636"/>
      <c r="BL141" s="636"/>
      <c r="BM141" s="636"/>
      <c r="BN141" s="636"/>
      <c r="BO141" s="636"/>
      <c r="BP141" s="636"/>
      <c r="BQ141" s="636"/>
      <c r="BR141" s="636"/>
      <c r="BS141" s="636"/>
      <c r="BT141" s="636"/>
      <c r="BU141" s="636"/>
      <c r="BV141" s="636"/>
      <c r="BW141" s="636"/>
      <c r="BX141" s="636"/>
      <c r="BY141" s="636"/>
      <c r="BZ141" s="636"/>
      <c r="CA141" s="636"/>
      <c r="CB141" s="636"/>
      <c r="CC141" s="636"/>
      <c r="CD141" s="636"/>
      <c r="CE141" s="636"/>
      <c r="CF141" s="636"/>
      <c r="CG141" s="636"/>
      <c r="CH141" s="636"/>
      <c r="CI141" s="636"/>
      <c r="CJ141" s="636"/>
      <c r="CK141" s="636"/>
      <c r="CL141" s="636"/>
      <c r="CM141" s="636"/>
      <c r="CN141" s="636"/>
      <c r="CO141" s="636"/>
      <c r="CP141" s="636"/>
      <c r="CQ141" s="636"/>
      <c r="CR141" s="636"/>
      <c r="CS141" s="636"/>
      <c r="CT141" s="636"/>
      <c r="CU141" s="636"/>
      <c r="CV141" s="636"/>
      <c r="CW141" s="636"/>
      <c r="CX141" s="636"/>
      <c r="CY141" s="636"/>
      <c r="CZ141" s="636"/>
      <c r="DA141" s="636"/>
      <c r="DB141" s="636"/>
      <c r="DC141" s="636"/>
      <c r="DD141" s="636"/>
      <c r="DE141" s="636"/>
      <c r="DF141" s="636"/>
      <c r="DG141" s="636"/>
      <c r="DH141" s="636"/>
      <c r="DI141" s="636"/>
      <c r="DJ141" s="636"/>
      <c r="DK141" s="636"/>
      <c r="DL141" s="636"/>
      <c r="DM141" s="636"/>
      <c r="DN141" s="636"/>
      <c r="DO141" s="636"/>
      <c r="DP141" s="636"/>
      <c r="DQ141" s="636"/>
      <c r="DR141" s="636"/>
      <c r="DS141" s="636"/>
      <c r="DT141" s="636"/>
      <c r="DU141" s="636"/>
      <c r="DV141" s="636"/>
      <c r="DW141" s="636"/>
      <c r="DX141" s="636"/>
      <c r="DY141" s="636"/>
      <c r="DZ141" s="636"/>
      <c r="EA141" s="636"/>
      <c r="EB141" s="636"/>
      <c r="EC141" s="636"/>
      <c r="ED141" s="636"/>
      <c r="EE141" s="636"/>
      <c r="EF141" s="636"/>
      <c r="EG141" s="636"/>
      <c r="EH141" s="636"/>
      <c r="EI141" s="636"/>
      <c r="EJ141" s="636"/>
      <c r="EK141" s="636"/>
      <c r="EL141" s="636"/>
      <c r="EM141" s="636"/>
      <c r="EN141" s="636"/>
      <c r="EO141" s="636"/>
      <c r="EP141" s="636"/>
      <c r="EQ141" s="636"/>
      <c r="ER141" s="636"/>
      <c r="ES141" s="636"/>
      <c r="ET141" s="636"/>
      <c r="EU141" s="636"/>
      <c r="EV141" s="636"/>
      <c r="EW141" s="636"/>
      <c r="EX141" s="636"/>
      <c r="EY141" s="636"/>
      <c r="EZ141" s="636"/>
      <c r="FA141" s="636"/>
      <c r="FB141" s="636"/>
      <c r="FC141" s="636"/>
      <c r="FD141" s="636"/>
      <c r="FE141" s="636"/>
      <c r="FF141" s="636"/>
      <c r="FG141" s="636"/>
      <c r="FH141" s="636"/>
      <c r="FI141" s="636"/>
      <c r="FJ141" s="636"/>
      <c r="FK141" s="636"/>
      <c r="FL141" s="636"/>
      <c r="FM141" s="636"/>
      <c r="FN141" s="636"/>
      <c r="FO141" s="636"/>
      <c r="FP141" s="636"/>
      <c r="FQ141" s="636"/>
      <c r="FR141" s="636"/>
      <c r="FS141" s="636"/>
      <c r="FT141" s="636"/>
      <c r="FU141" s="636"/>
      <c r="FV141" s="636"/>
      <c r="FW141" s="636"/>
      <c r="FX141" s="636"/>
      <c r="FY141" s="636"/>
      <c r="FZ141" s="636"/>
      <c r="GA141" s="636"/>
      <c r="GB141" s="636"/>
      <c r="GC141" s="636"/>
      <c r="GD141" s="636"/>
      <c r="GE141" s="636"/>
      <c r="GF141" s="636"/>
      <c r="GG141" s="636"/>
      <c r="GH141" s="636"/>
      <c r="GI141" s="636"/>
      <c r="GJ141" s="636"/>
      <c r="GK141" s="636"/>
      <c r="GL141" s="636"/>
      <c r="GM141" s="636"/>
      <c r="GN141" s="636"/>
      <c r="GO141" s="636"/>
      <c r="GP141" s="636"/>
      <c r="GQ141" s="636"/>
      <c r="GR141" s="636"/>
      <c r="GS141" s="636"/>
      <c r="GT141" s="636"/>
      <c r="GU141" s="636"/>
      <c r="GV141" s="636"/>
      <c r="GW141" s="636"/>
      <c r="GX141" s="636"/>
      <c r="GY141" s="636"/>
      <c r="GZ141" s="636"/>
      <c r="HA141" s="636"/>
      <c r="HB141" s="636"/>
      <c r="HC141" s="636"/>
      <c r="HD141" s="636"/>
      <c r="HE141" s="636"/>
      <c r="HF141" s="636"/>
      <c r="HG141" s="636"/>
      <c r="HH141" s="636"/>
      <c r="HI141" s="636"/>
      <c r="HJ141" s="636"/>
      <c r="HK141" s="636"/>
      <c r="HL141" s="636"/>
      <c r="HM141" s="636"/>
      <c r="HN141" s="636"/>
      <c r="HO141" s="636"/>
      <c r="HP141" s="636"/>
      <c r="HQ141" s="636"/>
      <c r="HR141" s="636"/>
      <c r="HS141" s="636"/>
      <c r="HT141" s="636"/>
      <c r="HU141" s="636"/>
    </row>
    <row r="142" customFormat="false" ht="12.6" hidden="false" customHeight="true" outlineLevel="0" collapsed="false">
      <c r="A142" s="606"/>
      <c r="B142" s="482"/>
      <c r="C142" s="423"/>
      <c r="D142" s="423"/>
      <c r="E142" s="423"/>
      <c r="F142" s="423"/>
      <c r="G142" s="423"/>
      <c r="H142" s="423"/>
      <c r="I142" s="423"/>
      <c r="J142" s="423"/>
      <c r="K142" s="423"/>
      <c r="L142" s="423"/>
      <c r="M142" s="423"/>
      <c r="N142" s="423"/>
      <c r="O142" s="423"/>
      <c r="P142" s="423"/>
      <c r="Q142" s="423"/>
      <c r="R142" s="423"/>
      <c r="S142" s="423"/>
      <c r="T142" s="423"/>
      <c r="U142" s="423"/>
      <c r="V142" s="423"/>
      <c r="W142" s="423"/>
      <c r="X142" s="423"/>
      <c r="Y142" s="423"/>
      <c r="Z142" s="423"/>
      <c r="AA142" s="423"/>
      <c r="AB142" s="410"/>
      <c r="AC142" s="410"/>
    </row>
    <row r="143" customFormat="false" ht="12.6" hidden="false" customHeight="true" outlineLevel="0" collapsed="false">
      <c r="A143" s="1"/>
      <c r="B143" s="1"/>
      <c r="C143" s="401"/>
      <c r="D143" s="401"/>
      <c r="E143" s="401"/>
      <c r="F143" s="401"/>
      <c r="G143" s="401"/>
      <c r="H143" s="401"/>
      <c r="I143" s="401"/>
      <c r="J143" s="401"/>
      <c r="K143" s="401"/>
      <c r="L143" s="401"/>
      <c r="M143" s="401"/>
      <c r="N143" s="401"/>
      <c r="O143" s="401"/>
      <c r="P143" s="401"/>
      <c r="Q143" s="401"/>
      <c r="R143" s="401"/>
      <c r="S143" s="401"/>
      <c r="T143" s="401"/>
      <c r="U143" s="401"/>
      <c r="V143" s="401"/>
      <c r="W143" s="401"/>
      <c r="X143" s="401"/>
      <c r="Y143" s="401"/>
      <c r="Z143" s="401"/>
      <c r="AA143" s="401"/>
      <c r="AB143" s="1"/>
      <c r="AC143" s="1"/>
    </row>
    <row r="144" customFormat="false" ht="12.6" hidden="false" customHeight="true" outlineLevel="0" collapsed="false">
      <c r="A144" s="1"/>
      <c r="B144" s="1"/>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c r="AA144" s="369"/>
      <c r="AB144" s="1"/>
      <c r="AC144" s="1"/>
    </row>
    <row r="145" customFormat="false" ht="12.6" hidden="false" customHeight="true" outlineLevel="0" collapsed="false">
      <c r="A145" s="422"/>
      <c r="B145" s="410"/>
      <c r="C145" s="423"/>
      <c r="D145" s="423"/>
      <c r="E145" s="423"/>
      <c r="F145" s="423"/>
      <c r="G145" s="423"/>
      <c r="H145" s="423"/>
      <c r="I145" s="423"/>
      <c r="J145" s="423"/>
      <c r="K145" s="423"/>
      <c r="L145" s="423"/>
      <c r="M145" s="423"/>
      <c r="N145" s="423"/>
      <c r="O145" s="423"/>
      <c r="P145" s="423"/>
      <c r="Q145" s="423"/>
      <c r="R145" s="423"/>
      <c r="S145" s="423"/>
      <c r="T145" s="423"/>
      <c r="U145" s="423"/>
      <c r="V145" s="423"/>
      <c r="W145" s="423"/>
      <c r="X145" s="423"/>
      <c r="Y145" s="423"/>
      <c r="Z145" s="423"/>
      <c r="AA145" s="423"/>
      <c r="AB145" s="410"/>
      <c r="AC145" s="410"/>
    </row>
    <row r="146" customFormat="false" ht="15.75" hidden="false" customHeight="false" outlineLevel="0" collapsed="false">
      <c r="A146" s="635"/>
      <c r="B146" s="378"/>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row>
    <row r="147" customFormat="false" ht="12.6" hidden="false" customHeight="true" outlineLevel="0" collapsed="false">
      <c r="A147" s="1"/>
      <c r="B147" s="1"/>
      <c r="C147" s="401"/>
      <c r="D147" s="401"/>
      <c r="E147" s="401"/>
      <c r="F147" s="401"/>
      <c r="G147" s="401"/>
      <c r="H147" s="401"/>
      <c r="I147" s="401"/>
      <c r="J147" s="401"/>
      <c r="K147" s="401"/>
      <c r="L147" s="401"/>
      <c r="M147" s="401"/>
      <c r="N147" s="401"/>
      <c r="O147" s="401"/>
      <c r="P147" s="401"/>
      <c r="Q147" s="401"/>
      <c r="R147" s="401"/>
      <c r="S147" s="401"/>
      <c r="T147" s="401"/>
      <c r="U147" s="401"/>
      <c r="V147" s="401"/>
      <c r="W147" s="401"/>
      <c r="X147" s="401"/>
      <c r="Y147" s="401"/>
      <c r="Z147" s="401"/>
      <c r="AA147" s="401"/>
      <c r="AB147" s="1"/>
      <c r="AC147" s="1"/>
    </row>
    <row r="148" customFormat="false" ht="12.6" hidden="false" customHeight="true" outlineLevel="0" collapsed="false">
      <c r="A148" s="1"/>
      <c r="B148" s="1"/>
      <c r="C148" s="401"/>
      <c r="D148" s="401"/>
      <c r="E148" s="401"/>
      <c r="F148" s="401"/>
      <c r="G148" s="401"/>
      <c r="H148" s="401"/>
      <c r="I148" s="401"/>
      <c r="J148" s="401"/>
      <c r="K148" s="401"/>
      <c r="L148" s="401"/>
      <c r="M148" s="401"/>
      <c r="N148" s="401"/>
      <c r="O148" s="401"/>
      <c r="P148" s="401"/>
      <c r="Q148" s="401"/>
      <c r="R148" s="401"/>
      <c r="S148" s="401"/>
      <c r="T148" s="401"/>
      <c r="U148" s="401"/>
      <c r="V148" s="401"/>
      <c r="W148" s="401"/>
      <c r="X148" s="401"/>
      <c r="Y148" s="401"/>
      <c r="Z148" s="401"/>
      <c r="AA148" s="401"/>
      <c r="AB148" s="1"/>
      <c r="AC148" s="1"/>
    </row>
    <row r="149" customFormat="false" ht="12.6" hidden="false" customHeight="true" outlineLevel="0" collapsed="false">
      <c r="A149" s="1"/>
      <c r="B149" s="1"/>
      <c r="C149" s="401"/>
      <c r="D149" s="401"/>
      <c r="E149" s="401"/>
      <c r="F149" s="401"/>
      <c r="G149" s="401"/>
      <c r="H149" s="401"/>
      <c r="I149" s="401"/>
      <c r="J149" s="401"/>
      <c r="K149" s="401"/>
      <c r="L149" s="401"/>
      <c r="M149" s="401"/>
      <c r="N149" s="401"/>
      <c r="O149" s="401"/>
      <c r="P149" s="401"/>
      <c r="Q149" s="401"/>
      <c r="R149" s="401"/>
      <c r="S149" s="401"/>
      <c r="T149" s="401"/>
      <c r="U149" s="401"/>
      <c r="V149" s="401"/>
      <c r="W149" s="401"/>
      <c r="X149" s="401"/>
      <c r="Y149" s="401"/>
      <c r="Z149" s="401"/>
      <c r="AA149" s="401"/>
      <c r="AB149" s="1"/>
      <c r="AC149" s="1"/>
    </row>
    <row r="150" customFormat="false" ht="15.75" hidden="false" customHeight="false" outlineLevel="0" collapsed="false">
      <c r="A150" s="635"/>
      <c r="B150" s="378"/>
      <c r="C150" s="378"/>
      <c r="D150" s="378"/>
      <c r="E150" s="378"/>
      <c r="F150" s="378"/>
      <c r="G150" s="378"/>
      <c r="H150" s="378"/>
      <c r="I150" s="378"/>
      <c r="J150" s="378"/>
      <c r="K150" s="378"/>
      <c r="L150" s="378"/>
      <c r="M150" s="378"/>
      <c r="N150" s="378"/>
      <c r="O150" s="378"/>
      <c r="P150" s="378"/>
      <c r="Q150" s="378"/>
      <c r="R150" s="378"/>
      <c r="S150" s="378"/>
      <c r="T150" s="378"/>
      <c r="U150" s="378"/>
      <c r="V150" s="378"/>
      <c r="W150" s="378"/>
      <c r="X150" s="378"/>
      <c r="Y150" s="378"/>
      <c r="Z150" s="378"/>
      <c r="AA150" s="378"/>
      <c r="AB150" s="378"/>
      <c r="AC150" s="378"/>
    </row>
    <row r="151" customFormat="false" ht="12.6" hidden="false" customHeight="true" outlineLevel="0" collapsed="false">
      <c r="A151" s="422"/>
      <c r="B151" s="410"/>
      <c r="C151" s="423"/>
      <c r="D151" s="423"/>
      <c r="E151" s="423"/>
      <c r="F151" s="423"/>
      <c r="G151" s="423"/>
      <c r="H151" s="423"/>
      <c r="I151" s="423"/>
      <c r="J151" s="423"/>
      <c r="K151" s="423"/>
      <c r="L151" s="423"/>
      <c r="M151" s="423"/>
      <c r="N151" s="423"/>
      <c r="O151" s="423"/>
      <c r="P151" s="423"/>
      <c r="Q151" s="423"/>
      <c r="R151" s="423"/>
      <c r="S151" s="423"/>
      <c r="T151" s="423"/>
      <c r="U151" s="423"/>
      <c r="V151" s="423"/>
      <c r="W151" s="423"/>
      <c r="X151" s="423"/>
      <c r="Y151" s="423"/>
      <c r="Z151" s="423"/>
      <c r="AA151" s="423"/>
      <c r="AB151" s="410"/>
      <c r="AC151" s="410"/>
    </row>
    <row r="152" customFormat="false" ht="12.6" hidden="false" customHeight="true" outlineLevel="0" collapsed="false">
      <c r="A152" s="422"/>
      <c r="B152" s="410"/>
      <c r="C152" s="423"/>
      <c r="D152" s="423"/>
      <c r="E152" s="423"/>
      <c r="F152" s="423"/>
      <c r="G152" s="423"/>
      <c r="H152" s="423"/>
      <c r="I152" s="423"/>
      <c r="J152" s="423"/>
      <c r="K152" s="423"/>
      <c r="L152" s="423"/>
      <c r="M152" s="423"/>
      <c r="N152" s="423"/>
      <c r="O152" s="423"/>
      <c r="P152" s="423"/>
      <c r="Q152" s="423"/>
      <c r="R152" s="423"/>
      <c r="S152" s="423"/>
      <c r="T152" s="423"/>
      <c r="U152" s="423"/>
      <c r="V152" s="423"/>
      <c r="W152" s="423"/>
      <c r="X152" s="423"/>
      <c r="Y152" s="423"/>
      <c r="Z152" s="423"/>
      <c r="AA152" s="423"/>
      <c r="AB152" s="410"/>
      <c r="AC152" s="410"/>
    </row>
    <row r="153" customFormat="false" ht="12.6" hidden="false" customHeight="true" outlineLevel="0" collapsed="false">
      <c r="A153" s="422"/>
      <c r="B153" s="410"/>
      <c r="C153" s="423"/>
      <c r="D153" s="423"/>
      <c r="E153" s="423"/>
      <c r="F153" s="423"/>
      <c r="G153" s="423"/>
      <c r="H153" s="423"/>
      <c r="I153" s="423"/>
      <c r="J153" s="423"/>
      <c r="K153" s="423"/>
      <c r="L153" s="423"/>
      <c r="M153" s="423"/>
      <c r="N153" s="423"/>
      <c r="O153" s="423"/>
      <c r="P153" s="423"/>
      <c r="Q153" s="423"/>
      <c r="R153" s="423"/>
      <c r="S153" s="423"/>
      <c r="T153" s="423"/>
      <c r="U153" s="423"/>
      <c r="V153" s="423"/>
      <c r="W153" s="423"/>
      <c r="X153" s="423"/>
      <c r="Y153" s="423"/>
      <c r="Z153" s="423"/>
      <c r="AA153" s="423"/>
      <c r="AB153" s="410"/>
      <c r="AC153" s="410"/>
    </row>
    <row r="154" customFormat="false" ht="12.6" hidden="false" customHeight="true" outlineLevel="0" collapsed="false">
      <c r="A154" s="422"/>
      <c r="B154" s="410"/>
      <c r="C154" s="423"/>
      <c r="D154" s="423"/>
      <c r="E154" s="423"/>
      <c r="F154" s="423"/>
      <c r="G154" s="423"/>
      <c r="H154" s="423"/>
      <c r="I154" s="423"/>
      <c r="J154" s="423"/>
      <c r="K154" s="423"/>
      <c r="L154" s="423"/>
      <c r="M154" s="423"/>
      <c r="N154" s="423"/>
      <c r="O154" s="423"/>
      <c r="P154" s="423"/>
      <c r="Q154" s="423"/>
      <c r="R154" s="423"/>
      <c r="S154" s="423"/>
      <c r="T154" s="423"/>
      <c r="U154" s="423"/>
      <c r="V154" s="423"/>
      <c r="W154" s="423"/>
      <c r="X154" s="423"/>
      <c r="Y154" s="423"/>
      <c r="Z154" s="423"/>
      <c r="AA154" s="423"/>
      <c r="AB154" s="410"/>
      <c r="AC154" s="410"/>
    </row>
    <row r="155" customFormat="false" ht="12.6" hidden="false" customHeight="true" outlineLevel="0" collapsed="false">
      <c r="A155" s="422"/>
      <c r="B155" s="410"/>
      <c r="C155" s="423"/>
      <c r="D155" s="423"/>
      <c r="E155" s="423"/>
      <c r="F155" s="423"/>
      <c r="G155" s="423"/>
      <c r="H155" s="423"/>
      <c r="I155" s="423"/>
      <c r="J155" s="423"/>
      <c r="K155" s="423"/>
      <c r="L155" s="423"/>
      <c r="M155" s="423"/>
      <c r="N155" s="423"/>
      <c r="O155" s="423"/>
      <c r="P155" s="423"/>
      <c r="Q155" s="423"/>
      <c r="R155" s="423"/>
      <c r="S155" s="423"/>
      <c r="T155" s="423"/>
      <c r="U155" s="423"/>
      <c r="V155" s="423"/>
      <c r="W155" s="423"/>
      <c r="X155" s="423"/>
      <c r="Y155" s="423"/>
      <c r="Z155" s="423"/>
      <c r="AA155" s="423"/>
      <c r="AB155" s="410"/>
      <c r="AC155" s="410"/>
    </row>
    <row r="156" customFormat="false" ht="12.6" hidden="false" customHeight="true" outlineLevel="0" collapsed="false">
      <c r="A156" s="422"/>
      <c r="B156" s="410"/>
      <c r="C156" s="423"/>
      <c r="D156" s="423"/>
      <c r="E156" s="423"/>
      <c r="F156" s="423"/>
      <c r="G156" s="423"/>
      <c r="H156" s="423"/>
      <c r="I156" s="423"/>
      <c r="J156" s="423"/>
      <c r="K156" s="423"/>
      <c r="L156" s="423"/>
      <c r="M156" s="423"/>
      <c r="N156" s="423"/>
      <c r="O156" s="423"/>
      <c r="P156" s="423"/>
      <c r="Q156" s="423"/>
      <c r="R156" s="423"/>
      <c r="S156" s="423"/>
      <c r="T156" s="423"/>
      <c r="U156" s="423"/>
      <c r="V156" s="423"/>
      <c r="W156" s="423"/>
      <c r="X156" s="423"/>
      <c r="Y156" s="423"/>
      <c r="Z156" s="423"/>
      <c r="AA156" s="423"/>
      <c r="AB156" s="410"/>
      <c r="AC156" s="410"/>
    </row>
    <row r="157" customFormat="false" ht="12.6" hidden="false" customHeight="true" outlineLevel="0" collapsed="false">
      <c r="A157" s="422"/>
      <c r="B157" s="410"/>
      <c r="C157" s="423"/>
      <c r="D157" s="423"/>
      <c r="E157" s="423"/>
      <c r="F157" s="423"/>
      <c r="G157" s="423"/>
      <c r="H157" s="423"/>
      <c r="I157" s="423"/>
      <c r="J157" s="423"/>
      <c r="K157" s="423"/>
      <c r="L157" s="423"/>
      <c r="M157" s="423"/>
      <c r="N157" s="423"/>
      <c r="O157" s="423"/>
      <c r="P157" s="423"/>
      <c r="Q157" s="423"/>
      <c r="R157" s="423"/>
      <c r="S157" s="423"/>
      <c r="T157" s="423"/>
      <c r="U157" s="423"/>
      <c r="V157" s="423"/>
      <c r="W157" s="423"/>
      <c r="X157" s="423"/>
      <c r="Y157" s="423"/>
      <c r="Z157" s="423"/>
      <c r="AA157" s="423"/>
      <c r="AB157" s="410"/>
      <c r="AC157" s="410"/>
    </row>
    <row r="158" customFormat="false" ht="12.6" hidden="false" customHeight="true" outlineLevel="0" collapsed="false">
      <c r="A158" s="422"/>
      <c r="B158" s="410"/>
      <c r="C158" s="423"/>
      <c r="D158" s="423"/>
      <c r="E158" s="423"/>
      <c r="F158" s="423"/>
      <c r="G158" s="423"/>
      <c r="H158" s="423"/>
      <c r="I158" s="423"/>
      <c r="J158" s="423"/>
      <c r="K158" s="423"/>
      <c r="L158" s="423"/>
      <c r="M158" s="423"/>
      <c r="N158" s="423"/>
      <c r="O158" s="423"/>
      <c r="P158" s="423"/>
      <c r="Q158" s="423"/>
      <c r="R158" s="423"/>
      <c r="S158" s="423"/>
      <c r="T158" s="423"/>
      <c r="U158" s="423"/>
      <c r="V158" s="423"/>
      <c r="W158" s="423"/>
      <c r="X158" s="423"/>
      <c r="Y158" s="423"/>
      <c r="Z158" s="423"/>
      <c r="AA158" s="423"/>
      <c r="AB158" s="410"/>
      <c r="AC158" s="410"/>
    </row>
    <row r="164" customFormat="false" ht="12.6" hidden="false" customHeight="true" outlineLevel="0" collapsed="false">
      <c r="A164" s="606"/>
      <c r="B164" s="482"/>
      <c r="C164" s="434"/>
      <c r="D164" s="434"/>
      <c r="E164" s="434"/>
      <c r="F164" s="434"/>
      <c r="G164" s="434"/>
      <c r="H164" s="434"/>
      <c r="I164" s="434"/>
      <c r="J164" s="434"/>
      <c r="K164" s="434"/>
      <c r="L164" s="434"/>
      <c r="M164" s="434"/>
      <c r="N164" s="434"/>
      <c r="O164" s="434"/>
      <c r="P164" s="434"/>
      <c r="Q164" s="434"/>
      <c r="R164" s="434"/>
      <c r="S164" s="434"/>
      <c r="T164" s="434"/>
      <c r="U164" s="434"/>
      <c r="V164" s="434"/>
      <c r="W164" s="434"/>
      <c r="X164" s="434"/>
      <c r="Y164" s="434"/>
      <c r="Z164" s="434"/>
      <c r="AA164" s="434"/>
      <c r="AB164" s="481"/>
      <c r="AC164" s="481"/>
    </row>
    <row r="165" customFormat="false" ht="12.6" hidden="false" customHeight="true" outlineLevel="0" collapsed="false">
      <c r="A165" s="422"/>
      <c r="B165" s="481"/>
      <c r="C165" s="410"/>
      <c r="D165" s="410"/>
      <c r="E165" s="410"/>
      <c r="F165" s="410"/>
      <c r="G165" s="410"/>
      <c r="H165" s="410"/>
      <c r="I165" s="410"/>
      <c r="J165" s="410"/>
      <c r="K165" s="410"/>
      <c r="L165" s="410"/>
      <c r="M165" s="410"/>
      <c r="N165" s="410"/>
      <c r="O165" s="410"/>
      <c r="P165" s="410"/>
      <c r="Q165" s="410"/>
      <c r="R165" s="410"/>
      <c r="S165" s="410"/>
      <c r="T165" s="410"/>
      <c r="U165" s="410"/>
      <c r="V165" s="410"/>
      <c r="W165" s="410"/>
      <c r="X165" s="410"/>
      <c r="Y165" s="410"/>
      <c r="Z165" s="410"/>
      <c r="AA165" s="410"/>
      <c r="AB165" s="410"/>
      <c r="AC165" s="410"/>
      <c r="AD165" s="636"/>
      <c r="AE165" s="636"/>
      <c r="AF165" s="636"/>
      <c r="AG165" s="636"/>
      <c r="AH165" s="636"/>
      <c r="AI165" s="636"/>
      <c r="AJ165" s="636"/>
      <c r="AK165" s="636"/>
      <c r="AL165" s="636"/>
      <c r="AM165" s="636"/>
      <c r="AN165" s="636"/>
      <c r="AO165" s="636"/>
      <c r="AP165" s="636"/>
      <c r="AQ165" s="636"/>
      <c r="AR165" s="636"/>
      <c r="AS165" s="636"/>
      <c r="AT165" s="636"/>
      <c r="AU165" s="636"/>
      <c r="AV165" s="636"/>
      <c r="AW165" s="636"/>
      <c r="AX165" s="636"/>
      <c r="AY165" s="636"/>
      <c r="AZ165" s="636"/>
      <c r="BA165" s="636"/>
      <c r="BB165" s="636"/>
      <c r="BC165" s="636"/>
      <c r="BD165" s="636"/>
      <c r="BE165" s="636"/>
      <c r="BF165" s="636"/>
      <c r="BG165" s="636"/>
      <c r="BH165" s="636"/>
      <c r="BI165" s="636"/>
      <c r="BJ165" s="636"/>
      <c r="BK165" s="636"/>
      <c r="BL165" s="636"/>
      <c r="BM165" s="636"/>
      <c r="BN165" s="636"/>
      <c r="BO165" s="636"/>
      <c r="BP165" s="636"/>
      <c r="BQ165" s="636"/>
      <c r="BR165" s="636"/>
      <c r="BS165" s="636"/>
      <c r="BT165" s="636"/>
      <c r="BU165" s="636"/>
      <c r="BV165" s="636"/>
      <c r="BW165" s="636"/>
      <c r="BX165" s="636"/>
      <c r="BY165" s="636"/>
      <c r="BZ165" s="636"/>
      <c r="CA165" s="636"/>
      <c r="CB165" s="636"/>
      <c r="CC165" s="636"/>
      <c r="CD165" s="636"/>
      <c r="CE165" s="636"/>
      <c r="CF165" s="636"/>
      <c r="CG165" s="636"/>
      <c r="CH165" s="636"/>
      <c r="CI165" s="636"/>
      <c r="CJ165" s="636"/>
      <c r="CK165" s="636"/>
      <c r="CL165" s="636"/>
      <c r="CM165" s="636"/>
      <c r="CN165" s="636"/>
      <c r="CO165" s="636"/>
      <c r="CP165" s="636"/>
      <c r="CQ165" s="636"/>
      <c r="CR165" s="636"/>
      <c r="CS165" s="636"/>
      <c r="CT165" s="636"/>
      <c r="CU165" s="636"/>
      <c r="CV165" s="636"/>
      <c r="CW165" s="636"/>
      <c r="CX165" s="636"/>
      <c r="CY165" s="636"/>
      <c r="CZ165" s="636"/>
      <c r="DA165" s="636"/>
      <c r="DB165" s="636"/>
      <c r="DC165" s="636"/>
      <c r="DD165" s="636"/>
      <c r="DE165" s="636"/>
      <c r="DF165" s="636"/>
      <c r="DG165" s="636"/>
      <c r="DH165" s="636"/>
      <c r="DI165" s="636"/>
      <c r="DJ165" s="636"/>
      <c r="DK165" s="636"/>
      <c r="DL165" s="636"/>
      <c r="DM165" s="636"/>
      <c r="DN165" s="636"/>
      <c r="DO165" s="636"/>
      <c r="DP165" s="636"/>
      <c r="DQ165" s="636"/>
      <c r="DR165" s="636"/>
      <c r="DS165" s="636"/>
      <c r="DT165" s="636"/>
      <c r="DU165" s="636"/>
      <c r="DV165" s="636"/>
      <c r="DW165" s="636"/>
      <c r="DX165" s="636"/>
      <c r="DY165" s="636"/>
      <c r="DZ165" s="636"/>
      <c r="EA165" s="636"/>
      <c r="EB165" s="636"/>
      <c r="EC165" s="636"/>
      <c r="ED165" s="636"/>
      <c r="EE165" s="636"/>
      <c r="EF165" s="636"/>
      <c r="EG165" s="636"/>
      <c r="EH165" s="636"/>
      <c r="EI165" s="636"/>
      <c r="EJ165" s="636"/>
      <c r="EK165" s="636"/>
      <c r="EL165" s="636"/>
      <c r="EM165" s="636"/>
      <c r="EN165" s="636"/>
      <c r="EO165" s="636"/>
      <c r="EP165" s="636"/>
      <c r="EQ165" s="636"/>
      <c r="ER165" s="636"/>
      <c r="ES165" s="636"/>
      <c r="ET165" s="636"/>
      <c r="EU165" s="636"/>
      <c r="EV165" s="636"/>
      <c r="EW165" s="636"/>
      <c r="EX165" s="636"/>
      <c r="EY165" s="636"/>
      <c r="EZ165" s="636"/>
      <c r="FA165" s="636"/>
      <c r="FB165" s="636"/>
      <c r="FC165" s="636"/>
      <c r="FD165" s="636"/>
      <c r="FE165" s="636"/>
      <c r="FF165" s="636"/>
      <c r="FG165" s="636"/>
      <c r="FH165" s="636"/>
      <c r="FI165" s="636"/>
      <c r="FJ165" s="636"/>
      <c r="FK165" s="636"/>
      <c r="FL165" s="636"/>
      <c r="FM165" s="636"/>
      <c r="FN165" s="636"/>
      <c r="FO165" s="636"/>
      <c r="FP165" s="636"/>
      <c r="FQ165" s="636"/>
      <c r="FR165" s="636"/>
      <c r="FS165" s="636"/>
      <c r="FT165" s="636"/>
      <c r="FU165" s="636"/>
      <c r="FV165" s="636"/>
      <c r="FW165" s="636"/>
      <c r="FX165" s="636"/>
      <c r="FY165" s="636"/>
      <c r="FZ165" s="636"/>
      <c r="GA165" s="636"/>
      <c r="GB165" s="636"/>
      <c r="GC165" s="636"/>
      <c r="GD165" s="636"/>
      <c r="GE165" s="636"/>
      <c r="GF165" s="636"/>
      <c r="GG165" s="636"/>
      <c r="GH165" s="636"/>
      <c r="GI165" s="636"/>
      <c r="GJ165" s="636"/>
      <c r="GK165" s="636"/>
      <c r="GL165" s="636"/>
      <c r="GM165" s="636"/>
      <c r="GN165" s="636"/>
      <c r="GO165" s="636"/>
      <c r="GP165" s="636"/>
      <c r="GQ165" s="636"/>
      <c r="GR165" s="636"/>
      <c r="GS165" s="636"/>
      <c r="GT165" s="636"/>
      <c r="GU165" s="636"/>
      <c r="GV165" s="636"/>
      <c r="GW165" s="636"/>
      <c r="GX165" s="636"/>
      <c r="GY165" s="636"/>
      <c r="GZ165" s="636"/>
      <c r="HA165" s="636"/>
      <c r="HB165" s="636"/>
      <c r="HC165" s="636"/>
      <c r="HD165" s="636"/>
      <c r="HE165" s="636"/>
      <c r="HF165" s="636"/>
      <c r="HG165" s="636"/>
      <c r="HH165" s="636"/>
      <c r="HI165" s="636"/>
      <c r="HJ165" s="636"/>
      <c r="HK165" s="636"/>
      <c r="HL165" s="636"/>
      <c r="HM165" s="636"/>
      <c r="HN165" s="636"/>
      <c r="HO165" s="636"/>
      <c r="HP165" s="636"/>
      <c r="HQ165" s="636"/>
      <c r="HR165" s="636"/>
      <c r="HS165" s="636"/>
      <c r="HT165" s="636"/>
    </row>
    <row r="168" customFormat="false" ht="12.6" hidden="false" customHeight="true" outlineLevel="0" collapsed="false"/>
    <row r="179"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4" man="true" max="65535" min="0"/>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99"/>
  <sheetViews>
    <sheetView showFormulas="false" showGridLines="true" showRowColHeaders="true" showZeros="true" rightToLeft="false" tabSelected="false" showOutlineSymbols="true" defaultGridColor="true" view="normal" topLeftCell="A43" colorId="64" zoomScale="75" zoomScaleNormal="75" zoomScalePageLayoutView="85" workbookViewId="0">
      <selection pane="topLeft" activeCell="D81" activeCellId="0" sqref="D81:X81"/>
    </sheetView>
  </sheetViews>
  <sheetFormatPr defaultColWidth="9.28125" defaultRowHeight="12.6" customHeight="true" zeroHeight="false" outlineLevelRow="0" outlineLevelCol="0"/>
  <cols>
    <col collapsed="false" customWidth="true" hidden="false" outlineLevel="0" max="1" min="1" style="637" width="9.14"/>
    <col collapsed="false" customWidth="true" hidden="false" outlineLevel="0" max="2" min="2" style="481" width="28.14"/>
    <col collapsed="false" customWidth="true" hidden="false" outlineLevel="0" max="3" min="3" style="481" width="8.28"/>
    <col collapsed="false" customWidth="true" hidden="false" outlineLevel="0" max="12" min="4" style="481" width="10.41"/>
    <col collapsed="false" customWidth="true" hidden="false" outlineLevel="0" max="13" min="13" style="481" width="9.7"/>
    <col collapsed="false" customWidth="true" hidden="false" outlineLevel="0" max="17" min="14" style="481" width="10.41"/>
    <col collapsed="false" customWidth="true" hidden="false" outlineLevel="0" max="20" min="18" style="481" width="9.7"/>
    <col collapsed="false" customWidth="true" hidden="false" outlineLevel="0" max="21" min="21" style="481" width="10.41"/>
    <col collapsed="false" customWidth="true" hidden="false" outlineLevel="0" max="28" min="22" style="481" width="9.7"/>
    <col collapsed="false" customWidth="false" hidden="false" outlineLevel="0" max="30" min="29" style="637" width="9.28"/>
    <col collapsed="false" customWidth="true" hidden="false" outlineLevel="0" max="31" min="31" style="0" width="9.7"/>
    <col collapsed="false" customWidth="true" hidden="false" outlineLevel="0" max="32" min="32" style="637" width="10.71"/>
    <col collapsed="false" customWidth="false" hidden="false" outlineLevel="0" max="257" min="33" style="637" width="9.28"/>
  </cols>
  <sheetData>
    <row r="1" customFormat="false" ht="20.25" hidden="false" customHeight="true" outlineLevel="0" collapsed="false">
      <c r="B1" s="367" t="str">
        <f aca="false">'Project Assumtions'!$A$2</f>
        <v>WHEATLAND POWER IN, L.L.C.</v>
      </c>
      <c r="C1" s="478"/>
      <c r="D1" s="638"/>
      <c r="I1" s="483"/>
      <c r="AD1" s="639"/>
    </row>
    <row r="2" customFormat="false" ht="15.6" hidden="false" customHeight="true" outlineLevel="0" collapsed="false">
      <c r="B2" s="370" t="s">
        <v>489</v>
      </c>
      <c r="C2" s="479"/>
      <c r="D2" s="640"/>
      <c r="E2" s="620"/>
      <c r="F2" s="620"/>
      <c r="G2" s="620"/>
      <c r="H2" s="620"/>
      <c r="I2" s="620"/>
      <c r="J2" s="620"/>
      <c r="K2" s="620"/>
      <c r="L2" s="620"/>
      <c r="M2" s="620"/>
      <c r="N2" s="620"/>
      <c r="O2" s="620"/>
      <c r="P2" s="620"/>
      <c r="Q2" s="620"/>
      <c r="R2" s="620"/>
      <c r="S2" s="620"/>
      <c r="T2" s="620"/>
      <c r="U2" s="620"/>
      <c r="V2" s="620"/>
      <c r="W2" s="620"/>
      <c r="X2" s="620"/>
      <c r="Y2" s="620"/>
      <c r="Z2" s="620"/>
      <c r="AA2" s="620"/>
      <c r="AB2" s="620"/>
      <c r="AD2" s="639"/>
    </row>
    <row r="3" customFormat="false" ht="12.6" hidden="false" customHeight="true" outlineLevel="0" collapsed="false">
      <c r="B3" s="641"/>
      <c r="C3" s="6"/>
      <c r="D3" s="481" t="n">
        <v>1</v>
      </c>
      <c r="E3" s="481" t="n">
        <f aca="false">D3+1</f>
        <v>2</v>
      </c>
      <c r="F3" s="481" t="n">
        <f aca="false">E3+1</f>
        <v>3</v>
      </c>
      <c r="G3" s="481" t="n">
        <f aca="false">F3+1</f>
        <v>4</v>
      </c>
      <c r="H3" s="481" t="n">
        <f aca="false">G3+1</f>
        <v>5</v>
      </c>
      <c r="I3" s="481" t="n">
        <f aca="false">H3+1</f>
        <v>6</v>
      </c>
      <c r="J3" s="481" t="n">
        <f aca="false">I3+1</f>
        <v>7</v>
      </c>
      <c r="K3" s="481" t="n">
        <f aca="false">J3+1</f>
        <v>8</v>
      </c>
      <c r="L3" s="481" t="n">
        <f aca="false">K3+1</f>
        <v>9</v>
      </c>
      <c r="M3" s="481" t="n">
        <f aca="false">L3+1</f>
        <v>10</v>
      </c>
      <c r="N3" s="481" t="n">
        <f aca="false">M3+1</f>
        <v>11</v>
      </c>
      <c r="O3" s="481" t="n">
        <f aca="false">N3+1</f>
        <v>12</v>
      </c>
      <c r="P3" s="481" t="n">
        <f aca="false">O3+1</f>
        <v>13</v>
      </c>
      <c r="Q3" s="481" t="n">
        <f aca="false">P3+1</f>
        <v>14</v>
      </c>
      <c r="R3" s="481" t="n">
        <f aca="false">Q3+1</f>
        <v>15</v>
      </c>
      <c r="S3" s="481" t="n">
        <f aca="false">R3+1</f>
        <v>16</v>
      </c>
      <c r="T3" s="481" t="n">
        <f aca="false">S3+1</f>
        <v>17</v>
      </c>
      <c r="U3" s="481" t="n">
        <f aca="false">T3+1</f>
        <v>18</v>
      </c>
      <c r="V3" s="481" t="n">
        <f aca="false">U3+1</f>
        <v>19</v>
      </c>
      <c r="W3" s="481" t="n">
        <f aca="false">V3+1</f>
        <v>20</v>
      </c>
      <c r="X3" s="481" t="n">
        <f aca="false">W3+1</f>
        <v>21</v>
      </c>
      <c r="Y3" s="481" t="n">
        <f aca="false">X3+1</f>
        <v>22</v>
      </c>
      <c r="Z3" s="481" t="n">
        <f aca="false">Y3+1</f>
        <v>23</v>
      </c>
      <c r="AA3" s="481" t="n">
        <f aca="false">Z3+1</f>
        <v>24</v>
      </c>
      <c r="AB3" s="481" t="n">
        <f aca="false">AA3+1</f>
        <v>25</v>
      </c>
      <c r="AD3" s="639"/>
    </row>
    <row r="4" customFormat="false" ht="12.6" hidden="false" customHeight="true" outlineLevel="0" collapsed="false">
      <c r="B4" s="484"/>
      <c r="C4" s="485"/>
      <c r="D4" s="375" t="n">
        <f aca="false">YEAR(StartDate)</f>
        <v>2000</v>
      </c>
      <c r="E4" s="375" t="n">
        <f aca="false">D4+1</f>
        <v>2001</v>
      </c>
      <c r="F4" s="375" t="n">
        <f aca="false">E4+1</f>
        <v>2002</v>
      </c>
      <c r="G4" s="375" t="n">
        <f aca="false">F4+1</f>
        <v>2003</v>
      </c>
      <c r="H4" s="375" t="n">
        <f aca="false">G4+1</f>
        <v>2004</v>
      </c>
      <c r="I4" s="375" t="n">
        <f aca="false">H4+1</f>
        <v>2005</v>
      </c>
      <c r="J4" s="375" t="n">
        <f aca="false">I4+1</f>
        <v>2006</v>
      </c>
      <c r="K4" s="375" t="n">
        <f aca="false">J4+1</f>
        <v>2007</v>
      </c>
      <c r="L4" s="375" t="n">
        <f aca="false">K4+1</f>
        <v>2008</v>
      </c>
      <c r="M4" s="375" t="n">
        <f aca="false">L4+1</f>
        <v>2009</v>
      </c>
      <c r="N4" s="375" t="n">
        <f aca="false">M4+1</f>
        <v>2010</v>
      </c>
      <c r="O4" s="375" t="n">
        <f aca="false">N4+1</f>
        <v>2011</v>
      </c>
      <c r="P4" s="375" t="n">
        <f aca="false">O4+1</f>
        <v>2012</v>
      </c>
      <c r="Q4" s="375" t="n">
        <f aca="false">P4+1</f>
        <v>2013</v>
      </c>
      <c r="R4" s="375" t="n">
        <f aca="false">Q4+1</f>
        <v>2014</v>
      </c>
      <c r="S4" s="375" t="n">
        <f aca="false">R4+1</f>
        <v>2015</v>
      </c>
      <c r="T4" s="375" t="n">
        <f aca="false">S4+1</f>
        <v>2016</v>
      </c>
      <c r="U4" s="375" t="n">
        <f aca="false">T4+1</f>
        <v>2017</v>
      </c>
      <c r="V4" s="375" t="n">
        <f aca="false">U4+1</f>
        <v>2018</v>
      </c>
      <c r="W4" s="375" t="n">
        <f aca="false">V4+1</f>
        <v>2019</v>
      </c>
      <c r="X4" s="375" t="n">
        <f aca="false">W4+1</f>
        <v>2020</v>
      </c>
      <c r="Y4" s="375" t="n">
        <f aca="false">X4+1</f>
        <v>2021</v>
      </c>
      <c r="Z4" s="375" t="n">
        <f aca="false">Y4+1</f>
        <v>2022</v>
      </c>
      <c r="AA4" s="375" t="n">
        <f aca="false">Z4+1</f>
        <v>2023</v>
      </c>
      <c r="AB4" s="376" t="n">
        <f aca="false">AA4+1</f>
        <v>2024</v>
      </c>
      <c r="AC4" s="486"/>
      <c r="AD4" s="486"/>
      <c r="AF4" s="486"/>
      <c r="AG4" s="486"/>
      <c r="AH4" s="486"/>
      <c r="AI4" s="486"/>
      <c r="AJ4" s="486"/>
      <c r="AK4" s="486"/>
      <c r="AL4" s="486"/>
      <c r="AM4" s="486"/>
      <c r="AN4" s="486"/>
      <c r="AO4" s="486"/>
      <c r="AP4" s="486"/>
      <c r="AQ4" s="486"/>
      <c r="AR4" s="486"/>
      <c r="AS4" s="486"/>
      <c r="AT4" s="486"/>
      <c r="AU4" s="486"/>
      <c r="AV4" s="486"/>
      <c r="AW4" s="486"/>
      <c r="AX4" s="486"/>
      <c r="AY4" s="486"/>
      <c r="AZ4" s="486"/>
      <c r="BA4" s="486"/>
    </row>
    <row r="5" customFormat="false" ht="12.6" hidden="false" customHeight="true" outlineLevel="0" collapsed="false">
      <c r="B5" s="642" t="str">
        <f aca="false">'[4]PPA Assu&amp;Sum'!A5</f>
        <v>Months of Operation</v>
      </c>
      <c r="D5" s="380" t="n">
        <f aca="false">'PPA Assumptions &amp;Summary'!C5</f>
        <v>7</v>
      </c>
      <c r="E5" s="380" t="n">
        <f aca="false">'PPA Assumptions &amp;Summary'!D5</f>
        <v>12</v>
      </c>
      <c r="F5" s="380" t="n">
        <f aca="false">'PPA Assumptions &amp;Summary'!E5</f>
        <v>12</v>
      </c>
      <c r="G5" s="380" t="n">
        <f aca="false">'PPA Assumptions &amp;Summary'!F5</f>
        <v>12</v>
      </c>
      <c r="H5" s="380" t="n">
        <f aca="false">'PPA Assumptions &amp;Summary'!G5</f>
        <v>12</v>
      </c>
      <c r="I5" s="380" t="n">
        <f aca="false">'PPA Assumptions &amp;Summary'!H5</f>
        <v>12</v>
      </c>
      <c r="J5" s="380" t="n">
        <f aca="false">'PPA Assumptions &amp;Summary'!I5</f>
        <v>12</v>
      </c>
      <c r="K5" s="380" t="n">
        <f aca="false">'PPA Assumptions &amp;Summary'!J5</f>
        <v>12</v>
      </c>
      <c r="L5" s="380" t="n">
        <f aca="false">'PPA Assumptions &amp;Summary'!K5</f>
        <v>12</v>
      </c>
      <c r="M5" s="380" t="n">
        <f aca="false">'PPA Assumptions &amp;Summary'!L5</f>
        <v>12</v>
      </c>
      <c r="N5" s="380" t="n">
        <f aca="false">'PPA Assumptions &amp;Summary'!M5</f>
        <v>12</v>
      </c>
      <c r="O5" s="380" t="n">
        <f aca="false">'PPA Assumptions &amp;Summary'!N5</f>
        <v>12</v>
      </c>
      <c r="P5" s="380" t="n">
        <f aca="false">'PPA Assumptions &amp;Summary'!O5</f>
        <v>12</v>
      </c>
      <c r="Q5" s="380" t="n">
        <f aca="false">'PPA Assumptions &amp;Summary'!P5</f>
        <v>12</v>
      </c>
      <c r="R5" s="380" t="n">
        <f aca="false">'PPA Assumptions &amp;Summary'!Q5</f>
        <v>12</v>
      </c>
      <c r="S5" s="380" t="n">
        <f aca="false">'PPA Assumptions &amp;Summary'!R5</f>
        <v>12</v>
      </c>
      <c r="T5" s="380" t="n">
        <f aca="false">'PPA Assumptions &amp;Summary'!S5</f>
        <v>12</v>
      </c>
      <c r="U5" s="380" t="n">
        <f aca="false">'PPA Assumptions &amp;Summary'!T5</f>
        <v>12</v>
      </c>
      <c r="V5" s="380" t="n">
        <f aca="false">'PPA Assumptions &amp;Summary'!U5</f>
        <v>12</v>
      </c>
      <c r="W5" s="380" t="n">
        <f aca="false">'PPA Assumptions &amp;Summary'!V5</f>
        <v>12</v>
      </c>
      <c r="X5" s="380" t="n">
        <f aca="false">'PPA Assumptions &amp;Summary'!W5</f>
        <v>5</v>
      </c>
      <c r="Y5" s="380" t="n">
        <f aca="false">'PPA Assumptions &amp;Summary'!X5</f>
        <v>0</v>
      </c>
      <c r="Z5" s="380" t="n">
        <f aca="false">'PPA Assumptions &amp;Summary'!Y5</f>
        <v>0</v>
      </c>
      <c r="AA5" s="380" t="n">
        <f aca="false">'PPA Assumptions &amp;Summary'!Z5</f>
        <v>0</v>
      </c>
      <c r="AB5" s="382" t="n">
        <f aca="false">'PPA Assumptions &amp;Summary'!AA5</f>
        <v>0</v>
      </c>
      <c r="AD5" s="639"/>
    </row>
    <row r="6" customFormat="false" ht="12.6" hidden="false" customHeight="true" outlineLevel="0" collapsed="false">
      <c r="B6" s="642" t="str">
        <f aca="false">'[4]PPA Assu&amp;Sum'!A6</f>
        <v>Months of Year Under PPA</v>
      </c>
      <c r="D6" s="380" t="n">
        <f aca="false">'PPA Assumptions &amp;Summary'!C6</f>
        <v>7</v>
      </c>
      <c r="E6" s="380" t="n">
        <f aca="false">'PPA Assumptions &amp;Summary'!D6</f>
        <v>12</v>
      </c>
      <c r="F6" s="380" t="n">
        <f aca="false">'PPA Assumptions &amp;Summary'!E6</f>
        <v>12</v>
      </c>
      <c r="G6" s="380" t="n">
        <f aca="false">'PPA Assumptions &amp;Summary'!F6</f>
        <v>5</v>
      </c>
      <c r="H6" s="380" t="n">
        <f aca="false">'PPA Assumptions &amp;Summary'!G6</f>
        <v>0</v>
      </c>
      <c r="I6" s="380" t="n">
        <f aca="false">'PPA Assumptions &amp;Summary'!H6</f>
        <v>0</v>
      </c>
      <c r="J6" s="380" t="n">
        <f aca="false">'PPA Assumptions &amp;Summary'!I6</f>
        <v>0</v>
      </c>
      <c r="K6" s="380" t="n">
        <f aca="false">'PPA Assumptions &amp;Summary'!J6</f>
        <v>0</v>
      </c>
      <c r="L6" s="380" t="n">
        <f aca="false">'PPA Assumptions &amp;Summary'!K6</f>
        <v>0</v>
      </c>
      <c r="M6" s="380" t="n">
        <f aca="false">'PPA Assumptions &amp;Summary'!L6</f>
        <v>0</v>
      </c>
      <c r="N6" s="380" t="n">
        <f aca="false">'PPA Assumptions &amp;Summary'!M6</f>
        <v>0</v>
      </c>
      <c r="O6" s="380" t="n">
        <f aca="false">'PPA Assumptions &amp;Summary'!N6</f>
        <v>0</v>
      </c>
      <c r="P6" s="380" t="n">
        <f aca="false">'PPA Assumptions &amp;Summary'!O6</f>
        <v>0</v>
      </c>
      <c r="Q6" s="380" t="n">
        <f aca="false">'PPA Assumptions &amp;Summary'!P6</f>
        <v>0</v>
      </c>
      <c r="R6" s="380" t="n">
        <f aca="false">'PPA Assumptions &amp;Summary'!Q6</f>
        <v>0</v>
      </c>
      <c r="S6" s="380" t="n">
        <f aca="false">'PPA Assumptions &amp;Summary'!R6</f>
        <v>0</v>
      </c>
      <c r="T6" s="380" t="n">
        <f aca="false">'PPA Assumptions &amp;Summary'!S6</f>
        <v>0</v>
      </c>
      <c r="U6" s="380" t="n">
        <f aca="false">'PPA Assumptions &amp;Summary'!T6</f>
        <v>0</v>
      </c>
      <c r="V6" s="380" t="n">
        <f aca="false">'PPA Assumptions &amp;Summary'!U6</f>
        <v>0</v>
      </c>
      <c r="W6" s="380" t="n">
        <f aca="false">'PPA Assumptions &amp;Summary'!V6</f>
        <v>0</v>
      </c>
      <c r="X6" s="380" t="n">
        <f aca="false">'PPA Assumptions &amp;Summary'!W6</f>
        <v>0</v>
      </c>
      <c r="Y6" s="380" t="n">
        <f aca="false">'PPA Assumptions &amp;Summary'!X6</f>
        <v>0</v>
      </c>
      <c r="Z6" s="380" t="n">
        <f aca="false">'PPA Assumptions &amp;Summary'!Y6</f>
        <v>0</v>
      </c>
      <c r="AA6" s="380" t="n">
        <f aca="false">'PPA Assumptions &amp;Summary'!Z6</f>
        <v>0</v>
      </c>
      <c r="AB6" s="382" t="n">
        <f aca="false">'PPA Assumptions &amp;Summary'!AA6</f>
        <v>0</v>
      </c>
      <c r="AD6" s="639"/>
    </row>
    <row r="7" customFormat="false" ht="12.6" hidden="false" customHeight="true" outlineLevel="0" collapsed="false">
      <c r="A7" s="612"/>
      <c r="B7" s="643" t="str">
        <f aca="false">'[4]PPA Assu&amp;Sum'!A7</f>
        <v>Months of Year Merchant</v>
      </c>
      <c r="C7" s="419"/>
      <c r="D7" s="644" t="n">
        <f aca="false">'PPA Assumptions &amp;Summary'!C7</f>
        <v>0</v>
      </c>
      <c r="E7" s="644" t="n">
        <f aca="false">'PPA Assumptions &amp;Summary'!D7</f>
        <v>0</v>
      </c>
      <c r="F7" s="644" t="n">
        <f aca="false">'PPA Assumptions &amp;Summary'!E7</f>
        <v>0</v>
      </c>
      <c r="G7" s="644" t="n">
        <f aca="false">'PPA Assumptions &amp;Summary'!F7</f>
        <v>7</v>
      </c>
      <c r="H7" s="644" t="n">
        <f aca="false">'PPA Assumptions &amp;Summary'!G7</f>
        <v>12</v>
      </c>
      <c r="I7" s="644" t="n">
        <f aca="false">'PPA Assumptions &amp;Summary'!H7</f>
        <v>12</v>
      </c>
      <c r="J7" s="644" t="n">
        <f aca="false">'PPA Assumptions &amp;Summary'!I7</f>
        <v>12</v>
      </c>
      <c r="K7" s="644" t="n">
        <f aca="false">'PPA Assumptions &amp;Summary'!J7</f>
        <v>12</v>
      </c>
      <c r="L7" s="644" t="n">
        <f aca="false">'PPA Assumptions &amp;Summary'!K7</f>
        <v>12</v>
      </c>
      <c r="M7" s="644" t="n">
        <f aca="false">'PPA Assumptions &amp;Summary'!L7</f>
        <v>12</v>
      </c>
      <c r="N7" s="644" t="n">
        <f aca="false">'PPA Assumptions &amp;Summary'!M7</f>
        <v>12</v>
      </c>
      <c r="O7" s="644" t="n">
        <f aca="false">'PPA Assumptions &amp;Summary'!N7</f>
        <v>12</v>
      </c>
      <c r="P7" s="644" t="n">
        <f aca="false">'PPA Assumptions &amp;Summary'!O7</f>
        <v>12</v>
      </c>
      <c r="Q7" s="644" t="n">
        <f aca="false">'PPA Assumptions &amp;Summary'!P7</f>
        <v>12</v>
      </c>
      <c r="R7" s="644" t="n">
        <f aca="false">'PPA Assumptions &amp;Summary'!Q7</f>
        <v>12</v>
      </c>
      <c r="S7" s="644" t="n">
        <f aca="false">'PPA Assumptions &amp;Summary'!R7</f>
        <v>12</v>
      </c>
      <c r="T7" s="644" t="n">
        <f aca="false">'PPA Assumptions &amp;Summary'!S7</f>
        <v>12</v>
      </c>
      <c r="U7" s="644" t="n">
        <f aca="false">'PPA Assumptions &amp;Summary'!T7</f>
        <v>12</v>
      </c>
      <c r="V7" s="644" t="n">
        <f aca="false">'PPA Assumptions &amp;Summary'!U7</f>
        <v>12</v>
      </c>
      <c r="W7" s="644" t="n">
        <f aca="false">'PPA Assumptions &amp;Summary'!V7</f>
        <v>12</v>
      </c>
      <c r="X7" s="644" t="n">
        <f aca="false">'PPA Assumptions &amp;Summary'!W7</f>
        <v>5</v>
      </c>
      <c r="Y7" s="644" t="n">
        <f aca="false">'PPA Assumptions &amp;Summary'!X7</f>
        <v>0</v>
      </c>
      <c r="Z7" s="644" t="n">
        <f aca="false">'PPA Assumptions &amp;Summary'!Y7</f>
        <v>0</v>
      </c>
      <c r="AA7" s="644" t="n">
        <f aca="false">'PPA Assumptions &amp;Summary'!Z7</f>
        <v>0</v>
      </c>
      <c r="AB7" s="645" t="n">
        <f aca="false">'PPA Assumptions &amp;Summary'!AA7</f>
        <v>0</v>
      </c>
      <c r="AC7" s="612"/>
      <c r="AD7" s="639"/>
      <c r="AF7" s="612"/>
      <c r="AG7" s="612"/>
      <c r="AH7" s="612"/>
      <c r="AI7" s="612"/>
      <c r="AJ7" s="612"/>
      <c r="AK7" s="612"/>
      <c r="AL7" s="612"/>
      <c r="AM7" s="612"/>
      <c r="AN7" s="612"/>
      <c r="AO7" s="612"/>
      <c r="AP7" s="612"/>
      <c r="AQ7" s="612"/>
      <c r="AR7" s="612"/>
      <c r="AS7" s="612"/>
      <c r="AT7" s="612"/>
      <c r="AU7" s="612"/>
      <c r="AV7" s="612"/>
      <c r="AW7" s="612"/>
      <c r="AX7" s="612"/>
      <c r="AY7" s="612"/>
      <c r="AZ7" s="612"/>
      <c r="BA7" s="612"/>
      <c r="BB7" s="612"/>
      <c r="BC7" s="612"/>
      <c r="BD7" s="612"/>
      <c r="BE7" s="612"/>
      <c r="BF7" s="612"/>
      <c r="BG7" s="612"/>
      <c r="BH7" s="612"/>
      <c r="BI7" s="612"/>
      <c r="BJ7" s="612"/>
      <c r="BK7" s="612"/>
      <c r="BL7" s="612"/>
      <c r="BM7" s="612"/>
      <c r="BN7" s="612"/>
      <c r="BO7" s="612"/>
      <c r="BP7" s="612"/>
      <c r="BQ7" s="612"/>
      <c r="BR7" s="612"/>
      <c r="BS7" s="612"/>
      <c r="BT7" s="612"/>
      <c r="BU7" s="612"/>
      <c r="BV7" s="612"/>
      <c r="BW7" s="612"/>
      <c r="BX7" s="612"/>
      <c r="BY7" s="612"/>
      <c r="BZ7" s="612"/>
      <c r="CA7" s="612"/>
      <c r="CB7" s="612"/>
      <c r="CC7" s="612"/>
      <c r="CD7" s="612"/>
      <c r="CE7" s="612"/>
      <c r="CF7" s="612"/>
      <c r="CG7" s="612"/>
      <c r="CH7" s="612"/>
      <c r="CI7" s="612"/>
      <c r="CJ7" s="612"/>
      <c r="CK7" s="612"/>
      <c r="CL7" s="612"/>
      <c r="CM7" s="612"/>
      <c r="CN7" s="612"/>
      <c r="CO7" s="612"/>
      <c r="CP7" s="612"/>
      <c r="CQ7" s="612"/>
      <c r="CR7" s="612"/>
      <c r="CS7" s="612"/>
      <c r="CT7" s="612"/>
      <c r="CU7" s="612"/>
      <c r="CV7" s="612"/>
      <c r="CW7" s="612"/>
      <c r="CX7" s="612"/>
      <c r="CY7" s="612"/>
      <c r="CZ7" s="612"/>
      <c r="DA7" s="612"/>
      <c r="DB7" s="612"/>
      <c r="DC7" s="612"/>
      <c r="DD7" s="612"/>
      <c r="DE7" s="612"/>
      <c r="DF7" s="612"/>
      <c r="DG7" s="612"/>
      <c r="DH7" s="612"/>
      <c r="DI7" s="612"/>
      <c r="DJ7" s="612"/>
      <c r="DK7" s="612"/>
      <c r="DL7" s="612"/>
      <c r="DM7" s="612"/>
      <c r="DN7" s="612"/>
      <c r="DO7" s="612"/>
      <c r="DP7" s="612"/>
      <c r="DQ7" s="612"/>
      <c r="DR7" s="612"/>
      <c r="DS7" s="612"/>
      <c r="DT7" s="612"/>
      <c r="DU7" s="612"/>
      <c r="DV7" s="612"/>
      <c r="DW7" s="612"/>
      <c r="DX7" s="612"/>
      <c r="DY7" s="612"/>
      <c r="DZ7" s="612"/>
      <c r="EA7" s="612"/>
      <c r="EB7" s="612"/>
      <c r="EC7" s="612"/>
      <c r="ED7" s="612"/>
      <c r="EE7" s="612"/>
      <c r="EF7" s="612"/>
      <c r="EG7" s="612"/>
      <c r="EH7" s="612"/>
      <c r="EI7" s="612"/>
      <c r="EJ7" s="612"/>
      <c r="EK7" s="612"/>
      <c r="EL7" s="612"/>
      <c r="EM7" s="612"/>
      <c r="EN7" s="612"/>
      <c r="EO7" s="612"/>
      <c r="EP7" s="612"/>
      <c r="EQ7" s="612"/>
      <c r="ER7" s="612"/>
      <c r="ES7" s="612"/>
      <c r="ET7" s="612"/>
      <c r="EU7" s="612"/>
      <c r="EV7" s="612"/>
      <c r="EW7" s="612"/>
      <c r="EX7" s="612"/>
      <c r="EY7" s="612"/>
      <c r="EZ7" s="612"/>
      <c r="FA7" s="612"/>
      <c r="FB7" s="612"/>
      <c r="FC7" s="612"/>
      <c r="FD7" s="612"/>
      <c r="FE7" s="612"/>
      <c r="FF7" s="612"/>
      <c r="FG7" s="612"/>
      <c r="FH7" s="612"/>
      <c r="FI7" s="612"/>
      <c r="FJ7" s="612"/>
      <c r="FK7" s="612"/>
      <c r="FL7" s="612"/>
      <c r="FM7" s="612"/>
      <c r="FN7" s="612"/>
      <c r="FO7" s="612"/>
      <c r="FP7" s="612"/>
      <c r="FQ7" s="612"/>
      <c r="FR7" s="612"/>
      <c r="FS7" s="612"/>
      <c r="FT7" s="612"/>
      <c r="FU7" s="612"/>
      <c r="FV7" s="612"/>
      <c r="FW7" s="612"/>
      <c r="FX7" s="612"/>
      <c r="FY7" s="612"/>
      <c r="FZ7" s="612"/>
      <c r="GA7" s="612"/>
      <c r="GB7" s="612"/>
      <c r="GC7" s="612"/>
      <c r="GD7" s="612"/>
      <c r="GE7" s="612"/>
      <c r="GF7" s="612"/>
      <c r="GG7" s="612"/>
      <c r="GH7" s="612"/>
      <c r="GI7" s="612"/>
      <c r="GJ7" s="612"/>
      <c r="GK7" s="612"/>
      <c r="GL7" s="612"/>
      <c r="GM7" s="612"/>
      <c r="GN7" s="612"/>
      <c r="GO7" s="612"/>
      <c r="GP7" s="612"/>
      <c r="GQ7" s="612"/>
      <c r="GR7" s="612"/>
      <c r="GS7" s="612"/>
      <c r="GT7" s="612"/>
      <c r="GU7" s="612"/>
      <c r="GV7" s="612"/>
      <c r="GW7" s="612"/>
      <c r="GX7" s="612"/>
      <c r="GY7" s="612"/>
      <c r="GZ7" s="612"/>
      <c r="HA7" s="612"/>
      <c r="HB7" s="612"/>
      <c r="HC7" s="612"/>
      <c r="HD7" s="612"/>
      <c r="HE7" s="612"/>
      <c r="HF7" s="612"/>
      <c r="HG7" s="612"/>
      <c r="HH7" s="612"/>
      <c r="HI7" s="612"/>
      <c r="HJ7" s="612"/>
      <c r="HK7" s="612"/>
      <c r="HL7" s="612"/>
      <c r="HM7" s="612"/>
      <c r="HN7" s="612"/>
      <c r="HO7" s="612"/>
      <c r="HP7" s="612"/>
      <c r="HQ7" s="612"/>
      <c r="HR7" s="612"/>
      <c r="HS7" s="612"/>
      <c r="HT7" s="612"/>
      <c r="HU7" s="612"/>
      <c r="HV7" s="612"/>
      <c r="HW7" s="612"/>
      <c r="HX7" s="612"/>
      <c r="HY7" s="612"/>
      <c r="HZ7" s="612"/>
      <c r="IA7" s="612"/>
      <c r="IB7" s="612"/>
      <c r="IC7" s="612"/>
      <c r="ID7" s="612"/>
      <c r="IE7" s="612"/>
      <c r="IF7" s="612"/>
      <c r="IG7" s="612"/>
      <c r="IH7" s="612"/>
      <c r="II7" s="612"/>
      <c r="IJ7" s="612"/>
      <c r="IK7" s="612"/>
      <c r="IL7" s="612"/>
      <c r="IM7" s="612"/>
      <c r="IN7" s="612"/>
      <c r="IO7" s="612"/>
      <c r="IP7" s="612"/>
      <c r="IQ7" s="612"/>
      <c r="IR7" s="612"/>
      <c r="IS7" s="612"/>
      <c r="IT7" s="612"/>
      <c r="IU7" s="612"/>
      <c r="IV7" s="612"/>
      <c r="IW7" s="612"/>
    </row>
    <row r="8" customFormat="false" ht="12.6" hidden="false" customHeight="true" outlineLevel="0" collapsed="false">
      <c r="A8" s="612"/>
      <c r="B8" s="606"/>
      <c r="C8" s="410"/>
      <c r="D8" s="380"/>
      <c r="E8" s="380"/>
      <c r="F8" s="380"/>
      <c r="G8" s="380"/>
      <c r="H8" s="380"/>
      <c r="I8" s="380"/>
      <c r="J8" s="380"/>
      <c r="K8" s="380"/>
      <c r="L8" s="380"/>
      <c r="M8" s="380"/>
      <c r="N8" s="380"/>
      <c r="O8" s="380"/>
      <c r="P8" s="380"/>
      <c r="Q8" s="380"/>
      <c r="R8" s="380"/>
      <c r="S8" s="380"/>
      <c r="T8" s="380"/>
      <c r="U8" s="380"/>
      <c r="V8" s="380"/>
      <c r="W8" s="380"/>
      <c r="X8" s="380"/>
      <c r="Y8" s="380"/>
      <c r="Z8" s="380"/>
      <c r="AA8" s="380"/>
      <c r="AB8" s="380"/>
      <c r="AC8" s="612"/>
      <c r="AD8" s="639"/>
      <c r="AF8" s="612"/>
      <c r="AG8" s="612"/>
      <c r="AH8" s="612"/>
      <c r="AI8" s="612"/>
      <c r="AJ8" s="612"/>
      <c r="AK8" s="612"/>
      <c r="AL8" s="612"/>
      <c r="AM8" s="612"/>
      <c r="AN8" s="612"/>
      <c r="AO8" s="612"/>
      <c r="AP8" s="612"/>
      <c r="AQ8" s="612"/>
      <c r="AR8" s="612"/>
      <c r="AS8" s="612"/>
      <c r="AT8" s="612"/>
      <c r="AU8" s="612"/>
      <c r="AV8" s="612"/>
      <c r="AW8" s="612"/>
      <c r="AX8" s="612"/>
      <c r="AY8" s="612"/>
      <c r="AZ8" s="612"/>
      <c r="BA8" s="612"/>
      <c r="BB8" s="612"/>
      <c r="BC8" s="612"/>
      <c r="BD8" s="612"/>
      <c r="BE8" s="612"/>
      <c r="BF8" s="612"/>
      <c r="BG8" s="612"/>
      <c r="BH8" s="612"/>
      <c r="BI8" s="612"/>
      <c r="BJ8" s="612"/>
      <c r="BK8" s="612"/>
      <c r="BL8" s="612"/>
      <c r="BM8" s="612"/>
      <c r="BN8" s="612"/>
      <c r="BO8" s="612"/>
      <c r="BP8" s="612"/>
      <c r="BQ8" s="612"/>
      <c r="BR8" s="612"/>
      <c r="BS8" s="612"/>
      <c r="BT8" s="612"/>
      <c r="BU8" s="612"/>
      <c r="BV8" s="612"/>
      <c r="BW8" s="612"/>
      <c r="BX8" s="612"/>
      <c r="BY8" s="612"/>
      <c r="BZ8" s="612"/>
      <c r="CA8" s="612"/>
      <c r="CB8" s="612"/>
      <c r="CC8" s="612"/>
      <c r="CD8" s="612"/>
      <c r="CE8" s="612"/>
      <c r="CF8" s="612"/>
      <c r="CG8" s="612"/>
      <c r="CH8" s="612"/>
      <c r="CI8" s="612"/>
      <c r="CJ8" s="612"/>
      <c r="CK8" s="612"/>
      <c r="CL8" s="612"/>
      <c r="CM8" s="612"/>
      <c r="CN8" s="612"/>
      <c r="CO8" s="612"/>
      <c r="CP8" s="612"/>
      <c r="CQ8" s="612"/>
      <c r="CR8" s="612"/>
      <c r="CS8" s="612"/>
      <c r="CT8" s="612"/>
      <c r="CU8" s="612"/>
      <c r="CV8" s="612"/>
      <c r="CW8" s="612"/>
      <c r="CX8" s="612"/>
      <c r="CY8" s="612"/>
      <c r="CZ8" s="612"/>
      <c r="DA8" s="612"/>
      <c r="DB8" s="612"/>
      <c r="DC8" s="612"/>
      <c r="DD8" s="612"/>
      <c r="DE8" s="612"/>
      <c r="DF8" s="612"/>
      <c r="DG8" s="612"/>
      <c r="DH8" s="612"/>
      <c r="DI8" s="612"/>
      <c r="DJ8" s="612"/>
      <c r="DK8" s="612"/>
      <c r="DL8" s="612"/>
      <c r="DM8" s="612"/>
      <c r="DN8" s="612"/>
      <c r="DO8" s="612"/>
      <c r="DP8" s="612"/>
      <c r="DQ8" s="612"/>
      <c r="DR8" s="612"/>
      <c r="DS8" s="612"/>
      <c r="DT8" s="612"/>
      <c r="DU8" s="612"/>
      <c r="DV8" s="612"/>
      <c r="DW8" s="612"/>
      <c r="DX8" s="612"/>
      <c r="DY8" s="612"/>
      <c r="DZ8" s="612"/>
      <c r="EA8" s="612"/>
      <c r="EB8" s="612"/>
      <c r="EC8" s="612"/>
      <c r="ED8" s="612"/>
      <c r="EE8" s="612"/>
      <c r="EF8" s="612"/>
      <c r="EG8" s="612"/>
      <c r="EH8" s="612"/>
      <c r="EI8" s="612"/>
      <c r="EJ8" s="612"/>
      <c r="EK8" s="612"/>
      <c r="EL8" s="612"/>
      <c r="EM8" s="612"/>
      <c r="EN8" s="612"/>
      <c r="EO8" s="612"/>
      <c r="EP8" s="612"/>
      <c r="EQ8" s="612"/>
      <c r="ER8" s="612"/>
      <c r="ES8" s="612"/>
      <c r="ET8" s="612"/>
      <c r="EU8" s="612"/>
      <c r="EV8" s="612"/>
      <c r="EW8" s="612"/>
      <c r="EX8" s="612"/>
      <c r="EY8" s="612"/>
      <c r="EZ8" s="612"/>
      <c r="FA8" s="612"/>
      <c r="FB8" s="612"/>
      <c r="FC8" s="612"/>
      <c r="FD8" s="612"/>
      <c r="FE8" s="612"/>
      <c r="FF8" s="612"/>
      <c r="FG8" s="612"/>
      <c r="FH8" s="612"/>
      <c r="FI8" s="612"/>
      <c r="FJ8" s="612"/>
      <c r="FK8" s="612"/>
      <c r="FL8" s="612"/>
      <c r="FM8" s="612"/>
      <c r="FN8" s="612"/>
      <c r="FO8" s="612"/>
      <c r="FP8" s="612"/>
      <c r="FQ8" s="612"/>
      <c r="FR8" s="612"/>
      <c r="FS8" s="612"/>
      <c r="FT8" s="612"/>
      <c r="FU8" s="612"/>
      <c r="FV8" s="612"/>
      <c r="FW8" s="612"/>
      <c r="FX8" s="612"/>
      <c r="FY8" s="612"/>
      <c r="FZ8" s="612"/>
      <c r="GA8" s="612"/>
      <c r="GB8" s="612"/>
      <c r="GC8" s="612"/>
      <c r="GD8" s="612"/>
      <c r="GE8" s="612"/>
      <c r="GF8" s="612"/>
      <c r="GG8" s="612"/>
      <c r="GH8" s="612"/>
      <c r="GI8" s="612"/>
      <c r="GJ8" s="612"/>
      <c r="GK8" s="612"/>
      <c r="GL8" s="612"/>
      <c r="GM8" s="612"/>
      <c r="GN8" s="612"/>
      <c r="GO8" s="612"/>
      <c r="GP8" s="612"/>
      <c r="GQ8" s="612"/>
      <c r="GR8" s="612"/>
      <c r="GS8" s="612"/>
      <c r="GT8" s="612"/>
      <c r="GU8" s="612"/>
      <c r="GV8" s="612"/>
      <c r="GW8" s="612"/>
      <c r="GX8" s="612"/>
      <c r="GY8" s="612"/>
      <c r="GZ8" s="612"/>
      <c r="HA8" s="612"/>
      <c r="HB8" s="612"/>
      <c r="HC8" s="612"/>
      <c r="HD8" s="612"/>
      <c r="HE8" s="612"/>
      <c r="HF8" s="612"/>
      <c r="HG8" s="612"/>
      <c r="HH8" s="612"/>
      <c r="HI8" s="612"/>
      <c r="HJ8" s="612"/>
      <c r="HK8" s="612"/>
      <c r="HL8" s="612"/>
      <c r="HM8" s="612"/>
      <c r="HN8" s="612"/>
      <c r="HO8" s="612"/>
      <c r="HP8" s="612"/>
      <c r="HQ8" s="612"/>
      <c r="HR8" s="612"/>
      <c r="HS8" s="612"/>
      <c r="HT8" s="612"/>
      <c r="HU8" s="612"/>
      <c r="HV8" s="612"/>
      <c r="HW8" s="612"/>
      <c r="HX8" s="612"/>
      <c r="HY8" s="612"/>
      <c r="HZ8" s="612"/>
      <c r="IA8" s="612"/>
      <c r="IB8" s="612"/>
      <c r="IC8" s="612"/>
      <c r="ID8" s="612"/>
      <c r="IE8" s="612"/>
      <c r="IF8" s="612"/>
      <c r="IG8" s="612"/>
      <c r="IH8" s="612"/>
      <c r="II8" s="612"/>
      <c r="IJ8" s="612"/>
      <c r="IK8" s="612"/>
      <c r="IL8" s="612"/>
      <c r="IM8" s="612"/>
      <c r="IN8" s="612"/>
      <c r="IO8" s="612"/>
      <c r="IP8" s="612"/>
      <c r="IQ8" s="612"/>
      <c r="IR8" s="612"/>
      <c r="IS8" s="612"/>
      <c r="IT8" s="612"/>
      <c r="IU8" s="612"/>
      <c r="IV8" s="612"/>
      <c r="IW8" s="612"/>
    </row>
    <row r="9" customFormat="false" ht="12.6" hidden="false" customHeight="true" outlineLevel="0" collapsed="false">
      <c r="A9" s="612"/>
      <c r="B9" s="646" t="s">
        <v>490</v>
      </c>
      <c r="C9" s="647"/>
      <c r="D9" s="485"/>
      <c r="E9" s="485"/>
      <c r="F9" s="648"/>
      <c r="G9" s="648"/>
      <c r="H9" s="648"/>
      <c r="I9" s="648"/>
      <c r="J9" s="648"/>
      <c r="K9" s="648"/>
      <c r="L9" s="648"/>
      <c r="M9" s="648"/>
      <c r="N9" s="648"/>
      <c r="O9" s="648"/>
      <c r="P9" s="648"/>
      <c r="Q9" s="648"/>
      <c r="R9" s="648"/>
      <c r="S9" s="648"/>
      <c r="T9" s="648"/>
      <c r="U9" s="648"/>
      <c r="V9" s="648"/>
      <c r="W9" s="648"/>
      <c r="X9" s="648"/>
      <c r="Y9" s="648"/>
      <c r="Z9" s="648"/>
      <c r="AA9" s="648"/>
      <c r="AB9" s="649"/>
      <c r="AC9" s="612"/>
      <c r="AD9" s="639"/>
      <c r="AF9" s="612"/>
      <c r="AG9" s="612"/>
      <c r="AH9" s="612"/>
      <c r="AI9" s="612"/>
      <c r="AJ9" s="612"/>
      <c r="AK9" s="612"/>
      <c r="AL9" s="612"/>
      <c r="AM9" s="612"/>
      <c r="AN9" s="612"/>
      <c r="AO9" s="612"/>
      <c r="AP9" s="612"/>
      <c r="AQ9" s="612"/>
      <c r="AR9" s="612"/>
      <c r="AS9" s="612"/>
      <c r="AT9" s="612"/>
      <c r="AU9" s="612"/>
      <c r="AV9" s="612"/>
      <c r="AW9" s="612"/>
      <c r="AX9" s="612"/>
      <c r="AY9" s="612"/>
      <c r="AZ9" s="612"/>
      <c r="BA9" s="612"/>
      <c r="BB9" s="612"/>
      <c r="BC9" s="612"/>
      <c r="BD9" s="612"/>
      <c r="BE9" s="612"/>
      <c r="BF9" s="612"/>
      <c r="BG9" s="612"/>
      <c r="BH9" s="612"/>
      <c r="BI9" s="612"/>
      <c r="BJ9" s="612"/>
      <c r="BK9" s="612"/>
      <c r="BL9" s="612"/>
      <c r="BM9" s="612"/>
      <c r="BN9" s="612"/>
      <c r="BO9" s="612"/>
      <c r="BP9" s="612"/>
      <c r="BQ9" s="612"/>
      <c r="BR9" s="612"/>
      <c r="BS9" s="612"/>
      <c r="BT9" s="612"/>
      <c r="BU9" s="612"/>
      <c r="BV9" s="612"/>
      <c r="BW9" s="612"/>
      <c r="BX9" s="612"/>
      <c r="BY9" s="612"/>
      <c r="BZ9" s="612"/>
      <c r="CA9" s="612"/>
      <c r="CB9" s="612"/>
      <c r="CC9" s="612"/>
      <c r="CD9" s="612"/>
      <c r="CE9" s="612"/>
      <c r="CF9" s="612"/>
      <c r="CG9" s="612"/>
      <c r="CH9" s="612"/>
      <c r="CI9" s="612"/>
      <c r="CJ9" s="612"/>
      <c r="CK9" s="612"/>
      <c r="CL9" s="612"/>
      <c r="CM9" s="612"/>
      <c r="CN9" s="612"/>
      <c r="CO9" s="612"/>
      <c r="CP9" s="612"/>
      <c r="CQ9" s="612"/>
      <c r="CR9" s="612"/>
      <c r="CS9" s="612"/>
      <c r="CT9" s="612"/>
      <c r="CU9" s="612"/>
      <c r="CV9" s="612"/>
      <c r="CW9" s="612"/>
      <c r="CX9" s="612"/>
      <c r="CY9" s="612"/>
      <c r="CZ9" s="612"/>
      <c r="DA9" s="612"/>
      <c r="DB9" s="612"/>
      <c r="DC9" s="612"/>
      <c r="DD9" s="612"/>
      <c r="DE9" s="612"/>
      <c r="DF9" s="612"/>
      <c r="DG9" s="612"/>
      <c r="DH9" s="612"/>
      <c r="DI9" s="612"/>
      <c r="DJ9" s="612"/>
      <c r="DK9" s="612"/>
      <c r="DL9" s="612"/>
      <c r="DM9" s="612"/>
      <c r="DN9" s="612"/>
      <c r="DO9" s="612"/>
      <c r="DP9" s="612"/>
      <c r="DQ9" s="612"/>
      <c r="DR9" s="612"/>
      <c r="DS9" s="612"/>
      <c r="DT9" s="612"/>
      <c r="DU9" s="612"/>
      <c r="DV9" s="612"/>
      <c r="DW9" s="612"/>
      <c r="DX9" s="612"/>
      <c r="DY9" s="612"/>
      <c r="DZ9" s="612"/>
      <c r="EA9" s="612"/>
      <c r="EB9" s="612"/>
      <c r="EC9" s="612"/>
      <c r="ED9" s="612"/>
      <c r="EE9" s="612"/>
      <c r="EF9" s="612"/>
      <c r="EG9" s="612"/>
      <c r="EH9" s="612"/>
      <c r="EI9" s="612"/>
      <c r="EJ9" s="612"/>
      <c r="EK9" s="612"/>
      <c r="EL9" s="612"/>
      <c r="EM9" s="612"/>
      <c r="EN9" s="612"/>
      <c r="EO9" s="612"/>
      <c r="EP9" s="612"/>
      <c r="EQ9" s="612"/>
      <c r="ER9" s="612"/>
      <c r="ES9" s="612"/>
      <c r="ET9" s="612"/>
      <c r="EU9" s="612"/>
      <c r="EV9" s="612"/>
      <c r="EW9" s="612"/>
      <c r="EX9" s="612"/>
      <c r="EY9" s="612"/>
      <c r="EZ9" s="612"/>
      <c r="FA9" s="612"/>
      <c r="FB9" s="612"/>
      <c r="FC9" s="612"/>
      <c r="FD9" s="612"/>
      <c r="FE9" s="612"/>
      <c r="FF9" s="612"/>
      <c r="FG9" s="612"/>
      <c r="FH9" s="612"/>
      <c r="FI9" s="612"/>
      <c r="FJ9" s="612"/>
      <c r="FK9" s="612"/>
      <c r="FL9" s="612"/>
      <c r="FM9" s="612"/>
      <c r="FN9" s="612"/>
      <c r="FO9" s="612"/>
      <c r="FP9" s="612"/>
      <c r="FQ9" s="612"/>
      <c r="FR9" s="612"/>
      <c r="FS9" s="612"/>
      <c r="FT9" s="612"/>
      <c r="FU9" s="612"/>
      <c r="FV9" s="612"/>
      <c r="FW9" s="612"/>
      <c r="FX9" s="612"/>
      <c r="FY9" s="612"/>
      <c r="FZ9" s="612"/>
      <c r="GA9" s="612"/>
      <c r="GB9" s="612"/>
      <c r="GC9" s="612"/>
      <c r="GD9" s="612"/>
      <c r="GE9" s="612"/>
      <c r="GF9" s="612"/>
      <c r="GG9" s="612"/>
      <c r="GH9" s="612"/>
      <c r="GI9" s="612"/>
      <c r="GJ9" s="612"/>
      <c r="GK9" s="612"/>
      <c r="GL9" s="612"/>
      <c r="GM9" s="612"/>
      <c r="GN9" s="612"/>
      <c r="GO9" s="612"/>
      <c r="GP9" s="612"/>
      <c r="GQ9" s="612"/>
      <c r="GR9" s="612"/>
      <c r="GS9" s="612"/>
      <c r="GT9" s="612"/>
      <c r="GU9" s="612"/>
      <c r="GV9" s="612"/>
      <c r="GW9" s="612"/>
      <c r="GX9" s="612"/>
      <c r="GY9" s="612"/>
      <c r="GZ9" s="612"/>
      <c r="HA9" s="612"/>
      <c r="HB9" s="612"/>
      <c r="HC9" s="612"/>
      <c r="HD9" s="612"/>
      <c r="HE9" s="612"/>
      <c r="HF9" s="612"/>
      <c r="HG9" s="612"/>
      <c r="HH9" s="612"/>
      <c r="HI9" s="612"/>
      <c r="HJ9" s="612"/>
      <c r="HK9" s="612"/>
      <c r="HL9" s="612"/>
      <c r="HM9" s="612"/>
      <c r="HN9" s="612"/>
      <c r="HO9" s="612"/>
      <c r="HP9" s="612"/>
      <c r="HQ9" s="612"/>
      <c r="HR9" s="612"/>
      <c r="HS9" s="612"/>
      <c r="HT9" s="612"/>
      <c r="HU9" s="612"/>
      <c r="HV9" s="612"/>
      <c r="HW9" s="612"/>
      <c r="HX9" s="612"/>
      <c r="HY9" s="612"/>
      <c r="HZ9" s="612"/>
      <c r="IA9" s="612"/>
      <c r="IB9" s="612"/>
      <c r="IC9" s="612"/>
      <c r="ID9" s="612"/>
      <c r="IE9" s="612"/>
      <c r="IF9" s="612"/>
      <c r="IG9" s="612"/>
      <c r="IH9" s="612"/>
      <c r="II9" s="612"/>
      <c r="IJ9" s="612"/>
      <c r="IK9" s="612"/>
      <c r="IL9" s="612"/>
      <c r="IM9" s="612"/>
      <c r="IN9" s="612"/>
      <c r="IO9" s="612"/>
      <c r="IP9" s="612"/>
      <c r="IQ9" s="612"/>
      <c r="IR9" s="612"/>
      <c r="IS9" s="612"/>
      <c r="IT9" s="612"/>
      <c r="IU9" s="612"/>
      <c r="IV9" s="612"/>
      <c r="IW9" s="612"/>
    </row>
    <row r="10" customFormat="false" ht="12.6" hidden="false" customHeight="true" outlineLevel="0" collapsed="false">
      <c r="A10" s="612"/>
      <c r="B10" s="409" t="s">
        <v>491</v>
      </c>
      <c r="D10" s="431" t="n">
        <f aca="false">(Operations!C25+Operations!C27)*'PPA Assumptions &amp;Summary'!C11/1000</f>
        <v>9652.0375</v>
      </c>
      <c r="E10" s="431" t="n">
        <f aca="false">(Operations!D25+Operations!D27)*'PPA Assumptions &amp;Summary'!D11/1000</f>
        <v>16546.35</v>
      </c>
      <c r="F10" s="431" t="n">
        <f aca="false">(Operations!E25+Operations!E27)*'PPA Assumptions &amp;Summary'!E11/1000</f>
        <v>16546.35</v>
      </c>
      <c r="G10" s="431" t="n">
        <f aca="false">(Operations!F25+Operations!F27)*'PPA Assumptions &amp;Summary'!F11/1000</f>
        <v>17337.2126247083</v>
      </c>
      <c r="H10" s="431" t="n">
        <f aca="false">(Operations!G25+Operations!G27)*'PPA Assumptions &amp;Summary'!G11/1000</f>
        <v>17754.16314</v>
      </c>
      <c r="I10" s="431" t="n">
        <f aca="false">(Operations!H25+Operations!H27)*'PPA Assumptions &amp;Summary'!H11/1000</f>
        <v>17754.16314</v>
      </c>
      <c r="J10" s="431" t="n">
        <f aca="false">(Operations!I25+Operations!I27)*'PPA Assumptions &amp;Summary'!I11/1000</f>
        <v>17754.16314</v>
      </c>
      <c r="K10" s="431" t="n">
        <f aca="false">(Operations!J25+Operations!J27)*'PPA Assumptions &amp;Summary'!J11/1000</f>
        <v>17754.16314</v>
      </c>
      <c r="L10" s="431" t="n">
        <f aca="false">(Operations!K25+Operations!K27)*'PPA Assumptions &amp;Summary'!K11/1000</f>
        <v>17754.16314</v>
      </c>
      <c r="M10" s="431" t="n">
        <f aca="false">(Operations!L25+Operations!L27)*'PPA Assumptions &amp;Summary'!L11/1000</f>
        <v>17754.16314</v>
      </c>
      <c r="N10" s="431" t="n">
        <f aca="false">(Operations!M25+Operations!M27)*'PPA Assumptions &amp;Summary'!M11/1000</f>
        <v>17754.16314</v>
      </c>
      <c r="O10" s="431" t="n">
        <f aca="false">(Operations!N25+Operations!N27)*'PPA Assumptions &amp;Summary'!N11/1000</f>
        <v>17754.16314</v>
      </c>
      <c r="P10" s="431" t="n">
        <f aca="false">(Operations!O25+Operations!O27)*'PPA Assumptions &amp;Summary'!O11/1000</f>
        <v>17754.16314</v>
      </c>
      <c r="Q10" s="431" t="n">
        <f aca="false">(Operations!P25+Operations!P27)*'PPA Assumptions &amp;Summary'!P11/1000</f>
        <v>17754.16314</v>
      </c>
      <c r="R10" s="431" t="n">
        <f aca="false">(Operations!Q25+Operations!Q27)*'PPA Assumptions &amp;Summary'!Q11/1000</f>
        <v>17754.16314</v>
      </c>
      <c r="S10" s="431" t="n">
        <f aca="false">(Operations!R25+Operations!R27)*'PPA Assumptions &amp;Summary'!R11/1000</f>
        <v>17754.16314</v>
      </c>
      <c r="T10" s="431" t="n">
        <f aca="false">(Operations!S25+Operations!S27)*'PPA Assumptions &amp;Summary'!S11/1000</f>
        <v>17754.16314</v>
      </c>
      <c r="U10" s="431" t="n">
        <f aca="false">(Operations!T25+Operations!T27)*'PPA Assumptions &amp;Summary'!T11/1000</f>
        <v>17754.16314</v>
      </c>
      <c r="V10" s="431" t="n">
        <f aca="false">(Operations!U25+Operations!U27)*'PPA Assumptions &amp;Summary'!U11/1000</f>
        <v>17754.16314</v>
      </c>
      <c r="W10" s="431" t="n">
        <f aca="false">(Operations!V25+Operations!V27)*'PPA Assumptions &amp;Summary'!V11/1000</f>
        <v>17754.16314</v>
      </c>
      <c r="X10" s="431" t="n">
        <f aca="false">(Operations!W25+Operations!W27)*'PPA Assumptions &amp;Summary'!W11/1000</f>
        <v>17754.16314</v>
      </c>
      <c r="Y10" s="431" t="n">
        <f aca="false">(Operations!X25+Operations!X27)*'PPA Assumptions &amp;Summary'!X11/1000</f>
        <v>0</v>
      </c>
      <c r="Z10" s="431" t="n">
        <f aca="false">(Operations!Y25+Operations!Y27)*'PPA Assumptions &amp;Summary'!Y11/1000</f>
        <v>0</v>
      </c>
      <c r="AA10" s="431" t="n">
        <f aca="false">(Operations!Z25+Operations!Z27)*'PPA Assumptions &amp;Summary'!Z11/1000</f>
        <v>0</v>
      </c>
      <c r="AB10" s="432" t="n">
        <f aca="false">(Operations!AA25+Operations!AA27)*'PPA Assumptions &amp;Summary'!AA11/1000</f>
        <v>0</v>
      </c>
      <c r="AC10" s="612"/>
      <c r="AD10" s="639"/>
      <c r="AF10" s="612"/>
      <c r="AG10" s="612"/>
      <c r="AH10" s="612"/>
      <c r="AI10" s="612"/>
      <c r="AJ10" s="612"/>
      <c r="AK10" s="612"/>
      <c r="AL10" s="612"/>
      <c r="AM10" s="612"/>
      <c r="AN10" s="612"/>
      <c r="AO10" s="612"/>
      <c r="AP10" s="612"/>
      <c r="AQ10" s="612"/>
      <c r="AR10" s="612"/>
      <c r="AS10" s="612"/>
      <c r="AT10" s="612"/>
      <c r="AU10" s="612"/>
      <c r="AV10" s="612"/>
      <c r="AW10" s="612"/>
      <c r="AX10" s="612"/>
      <c r="AY10" s="612"/>
      <c r="AZ10" s="612"/>
      <c r="BA10" s="612"/>
      <c r="BB10" s="612"/>
      <c r="BC10" s="612"/>
      <c r="BD10" s="612"/>
      <c r="BE10" s="612"/>
      <c r="BF10" s="612"/>
      <c r="BG10" s="612"/>
      <c r="BH10" s="612"/>
      <c r="BI10" s="612"/>
      <c r="BJ10" s="612"/>
      <c r="BK10" s="612"/>
      <c r="BL10" s="612"/>
      <c r="BM10" s="612"/>
      <c r="BN10" s="612"/>
      <c r="BO10" s="612"/>
      <c r="BP10" s="612"/>
      <c r="BQ10" s="612"/>
      <c r="BR10" s="612"/>
      <c r="BS10" s="612"/>
      <c r="BT10" s="612"/>
      <c r="BU10" s="612"/>
      <c r="BV10" s="612"/>
      <c r="BW10" s="612"/>
      <c r="BX10" s="612"/>
      <c r="BY10" s="612"/>
      <c r="BZ10" s="612"/>
      <c r="CA10" s="612"/>
      <c r="CB10" s="612"/>
      <c r="CC10" s="612"/>
      <c r="CD10" s="612"/>
      <c r="CE10" s="612"/>
      <c r="CF10" s="612"/>
      <c r="CG10" s="612"/>
      <c r="CH10" s="612"/>
      <c r="CI10" s="612"/>
      <c r="CJ10" s="612"/>
      <c r="CK10" s="612"/>
      <c r="CL10" s="612"/>
      <c r="CM10" s="612"/>
      <c r="CN10" s="612"/>
      <c r="CO10" s="612"/>
      <c r="CP10" s="612"/>
      <c r="CQ10" s="612"/>
      <c r="CR10" s="612"/>
      <c r="CS10" s="612"/>
      <c r="CT10" s="612"/>
      <c r="CU10" s="612"/>
      <c r="CV10" s="612"/>
      <c r="CW10" s="612"/>
      <c r="CX10" s="612"/>
      <c r="CY10" s="612"/>
      <c r="CZ10" s="612"/>
      <c r="DA10" s="612"/>
      <c r="DB10" s="612"/>
      <c r="DC10" s="612"/>
      <c r="DD10" s="612"/>
      <c r="DE10" s="612"/>
      <c r="DF10" s="612"/>
      <c r="DG10" s="612"/>
      <c r="DH10" s="612"/>
      <c r="DI10" s="612"/>
      <c r="DJ10" s="612"/>
      <c r="DK10" s="612"/>
      <c r="DL10" s="612"/>
      <c r="DM10" s="612"/>
      <c r="DN10" s="612"/>
      <c r="DO10" s="612"/>
      <c r="DP10" s="612"/>
      <c r="DQ10" s="612"/>
      <c r="DR10" s="612"/>
      <c r="DS10" s="612"/>
      <c r="DT10" s="612"/>
      <c r="DU10" s="612"/>
      <c r="DV10" s="612"/>
      <c r="DW10" s="612"/>
      <c r="DX10" s="612"/>
      <c r="DY10" s="612"/>
      <c r="DZ10" s="612"/>
      <c r="EA10" s="612"/>
      <c r="EB10" s="612"/>
      <c r="EC10" s="612"/>
      <c r="ED10" s="612"/>
      <c r="EE10" s="612"/>
      <c r="EF10" s="612"/>
      <c r="EG10" s="612"/>
      <c r="EH10" s="612"/>
      <c r="EI10" s="612"/>
      <c r="EJ10" s="612"/>
      <c r="EK10" s="612"/>
      <c r="EL10" s="612"/>
      <c r="EM10" s="612"/>
      <c r="EN10" s="612"/>
      <c r="EO10" s="612"/>
      <c r="EP10" s="612"/>
      <c r="EQ10" s="612"/>
      <c r="ER10" s="612"/>
      <c r="ES10" s="612"/>
      <c r="ET10" s="612"/>
      <c r="EU10" s="612"/>
      <c r="EV10" s="612"/>
      <c r="EW10" s="612"/>
      <c r="EX10" s="612"/>
      <c r="EY10" s="612"/>
      <c r="EZ10" s="612"/>
      <c r="FA10" s="612"/>
      <c r="FB10" s="612"/>
      <c r="FC10" s="612"/>
      <c r="FD10" s="612"/>
      <c r="FE10" s="612"/>
      <c r="FF10" s="612"/>
      <c r="FG10" s="612"/>
      <c r="FH10" s="612"/>
      <c r="FI10" s="612"/>
      <c r="FJ10" s="612"/>
      <c r="FK10" s="612"/>
      <c r="FL10" s="612"/>
      <c r="FM10" s="612"/>
      <c r="FN10" s="612"/>
      <c r="FO10" s="612"/>
      <c r="FP10" s="612"/>
      <c r="FQ10" s="612"/>
      <c r="FR10" s="612"/>
      <c r="FS10" s="612"/>
      <c r="FT10" s="612"/>
      <c r="FU10" s="612"/>
      <c r="FV10" s="612"/>
      <c r="FW10" s="612"/>
      <c r="FX10" s="612"/>
      <c r="FY10" s="612"/>
      <c r="FZ10" s="612"/>
      <c r="GA10" s="612"/>
      <c r="GB10" s="612"/>
      <c r="GC10" s="612"/>
      <c r="GD10" s="612"/>
      <c r="GE10" s="612"/>
      <c r="GF10" s="612"/>
      <c r="GG10" s="612"/>
      <c r="GH10" s="612"/>
      <c r="GI10" s="612"/>
      <c r="GJ10" s="612"/>
      <c r="GK10" s="612"/>
      <c r="GL10" s="612"/>
      <c r="GM10" s="612"/>
      <c r="GN10" s="612"/>
      <c r="GO10" s="612"/>
      <c r="GP10" s="612"/>
      <c r="GQ10" s="612"/>
      <c r="GR10" s="612"/>
      <c r="GS10" s="612"/>
      <c r="GT10" s="612"/>
      <c r="GU10" s="612"/>
      <c r="GV10" s="612"/>
      <c r="GW10" s="612"/>
      <c r="GX10" s="612"/>
      <c r="GY10" s="612"/>
      <c r="GZ10" s="612"/>
      <c r="HA10" s="612"/>
      <c r="HB10" s="612"/>
      <c r="HC10" s="612"/>
      <c r="HD10" s="612"/>
      <c r="HE10" s="612"/>
      <c r="HF10" s="612"/>
      <c r="HG10" s="612"/>
      <c r="HH10" s="612"/>
      <c r="HI10" s="612"/>
      <c r="HJ10" s="612"/>
      <c r="HK10" s="612"/>
      <c r="HL10" s="612"/>
      <c r="HM10" s="612"/>
      <c r="HN10" s="612"/>
      <c r="HO10" s="612"/>
      <c r="HP10" s="612"/>
      <c r="HQ10" s="612"/>
      <c r="HR10" s="612"/>
      <c r="HS10" s="612"/>
      <c r="HT10" s="612"/>
      <c r="HU10" s="612"/>
      <c r="HV10" s="612"/>
      <c r="HW10" s="612"/>
      <c r="HX10" s="612"/>
      <c r="HY10" s="612"/>
      <c r="HZ10" s="612"/>
      <c r="IA10" s="612"/>
      <c r="IB10" s="612"/>
      <c r="IC10" s="612"/>
      <c r="ID10" s="612"/>
      <c r="IE10" s="612"/>
      <c r="IF10" s="612"/>
      <c r="IG10" s="612"/>
      <c r="IH10" s="612"/>
      <c r="II10" s="612"/>
      <c r="IJ10" s="612"/>
      <c r="IK10" s="612"/>
      <c r="IL10" s="612"/>
      <c r="IM10" s="612"/>
      <c r="IN10" s="612"/>
      <c r="IO10" s="612"/>
      <c r="IP10" s="612"/>
      <c r="IQ10" s="612"/>
      <c r="IR10" s="612"/>
      <c r="IS10" s="612"/>
      <c r="IT10" s="612"/>
      <c r="IU10" s="612"/>
      <c r="IV10" s="612"/>
      <c r="IW10" s="612"/>
    </row>
    <row r="11" customFormat="false" ht="12.6" hidden="false" customHeight="true" outlineLevel="0" collapsed="false">
      <c r="A11" s="637" t="n">
        <v>1</v>
      </c>
      <c r="B11" s="650" t="s">
        <v>492</v>
      </c>
      <c r="C11" s="410"/>
      <c r="D11" s="431" t="n">
        <f aca="false">(PPACAPACITY*'PPA Assumptions &amp;Summary'!C12*D6)+((Operations!C17*(1-Cap_Factor_Energy))*'PPA Assumptions &amp;Summary'!C13*D7)</f>
        <v>13160</v>
      </c>
      <c r="E11" s="431" t="n">
        <f aca="false">(PPACAPACITY*'PPA Assumptions &amp;Summary'!D12*E6)+((Operations!D17*(1-Cap_Factor_Energy))*'PPA Assumptions &amp;Summary'!D13*E7)</f>
        <v>22560</v>
      </c>
      <c r="F11" s="431" t="n">
        <f aca="false">(PPACAPACITY*'PPA Assumptions &amp;Summary'!E12*F6)+((Operations!E17*(1-Cap_Factor_Energy))*'PPA Assumptions &amp;Summary'!E13*F7)</f>
        <v>22560</v>
      </c>
      <c r="G11" s="431" t="n">
        <f aca="false">(PPACAPACITY*'PPA Assumptions &amp;Summary'!F12*G6)+((Operations!F17*(1-Cap_Factor_Energy))*'PPA Assumptions &amp;Summary'!F13*G7)</f>
        <v>31123.9206299586</v>
      </c>
      <c r="H11" s="431" t="n">
        <f aca="false">(PPACAPACITY*'PPA Assumptions &amp;Summary'!G12*H6)+((Operations!G17*(1-Cap_Factor_Energy))*'PPA Assumptions &amp;Summary'!G13*H7)</f>
        <v>38358.2369980412</v>
      </c>
      <c r="I11" s="431" t="n">
        <f aca="false">(PPACAPACITY*'PPA Assumptions &amp;Summary'!H12*I6)+((Operations!H17*(1-Cap_Factor_Energy))*'PPA Assumptions &amp;Summary'!H13*I7)</f>
        <v>39508.9841079825</v>
      </c>
      <c r="J11" s="431" t="n">
        <f aca="false">(PPACAPACITY*'PPA Assumptions &amp;Summary'!I12*J6)+((Operations!I17*(1-Cap_Factor_Energy))*'PPA Assumptions &amp;Summary'!I13*J7)</f>
        <v>40068.1881907416</v>
      </c>
      <c r="K11" s="431" t="n">
        <f aca="false">(PPACAPACITY*'PPA Assumptions &amp;Summary'!J12*K6)+((Operations!J17*(1-Cap_Factor_Energy))*'PPA Assumptions &amp;Summary'!J13*K7)</f>
        <v>40625.3864327691</v>
      </c>
      <c r="L11" s="431" t="n">
        <f aca="false">(PPACAPACITY*'PPA Assumptions &amp;Summary'!K12*L6)+((Operations!K17*(1-Cap_Factor_Energy))*'PPA Assumptions &amp;Summary'!K13*L7)</f>
        <v>41179.9551999466</v>
      </c>
      <c r="M11" s="431" t="n">
        <f aca="false">(PPACAPACITY*'PPA Assumptions &amp;Summary'!L12*M6)+((Operations!L17*(1-Cap_Factor_Energy))*'PPA Assumptions &amp;Summary'!L13*M7)</f>
        <v>41731.2352453652</v>
      </c>
      <c r="N11" s="431" t="n">
        <f aca="false">(PPACAPACITY*'PPA Assumptions &amp;Summary'!M12*N6)+((Operations!M17*(1-Cap_Factor_Energy))*'PPA Assumptions &amp;Summary'!M13*N7)</f>
        <v>42278.530133829</v>
      </c>
      <c r="O11" s="431" t="n">
        <f aca="false">(PPACAPACITY*'PPA Assumptions &amp;Summary'!N12*O6)+((Operations!N17*(1-Cap_Factor_Energy))*'PPA Assumptions &amp;Summary'!N13*O7)</f>
        <v>42821.1046038798</v>
      </c>
      <c r="P11" s="431" t="n">
        <f aca="false">(PPACAPACITY*'PPA Assumptions &amp;Summary'!O12*P6)+((Operations!O17*(1-Cap_Factor_Energy))*'PPA Assumptions &amp;Summary'!O13*P7)</f>
        <v>43358.1828650133</v>
      </c>
      <c r="Q11" s="431" t="n">
        <f aca="false">(PPACAPACITY*'PPA Assumptions &amp;Summary'!P12*Q6)+((Operations!P17*(1-Cap_Factor_Energy))*'PPA Assumptions &amp;Summary'!P13*Q7)</f>
        <v>43118.9653043787</v>
      </c>
      <c r="R11" s="431" t="n">
        <f aca="false">(PPACAPACITY*'PPA Assumptions &amp;Summary'!Q12*R6)+((Operations!Q17*(1-Cap_Factor_Energy))*'PPA Assumptions &amp;Summary'!Q13*R7)</f>
        <v>43619.4532945188</v>
      </c>
      <c r="S11" s="431" t="n">
        <f aca="false">(PPACAPACITY*'PPA Assumptions &amp;Summary'!R12*S6)+((Operations!R17*(1-Cap_Factor_Energy))*'PPA Assumptions &amp;Summary'!R13*S7)</f>
        <v>44111.1634952934</v>
      </c>
      <c r="T11" s="431" t="n">
        <f aca="false">(PPACAPACITY*'PPA Assumptions &amp;Summary'!S12*T6)+((Operations!S17*(1-Cap_Factor_Energy))*'PPA Assumptions &amp;Summary'!S13*T7)</f>
        <v>44593.1188001494</v>
      </c>
      <c r="U11" s="431" t="n">
        <f aca="false">(PPACAPACITY*'PPA Assumptions &amp;Summary'!T12*U6)+((Operations!T17*(1-Cap_Factor_Energy))*'PPA Assumptions &amp;Summary'!T13*U7)</f>
        <v>45064.291376151</v>
      </c>
      <c r="V11" s="431" t="n">
        <f aca="false">(PPACAPACITY*'PPA Assumptions &amp;Summary'!U12*V6)+((Operations!U17*(1-Cap_Factor_Energy))*'PPA Assumptions &amp;Summary'!U13*V7)</f>
        <v>45523.6004997925</v>
      </c>
      <c r="W11" s="431" t="n">
        <f aca="false">(PPACAPACITY*'PPA Assumptions &amp;Summary'!V12*W6)+((Operations!V17*(1-Cap_Factor_Energy))*'PPA Assumptions &amp;Summary'!V13*W7)</f>
        <v>45050.5121024417</v>
      </c>
      <c r="X11" s="431" t="n">
        <f aca="false">(PPACAPACITY*'PPA Assumptions &amp;Summary'!W12*X6)+((Operations!W17*(1-Cap_Factor_Energy))*'PPA Assumptions &amp;Summary'!W13*X7)</f>
        <v>18939.603047149</v>
      </c>
      <c r="Y11" s="431" t="n">
        <f aca="false">(PPACAPACITY*'PPA Assumptions &amp;Summary'!X12*Y6)+((Operations!X17*(1-Cap_Factor_Energy))*'PPA Assumptions &amp;Summary'!X13*Y7)</f>
        <v>0</v>
      </c>
      <c r="Z11" s="431" t="n">
        <f aca="false">(PPACAPACITY*'PPA Assumptions &amp;Summary'!Y12*Z6)+((Operations!Y17*(1-Cap_Factor_Energy))*'PPA Assumptions &amp;Summary'!Y13*Z7)</f>
        <v>0</v>
      </c>
      <c r="AA11" s="431" t="n">
        <f aca="false">(PPACAPACITY*'PPA Assumptions &amp;Summary'!Z12*AA6)+((Operations!Z17*(1-Cap_Factor_Energy))*'PPA Assumptions &amp;Summary'!Z13*AA7)</f>
        <v>0</v>
      </c>
      <c r="AB11" s="432" t="n">
        <f aca="false">(PPACAPACITY*'PPA Assumptions &amp;Summary'!AA12*AB6)+((Operations!AA17*(1-Cap_Factor_Energy))*'PPA Assumptions &amp;Summary'!AA13*AB7)</f>
        <v>0</v>
      </c>
    </row>
    <row r="12" customFormat="false" ht="12.6" hidden="false" customHeight="true" outlineLevel="0" collapsed="false">
      <c r="B12" s="650" t="s">
        <v>493</v>
      </c>
      <c r="C12" s="410"/>
      <c r="D12" s="431" t="n">
        <f aca="false">(Operations!C25+Operations!C27)*'PPA Assumptions &amp;Summary'!C25/1000</f>
        <v>394.266833333333</v>
      </c>
      <c r="E12" s="431" t="n">
        <f aca="false">(Operations!D25+Operations!D27)*'PPA Assumptions &amp;Summary'!D25/1000</f>
        <v>696.16258</v>
      </c>
      <c r="F12" s="431" t="n">
        <f aca="false">(Operations!E25+Operations!E27)*'PPA Assumptions &amp;Summary'!E25/1000</f>
        <v>717.0474574</v>
      </c>
      <c r="G12" s="431" t="n">
        <f aca="false">(Operations!F25+Operations!F27)*'PPA Assumptions &amp;Summary'!F25/1000</f>
        <v>773.859634171814</v>
      </c>
      <c r="H12" s="431" t="n">
        <f aca="false">(Operations!G25+Operations!G27)*'PPA Assumptions &amp;Summary'!G25/1000</f>
        <v>816.244652739361</v>
      </c>
      <c r="I12" s="431" t="n">
        <f aca="false">(Operations!H25+Operations!H27)*'PPA Assumptions &amp;Summary'!H25/1000</f>
        <v>840.731992321542</v>
      </c>
      <c r="J12" s="431" t="n">
        <f aca="false">(Operations!I25+Operations!I27)*'PPA Assumptions &amp;Summary'!I25/1000</f>
        <v>865.953952091189</v>
      </c>
      <c r="K12" s="431" t="n">
        <f aca="false">(Operations!J25+Operations!J27)*'PPA Assumptions &amp;Summary'!J25/1000</f>
        <v>891.932570653924</v>
      </c>
      <c r="L12" s="431" t="n">
        <f aca="false">(Operations!K25+Operations!K27)*'PPA Assumptions &amp;Summary'!K25/1000</f>
        <v>918.690547773542</v>
      </c>
      <c r="M12" s="431" t="n">
        <f aca="false">(Operations!L25+Operations!L27)*'PPA Assumptions &amp;Summary'!L25/1000</f>
        <v>946.251264206748</v>
      </c>
      <c r="N12" s="431" t="n">
        <f aca="false">(Operations!M25+Operations!M27)*'PPA Assumptions &amp;Summary'!M25/1000</f>
        <v>974.638802132951</v>
      </c>
      <c r="O12" s="431" t="n">
        <f aca="false">(Operations!N25+Operations!N27)*'PPA Assumptions &amp;Summary'!N25/1000</f>
        <v>1003.87796619694</v>
      </c>
      <c r="P12" s="431" t="n">
        <f aca="false">(Operations!O25+Operations!O27)*'PPA Assumptions &amp;Summary'!O25/1000</f>
        <v>1033.99430518285</v>
      </c>
      <c r="Q12" s="431" t="n">
        <f aca="false">(Operations!P25+Operations!P27)*'PPA Assumptions &amp;Summary'!P25/1000</f>
        <v>1065.01413433833</v>
      </c>
      <c r="R12" s="431" t="n">
        <f aca="false">(Operations!Q25+Operations!Q27)*'PPA Assumptions &amp;Summary'!Q25/1000</f>
        <v>1096.96455836848</v>
      </c>
      <c r="S12" s="431" t="n">
        <f aca="false">(Operations!R25+Operations!R27)*'PPA Assumptions &amp;Summary'!R25/1000</f>
        <v>1129.87349511954</v>
      </c>
      <c r="T12" s="431" t="n">
        <f aca="false">(Operations!S25+Operations!S27)*'PPA Assumptions &amp;Summary'!S25/1000</f>
        <v>1163.76969997312</v>
      </c>
      <c r="U12" s="431" t="n">
        <f aca="false">(Operations!T25+Operations!T27)*'PPA Assumptions &amp;Summary'!T25/1000</f>
        <v>1198.68279097232</v>
      </c>
      <c r="V12" s="431" t="n">
        <f aca="false">(Operations!U25+Operations!U27)*'PPA Assumptions &amp;Summary'!U25/1000</f>
        <v>1234.64327470149</v>
      </c>
      <c r="W12" s="431" t="n">
        <f aca="false">(Operations!V25+Operations!V27)*'PPA Assumptions &amp;Summary'!V25/1000</f>
        <v>1271.68257294253</v>
      </c>
      <c r="X12" s="431" t="n">
        <f aca="false">(Operations!W25+Operations!W27)*'PPA Assumptions &amp;Summary'!W25/1000</f>
        <v>1309.83305013081</v>
      </c>
      <c r="Y12" s="431" t="n">
        <f aca="false">(Operations!X25+Operations!X27)*'PPA Assumptions &amp;Summary'!X25/1000</f>
        <v>0</v>
      </c>
      <c r="Z12" s="431" t="n">
        <f aca="false">(Operations!Y25+Operations!Y27)*'PPA Assumptions &amp;Summary'!Y25/1000</f>
        <v>0</v>
      </c>
      <c r="AA12" s="431" t="n">
        <f aca="false">(Operations!Z25+Operations!Z27)*'PPA Assumptions &amp;Summary'!Z25/1000</f>
        <v>0</v>
      </c>
      <c r="AB12" s="432" t="n">
        <f aca="false">(Operations!AA25+Operations!AA27)*'PPA Assumptions &amp;Summary'!AA25/1000</f>
        <v>0</v>
      </c>
    </row>
    <row r="13" customFormat="false" ht="12.6" hidden="false" customHeight="true" outlineLevel="0" collapsed="false">
      <c r="B13" s="650" t="s">
        <v>494</v>
      </c>
      <c r="D13" s="431" t="n">
        <f aca="false">IF(D3&gt;ProjectLife+1,0,(Main_Start*'Project Assumtions'!$L$15*((1+Main_Escal)^('Book Income Statement'!D4-'Project Assumtions'!$N$6))+Fuel_Start*'Project Assumtions'!$L$16)/1000+((Main_Start*1/3)*'Project Assumtions'!$L$15*((1+Main_Escal)^('Book Income Statement'!D4-'Project Assumtions'!$N$6))+Fuel_Start*'Project Assumtions'!$L$16)/1000*D7/12)</f>
        <v>2140.752</v>
      </c>
      <c r="E13" s="431" t="n">
        <f aca="false">IF(E3&gt;ProjectLife+1,0,(Main_Start*'Project Assumtions'!$L$15*((1+Main_Escal)^('Book Income Statement'!E4-'Project Assumtions'!$N$6))+Fuel_Start*'Project Assumtions'!$L$16)/1000*E6/12+(((Main_Start*1/3)*'Project Assumtions'!$L$15*((1+Main_Escal)^('Book Income Statement'!E4-'Project Assumtions'!$N$6))+Fuel_Start*'Project Assumtions'!$L$16)/1000)*E7/12)</f>
        <v>2204.97456</v>
      </c>
      <c r="F13" s="431" t="n">
        <f aca="false">IF(F3&gt;ProjectLife+1,0,(Main_Start*'Project Assumtions'!$L$15*((1+Main_Escal)^('Book Income Statement'!F4-'Project Assumtions'!$N$6))+Fuel_Start*'Project Assumtions'!$L$16)/1000*F6/12+(((Main_Start*1/3)*'Project Assumtions'!$L$15*((1+Main_Escal)^('Book Income Statement'!F4-'Project Assumtions'!$N$6))+Fuel_Start*'Project Assumtions'!$L$16)/1000)*F7/12)</f>
        <v>2271.1237968</v>
      </c>
      <c r="G13" s="431" t="n">
        <f aca="false">IF(G3&gt;ProjectLife+1,0,(Main_Start*'Project Assumtions'!$L$15*((1+Main_Escal)^('Book Income Statement'!G4-'Project Assumtions'!$N$6))+Fuel_Start*'Project Assumtions'!$L$16)/1000*G6/12+(((Main_Start*1/3)*'Project Assumtions'!$L$15*((1+Main_Escal)^('Book Income Statement'!G4-'Project Assumtions'!$N$6))+Fuel_Start*'Project Assumtions'!$L$16)/1000)*G7/12)</f>
        <v>1429.54625654133</v>
      </c>
      <c r="H13" s="431" t="n">
        <f aca="false">IF(H3&gt;ProjectLife+1,0,(Main_Start*'Project Assumtions'!$L$15*((1+Main_Escal)^('Book Income Statement'!H4-'Project Assumtions'!$N$6))+Fuel_Start*'Project Assumtions'!$L$16)/1000*H6/12+(((Main_Start*1/3)*'Project Assumtions'!$L$15*((1+Main_Escal)^('Book Income Statement'!H4-'Project Assumtions'!$N$6))+Fuel_Start*'Project Assumtions'!$L$16)/1000)*H7/12)</f>
        <v>803.14507867504</v>
      </c>
      <c r="I13" s="431" t="n">
        <f aca="false">IF(I3&gt;ProjectLife+1,0,(Main_Start*'Project Assumtions'!$L$15*((1+Main_Escal)^('Book Income Statement'!I4-'Project Assumtions'!$N$6))+Fuel_Start*'Project Assumtions'!$L$16)/1000*I6/12+(((Main_Start*1/3)*'Project Assumtions'!$L$15*((1+Main_Escal)^('Book Income Statement'!I4-'Project Assumtions'!$N$6))+Fuel_Start*'Project Assumtions'!$L$16)/1000)*I7/12)</f>
        <v>827.239431035291</v>
      </c>
      <c r="J13" s="431" t="n">
        <f aca="false">IF(J3&gt;ProjectLife+1,0,(Main_Start*'Project Assumtions'!$L$15*((1+Main_Escal)^('Book Income Statement'!J4-'Project Assumtions'!$N$6))+Fuel_Start*'Project Assumtions'!$L$16)/1000*J6/12+(((Main_Start*1/3)*'Project Assumtions'!$L$15*((1+Main_Escal)^('Book Income Statement'!J4-'Project Assumtions'!$N$6))+Fuel_Start*'Project Assumtions'!$L$16)/1000)*J7/12)</f>
        <v>852.05661396635</v>
      </c>
      <c r="K13" s="431" t="n">
        <f aca="false">IF(K3&gt;ProjectLife+1,0,(Main_Start*'Project Assumtions'!$L$15*((1+Main_Escal)^('Book Income Statement'!K4-'Project Assumtions'!$N$6))+Fuel_Start*'Project Assumtions'!$L$16)/1000*K6/12+(((Main_Start*1/3)*'Project Assumtions'!$L$15*((1+Main_Escal)^('Book Income Statement'!K4-'Project Assumtions'!$N$6))+Fuel_Start*'Project Assumtions'!$L$16)/1000)*K7/12)</f>
        <v>877.618312385341</v>
      </c>
      <c r="L13" s="431" t="n">
        <f aca="false">IF(L3&gt;ProjectLife+1,0,(Main_Start*'Project Assumtions'!$L$15*((1+Main_Escal)^('Book Income Statement'!L4-'Project Assumtions'!$N$6))+Fuel_Start*'Project Assumtions'!$L$16)/1000*L6/12+(((Main_Start*1/3)*'Project Assumtions'!$L$15*((1+Main_Escal)^('Book Income Statement'!L4-'Project Assumtions'!$N$6))+Fuel_Start*'Project Assumtions'!$L$16)/1000)*L7/12)</f>
        <v>903.946861756901</v>
      </c>
      <c r="M13" s="431" t="n">
        <f aca="false">IF(M3&gt;ProjectLife+1,0,(Main_Start*'Project Assumtions'!$L$15*((1+Main_Escal)^('Book Income Statement'!M4-'Project Assumtions'!$N$6))+Fuel_Start*'Project Assumtions'!$L$16)/1000*M6/12+(((Main_Start*1/3)*'Project Assumtions'!$L$15*((1+Main_Escal)^('Book Income Statement'!M4-'Project Assumtions'!$N$6))+Fuel_Start*'Project Assumtions'!$L$16)/1000)*M7/12)</f>
        <v>931.065267609608</v>
      </c>
      <c r="N13" s="431" t="n">
        <f aca="false">IF(N3&gt;ProjectLife+1,0,(Main_Start*'Project Assumtions'!$L$15*((1+Main_Escal)^('Book Income Statement'!N4-'Project Assumtions'!$N$6))+Fuel_Start*'Project Assumtions'!$L$16)/1000*N6/12+(((Main_Start*1/3)*'Project Assumtions'!$L$15*((1+Main_Escal)^('Book Income Statement'!N4-'Project Assumtions'!$N$6))+Fuel_Start*'Project Assumtions'!$L$16)/1000)*N7/12)</f>
        <v>958.997225637896</v>
      </c>
      <c r="O13" s="431" t="n">
        <f aca="false">IF(O3&gt;ProjectLife+1,0,(Main_Start*'Project Assumtions'!$L$15*((1+Main_Escal)^('Book Income Statement'!O4-'Project Assumtions'!$N$6))+Fuel_Start*'Project Assumtions'!$L$16)/1000*O6/12+(((Main_Start*1/3)*'Project Assumtions'!$L$15*((1+Main_Escal)^('Book Income Statement'!O4-'Project Assumtions'!$N$6))+Fuel_Start*'Project Assumtions'!$L$16)/1000)*O7/12)</f>
        <v>987.767142407033</v>
      </c>
      <c r="P13" s="431" t="n">
        <f aca="false">IF(P3&gt;ProjectLife+1,0,(Main_Start*'Project Assumtions'!$L$15*((1+Main_Escal)^('Book Income Statement'!P4-'Project Assumtions'!$N$6))+Fuel_Start*'Project Assumtions'!$L$16)/1000*P6/12+(((Main_Start*1/3)*'Project Assumtions'!$L$15*((1+Main_Escal)^('Book Income Statement'!P4-'Project Assumtions'!$N$6))+Fuel_Start*'Project Assumtions'!$L$16)/1000)*P7/12)</f>
        <v>1017.40015667924</v>
      </c>
      <c r="Q13" s="431" t="n">
        <f aca="false">IF(Q3&gt;ProjectLife+1,0,(Main_Start*'Project Assumtions'!$L$15*((1+Main_Escal)^('Book Income Statement'!Q4-'Project Assumtions'!$N$6))+Fuel_Start*'Project Assumtions'!$L$16)/1000*Q6/12+(((Main_Start*1/3)*'Project Assumtions'!$L$15*((1+Main_Escal)^('Book Income Statement'!Q4-'Project Assumtions'!$N$6))+Fuel_Start*'Project Assumtions'!$L$16)/1000)*Q7/12)</f>
        <v>1047.92216137962</v>
      </c>
      <c r="R13" s="431" t="n">
        <f aca="false">IF(R3&gt;ProjectLife+1,0,(Main_Start*'Project Assumtions'!$L$15*((1+Main_Escal)^('Book Income Statement'!R4-'Project Assumtions'!$N$6))+Fuel_Start*'Project Assumtions'!$L$16)/1000*R6/12+(((Main_Start*1/3)*'Project Assumtions'!$L$15*((1+Main_Escal)^('Book Income Statement'!R4-'Project Assumtions'!$N$6))+Fuel_Start*'Project Assumtions'!$L$16)/1000)*R7/12)</f>
        <v>1079.35982622101</v>
      </c>
      <c r="S13" s="431" t="n">
        <f aca="false">IF(S3&gt;ProjectLife+1,0,(Main_Start*'Project Assumtions'!$L$15*((1+Main_Escal)^('Book Income Statement'!S4-'Project Assumtions'!$N$6))+Fuel_Start*'Project Assumtions'!$L$16)/1000*S6/12+(((Main_Start*1/3)*'Project Assumtions'!$L$15*((1+Main_Escal)^('Book Income Statement'!S4-'Project Assumtions'!$N$6))+Fuel_Start*'Project Assumtions'!$L$16)/1000)*S7/12)</f>
        <v>1111.74062100764</v>
      </c>
      <c r="T13" s="431" t="n">
        <f aca="false">IF(T3&gt;ProjectLife+1,0,(Main_Start*'Project Assumtions'!$L$15*((1+Main_Escal)^('Book Income Statement'!T4-'Project Assumtions'!$N$6))+Fuel_Start*'Project Assumtions'!$L$16)/1000*T6/12+(((Main_Start*1/3)*'Project Assumtions'!$L$15*((1+Main_Escal)^('Book Income Statement'!T4-'Project Assumtions'!$N$6))+Fuel_Start*'Project Assumtions'!$L$16)/1000)*T7/12)</f>
        <v>1145.09283963787</v>
      </c>
      <c r="U13" s="431" t="n">
        <f aca="false">IF(U3&gt;ProjectLife+1,0,(Main_Start*'Project Assumtions'!$L$15*((1+Main_Escal)^('Book Income Statement'!U4-'Project Assumtions'!$N$6))+Fuel_Start*'Project Assumtions'!$L$16)/1000*U6/12+(((Main_Start*1/3)*'Project Assumtions'!$L$15*((1+Main_Escal)^('Book Income Statement'!U4-'Project Assumtions'!$N$6))+Fuel_Start*'Project Assumtions'!$L$16)/1000)*U7/12)</f>
        <v>1179.44562482701</v>
      </c>
      <c r="V13" s="431" t="n">
        <f aca="false">IF(V3&gt;ProjectLife+1,0,(Main_Start*'Project Assumtions'!$L$15*((1+Main_Escal)^('Book Income Statement'!V4-'Project Assumtions'!$N$6))+Fuel_Start*'Project Assumtions'!$L$16)/1000*V6/12+(((Main_Start*1/3)*'Project Assumtions'!$L$15*((1+Main_Escal)^('Book Income Statement'!V4-'Project Assumtions'!$N$6))+Fuel_Start*'Project Assumtions'!$L$16)/1000)*V7/12)</f>
        <v>1214.82899357182</v>
      </c>
      <c r="W13" s="431" t="n">
        <f aca="false">IF(W3&gt;ProjectLife+1,0,(Main_Start*'Project Assumtions'!$L$15*((1+Main_Escal)^('Book Income Statement'!W4-'Project Assumtions'!$N$6))+Fuel_Start*'Project Assumtions'!$L$16)/1000*W6/12+(((Main_Start*1/3)*'Project Assumtions'!$L$15*((1+Main_Escal)^('Book Income Statement'!W4-'Project Assumtions'!$N$6))+Fuel_Start*'Project Assumtions'!$L$16)/1000)*W7/12)</f>
        <v>1251.27386337897</v>
      </c>
      <c r="X13" s="431" t="n">
        <f aca="false">IF(X3&gt;ProjectLife+1,0,(Main_Start*'Project Assumtions'!$L$15*((1+Main_Escal)^('Book Income Statement'!X4-'Project Assumtions'!$N$6))+Fuel_Start*'Project Assumtions'!$L$16)/1000*X6/12+(((Main_Start*1/3)*'Project Assumtions'!$L$15*((1+Main_Escal)^('Book Income Statement'!X4-'Project Assumtions'!$N$6))+Fuel_Start*'Project Assumtions'!$L$16)/1000))</f>
        <v>1288.81207928034</v>
      </c>
      <c r="Y13" s="431" t="n">
        <f aca="false">IF(Y3&gt;ProjectLife+1,0,(Main_Start*'Project Assumtions'!$L$15*((1+Main_Escal)^('Book Income Statement'!Y4-'Project Assumtions'!$N$6))+Fuel_Start*'Project Assumtions'!$L$16)/1000*Y6/12+(((Main_Start*1/3)*'Project Assumtions'!$L$15*((1+Main_Escal)^('Book Income Statement'!Y4-'Project Assumtions'!$N$6))+Fuel_Start*'Project Assumtions'!$L$16)/1000)*Y7/12)</f>
        <v>0</v>
      </c>
      <c r="Z13" s="431" t="n">
        <f aca="false">IF(Z3&gt;ProjectLife+1,0,(Main_Start*'Project Assumtions'!$L$15*((1+Main_Escal)^('Book Income Statement'!Z4-'Project Assumtions'!$N$6))+Fuel_Start*'Project Assumtions'!$L$16)/1000*Z6/12+(((Main_Start*1/3)*'Project Assumtions'!$L$15*((1+Main_Escal)^('Book Income Statement'!Z4-'Project Assumtions'!$N$6))+Fuel_Start*'Project Assumtions'!$L$16)/1000)*Z7/12)</f>
        <v>0</v>
      </c>
      <c r="AA13" s="431" t="n">
        <f aca="false">IF(AA3&gt;ProjectLife+1,0,(Main_Start*'Project Assumtions'!$L$15*((1+Main_Escal)^('Book Income Statement'!AA4-'Project Assumtions'!$N$6))+Fuel_Start*'Project Assumtions'!$L$16)/1000*AA6/12+(((Main_Start*1/3)*'Project Assumtions'!$L$15*((1+Main_Escal)^('Book Income Statement'!AA4-'Project Assumtions'!$N$6))+Fuel_Start*'Project Assumtions'!$L$16)/1000)*AA7/12)</f>
        <v>0</v>
      </c>
      <c r="AB13" s="432" t="n">
        <f aca="false">IF(AB3&gt;ProjectLife+1,0,(Main_Start*'Project Assumtions'!$L$15*((1+Main_Escal)^('Book Income Statement'!AB4-'Project Assumtions'!$N$6))+Fuel_Start*'Project Assumtions'!$L$16)/1000*AB6/12+(((Main_Start*1/3)*'Project Assumtions'!$L$15*((1+Main_Escal)^('Book Income Statement'!AB4-'Project Assumtions'!$N$6))+Fuel_Start*'Project Assumtions'!$L$16)/1000)*AB7/12)</f>
        <v>0</v>
      </c>
    </row>
    <row r="14" customFormat="false" ht="12.6" hidden="false" customHeight="true" outlineLevel="0" collapsed="false">
      <c r="B14" s="409" t="s">
        <v>495</v>
      </c>
      <c r="D14" s="434" t="n">
        <f aca="false">Operations!C20*AnnualHours*(Energy_Margin)/1000*D7/12</f>
        <v>0</v>
      </c>
      <c r="E14" s="434" t="n">
        <f aca="false">Operations!D20*AnnualHours*(Energy_Margin)/1000*E7/12</f>
        <v>0</v>
      </c>
      <c r="F14" s="434" t="n">
        <f aca="false">Operations!E20*AnnualHours*(Energy_Margin)/1000*F7/12</f>
        <v>0</v>
      </c>
      <c r="G14" s="434" t="n">
        <f aca="false">Operations!F20*AnnualHours*(Energy_Margin)/1000*G7/12</f>
        <v>4.11851533333333</v>
      </c>
      <c r="H14" s="434" t="n">
        <f aca="false">Operations!G20*AnnualHours*(Energy_Margin)/1000*H7/12</f>
        <v>12.103392</v>
      </c>
      <c r="I14" s="434" t="n">
        <f aca="false">Operations!H20*AnnualHours*(Energy_Margin)/1000*I7/12</f>
        <v>12.103392</v>
      </c>
      <c r="J14" s="434" t="n">
        <f aca="false">Operations!I20*AnnualHours*(Energy_Margin)/1000*J7/12</f>
        <v>12.103392</v>
      </c>
      <c r="K14" s="434" t="n">
        <f aca="false">Operations!J20*AnnualHours*(Energy_Margin)/1000*K7/12</f>
        <v>12.103392</v>
      </c>
      <c r="L14" s="434" t="n">
        <f aca="false">Operations!K20*AnnualHours*(Energy_Margin)/1000*L7/12</f>
        <v>12.103392</v>
      </c>
      <c r="M14" s="434" t="n">
        <f aca="false">Operations!L20*AnnualHours*(Energy_Margin)/1000*M7/12</f>
        <v>12.103392</v>
      </c>
      <c r="N14" s="434" t="n">
        <f aca="false">Operations!M20*AnnualHours*(Energy_Margin)/1000*N7/12</f>
        <v>12.103392</v>
      </c>
      <c r="O14" s="434" t="n">
        <f aca="false">Operations!N20*AnnualHours*(Energy_Margin)/1000*O7/12</f>
        <v>12.103392</v>
      </c>
      <c r="P14" s="434" t="n">
        <f aca="false">Operations!O20*AnnualHours*(Energy_Margin)/1000*P7/12</f>
        <v>12.103392</v>
      </c>
      <c r="Q14" s="434" t="n">
        <f aca="false">Operations!P20*AnnualHours*(Energy_Margin)/1000*Q7/12</f>
        <v>12.103392</v>
      </c>
      <c r="R14" s="434" t="n">
        <f aca="false">Operations!Q20*AnnualHours*(Energy_Margin)/1000*R7/12</f>
        <v>12.103392</v>
      </c>
      <c r="S14" s="434" t="n">
        <f aca="false">Operations!R20*AnnualHours*(Energy_Margin)/1000*S7/12</f>
        <v>12.103392</v>
      </c>
      <c r="T14" s="434" t="n">
        <f aca="false">Operations!S20*AnnualHours*(Energy_Margin)/1000*T7/12</f>
        <v>12.103392</v>
      </c>
      <c r="U14" s="434" t="n">
        <f aca="false">Operations!T20*AnnualHours*(Energy_Margin)/1000*U7/12</f>
        <v>12.103392</v>
      </c>
      <c r="V14" s="434" t="n">
        <f aca="false">Operations!U20*AnnualHours*(Energy_Margin)/1000*V7/12</f>
        <v>12.103392</v>
      </c>
      <c r="W14" s="434" t="n">
        <f aca="false">Operations!V20*AnnualHours*(Energy_Margin)/1000*W7/12</f>
        <v>12.103392</v>
      </c>
      <c r="X14" s="434" t="n">
        <f aca="false">Operations!W20*AnnualHours*(Energy_Margin)/1000*X7/12</f>
        <v>2.10128333333333</v>
      </c>
      <c r="Y14" s="434" t="n">
        <f aca="false">Operations!X20*AnnualHours*(Energy_Margin)/1000*Y7/12</f>
        <v>0</v>
      </c>
      <c r="Z14" s="434" t="n">
        <f aca="false">Operations!Y20*AnnualHours*(Energy_Margin)/1000*Z7/12</f>
        <v>0</v>
      </c>
      <c r="AA14" s="434" t="n">
        <f aca="false">Operations!Z20*AnnualHours*(Energy_Margin)/1000*AA7/12</f>
        <v>0</v>
      </c>
      <c r="AB14" s="435" t="n">
        <f aca="false">Operations!AA20*AnnualHours*(Energy_Margin)/1000*AB7/12</f>
        <v>0</v>
      </c>
    </row>
    <row r="15" customFormat="false" ht="12.6" hidden="false" customHeight="true" outlineLevel="0" collapsed="false">
      <c r="B15" s="409" t="s">
        <v>355</v>
      </c>
      <c r="D15" s="651" t="n">
        <f aca="false">'PPA Assumptions &amp;Summary'!C15</f>
        <v>0</v>
      </c>
      <c r="E15" s="651" t="n">
        <f aca="false">'PPA Assumptions &amp;Summary'!D15</f>
        <v>0</v>
      </c>
      <c r="F15" s="651" t="n">
        <f aca="false">'PPA Assumptions &amp;Summary'!E15</f>
        <v>0</v>
      </c>
      <c r="G15" s="651" t="n">
        <f aca="false">'PPA Assumptions &amp;Summary'!F15</f>
        <v>0</v>
      </c>
      <c r="H15" s="651" t="n">
        <f aca="false">'PPA Assumptions &amp;Summary'!G15</f>
        <v>0</v>
      </c>
      <c r="I15" s="651" t="n">
        <f aca="false">'PPA Assumptions &amp;Summary'!H15</f>
        <v>0</v>
      </c>
      <c r="J15" s="651" t="n">
        <f aca="false">'PPA Assumptions &amp;Summary'!I15</f>
        <v>0</v>
      </c>
      <c r="K15" s="651" t="n">
        <f aca="false">'PPA Assumptions &amp;Summary'!J15</f>
        <v>0</v>
      </c>
      <c r="L15" s="651" t="n">
        <f aca="false">'PPA Assumptions &amp;Summary'!K15</f>
        <v>0</v>
      </c>
      <c r="M15" s="651" t="n">
        <f aca="false">'PPA Assumptions &amp;Summary'!L15</f>
        <v>0</v>
      </c>
      <c r="N15" s="651" t="n">
        <f aca="false">'PPA Assumptions &amp;Summary'!M15</f>
        <v>0</v>
      </c>
      <c r="O15" s="651" t="n">
        <f aca="false">'PPA Assumptions &amp;Summary'!N15</f>
        <v>0</v>
      </c>
      <c r="P15" s="651" t="n">
        <f aca="false">'PPA Assumptions &amp;Summary'!O15</f>
        <v>0</v>
      </c>
      <c r="Q15" s="651" t="n">
        <f aca="false">'PPA Assumptions &amp;Summary'!P15</f>
        <v>0</v>
      </c>
      <c r="R15" s="651" t="n">
        <f aca="false">'PPA Assumptions &amp;Summary'!Q15</f>
        <v>0</v>
      </c>
      <c r="S15" s="651" t="n">
        <f aca="false">'PPA Assumptions &amp;Summary'!R15</f>
        <v>0</v>
      </c>
      <c r="T15" s="651" t="n">
        <f aca="false">'PPA Assumptions &amp;Summary'!S15</f>
        <v>0</v>
      </c>
      <c r="U15" s="651" t="n">
        <f aca="false">'PPA Assumptions &amp;Summary'!T15</f>
        <v>0</v>
      </c>
      <c r="V15" s="651" t="n">
        <f aca="false">'PPA Assumptions &amp;Summary'!U15</f>
        <v>0</v>
      </c>
      <c r="W15" s="651" t="n">
        <f aca="false">'PPA Assumptions &amp;Summary'!V15</f>
        <v>0</v>
      </c>
      <c r="X15" s="651" t="n">
        <f aca="false">'PPA Assumptions &amp;Summary'!W15</f>
        <v>0</v>
      </c>
      <c r="Y15" s="651" t="n">
        <f aca="false">'PPA Assumptions &amp;Summary'!X15</f>
        <v>0</v>
      </c>
      <c r="Z15" s="651" t="n">
        <f aca="false">'PPA Assumptions &amp;Summary'!Y15</f>
        <v>0</v>
      </c>
      <c r="AA15" s="651" t="n">
        <f aca="false">'PPA Assumptions &amp;Summary'!Z15</f>
        <v>0</v>
      </c>
      <c r="AB15" s="652" t="n">
        <f aca="false">'PPA Assumptions &amp;Summary'!AA15</f>
        <v>0</v>
      </c>
    </row>
    <row r="16" customFormat="false" ht="12.6" hidden="false" customHeight="true" outlineLevel="0" collapsed="false">
      <c r="B16" s="409" t="s">
        <v>356</v>
      </c>
      <c r="D16" s="653" t="n">
        <f aca="false">'PPA Assumptions &amp;Summary'!C16</f>
        <v>0</v>
      </c>
      <c r="E16" s="653" t="n">
        <f aca="false">'PPA Assumptions &amp;Summary'!D16</f>
        <v>0</v>
      </c>
      <c r="F16" s="653" t="n">
        <f aca="false">'PPA Assumptions &amp;Summary'!E16</f>
        <v>0</v>
      </c>
      <c r="G16" s="653" t="n">
        <f aca="false">'PPA Assumptions &amp;Summary'!F16</f>
        <v>0</v>
      </c>
      <c r="H16" s="653" t="n">
        <f aca="false">'PPA Assumptions &amp;Summary'!G16</f>
        <v>0</v>
      </c>
      <c r="I16" s="653" t="n">
        <f aca="false">'PPA Assumptions &amp;Summary'!H16</f>
        <v>0</v>
      </c>
      <c r="J16" s="653" t="n">
        <f aca="false">'PPA Assumptions &amp;Summary'!I16</f>
        <v>0</v>
      </c>
      <c r="K16" s="653" t="n">
        <f aca="false">'PPA Assumptions &amp;Summary'!J16</f>
        <v>0</v>
      </c>
      <c r="L16" s="653" t="n">
        <f aca="false">'PPA Assumptions &amp;Summary'!K16</f>
        <v>0</v>
      </c>
      <c r="M16" s="653" t="n">
        <f aca="false">'PPA Assumptions &amp;Summary'!L16</f>
        <v>0</v>
      </c>
      <c r="N16" s="653" t="n">
        <f aca="false">'PPA Assumptions &amp;Summary'!M16</f>
        <v>0</v>
      </c>
      <c r="O16" s="653" t="n">
        <f aca="false">'PPA Assumptions &amp;Summary'!N16</f>
        <v>0</v>
      </c>
      <c r="P16" s="653" t="n">
        <f aca="false">'PPA Assumptions &amp;Summary'!O16</f>
        <v>0</v>
      </c>
      <c r="Q16" s="653" t="n">
        <f aca="false">'PPA Assumptions &amp;Summary'!P16</f>
        <v>0</v>
      </c>
      <c r="R16" s="653" t="n">
        <f aca="false">'PPA Assumptions &amp;Summary'!Q16</f>
        <v>0</v>
      </c>
      <c r="S16" s="653" t="n">
        <f aca="false">'PPA Assumptions &amp;Summary'!R16</f>
        <v>0</v>
      </c>
      <c r="T16" s="653" t="n">
        <f aca="false">'PPA Assumptions &amp;Summary'!S16</f>
        <v>0</v>
      </c>
      <c r="U16" s="653" t="n">
        <f aca="false">'PPA Assumptions &amp;Summary'!T16</f>
        <v>0</v>
      </c>
      <c r="V16" s="653" t="n">
        <f aca="false">'PPA Assumptions &amp;Summary'!U16</f>
        <v>0</v>
      </c>
      <c r="W16" s="653" t="n">
        <f aca="false">'PPA Assumptions &amp;Summary'!V16</f>
        <v>0</v>
      </c>
      <c r="X16" s="653" t="n">
        <f aca="false">'PPA Assumptions &amp;Summary'!W16</f>
        <v>0</v>
      </c>
      <c r="Y16" s="653" t="n">
        <f aca="false">'PPA Assumptions &amp;Summary'!X16</f>
        <v>0</v>
      </c>
      <c r="Z16" s="653" t="n">
        <f aca="false">'PPA Assumptions &amp;Summary'!Y16</f>
        <v>0</v>
      </c>
      <c r="AA16" s="653" t="n">
        <f aca="false">'PPA Assumptions &amp;Summary'!Z16</f>
        <v>0</v>
      </c>
      <c r="AB16" s="654" t="n">
        <f aca="false">'PPA Assumptions &amp;Summary'!AA16</f>
        <v>0</v>
      </c>
    </row>
    <row r="17" customFormat="false" ht="12.6" hidden="false" customHeight="true" outlineLevel="0" collapsed="false">
      <c r="B17" s="655" t="s">
        <v>496</v>
      </c>
      <c r="C17" s="490"/>
      <c r="D17" s="656" t="n">
        <f aca="false">SUM(D10:D16)</f>
        <v>25347.0563333333</v>
      </c>
      <c r="E17" s="656" t="n">
        <f aca="false">SUM(E10:E16)</f>
        <v>42007.48714</v>
      </c>
      <c r="F17" s="656" t="n">
        <f aca="false">SUM(F10:F16)</f>
        <v>42094.5212542</v>
      </c>
      <c r="G17" s="656" t="n">
        <f aca="false">SUM(G10:G16)</f>
        <v>50668.6576607134</v>
      </c>
      <c r="H17" s="656" t="n">
        <f aca="false">SUM(H10:H16)</f>
        <v>57743.8932614556</v>
      </c>
      <c r="I17" s="656" t="n">
        <f aca="false">SUM(I10:I16)</f>
        <v>58943.2220633393</v>
      </c>
      <c r="J17" s="656" t="n">
        <f aca="false">SUM(J10:J16)</f>
        <v>59552.4652887991</v>
      </c>
      <c r="K17" s="656" t="n">
        <f aca="false">SUM(K10:K16)</f>
        <v>60161.2038478084</v>
      </c>
      <c r="L17" s="656" t="n">
        <f aca="false">SUM(L10:L16)</f>
        <v>60768.859141477</v>
      </c>
      <c r="M17" s="656" t="n">
        <f aca="false">SUM(M10:M16)</f>
        <v>61374.8183091816</v>
      </c>
      <c r="N17" s="656" t="n">
        <f aca="false">SUM(N10:N16)</f>
        <v>61978.4326935999</v>
      </c>
      <c r="O17" s="656" t="n">
        <f aca="false">SUM(O10:O16)</f>
        <v>62579.0162444838</v>
      </c>
      <c r="P17" s="656" t="n">
        <f aca="false">SUM(P10:P16)</f>
        <v>63175.8438588753</v>
      </c>
      <c r="Q17" s="656" t="n">
        <f aca="false">SUM(Q10:Q16)</f>
        <v>62998.1681320966</v>
      </c>
      <c r="R17" s="656" t="n">
        <f aca="false">SUM(R10:R16)</f>
        <v>63562.0442111083</v>
      </c>
      <c r="S17" s="656" t="n">
        <f aca="false">SUM(S10:S16)</f>
        <v>64119.0441434206</v>
      </c>
      <c r="T17" s="656" t="n">
        <f aca="false">SUM(T10:T16)</f>
        <v>64668.2478717604</v>
      </c>
      <c r="U17" s="656" t="n">
        <f aca="false">SUM(U10:U16)</f>
        <v>65208.6863239503</v>
      </c>
      <c r="V17" s="656" t="n">
        <f aca="false">SUM(V10:V16)</f>
        <v>65739.3393000658</v>
      </c>
      <c r="W17" s="656" t="n">
        <f aca="false">SUM(W10:W16)</f>
        <v>65339.7350707632</v>
      </c>
      <c r="X17" s="656" t="n">
        <f aca="false">SUM(X10:X16)</f>
        <v>39294.5125998934</v>
      </c>
      <c r="Y17" s="656" t="n">
        <f aca="false">SUM(Y10:Y16)</f>
        <v>0</v>
      </c>
      <c r="Z17" s="656" t="n">
        <f aca="false">SUM(Z10:Z16)</f>
        <v>0</v>
      </c>
      <c r="AA17" s="656" t="n">
        <f aca="false">SUM(AA10:AA16)</f>
        <v>0</v>
      </c>
      <c r="AB17" s="657" t="n">
        <f aca="false">SUM(AB10:AB16)</f>
        <v>0</v>
      </c>
    </row>
    <row r="18" customFormat="false" ht="12.6" hidden="false" customHeight="true" outlineLevel="0" collapsed="false">
      <c r="B18" s="658"/>
      <c r="C18" s="659"/>
      <c r="D18" s="660"/>
      <c r="E18" s="660"/>
      <c r="F18" s="660"/>
      <c r="G18" s="660"/>
      <c r="H18" s="660"/>
      <c r="I18" s="660"/>
      <c r="J18" s="660"/>
      <c r="K18" s="660"/>
      <c r="L18" s="660"/>
      <c r="M18" s="660"/>
      <c r="N18" s="660"/>
      <c r="O18" s="660"/>
      <c r="P18" s="660"/>
      <c r="Q18" s="660"/>
      <c r="R18" s="660"/>
      <c r="S18" s="660"/>
      <c r="T18" s="660"/>
      <c r="U18" s="660"/>
      <c r="V18" s="660"/>
      <c r="W18" s="660"/>
      <c r="X18" s="660"/>
      <c r="Y18" s="660"/>
      <c r="Z18" s="660"/>
      <c r="AA18" s="660"/>
      <c r="AB18" s="660"/>
    </row>
    <row r="19" customFormat="false" ht="12.6" hidden="false" customHeight="true" outlineLevel="0" collapsed="false">
      <c r="B19" s="422"/>
      <c r="C19" s="481" t="s">
        <v>268</v>
      </c>
      <c r="D19" s="620"/>
      <c r="E19" s="620"/>
      <c r="F19" s="620"/>
      <c r="G19" s="620"/>
      <c r="H19" s="620"/>
      <c r="I19" s="620"/>
      <c r="J19" s="620"/>
      <c r="K19" s="620"/>
      <c r="L19" s="620"/>
      <c r="M19" s="620"/>
      <c r="N19" s="620"/>
      <c r="O19" s="620"/>
      <c r="P19" s="620"/>
      <c r="Q19" s="620"/>
      <c r="R19" s="620"/>
      <c r="S19" s="620"/>
      <c r="T19" s="620"/>
      <c r="U19" s="620"/>
      <c r="V19" s="620"/>
      <c r="W19" s="620"/>
      <c r="X19" s="620"/>
      <c r="Y19" s="620"/>
      <c r="Z19" s="620"/>
      <c r="AA19" s="620"/>
      <c r="AB19" s="620"/>
    </row>
    <row r="20" customFormat="false" ht="12.6" hidden="false" customHeight="true" outlineLevel="0" collapsed="false">
      <c r="B20" s="646" t="s">
        <v>497</v>
      </c>
      <c r="C20" s="485"/>
      <c r="D20" s="661"/>
      <c r="E20" s="661"/>
      <c r="F20" s="661"/>
      <c r="G20" s="661"/>
      <c r="H20" s="661"/>
      <c r="I20" s="661"/>
      <c r="J20" s="661"/>
      <c r="K20" s="661"/>
      <c r="L20" s="661"/>
      <c r="M20" s="661"/>
      <c r="N20" s="661"/>
      <c r="O20" s="661"/>
      <c r="P20" s="661"/>
      <c r="Q20" s="661"/>
      <c r="R20" s="661"/>
      <c r="S20" s="661"/>
      <c r="T20" s="661"/>
      <c r="U20" s="661"/>
      <c r="V20" s="661"/>
      <c r="W20" s="661"/>
      <c r="X20" s="661"/>
      <c r="Y20" s="661"/>
      <c r="Z20" s="661"/>
      <c r="AA20" s="661"/>
      <c r="AB20" s="662"/>
    </row>
    <row r="21" customFormat="false" ht="12.6" hidden="false" customHeight="true" outlineLevel="0" collapsed="false">
      <c r="B21" s="663" t="s">
        <v>498</v>
      </c>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5"/>
    </row>
    <row r="22" customFormat="false" ht="12.6" hidden="false" customHeight="true" outlineLevel="0" collapsed="false">
      <c r="B22" s="409" t="s">
        <v>499</v>
      </c>
      <c r="D22" s="431" t="n">
        <f aca="false">IF(D3&gt;'Project Assumtions'!$I$15+1,0,Operations!C35)</f>
        <v>9652.0375</v>
      </c>
      <c r="E22" s="431" t="n">
        <f aca="false">IF(E3&gt;'Project Assumtions'!$I$15+1,0,Operations!D35)</f>
        <v>16546.35</v>
      </c>
      <c r="F22" s="431" t="n">
        <f aca="false">IF(F3&gt;'Project Assumtions'!$I$15+1,0,Operations!E35)</f>
        <v>16546.35</v>
      </c>
      <c r="G22" s="431" t="n">
        <f aca="false">IF(G3&gt;'Project Assumtions'!$I$15+1,0,Operations!F35)</f>
        <v>17337.2126247083</v>
      </c>
      <c r="H22" s="431" t="n">
        <f aca="false">IF(H3&gt;'Project Assumtions'!$I$15+1,0,Operations!G35)</f>
        <v>17754.16314</v>
      </c>
      <c r="I22" s="431" t="n">
        <f aca="false">IF(I3&gt;'Project Assumtions'!$I$15+1,0,Operations!H35)</f>
        <v>17754.16314</v>
      </c>
      <c r="J22" s="431" t="n">
        <f aca="false">IF(J3&gt;'Project Assumtions'!$I$15+1,0,Operations!I35)</f>
        <v>17754.16314</v>
      </c>
      <c r="K22" s="431" t="n">
        <f aca="false">IF(K3&gt;'Project Assumtions'!$I$15+1,0,Operations!J35)</f>
        <v>17754.16314</v>
      </c>
      <c r="L22" s="431" t="n">
        <f aca="false">IF(L3&gt;'Project Assumtions'!$I$15+1,0,Operations!K35)</f>
        <v>17754.16314</v>
      </c>
      <c r="M22" s="431" t="n">
        <f aca="false">IF(M3&gt;'Project Assumtions'!$I$15+1,0,Operations!L35)</f>
        <v>17754.16314</v>
      </c>
      <c r="N22" s="431" t="n">
        <f aca="false">IF(N3&gt;'Project Assumtions'!$I$15+1,0,Operations!M35)</f>
        <v>17754.16314</v>
      </c>
      <c r="O22" s="431" t="n">
        <f aca="false">IF(O3&gt;'Project Assumtions'!$I$15+1,0,Operations!N35)</f>
        <v>17754.16314</v>
      </c>
      <c r="P22" s="431" t="n">
        <f aca="false">IF(P3&gt;'Project Assumtions'!$I$15+1,0,Operations!O35)</f>
        <v>17754.16314</v>
      </c>
      <c r="Q22" s="431" t="n">
        <f aca="false">IF(Q3&gt;'Project Assumtions'!$I$15+1,0,Operations!P35)</f>
        <v>17754.16314</v>
      </c>
      <c r="R22" s="431" t="n">
        <f aca="false">IF(R3&gt;'Project Assumtions'!$I$15+1,0,Operations!Q35)</f>
        <v>17754.16314</v>
      </c>
      <c r="S22" s="431" t="n">
        <f aca="false">IF(S3&gt;'Project Assumtions'!$I$15+1,0,Operations!R35)</f>
        <v>17754.16314</v>
      </c>
      <c r="T22" s="431" t="n">
        <f aca="false">IF(T3&gt;'Project Assumtions'!$I$15+1,0,Operations!S35)</f>
        <v>17754.16314</v>
      </c>
      <c r="U22" s="431" t="n">
        <f aca="false">IF(U3&gt;'Project Assumtions'!$I$15+1,0,Operations!T35)</f>
        <v>17754.16314</v>
      </c>
      <c r="V22" s="431" t="n">
        <f aca="false">IF(V3&gt;'Project Assumtions'!$I$15+1,0,Operations!U35)</f>
        <v>17754.16314</v>
      </c>
      <c r="W22" s="431" t="n">
        <f aca="false">IF(W3&gt;'Project Assumtions'!$I$15+1,0,Operations!V35)</f>
        <v>17754.16314</v>
      </c>
      <c r="X22" s="431" t="n">
        <f aca="false">IF(X3&gt;'Project Assumtions'!$I$15+1,0,Operations!W35)</f>
        <v>17754.16314</v>
      </c>
      <c r="Y22" s="431" t="n">
        <f aca="false">IF(Y3&gt;'Project Assumtions'!$I$15+1,0,Operations!X35)</f>
        <v>0</v>
      </c>
      <c r="Z22" s="431" t="n">
        <f aca="false">IF(Z3&gt;'Project Assumtions'!$I$15+1,0,Operations!Y35)</f>
        <v>0</v>
      </c>
      <c r="AA22" s="431" t="n">
        <f aca="false">IF(AA3&gt;'Project Assumtions'!$I$15+1,0,Operations!Z35)</f>
        <v>0</v>
      </c>
      <c r="AB22" s="432" t="n">
        <f aca="false">IF(AB3&gt;'Project Assumtions'!$I$15+1,0,Operations!AA35)</f>
        <v>0</v>
      </c>
    </row>
    <row r="23" customFormat="false" ht="12.6" hidden="false" customHeight="true" outlineLevel="0" collapsed="false">
      <c r="B23" s="409"/>
      <c r="D23" s="431"/>
      <c r="E23" s="431"/>
      <c r="F23" s="431"/>
      <c r="G23" s="431"/>
      <c r="H23" s="431"/>
      <c r="I23" s="431"/>
      <c r="J23" s="431"/>
      <c r="K23" s="431"/>
      <c r="L23" s="431"/>
      <c r="M23" s="431"/>
      <c r="N23" s="431"/>
      <c r="O23" s="431"/>
      <c r="P23" s="431"/>
      <c r="Q23" s="431"/>
      <c r="R23" s="431"/>
      <c r="S23" s="431"/>
      <c r="T23" s="431"/>
      <c r="U23" s="431"/>
      <c r="V23" s="431"/>
      <c r="W23" s="431"/>
      <c r="X23" s="431"/>
      <c r="Y23" s="431"/>
      <c r="Z23" s="431"/>
      <c r="AA23" s="431"/>
      <c r="AB23" s="432"/>
    </row>
    <row r="24" customFormat="false" ht="12.6" hidden="false" customHeight="true" outlineLevel="0" collapsed="false">
      <c r="A24" s="637" t="n">
        <v>3</v>
      </c>
      <c r="B24" s="664" t="s">
        <v>500</v>
      </c>
      <c r="D24" s="431" t="n">
        <f aca="false">IF(D3&gt;'Project Assumtions'!$I$15+1,0,WaterMWh*(Operations!C25+Operations!C27))*((1+OM_Escal)^(D4-'Project Assumtions'!$N$6))/1000</f>
        <v>192.8675</v>
      </c>
      <c r="E24" s="431" t="n">
        <f aca="false">IF(E3&gt;'Project Assumtions'!$I$15+1,0,WaterMWh*(Operations!D25+Operations!D27))*((1+OM_Escal)^(E4-'Project Assumtions'!$N$6))/1000</f>
        <v>340.5489</v>
      </c>
      <c r="F24" s="431" t="n">
        <f aca="false">IF(F3&gt;'Project Assumtions'!$I$15+1,0,WaterMWh*(Operations!E25+Operations!E27))*((1+OM_Escal)^(F4-'Project Assumtions'!$N$6))/1000</f>
        <v>350.765367</v>
      </c>
      <c r="G24" s="431" t="n">
        <f aca="false">IF(G3&gt;'Project Assumtions'!$I$15+1,0,WaterMWh*(Operations!F25+Operations!F27))*((1+OM_Escal)^(G4-'Project Assumtions'!$N$6))/1000</f>
        <v>378.556754905749</v>
      </c>
      <c r="H24" s="431" t="n">
        <f aca="false">IF(H3&gt;'Project Assumtions'!$I$15+1,0,WaterMWh*(Operations!G25+Operations!G27))*((1+OM_Escal)^(H4-'Project Assumtions'!$N$6))/1000</f>
        <v>399.290663714317</v>
      </c>
      <c r="I24" s="431" t="n">
        <f aca="false">IF(I3&gt;'Project Assumtions'!$I$15+1,0,WaterMWh*(Operations!H25+Operations!H27))*((1+OM_Escal)^(I4-'Project Assumtions'!$N$6))/1000</f>
        <v>411.269383625747</v>
      </c>
      <c r="J24" s="431" t="n">
        <f aca="false">IF(J3&gt;'Project Assumtions'!$I$15+1,0,WaterMWh*(Operations!I25+Operations!I27))*((1+OM_Escal)^(J4-'Project Assumtions'!$N$6))/1000</f>
        <v>423.607465134519</v>
      </c>
      <c r="K24" s="431" t="n">
        <f aca="false">IF(K3&gt;'Project Assumtions'!$I$15+1,0,WaterMWh*(Operations!J25+Operations!J27))*((1+OM_Escal)^(K4-'Project Assumtions'!$N$6))/1000</f>
        <v>436.315689088555</v>
      </c>
      <c r="L24" s="431" t="n">
        <f aca="false">IF(L3&gt;'Project Assumtions'!$I$15+1,0,WaterMWh*(Operations!K25+Operations!K27))*((1+OM_Escal)^(L4-'Project Assumtions'!$N$6))/1000</f>
        <v>449.405159761212</v>
      </c>
      <c r="M24" s="431" t="n">
        <f aca="false">IF(M3&gt;'Project Assumtions'!$I$15+1,0,WaterMWh*(Operations!L25+Operations!L27))*((1+OM_Escal)^(M4-'Project Assumtions'!$N$6))/1000</f>
        <v>462.887314554048</v>
      </c>
      <c r="N24" s="431" t="n">
        <f aca="false">IF(N3&gt;'Project Assumtions'!$I$15+1,0,WaterMWh*(Operations!M25+Operations!M27))*((1+OM_Escal)^(N4-'Project Assumtions'!$N$6))/1000</f>
        <v>476.773933990669</v>
      </c>
      <c r="O24" s="431" t="n">
        <f aca="false">IF(O3&gt;'Project Assumtions'!$I$15+1,0,WaterMWh*(Operations!N25+Operations!N27))*((1+OM_Escal)^(O4-'Project Assumtions'!$N$6))/1000</f>
        <v>491.077152010389</v>
      </c>
      <c r="P24" s="431" t="n">
        <f aca="false">IF(P3&gt;'Project Assumtions'!$I$15+1,0,WaterMWh*(Operations!O25+Operations!O27))*((1+OM_Escal)^(P4-'Project Assumtions'!$N$6))/1000</f>
        <v>505.809466570701</v>
      </c>
      <c r="Q24" s="431" t="n">
        <f aca="false">IF(Q3&gt;'Project Assumtions'!$I$15+1,0,WaterMWh*(Operations!P25+Operations!P27))*((1+OM_Escal)^(Q4-'Project Assumtions'!$N$6))/1000</f>
        <v>520.983750567822</v>
      </c>
      <c r="R24" s="431" t="n">
        <f aca="false">IF(R3&gt;'Project Assumtions'!$I$15+1,0,WaterMWh*(Operations!Q25+Operations!Q27))*((1+OM_Escal)^(R4-'Project Assumtions'!$N$6))/1000</f>
        <v>536.613263084857</v>
      </c>
      <c r="S24" s="431" t="n">
        <f aca="false">IF(S3&gt;'Project Assumtions'!$I$15+1,0,WaterMWh*(Operations!R25+Operations!R27))*((1+OM_Escal)^(S4-'Project Assumtions'!$N$6))/1000</f>
        <v>552.711660977403</v>
      </c>
      <c r="T24" s="431" t="n">
        <f aca="false">IF(T3&gt;'Project Assumtions'!$I$15+1,0,WaterMWh*(Operations!S25+Operations!S27))*((1+OM_Escal)^(T4-'Project Assumtions'!$N$6))/1000</f>
        <v>569.293010806725</v>
      </c>
      <c r="U24" s="431" t="n">
        <f aca="false">IF(U3&gt;'Project Assumtions'!$I$15+1,0,WaterMWh*(Operations!T25+Operations!T27))*((1+OM_Escal)^(U4-'Project Assumtions'!$N$6))/1000</f>
        <v>586.371801130926</v>
      </c>
      <c r="V24" s="431" t="n">
        <f aca="false">IF(V3&gt;'Project Assumtions'!$I$15+1,0,WaterMWh*(Operations!U25+Operations!U27))*((1+OM_Escal)^(V4-'Project Assumtions'!$N$6))/1000</f>
        <v>603.962955164854</v>
      </c>
      <c r="W24" s="431" t="n">
        <f aca="false">IF(W3&gt;'Project Assumtions'!$I$15+1,0,WaterMWh*(Operations!V25+Operations!V27))*((1+OM_Escal)^(W4-'Project Assumtions'!$N$6))/1000</f>
        <v>622.0818438198</v>
      </c>
      <c r="X24" s="431" t="n">
        <f aca="false">IF(X3&gt;'Project Assumtions'!$I$15+1,0,WaterMWh*(Operations!W25+Operations!W27))*((1+OM_Escal)^(X4-'Project Assumtions'!$N$6))/1000</f>
        <v>640.744299134394</v>
      </c>
      <c r="Y24" s="431" t="n">
        <f aca="false">IF(Y3&gt;'Project Assumtions'!$I$15+1,0,WaterMWh*(Operations!X25+Operations!X27))*((1+OM_Escal)^(Y4-'Project Assumtions'!$N$6))/1000</f>
        <v>0</v>
      </c>
      <c r="Z24" s="431" t="n">
        <f aca="false">IF(Z3&gt;'Project Assumtions'!$I$15+1,0,WaterMWh*(Operations!Y25+Operations!Y27))*((1+OM_Escal)^(Z4-'Project Assumtions'!$N$6))/1000</f>
        <v>0</v>
      </c>
      <c r="AA24" s="431" t="n">
        <f aca="false">IF(AA3&gt;'Project Assumtions'!$I$15+1,0,WaterMWh*(Operations!Z25+Operations!Z27))*((1+OM_Escal)^(AA4-'Project Assumtions'!$N$6))/1000</f>
        <v>0</v>
      </c>
      <c r="AB24" s="432" t="n">
        <f aca="false">IF(AB3&gt;'Project Assumtions'!$I$15+1,0,WaterMWh*(Operations!AA25+Operations!AA27))*((1+OM_Escal)^(AB4-'Project Assumtions'!$N$6))/1000</f>
        <v>0</v>
      </c>
    </row>
    <row r="25" customFormat="false" ht="12.6" hidden="false" customHeight="true" outlineLevel="0" collapsed="false">
      <c r="A25" s="637" t="n">
        <v>3</v>
      </c>
      <c r="B25" s="664" t="s">
        <v>501</v>
      </c>
      <c r="D25" s="431" t="n">
        <f aca="false">IF(D3&gt;'Project Assumtions'!$I$15+1,0,FercMWh*(Operations!C25+Operations!C27))*((1+OM_Escal)^(D4-'Project Assumtions'!$N$6))/1000</f>
        <v>16.9435</v>
      </c>
      <c r="E25" s="431" t="n">
        <f aca="false">IF(E3&gt;'Project Assumtions'!$I$15+1,0,FercMWh*(Operations!D25+Operations!D27))*((1+OM_Escal)^(E4-'Project Assumtions'!$N$6))/1000</f>
        <v>29.91738</v>
      </c>
      <c r="F25" s="431" t="n">
        <f aca="false">IF(F3&gt;'Project Assumtions'!$I$15+1,0,FercMWh*(Operations!E25+Operations!E27))*((1+OM_Escal)^(F4-'Project Assumtions'!$N$6))/1000</f>
        <v>30.8149014</v>
      </c>
      <c r="G25" s="431" t="n">
        <f aca="false">IF(G3&gt;'Project Assumtions'!$I$15+1,0,FercMWh*(Operations!F25+Operations!F27))*((1+OM_Escal)^(G4-'Project Assumtions'!$N$6))/1000</f>
        <v>33.2563878141499</v>
      </c>
      <c r="H25" s="431" t="n">
        <f aca="false">IF(H3&gt;'Project Assumtions'!$I$15+1,0,FercMWh*(Operations!G25+Operations!G27))*((1+OM_Escal)^(H4-'Project Assumtions'!$N$6))/1000</f>
        <v>35.0778713917251</v>
      </c>
      <c r="I25" s="431" t="n">
        <f aca="false">IF(I3&gt;'Project Assumtions'!$I$15+1,0,FercMWh*(Operations!H25+Operations!H27))*((1+OM_Escal)^(I4-'Project Assumtions'!$N$6))/1000</f>
        <v>36.1302075334768</v>
      </c>
      <c r="J25" s="431" t="n">
        <f aca="false">IF(J3&gt;'Project Assumtions'!$I$15+1,0,FercMWh*(Operations!I25+Operations!I27))*((1+OM_Escal)^(J4-'Project Assumtions'!$N$6))/1000</f>
        <v>37.2141137594811</v>
      </c>
      <c r="K25" s="431" t="n">
        <f aca="false">IF(K3&gt;'Project Assumtions'!$I$15+1,0,FercMWh*(Operations!J25+Operations!J27))*((1+OM_Escal)^(K4-'Project Assumtions'!$N$6))/1000</f>
        <v>38.3305371722656</v>
      </c>
      <c r="L25" s="431" t="n">
        <f aca="false">IF(L3&gt;'Project Assumtions'!$I$15+1,0,FercMWh*(Operations!K25+Operations!K27))*((1+OM_Escal)^(L4-'Project Assumtions'!$N$6))/1000</f>
        <v>39.4804532874335</v>
      </c>
      <c r="M25" s="431" t="n">
        <f aca="false">IF(M3&gt;'Project Assumtions'!$I$15+1,0,FercMWh*(Operations!L25+Operations!L27))*((1+OM_Escal)^(M4-'Project Assumtions'!$N$6))/1000</f>
        <v>40.6648668860565</v>
      </c>
      <c r="N25" s="431" t="n">
        <f aca="false">IF(N3&gt;'Project Assumtions'!$I$15+1,0,FercMWh*(Operations!M25+Operations!M27))*((1+OM_Escal)^(N4-'Project Assumtions'!$N$6))/1000</f>
        <v>41.8848128926382</v>
      </c>
      <c r="O25" s="431" t="n">
        <f aca="false">IF(O3&gt;'Project Assumtions'!$I$15+1,0,FercMWh*(Operations!N25+Operations!N27))*((1+OM_Escal)^(O4-'Project Assumtions'!$N$6))/1000</f>
        <v>43.1413572794174</v>
      </c>
      <c r="P25" s="431" t="n">
        <f aca="false">IF(P3&gt;'Project Assumtions'!$I$15+1,0,FercMWh*(Operations!O25+Operations!O27))*((1+OM_Escal)^(P4-'Project Assumtions'!$N$6))/1000</f>
        <v>44.4355979977999</v>
      </c>
      <c r="Q25" s="431" t="n">
        <f aca="false">IF(Q3&gt;'Project Assumtions'!$I$15+1,0,FercMWh*(Operations!P25+Operations!P27))*((1+OM_Escal)^(Q4-'Project Assumtions'!$N$6))/1000</f>
        <v>45.7686659377339</v>
      </c>
      <c r="R25" s="431" t="n">
        <f aca="false">IF(R3&gt;'Project Assumtions'!$I$15+1,0,FercMWh*(Operations!Q25+Operations!Q27))*((1+OM_Escal)^(R4-'Project Assumtions'!$N$6))/1000</f>
        <v>47.1417259158659</v>
      </c>
      <c r="S25" s="431" t="n">
        <f aca="false">IF(S3&gt;'Project Assumtions'!$I$15+1,0,FercMWh*(Operations!R25+Operations!R27))*((1+OM_Escal)^(S4-'Project Assumtions'!$N$6))/1000</f>
        <v>48.5559776933419</v>
      </c>
      <c r="T25" s="431" t="n">
        <f aca="false">IF(T3&gt;'Project Assumtions'!$I$15+1,0,FercMWh*(Operations!S25+Operations!S27))*((1+OM_Escal)^(T4-'Project Assumtions'!$N$6))/1000</f>
        <v>50.0126570241422</v>
      </c>
      <c r="U25" s="431" t="n">
        <f aca="false">IF(U3&gt;'Project Assumtions'!$I$15+1,0,FercMWh*(Operations!T25+Operations!T27))*((1+OM_Escal)^(U4-'Project Assumtions'!$N$6))/1000</f>
        <v>51.5130367348664</v>
      </c>
      <c r="V25" s="431" t="n">
        <f aca="false">IF(V3&gt;'Project Assumtions'!$I$15+1,0,FercMWh*(Operations!U25+Operations!U27))*((1+OM_Escal)^(V4-'Project Assumtions'!$N$6))/1000</f>
        <v>53.0584278369124</v>
      </c>
      <c r="W25" s="431" t="n">
        <f aca="false">IF(W3&gt;'Project Assumtions'!$I$15+1,0,FercMWh*(Operations!V25+Operations!V27))*((1+OM_Escal)^(W4-'Project Assumtions'!$N$6))/1000</f>
        <v>54.6501806720198</v>
      </c>
      <c r="X25" s="431" t="n">
        <f aca="false">IF(X3&gt;'Project Assumtions'!$I$15+1,0,FercMWh*(Operations!W25+Operations!W27))*((1+OM_Escal)^(X4-'Project Assumtions'!$N$6))/1000</f>
        <v>56.2896860921804</v>
      </c>
      <c r="Y25" s="431" t="n">
        <f aca="false">IF(Y3&gt;'Project Assumtions'!$I$15+1,0,FercMWh*(Operations!X25+Operations!X27))*((1+OM_Escal)^(Y4-'Project Assumtions'!$N$6))/1000</f>
        <v>0</v>
      </c>
      <c r="Z25" s="431" t="n">
        <f aca="false">IF(Z3&gt;'Project Assumtions'!$I$15+1,0,FercMWh*(Operations!Y25+Operations!Y27))*((1+OM_Escal)^(Z4-'Project Assumtions'!$N$6))/1000</f>
        <v>0</v>
      </c>
      <c r="AA25" s="431" t="n">
        <f aca="false">IF(AA3&gt;'Project Assumtions'!$I$15+1,0,FercMWh*(Operations!Z25+Operations!Z27))*((1+OM_Escal)^(AA4-'Project Assumtions'!$N$6))/1000</f>
        <v>0</v>
      </c>
      <c r="AB25" s="432" t="n">
        <f aca="false">IF(AB3&gt;'Project Assumtions'!$I$15+1,0,FercMWh*(Operations!AA25+Operations!AA27))*((1+OM_Escal)^(AB4-'Project Assumtions'!$N$6))/1000</f>
        <v>0</v>
      </c>
    </row>
    <row r="26" customFormat="false" ht="12.6" hidden="false" customHeight="true" outlineLevel="0" collapsed="false">
      <c r="A26" s="637" t="n">
        <v>3</v>
      </c>
      <c r="B26" s="664" t="s">
        <v>502</v>
      </c>
      <c r="D26" s="437" t="n">
        <f aca="false">IF(D3&gt;'Project Assumtions'!$I$15+1,0,MainMWh*(Operations!C25+Operations!C27))*((1+OM_Escal)^(D4-'Project Assumtions'!$N$6))/1000</f>
        <v>184.455833333333</v>
      </c>
      <c r="E26" s="437" t="n">
        <f aca="false">IF(E3&gt;'Project Assumtions'!$I$15+1,0,MainMWh*(Operations!D25+Operations!D27))*((1+OM_Escal)^(E4-'Project Assumtions'!$N$6))/1000</f>
        <v>325.6963</v>
      </c>
      <c r="F26" s="437" t="n">
        <f aca="false">IF(F3&gt;'Project Assumtions'!$I$15+1,0,MainMWh*(Operations!E25+Operations!E27))*((1+OM_Escal)^(F4-'Project Assumtions'!$N$6))/1000</f>
        <v>335.467189</v>
      </c>
      <c r="G26" s="437" t="n">
        <f aca="false">IF(G3&gt;'Project Assumtions'!$I$15+1,0,MainMWh*(Operations!F25+Operations!F27))*((1+OM_Escal)^(G4-'Project Assumtions'!$N$6))/1000</f>
        <v>362.046491451916</v>
      </c>
      <c r="H26" s="437" t="n">
        <f aca="false">IF(H3&gt;'Project Assumtions'!$I$15+1,0,MainMWh*(Operations!G25+Operations!G27))*((1+OM_Escal)^(H4-'Project Assumtions'!$N$6))/1000</f>
        <v>381.876117633319</v>
      </c>
      <c r="I26" s="437" t="n">
        <f aca="false">IF(I3&gt;'Project Assumtions'!$I$15+1,0,MainMWh*(Operations!H25+Operations!H27))*((1+OM_Escal)^(I4-'Project Assumtions'!$N$6))/1000</f>
        <v>393.332401162319</v>
      </c>
      <c r="J26" s="437" t="n">
        <f aca="false">IF(J3&gt;'Project Assumtions'!$I$15+1,0,MainMWh*(Operations!I25+Operations!I27))*((1+OM_Escal)^(J4-'Project Assumtions'!$N$6))/1000</f>
        <v>405.132373197188</v>
      </c>
      <c r="K26" s="437" t="n">
        <f aca="false">IF(K3&gt;'Project Assumtions'!$I$15+1,0,MainMWh*(Operations!J25+Operations!J27))*((1+OM_Escal)^(K4-'Project Assumtions'!$N$6))/1000</f>
        <v>417.286344393104</v>
      </c>
      <c r="L26" s="437" t="n">
        <f aca="false">IF(L3&gt;'Project Assumtions'!$I$15+1,0,MainMWh*(Operations!K25+Operations!K27))*((1+OM_Escal)^(L4-'Project Assumtions'!$N$6))/1000</f>
        <v>429.804934724897</v>
      </c>
      <c r="M26" s="437" t="n">
        <f aca="false">IF(M3&gt;'Project Assumtions'!$I$15+1,0,MainMWh*(Operations!L25+Operations!L27))*((1+OM_Escal)^(M4-'Project Assumtions'!$N$6))/1000</f>
        <v>442.699082766644</v>
      </c>
      <c r="N26" s="437" t="n">
        <f aca="false">IF(N3&gt;'Project Assumtions'!$I$15+1,0,MainMWh*(Operations!M25+Operations!M27))*((1+OM_Escal)^(N4-'Project Assumtions'!$N$6))/1000</f>
        <v>455.980055249643</v>
      </c>
      <c r="O26" s="437" t="n">
        <f aca="false">IF(O3&gt;'Project Assumtions'!$I$15+1,0,MainMWh*(Operations!N25+Operations!N27))*((1+OM_Escal)^(O4-'Project Assumtions'!$N$6))/1000</f>
        <v>469.659456907132</v>
      </c>
      <c r="P26" s="437" t="n">
        <f aca="false">IF(P3&gt;'Project Assumtions'!$I$15+1,0,MainMWh*(Operations!O25+Operations!O27))*((1+OM_Escal)^(P4-'Project Assumtions'!$N$6))/1000</f>
        <v>483.749240614346</v>
      </c>
      <c r="Q26" s="437" t="n">
        <f aca="false">IF(Q3&gt;'Project Assumtions'!$I$15+1,0,MainMWh*(Operations!P25+Operations!P27))*((1+OM_Escal)^(Q4-'Project Assumtions'!$N$6))/1000</f>
        <v>498.261717832777</v>
      </c>
      <c r="R26" s="437" t="n">
        <f aca="false">IF(R3&gt;'Project Assumtions'!$I$15+1,0,MainMWh*(Operations!Q25+Operations!Q27))*((1+OM_Escal)^(R4-'Project Assumtions'!$N$6))/1000</f>
        <v>513.20956936776</v>
      </c>
      <c r="S26" s="437" t="n">
        <f aca="false">IF(S3&gt;'Project Assumtions'!$I$15+1,0,MainMWh*(Operations!R25+Operations!R27))*((1+OM_Escal)^(S4-'Project Assumtions'!$N$6))/1000</f>
        <v>528.605856448793</v>
      </c>
      <c r="T26" s="437" t="n">
        <f aca="false">IF(T3&gt;'Project Assumtions'!$I$15+1,0,MainMWh*(Operations!S25+Operations!S27))*((1+OM_Escal)^(T4-'Project Assumtions'!$N$6))/1000</f>
        <v>544.464032142257</v>
      </c>
      <c r="U26" s="437" t="n">
        <f aca="false">IF(U3&gt;'Project Assumtions'!$I$15+1,0,MainMWh*(Operations!T25+Operations!T27))*((1+OM_Escal)^(U4-'Project Assumtions'!$N$6))/1000</f>
        <v>560.797953106525</v>
      </c>
      <c r="V26" s="437" t="n">
        <f aca="false">IF(V3&gt;'Project Assumtions'!$I$15+1,0,MainMWh*(Operations!U25+Operations!U27))*((1+OM_Escal)^(V4-'Project Assumtions'!$N$6))/1000</f>
        <v>577.62189169972</v>
      </c>
      <c r="W26" s="437" t="n">
        <f aca="false">IF(W3&gt;'Project Assumtions'!$I$15+1,0,MainMWh*(Operations!V25+Operations!V27))*((1+OM_Escal)^(W4-'Project Assumtions'!$N$6))/1000</f>
        <v>594.950548450712</v>
      </c>
      <c r="X26" s="437" t="n">
        <f aca="false">IF(X3&gt;'Project Assumtions'!$I$15+1,0,MainMWh*(Operations!W25+Operations!W27))*((1+OM_Escal)^(X4-'Project Assumtions'!$N$6))/1000</f>
        <v>612.799064904233</v>
      </c>
      <c r="Y26" s="437" t="n">
        <f aca="false">IF(Y3&gt;'Project Assumtions'!$I$15+1,0,MainMWh*(Operations!X25+Operations!X27))*((1+OM_Escal)^(Y4-'Project Assumtions'!$N$6))/1000</f>
        <v>0</v>
      </c>
      <c r="Z26" s="437" t="n">
        <f aca="false">IF(Z3&gt;'Project Assumtions'!$I$15+1,0,MainMWh*(Operations!Y25+Operations!Y27))*((1+OM_Escal)^(Z4-'Project Assumtions'!$N$6))/1000</f>
        <v>0</v>
      </c>
      <c r="AA26" s="437" t="n">
        <f aca="false">IF(AA3&gt;'Project Assumtions'!$I$15+1,0,MainMWh*(Operations!Z25+Operations!Z27))*((1+OM_Escal)^(AA4-'Project Assumtions'!$N$6))/1000</f>
        <v>0</v>
      </c>
      <c r="AB26" s="665" t="n">
        <f aca="false">IF(AB3&gt;'Project Assumtions'!$I$15+1,0,MainMWh*(Operations!AA25+Operations!AA27))*((1+OM_Escal)^(AB4-'Project Assumtions'!$N$6))/1000</f>
        <v>0</v>
      </c>
    </row>
    <row r="27" customFormat="false" ht="12.6" hidden="false" customHeight="true" outlineLevel="0" collapsed="false">
      <c r="B27" s="663" t="s">
        <v>503</v>
      </c>
      <c r="C27" s="481" t="n">
        <f aca="false">AVERAGE(D27:W27)</f>
        <v>951.714154231</v>
      </c>
      <c r="D27" s="666" t="n">
        <f aca="false">SUM(D24:D26)</f>
        <v>394.266833333333</v>
      </c>
      <c r="E27" s="666" t="n">
        <f aca="false">SUM(E24:E26)</f>
        <v>696.16258</v>
      </c>
      <c r="F27" s="666" t="n">
        <f aca="false">SUM(F24:F26)</f>
        <v>717.0474574</v>
      </c>
      <c r="G27" s="666" t="n">
        <f aca="false">SUM(G24:G26)</f>
        <v>773.859634171814</v>
      </c>
      <c r="H27" s="666" t="n">
        <f aca="false">SUM(H24:H26)</f>
        <v>816.244652739361</v>
      </c>
      <c r="I27" s="666" t="n">
        <f aca="false">SUM(I24:I26)</f>
        <v>840.731992321542</v>
      </c>
      <c r="J27" s="666" t="n">
        <f aca="false">SUM(J24:J26)</f>
        <v>865.953952091188</v>
      </c>
      <c r="K27" s="666" t="n">
        <f aca="false">SUM(K24:K26)</f>
        <v>891.932570653924</v>
      </c>
      <c r="L27" s="666" t="n">
        <f aca="false">SUM(L24:L26)</f>
        <v>918.690547773542</v>
      </c>
      <c r="M27" s="666" t="n">
        <f aca="false">SUM(M24:M26)</f>
        <v>946.251264206748</v>
      </c>
      <c r="N27" s="666" t="n">
        <f aca="false">SUM(N24:N26)</f>
        <v>974.638802132951</v>
      </c>
      <c r="O27" s="666" t="n">
        <f aca="false">SUM(O24:O26)</f>
        <v>1003.87796619694</v>
      </c>
      <c r="P27" s="666" t="n">
        <f aca="false">SUM(P24:P26)</f>
        <v>1033.99430518285</v>
      </c>
      <c r="Q27" s="666" t="n">
        <f aca="false">SUM(Q24:Q26)</f>
        <v>1065.01413433833</v>
      </c>
      <c r="R27" s="666" t="n">
        <f aca="false">SUM(R24:R26)</f>
        <v>1096.96455836848</v>
      </c>
      <c r="S27" s="666" t="n">
        <f aca="false">SUM(S24:S26)</f>
        <v>1129.87349511954</v>
      </c>
      <c r="T27" s="666" t="n">
        <f aca="false">SUM(T24:T26)</f>
        <v>1163.76969997312</v>
      </c>
      <c r="U27" s="666" t="n">
        <f aca="false">SUM(U24:U26)</f>
        <v>1198.68279097232</v>
      </c>
      <c r="V27" s="666" t="n">
        <f aca="false">SUM(V24:V26)</f>
        <v>1234.64327470149</v>
      </c>
      <c r="W27" s="666" t="n">
        <f aca="false">SUM(W24:W26)</f>
        <v>1271.68257294253</v>
      </c>
      <c r="X27" s="666" t="n">
        <f aca="false">SUM(X24:X26)</f>
        <v>1309.83305013081</v>
      </c>
      <c r="Y27" s="666" t="n">
        <f aca="false">SUM(Y24:Y26)</f>
        <v>0</v>
      </c>
      <c r="Z27" s="666" t="n">
        <f aca="false">SUM(Z24:Z26)</f>
        <v>0</v>
      </c>
      <c r="AA27" s="666" t="n">
        <f aca="false">SUM(AA24:AA26)</f>
        <v>0</v>
      </c>
      <c r="AB27" s="667" t="n">
        <f aca="false">SUM(AB24:AB26)</f>
        <v>0</v>
      </c>
    </row>
    <row r="28" customFormat="false" ht="12.6" hidden="false" customHeight="true" outlineLevel="0" collapsed="false">
      <c r="B28" s="663" t="s">
        <v>504</v>
      </c>
      <c r="D28" s="668" t="n">
        <f aca="false">D22+D27</f>
        <v>10046.3043333333</v>
      </c>
      <c r="E28" s="668" t="n">
        <f aca="false">E22+E27</f>
        <v>17242.51258</v>
      </c>
      <c r="F28" s="668" t="n">
        <f aca="false">F22+F27</f>
        <v>17263.3974574</v>
      </c>
      <c r="G28" s="668" t="n">
        <f aca="false">G22+G27</f>
        <v>18111.0722588802</v>
      </c>
      <c r="H28" s="668" t="n">
        <f aca="false">H22+H27</f>
        <v>18570.4077927394</v>
      </c>
      <c r="I28" s="668" t="n">
        <f aca="false">I22+I27</f>
        <v>18594.8951323215</v>
      </c>
      <c r="J28" s="668" t="n">
        <f aca="false">J22+J27</f>
        <v>18620.1170920912</v>
      </c>
      <c r="K28" s="668" t="n">
        <f aca="false">K22+K27</f>
        <v>18646.0957106539</v>
      </c>
      <c r="L28" s="668" t="n">
        <f aca="false">L22+L27</f>
        <v>18672.8536877735</v>
      </c>
      <c r="M28" s="668" t="n">
        <f aca="false">M22+M27</f>
        <v>18700.4144042068</v>
      </c>
      <c r="N28" s="668" t="n">
        <f aca="false">N22+N27</f>
        <v>18728.801942133</v>
      </c>
      <c r="O28" s="668" t="n">
        <f aca="false">O22+O27</f>
        <v>18758.0411061969</v>
      </c>
      <c r="P28" s="668" t="n">
        <f aca="false">P22+P27</f>
        <v>18788.1574451829</v>
      </c>
      <c r="Q28" s="668" t="n">
        <f aca="false">Q22+Q27</f>
        <v>18819.1772743383</v>
      </c>
      <c r="R28" s="668" t="n">
        <f aca="false">R22+R27</f>
        <v>18851.1276983685</v>
      </c>
      <c r="S28" s="668" t="n">
        <f aca="false">S22+S27</f>
        <v>18884.0366351195</v>
      </c>
      <c r="T28" s="668" t="n">
        <f aca="false">T22+T27</f>
        <v>18917.9328399731</v>
      </c>
      <c r="U28" s="668" t="n">
        <f aca="false">U22+U27</f>
        <v>18952.8459309723</v>
      </c>
      <c r="V28" s="668" t="n">
        <f aca="false">V22+V27</f>
        <v>18988.8064147015</v>
      </c>
      <c r="W28" s="668" t="n">
        <f aca="false">W22+W27</f>
        <v>19025.8457129425</v>
      </c>
      <c r="X28" s="668" t="n">
        <f aca="false">X22+X27</f>
        <v>19063.9961901308</v>
      </c>
      <c r="Y28" s="668" t="n">
        <f aca="false">Y22+Y27</f>
        <v>0</v>
      </c>
      <c r="Z28" s="668" t="n">
        <f aca="false">Z22+Z27</f>
        <v>0</v>
      </c>
      <c r="AA28" s="668" t="n">
        <f aca="false">AA22+AA27</f>
        <v>0</v>
      </c>
      <c r="AB28" s="669" t="n">
        <f aca="false">AB22+AB27</f>
        <v>0</v>
      </c>
    </row>
    <row r="29" customFormat="false" ht="12.6" hidden="false" customHeight="true" outlineLevel="0" collapsed="false">
      <c r="B29" s="663"/>
      <c r="D29" s="410"/>
      <c r="AB29" s="531"/>
    </row>
    <row r="30" customFormat="false" ht="12.6" hidden="false" customHeight="true" outlineLevel="0" collapsed="false">
      <c r="B30" s="663" t="s">
        <v>505</v>
      </c>
      <c r="D30" s="410"/>
      <c r="AB30" s="531"/>
    </row>
    <row r="31" customFormat="false" ht="12.6" hidden="false" customHeight="true" outlineLevel="0" collapsed="false">
      <c r="A31" s="637" t="n">
        <v>5</v>
      </c>
      <c r="B31" s="409" t="s">
        <v>506</v>
      </c>
      <c r="C31" s="670" t="n">
        <f aca="false">AVERAGE(D31:W31)</f>
        <v>2876.1403964017</v>
      </c>
      <c r="D31" s="431" t="n">
        <f aca="false">IF(D3&gt;ProjectLife+1,0,Main_Start*'Project Assumtions'!$L$15*((1+Main_Escal)^(D4-'Project Assumtions'!$N$6))/1000)</f>
        <v>2140.752</v>
      </c>
      <c r="E31" s="431" t="n">
        <f aca="false">IF(E3&gt;ProjectLife+1,0,Main_Start*'Project Assumtions'!$L$15*((1+Main_Escal)^(E4-'Project Assumtions'!$N$6))/1000)</f>
        <v>2204.97456</v>
      </c>
      <c r="F31" s="431" t="n">
        <f aca="false">IF(F3&gt;ProjectLife+1,0,Main_Start*'Project Assumtions'!$L$15*((1+Main_Escal)^(F4-'Project Assumtions'!$N$6))/1000)</f>
        <v>2271.1237968</v>
      </c>
      <c r="G31" s="431" t="n">
        <f aca="false">IF(G3&gt;ProjectLife+1,0,Main_Start*'Project Assumtions'!$L$15*((1+Main_Escal)^(G4-'Project Assumtions'!$N$6))/1000)</f>
        <v>2339.257510704</v>
      </c>
      <c r="H31" s="431" t="n">
        <f aca="false">IF(H3&gt;ProjectLife+1,0,Main_Start*'Project Assumtions'!$L$15*((1+Main_Escal)^(H4-'Project Assumtions'!$N$6))/1000)</f>
        <v>2409.43523602512</v>
      </c>
      <c r="I31" s="431" t="n">
        <f aca="false">IF(I3&gt;ProjectLife+1,0,Main_Start*'Project Assumtions'!$L$15*((1+Main_Escal)^(I4-'Project Assumtions'!$N$6))/1000)</f>
        <v>2481.71829310587</v>
      </c>
      <c r="J31" s="431" t="n">
        <f aca="false">IF(J3&gt;ProjectLife+1,0,Main_Start*'Project Assumtions'!$L$15*((1+Main_Escal)^(J4-'Project Assumtions'!$N$6))/1000)</f>
        <v>2556.16984189905</v>
      </c>
      <c r="K31" s="431" t="n">
        <f aca="false">IF(K3&gt;ProjectLife+1,0,Main_Start*'Project Assumtions'!$L$15*((1+Main_Escal)^(K4-'Project Assumtions'!$N$6))/1000)</f>
        <v>2632.85493715602</v>
      </c>
      <c r="L31" s="431" t="n">
        <f aca="false">IF(L3&gt;ProjectLife+1,0,Main_Start*'Project Assumtions'!$L$15*((1+Main_Escal)^(L4-'Project Assumtions'!$N$6))/1000)</f>
        <v>2711.8405852707</v>
      </c>
      <c r="M31" s="431" t="n">
        <f aca="false">IF(M3&gt;ProjectLife+1,0,Main_Start*'Project Assumtions'!$L$15*((1+Main_Escal)^(M4-'Project Assumtions'!$N$6))/1000)</f>
        <v>2793.19580282882</v>
      </c>
      <c r="N31" s="431" t="n">
        <f aca="false">IF(N3&gt;ProjectLife+1,0,Main_Start*'Project Assumtions'!$L$15*((1+Main_Escal)^(N4-'Project Assumtions'!$N$6))/1000)</f>
        <v>2876.99167691369</v>
      </c>
      <c r="O31" s="431" t="n">
        <f aca="false">IF(O3&gt;ProjectLife+1,0,Main_Start*'Project Assumtions'!$L$15*((1+Main_Escal)^(O4-'Project Assumtions'!$N$6))/1000)</f>
        <v>2963.3014272211</v>
      </c>
      <c r="P31" s="431" t="n">
        <f aca="false">IF(P3&gt;ProjectLife+1,0,Main_Start*'Project Assumtions'!$L$15*((1+Main_Escal)^(P4-'Project Assumtions'!$N$6))/1000)</f>
        <v>3052.20047003773</v>
      </c>
      <c r="Q31" s="431" t="n">
        <f aca="false">IF(Q3&gt;ProjectLife+1,0,Main_Start*'Project Assumtions'!$L$15*((1+Main_Escal)^(Q4-'Project Assumtions'!$N$6))/1000)</f>
        <v>3143.76648413886</v>
      </c>
      <c r="R31" s="431" t="n">
        <f aca="false">IF(R3&gt;ProjectLife+1,0,Main_Start*'Project Assumtions'!$L$15*((1+Main_Escal)^(R4-'Project Assumtions'!$N$6))/1000)</f>
        <v>3238.07947866303</v>
      </c>
      <c r="S31" s="431" t="n">
        <f aca="false">IF(S3&gt;ProjectLife+1,0,Main_Start*'Project Assumtions'!$L$15*((1+Main_Escal)^(S4-'Project Assumtions'!$N$6))/1000)</f>
        <v>3335.22186302292</v>
      </c>
      <c r="T31" s="431" t="n">
        <f aca="false">IF(T3&gt;ProjectLife+1,0,Main_Start*'Project Assumtions'!$L$15*((1+Main_Escal)^(T4-'Project Assumtions'!$N$6))/1000)</f>
        <v>3435.27851891361</v>
      </c>
      <c r="U31" s="431" t="n">
        <f aca="false">IF(U3&gt;ProjectLife+1,0,Main_Start*'Project Assumtions'!$L$15*((1+Main_Escal)^(U4-'Project Assumtions'!$N$6))/1000)</f>
        <v>3538.33687448102</v>
      </c>
      <c r="V31" s="431" t="n">
        <f aca="false">IF(V3&gt;ProjectLife+1,0,Main_Start*'Project Assumtions'!$L$15*((1+Main_Escal)^(V4-'Project Assumtions'!$N$6))/1000)</f>
        <v>3644.48698071545</v>
      </c>
      <c r="W31" s="431" t="n">
        <f aca="false">IF(W3&gt;ProjectLife+1,0,Main_Start*'Project Assumtions'!$L$15*((1+Main_Escal)^(W4-'Project Assumtions'!$N$6))/1000)</f>
        <v>3753.82159013691</v>
      </c>
      <c r="X31" s="431" t="n">
        <f aca="false">IF(X3&gt;ProjectLife+1,0,Main_Start*'Project Assumtions'!$L$15*((1+Main_Escal)^(X4-'Project Assumtions'!$N$6))/1000)</f>
        <v>3866.43623784102</v>
      </c>
      <c r="Y31" s="431" t="n">
        <f aca="false">IF(Y3&gt;ProjectLife+1,0,Main_Start*'Project Assumtions'!$L$15*((1+Main_Escal)^(Y4-'Project Assumtions'!$N$6))/1000)</f>
        <v>0</v>
      </c>
      <c r="Z31" s="431" t="n">
        <f aca="false">IF(Z3&gt;ProjectLife+1,0,Main_Start*'Project Assumtions'!$L$15*((1+Main_Escal)^(Z4-'Project Assumtions'!$N$6))/1000)</f>
        <v>0</v>
      </c>
      <c r="AA31" s="431" t="n">
        <f aca="false">IF(AA3&gt;ProjectLife+1,0,Main_Start*'Project Assumtions'!$L$15*((1+Main_Escal)^(AA4-'Project Assumtions'!$N$6))/1000)</f>
        <v>0</v>
      </c>
      <c r="AB31" s="432" t="n">
        <f aca="false">IF(AB3&gt;ProjectLife+1,0,Main_Start*'Project Assumtions'!$L$15*((1+Main_Escal)^(AB4-'Project Assumtions'!$N$6))/1000)</f>
        <v>0</v>
      </c>
    </row>
    <row r="32" customFormat="false" ht="12.6" hidden="false" customHeight="true" outlineLevel="0" collapsed="false">
      <c r="A32" s="637" t="n">
        <v>4</v>
      </c>
      <c r="B32" s="664" t="s">
        <v>507</v>
      </c>
      <c r="C32" s="671" t="n">
        <f aca="false">AVERAGE(D32:W32)</f>
        <v>0</v>
      </c>
      <c r="D32" s="437" t="n">
        <f aca="false">IF(D3&gt;ProjectLife+1,0,Fuel_Start*'Project Assumtions'!$L$16/1000)</f>
        <v>0</v>
      </c>
      <c r="E32" s="437" t="n">
        <f aca="false">IF(E3&gt;ProjectLife+1,0,Fuel_Start*'Project Assumtions'!$L$16/1000)</f>
        <v>0</v>
      </c>
      <c r="F32" s="437" t="n">
        <f aca="false">IF(F3&gt;ProjectLife+1,0,Fuel_Start*'Project Assumtions'!$L$16/1000)</f>
        <v>0</v>
      </c>
      <c r="G32" s="437" t="n">
        <f aca="false">IF(G3&gt;ProjectLife+1,0,Fuel_Start*'Project Assumtions'!$L$16/1000)</f>
        <v>0</v>
      </c>
      <c r="H32" s="437" t="n">
        <f aca="false">IF(H3&gt;ProjectLife+1,0,Fuel_Start*'Project Assumtions'!$L$16/1000)</f>
        <v>0</v>
      </c>
      <c r="I32" s="437" t="n">
        <f aca="false">IF(I3&gt;ProjectLife+1,0,Fuel_Start*'Project Assumtions'!$L$16/1000)</f>
        <v>0</v>
      </c>
      <c r="J32" s="437" t="n">
        <f aca="false">IF(J3&gt;ProjectLife+1,0,Fuel_Start*'Project Assumtions'!$L$16/1000)</f>
        <v>0</v>
      </c>
      <c r="K32" s="437" t="n">
        <f aca="false">IF(K3&gt;ProjectLife+1,0,Fuel_Start*'Project Assumtions'!$L$16/1000)</f>
        <v>0</v>
      </c>
      <c r="L32" s="437" t="n">
        <f aca="false">IF(L3&gt;ProjectLife+1,0,Fuel_Start*'Project Assumtions'!$L$16/1000)</f>
        <v>0</v>
      </c>
      <c r="M32" s="437" t="n">
        <f aca="false">IF(M3&gt;ProjectLife+1,0,Fuel_Start*'Project Assumtions'!$L$16/1000)</f>
        <v>0</v>
      </c>
      <c r="N32" s="437" t="n">
        <f aca="false">IF(N3&gt;ProjectLife+1,0,Fuel_Start*'Project Assumtions'!$L$16/1000)</f>
        <v>0</v>
      </c>
      <c r="O32" s="437" t="n">
        <f aca="false">IF(O3&gt;ProjectLife+1,0,Fuel_Start*'Project Assumtions'!$L$16/1000)</f>
        <v>0</v>
      </c>
      <c r="P32" s="437" t="n">
        <f aca="false">IF(P3&gt;ProjectLife+1,0,Fuel_Start*'Project Assumtions'!$L$16/1000)</f>
        <v>0</v>
      </c>
      <c r="Q32" s="437" t="n">
        <f aca="false">IF(Q3&gt;ProjectLife+1,0,Fuel_Start*'Project Assumtions'!$L$16/1000)</f>
        <v>0</v>
      </c>
      <c r="R32" s="437" t="n">
        <f aca="false">IF(R3&gt;ProjectLife+1,0,Fuel_Start*'Project Assumtions'!$L$16/1000)</f>
        <v>0</v>
      </c>
      <c r="S32" s="437" t="n">
        <f aca="false">IF(S3&gt;ProjectLife+1,0,Fuel_Start*'Project Assumtions'!$L$16/1000)</f>
        <v>0</v>
      </c>
      <c r="T32" s="437" t="n">
        <f aca="false">IF(T3&gt;ProjectLife+1,0,Fuel_Start*'Project Assumtions'!$L$16/1000)</f>
        <v>0</v>
      </c>
      <c r="U32" s="437" t="n">
        <f aca="false">IF(U3&gt;ProjectLife+1,0,Fuel_Start*'Project Assumtions'!$L$16/1000)</f>
        <v>0</v>
      </c>
      <c r="V32" s="437" t="n">
        <f aca="false">IF(V3&gt;ProjectLife+1,0,Fuel_Start*'Project Assumtions'!$L$16/1000)</f>
        <v>0</v>
      </c>
      <c r="W32" s="437" t="n">
        <f aca="false">IF(W3&gt;ProjectLife+1,0,Fuel_Start*'Project Assumtions'!$L$16/1000)</f>
        <v>0</v>
      </c>
      <c r="X32" s="437" t="n">
        <f aca="false">IF(X3&gt;ProjectLife+1,0,Fuel_Start*'Project Assumtions'!$L$16/1000)</f>
        <v>0</v>
      </c>
      <c r="Y32" s="437" t="n">
        <f aca="false">IF(Y3&gt;ProjectLife+1,0,Fuel_Start*'Project Assumtions'!$L$16/1000)</f>
        <v>0</v>
      </c>
      <c r="Z32" s="437" t="n">
        <f aca="false">IF(Z3&gt;ProjectLife+1,0,Fuel_Start*'Project Assumtions'!$L$16/1000)</f>
        <v>0</v>
      </c>
      <c r="AA32" s="437" t="n">
        <f aca="false">IF(AA3&gt;ProjectLife+1,0,Fuel_Start*'Project Assumtions'!$L$16/1000)</f>
        <v>0</v>
      </c>
      <c r="AB32" s="665" t="n">
        <f aca="false">IF(AB3&gt;ProjectLife+1,0,Fuel_Start*'Project Assumtions'!$L$16/1000)</f>
        <v>0</v>
      </c>
    </row>
    <row r="33" customFormat="false" ht="12.6" hidden="false" customHeight="true" outlineLevel="0" collapsed="false">
      <c r="B33" s="663" t="s">
        <v>508</v>
      </c>
      <c r="D33" s="668" t="n">
        <f aca="false">SUM(D31:D32)</f>
        <v>2140.752</v>
      </c>
      <c r="E33" s="668" t="n">
        <f aca="false">SUM(E31:E32)</f>
        <v>2204.97456</v>
      </c>
      <c r="F33" s="668" t="n">
        <f aca="false">SUM(F31:F32)</f>
        <v>2271.1237968</v>
      </c>
      <c r="G33" s="668" t="n">
        <f aca="false">SUM(G31:G32)</f>
        <v>2339.257510704</v>
      </c>
      <c r="H33" s="668" t="n">
        <f aca="false">SUM(H31:H32)</f>
        <v>2409.43523602512</v>
      </c>
      <c r="I33" s="668" t="n">
        <f aca="false">SUM(I31:I32)</f>
        <v>2481.71829310587</v>
      </c>
      <c r="J33" s="668" t="n">
        <f aca="false">SUM(J31:J32)</f>
        <v>2556.16984189905</v>
      </c>
      <c r="K33" s="668" t="n">
        <f aca="false">SUM(K31:K32)</f>
        <v>2632.85493715602</v>
      </c>
      <c r="L33" s="668" t="n">
        <f aca="false">SUM(L31:L32)</f>
        <v>2711.8405852707</v>
      </c>
      <c r="M33" s="668" t="n">
        <f aca="false">SUM(M31:M32)</f>
        <v>2793.19580282882</v>
      </c>
      <c r="N33" s="668" t="n">
        <f aca="false">SUM(N31:N32)</f>
        <v>2876.99167691369</v>
      </c>
      <c r="O33" s="668" t="n">
        <f aca="false">SUM(O31:O32)</f>
        <v>2963.3014272211</v>
      </c>
      <c r="P33" s="668" t="n">
        <f aca="false">SUM(P31:P32)</f>
        <v>3052.20047003773</v>
      </c>
      <c r="Q33" s="668" t="n">
        <f aca="false">SUM(Q31:Q32)</f>
        <v>3143.76648413886</v>
      </c>
      <c r="R33" s="668" t="n">
        <f aca="false">SUM(R31:R32)</f>
        <v>3238.07947866303</v>
      </c>
      <c r="S33" s="668" t="n">
        <f aca="false">SUM(S31:S32)</f>
        <v>3335.22186302292</v>
      </c>
      <c r="T33" s="668" t="n">
        <f aca="false">SUM(T31:T32)</f>
        <v>3435.27851891361</v>
      </c>
      <c r="U33" s="668" t="n">
        <f aca="false">SUM(U31:U32)</f>
        <v>3538.33687448102</v>
      </c>
      <c r="V33" s="668" t="n">
        <f aca="false">SUM(V31:V32)</f>
        <v>3644.48698071545</v>
      </c>
      <c r="W33" s="668" t="n">
        <f aca="false">SUM(W31:W32)</f>
        <v>3753.82159013691</v>
      </c>
      <c r="X33" s="668" t="n">
        <f aca="false">SUM(X31:X32)</f>
        <v>3866.43623784102</v>
      </c>
      <c r="Y33" s="668" t="n">
        <f aca="false">SUM(Y31:Y32)</f>
        <v>0</v>
      </c>
      <c r="Z33" s="668" t="n">
        <f aca="false">SUM(Z31:Z32)</f>
        <v>0</v>
      </c>
      <c r="AA33" s="668" t="n">
        <f aca="false">SUM(AA31:AA32)</f>
        <v>0</v>
      </c>
      <c r="AB33" s="669" t="n">
        <f aca="false">SUM(AB31:AB32)</f>
        <v>0</v>
      </c>
    </row>
    <row r="34" customFormat="false" ht="12.6" hidden="false" customHeight="true" outlineLevel="0" collapsed="false">
      <c r="B34" s="409"/>
      <c r="D34" s="431"/>
      <c r="E34" s="431"/>
      <c r="F34" s="431"/>
      <c r="G34" s="431"/>
      <c r="H34" s="431"/>
      <c r="I34" s="431"/>
      <c r="J34" s="431"/>
      <c r="K34" s="431"/>
      <c r="L34" s="431"/>
      <c r="M34" s="431"/>
      <c r="N34" s="431"/>
      <c r="O34" s="431"/>
      <c r="P34" s="431"/>
      <c r="Q34" s="431"/>
      <c r="R34" s="431"/>
      <c r="S34" s="431"/>
      <c r="T34" s="431"/>
      <c r="U34" s="431"/>
      <c r="V34" s="431"/>
      <c r="W34" s="431"/>
      <c r="X34" s="431"/>
      <c r="Y34" s="431"/>
      <c r="Z34" s="431"/>
      <c r="AA34" s="431"/>
      <c r="AB34" s="432"/>
    </row>
    <row r="35" customFormat="false" ht="12.6" hidden="false" customHeight="true" outlineLevel="0" collapsed="false">
      <c r="B35" s="663" t="s">
        <v>509</v>
      </c>
      <c r="D35" s="431"/>
      <c r="E35" s="431"/>
      <c r="F35" s="431"/>
      <c r="G35" s="431"/>
      <c r="H35" s="431"/>
      <c r="I35" s="431"/>
      <c r="J35" s="431"/>
      <c r="K35" s="431"/>
      <c r="L35" s="431"/>
      <c r="M35" s="431"/>
      <c r="N35" s="431"/>
      <c r="O35" s="431"/>
      <c r="P35" s="431"/>
      <c r="Q35" s="431"/>
      <c r="R35" s="431"/>
      <c r="S35" s="431"/>
      <c r="T35" s="431"/>
      <c r="U35" s="431"/>
      <c r="V35" s="431"/>
      <c r="W35" s="431"/>
      <c r="X35" s="431"/>
      <c r="Y35" s="431"/>
      <c r="Z35" s="431"/>
      <c r="AA35" s="431"/>
      <c r="AB35" s="432"/>
    </row>
    <row r="36" customFormat="false" ht="12.6" hidden="false" customHeight="true" outlineLevel="0" collapsed="false">
      <c r="A36" s="637" t="n">
        <v>2</v>
      </c>
      <c r="B36" s="409" t="s">
        <v>510</v>
      </c>
      <c r="C36" s="670" t="n">
        <f aca="false">AVERAGE(D36:W36)</f>
        <v>1216.5927958943</v>
      </c>
      <c r="D36" s="434" t="n">
        <f aca="false">Labor*((1+OM_Escal)^('Book Income Statement'!D4-'Project Assumtions'!$N$6))*('Book Income Statement'!D5/12)</f>
        <v>536.544166666667</v>
      </c>
      <c r="E36" s="434" t="n">
        <f aca="false">Labor*((1+OM_Escal)^('Book Income Statement'!E4-'Project Assumtions'!$N$6))*('Book Income Statement'!E5/12)</f>
        <v>947.3837</v>
      </c>
      <c r="F36" s="434" t="n">
        <f aca="false">Labor*((1+OM_Escal)^('Book Income Statement'!F4-'Project Assumtions'!$N$6))*('Book Income Statement'!F5/12)</f>
        <v>975.805211</v>
      </c>
      <c r="G36" s="434" t="n">
        <f aca="false">Labor*((1+OM_Escal)^('Book Income Statement'!G4-'Project Assumtions'!$N$6))*('Book Income Statement'!G5/12)</f>
        <v>1005.07936733</v>
      </c>
      <c r="H36" s="434" t="n">
        <f aca="false">Labor*((1+OM_Escal)^('Book Income Statement'!H4-'Project Assumtions'!$N$6))*('Book Income Statement'!H5/12)</f>
        <v>1035.2317483499</v>
      </c>
      <c r="I36" s="434" t="n">
        <f aca="false">Labor*((1+OM_Escal)^('Book Income Statement'!I4-'Project Assumtions'!$N$6))*('Book Income Statement'!I5/12)</f>
        <v>1066.2887008004</v>
      </c>
      <c r="J36" s="434" t="n">
        <f aca="false">Labor*((1+OM_Escal)^('Book Income Statement'!J4-'Project Assumtions'!$N$6))*('Book Income Statement'!J5/12)</f>
        <v>1098.27736182441</v>
      </c>
      <c r="K36" s="434" t="n">
        <f aca="false">Labor*((1+OM_Escal)^('Book Income Statement'!K4-'Project Assumtions'!$N$6))*('Book Income Statement'!K5/12)</f>
        <v>1131.22568267914</v>
      </c>
      <c r="L36" s="434" t="n">
        <f aca="false">Labor*((1+OM_Escal)^('Book Income Statement'!L4-'Project Assumtions'!$N$6))*('Book Income Statement'!L5/12)</f>
        <v>1165.16245315952</v>
      </c>
      <c r="M36" s="434" t="n">
        <f aca="false">Labor*((1+OM_Escal)^('Book Income Statement'!M4-'Project Assumtions'!$N$6))*('Book Income Statement'!M5/12)</f>
        <v>1200.1173267543</v>
      </c>
      <c r="N36" s="434" t="n">
        <f aca="false">Labor*((1+OM_Escal)^('Book Income Statement'!N4-'Project Assumtions'!$N$6))*('Book Income Statement'!N5/12)</f>
        <v>1236.12084655693</v>
      </c>
      <c r="O36" s="434" t="n">
        <f aca="false">Labor*((1+OM_Escal)^('Book Income Statement'!O4-'Project Assumtions'!$N$6))*('Book Income Statement'!O5/12)</f>
        <v>1273.20447195364</v>
      </c>
      <c r="P36" s="434" t="n">
        <f aca="false">Labor*((1+OM_Escal)^('Book Income Statement'!P4-'Project Assumtions'!$N$6))*('Book Income Statement'!P5/12)</f>
        <v>1311.40060611225</v>
      </c>
      <c r="Q36" s="434" t="n">
        <f aca="false">Labor*((1+OM_Escal)^('Book Income Statement'!Q4-'Project Assumtions'!$N$6))*('Book Income Statement'!Q5/12)</f>
        <v>1350.74262429561</v>
      </c>
      <c r="R36" s="434" t="n">
        <f aca="false">Labor*((1+OM_Escal)^('Book Income Statement'!R4-'Project Assumtions'!$N$6))*('Book Income Statement'!R5/12)</f>
        <v>1391.26490302448</v>
      </c>
      <c r="S36" s="434" t="n">
        <f aca="false">Labor*((1+OM_Escal)^('Book Income Statement'!S4-'Project Assumtions'!$N$6))*('Book Income Statement'!S5/12)</f>
        <v>1433.00285011522</v>
      </c>
      <c r="T36" s="434" t="n">
        <f aca="false">Labor*((1+OM_Escal)^('Book Income Statement'!T4-'Project Assumtions'!$N$6))*('Book Income Statement'!T5/12)</f>
        <v>1475.99293561867</v>
      </c>
      <c r="U36" s="434" t="n">
        <f aca="false">Labor*((1+OM_Escal)^('Book Income Statement'!U4-'Project Assumtions'!$N$6))*('Book Income Statement'!U5/12)</f>
        <v>1520.27272368723</v>
      </c>
      <c r="V36" s="434" t="n">
        <f aca="false">Labor*((1+OM_Escal)^('Book Income Statement'!V4-'Project Assumtions'!$N$6))*('Book Income Statement'!V5/12)</f>
        <v>1565.88090539785</v>
      </c>
      <c r="W36" s="434" t="n">
        <f aca="false">Labor*((1+OM_Escal)^('Book Income Statement'!W4-'Project Assumtions'!$N$6))*('Book Income Statement'!W5/12)</f>
        <v>1612.85733255979</v>
      </c>
      <c r="X36" s="434" t="n">
        <f aca="false">Labor*((1+OM_Escal)^('Book Income Statement'!X4-'Project Assumtions'!$N$6))*('Book Income Statement'!X5/12)</f>
        <v>692.184605223575</v>
      </c>
      <c r="Y36" s="434" t="n">
        <f aca="false">Labor*((1+OM_Escal)^('Book Income Statement'!Y4-'Project Assumtions'!$N$6))*('Book Income Statement'!Y5/12)</f>
        <v>0</v>
      </c>
      <c r="Z36" s="434" t="n">
        <f aca="false">Labor*((1+OM_Escal)^('Book Income Statement'!Z4-'Project Assumtions'!$N$6))*('Book Income Statement'!Z5/12)</f>
        <v>0</v>
      </c>
      <c r="AA36" s="434" t="n">
        <f aca="false">Labor*((1+OM_Escal)^('Book Income Statement'!AA4-'Project Assumtions'!$N$6))*('Book Income Statement'!AA5/12)</f>
        <v>0</v>
      </c>
      <c r="AB36" s="435" t="n">
        <f aca="false">Labor*((1+OM_Escal)^('Book Income Statement'!AB4-'Project Assumtions'!$N$6))*('Book Income Statement'!AB5/12)</f>
        <v>0</v>
      </c>
    </row>
    <row r="37" customFormat="false" ht="12.6" hidden="false" customHeight="true" outlineLevel="0" collapsed="false">
      <c r="A37" s="637" t="n">
        <v>2</v>
      </c>
      <c r="B37" s="409" t="s">
        <v>511</v>
      </c>
      <c r="C37" s="672" t="n">
        <f aca="false">AVERAGE(D37:W37)</f>
        <v>370.563539174972</v>
      </c>
      <c r="D37" s="434" t="n">
        <f aca="false">Fixed*((1+OM_Escal)^('Book Income Statement'!D4-'Project Assumtions'!$N$6)*('Book Income Statement'!D5/12))</f>
        <v>163.426666666667</v>
      </c>
      <c r="E37" s="434" t="n">
        <f aca="false">Fixed*((1+OM_Escal)^('Book Income Statement'!E4-'Project Assumtions'!$N$6)*('Book Income Statement'!E5/12))</f>
        <v>288.5648</v>
      </c>
      <c r="F37" s="434" t="n">
        <f aca="false">Fixed*((1+OM_Escal)^('Book Income Statement'!F4-'Project Assumtions'!$N$6)*('Book Income Statement'!F5/12))</f>
        <v>297.221744</v>
      </c>
      <c r="G37" s="434" t="n">
        <f aca="false">Fixed*((1+OM_Escal)^('Book Income Statement'!G4-'Project Assumtions'!$N$6)*('Book Income Statement'!G5/12))</f>
        <v>306.13839632</v>
      </c>
      <c r="H37" s="434" t="n">
        <f aca="false">Fixed*((1+OM_Escal)^('Book Income Statement'!H4-'Project Assumtions'!$N$6)*('Book Income Statement'!H5/12))</f>
        <v>315.3225482096</v>
      </c>
      <c r="I37" s="434" t="n">
        <f aca="false">Fixed*((1+OM_Escal)^('Book Income Statement'!I4-'Project Assumtions'!$N$6)*('Book Income Statement'!I5/12))</f>
        <v>324.782224655888</v>
      </c>
      <c r="J37" s="434" t="n">
        <f aca="false">Fixed*((1+OM_Escal)^('Book Income Statement'!J4-'Project Assumtions'!$N$6)*('Book Income Statement'!J5/12))</f>
        <v>334.525691395565</v>
      </c>
      <c r="K37" s="434" t="n">
        <f aca="false">Fixed*((1+OM_Escal)^('Book Income Statement'!K4-'Project Assumtions'!$N$6)*('Book Income Statement'!K5/12))</f>
        <v>344.561462137432</v>
      </c>
      <c r="L37" s="434" t="n">
        <f aca="false">Fixed*((1+OM_Escal)^('Book Income Statement'!L4-'Project Assumtions'!$N$6)*('Book Income Statement'!L5/12))</f>
        <v>354.898306001555</v>
      </c>
      <c r="M37" s="434" t="n">
        <f aca="false">Fixed*((1+OM_Escal)^('Book Income Statement'!M4-'Project Assumtions'!$N$6)*('Book Income Statement'!M5/12))</f>
        <v>365.545255181601</v>
      </c>
      <c r="N37" s="434" t="n">
        <f aca="false">Fixed*((1+OM_Escal)^('Book Income Statement'!N4-'Project Assumtions'!$N$6)*('Book Income Statement'!N5/12))</f>
        <v>376.511612837049</v>
      </c>
      <c r="O37" s="434" t="n">
        <f aca="false">Fixed*((1+OM_Escal)^('Book Income Statement'!O4-'Project Assumtions'!$N$6)*('Book Income Statement'!O5/12))</f>
        <v>387.806961222161</v>
      </c>
      <c r="P37" s="434" t="n">
        <f aca="false">Fixed*((1+OM_Escal)^('Book Income Statement'!P4-'Project Assumtions'!$N$6)*('Book Income Statement'!P5/12))</f>
        <v>399.441170058826</v>
      </c>
      <c r="Q37" s="434" t="n">
        <f aca="false">Fixed*((1+OM_Escal)^('Book Income Statement'!Q4-'Project Assumtions'!$N$6)*('Book Income Statement'!Q5/12))</f>
        <v>411.42440516059</v>
      </c>
      <c r="R37" s="434" t="n">
        <f aca="false">Fixed*((1+OM_Escal)^('Book Income Statement'!R4-'Project Assumtions'!$N$6)*('Book Income Statement'!R5/12))</f>
        <v>423.767137315408</v>
      </c>
      <c r="S37" s="434" t="n">
        <f aca="false">Fixed*((1+OM_Escal)^('Book Income Statement'!S4-'Project Assumtions'!$N$6)*('Book Income Statement'!S5/12))</f>
        <v>436.48015143487</v>
      </c>
      <c r="T37" s="434" t="n">
        <f aca="false">Fixed*((1+OM_Escal)^('Book Income Statement'!T4-'Project Assumtions'!$N$6)*('Book Income Statement'!T5/12))</f>
        <v>449.574555977917</v>
      </c>
      <c r="U37" s="434" t="n">
        <f aca="false">Fixed*((1+OM_Escal)^('Book Income Statement'!U4-'Project Assumtions'!$N$6)*('Book Income Statement'!U5/12))</f>
        <v>463.061792657254</v>
      </c>
      <c r="V37" s="434" t="n">
        <f aca="false">Fixed*((1+OM_Escal)^('Book Income Statement'!V4-'Project Assumtions'!$N$6)*('Book Income Statement'!V5/12))</f>
        <v>476.953646436972</v>
      </c>
      <c r="W37" s="434" t="n">
        <f aca="false">Fixed*((1+OM_Escal)^('Book Income Statement'!W4-'Project Assumtions'!$N$6)*('Book Income Statement'!W5/12))</f>
        <v>491.262255830081</v>
      </c>
      <c r="X37" s="434" t="n">
        <f aca="false">Fixed*((1+OM_Escal)^('Book Income Statement'!X4-'Project Assumtions'!$N$6)*('Book Income Statement'!X5/12))</f>
        <v>210.833384793743</v>
      </c>
      <c r="Y37" s="434" t="n">
        <f aca="false">Fixed*((1+OM_Escal)^('Book Income Statement'!Y4-'Project Assumtions'!$N$6)*('Book Income Statement'!Y5/12))</f>
        <v>0</v>
      </c>
      <c r="Z37" s="434" t="n">
        <f aca="false">Fixed*((1+OM_Escal)^('Book Income Statement'!Z4-'Project Assumtions'!$N$6)*('Book Income Statement'!Z5/12))</f>
        <v>0</v>
      </c>
      <c r="AA37" s="434" t="n">
        <f aca="false">Fixed*((1+OM_Escal)^('Book Income Statement'!AA4-'Project Assumtions'!$N$6)*('Book Income Statement'!AA5/12))</f>
        <v>0</v>
      </c>
      <c r="AB37" s="435" t="n">
        <f aca="false">Fixed*((1+OM_Escal)^('Book Income Statement'!AB4-'Project Assumtions'!$N$6)*('Book Income Statement'!AB5/12))</f>
        <v>0</v>
      </c>
    </row>
    <row r="38" customFormat="false" ht="12.6" hidden="false" customHeight="true" outlineLevel="0" collapsed="false">
      <c r="A38" s="637" t="n">
        <v>12</v>
      </c>
      <c r="B38" s="409" t="s">
        <v>512</v>
      </c>
      <c r="C38" s="672" t="n">
        <f aca="false">AVERAGE(D38:W38)</f>
        <v>221.561244927026</v>
      </c>
      <c r="D38" s="434" t="n">
        <f aca="false">'Project Assumtions'!$N$23*((1+OM_Escal)^('Book Income Statement'!D4-'Project Assumtions'!$N$6))*(D5)/12</f>
        <v>97.7133794694348</v>
      </c>
      <c r="E38" s="434" t="n">
        <f aca="false">'Project Assumtions'!$N$23*((1+OM_Escal)^('Book Income Statement'!E4-'Project Assumtions'!$N$6))*(E5)/12</f>
        <v>172.533910034602</v>
      </c>
      <c r="F38" s="434" t="n">
        <f aca="false">'Project Assumtions'!$N$23*((1+OM_Escal)^('Book Income Statement'!F4-'Project Assumtions'!$N$6))*(F5)/12</f>
        <v>177.70992733564</v>
      </c>
      <c r="G38" s="434" t="n">
        <f aca="false">'Project Assumtions'!$N$23*((1+OM_Escal)^('Book Income Statement'!G4-'Project Assumtions'!$N$6))*(G5)/12</f>
        <v>183.041225155709</v>
      </c>
      <c r="H38" s="434" t="n">
        <f aca="false">'Project Assumtions'!$N$23*((1+OM_Escal)^('Book Income Statement'!H4-'Project Assumtions'!$N$6))*(H5)/12</f>
        <v>188.532461910381</v>
      </c>
      <c r="I38" s="434" t="n">
        <f aca="false">'Project Assumtions'!$N$23*((1+OM_Escal)^('Book Income Statement'!I4-'Project Assumtions'!$N$6))*(I5)/12</f>
        <v>194.188435767692</v>
      </c>
      <c r="J38" s="434" t="n">
        <f aca="false">'Project Assumtions'!$N$23*((1+OM_Escal)^('Book Income Statement'!J4-'Project Assumtions'!$N$6))*(J5)/12</f>
        <v>200.014088840723</v>
      </c>
      <c r="K38" s="434" t="n">
        <f aca="false">'Project Assumtions'!$N$23*((1+OM_Escal)^('Book Income Statement'!K4-'Project Assumtions'!$N$6))*(K5)/12</f>
        <v>206.014511505945</v>
      </c>
      <c r="L38" s="434" t="n">
        <f aca="false">'Project Assumtions'!$N$23*((1+OM_Escal)^('Book Income Statement'!L4-'Project Assumtions'!$N$6))*(L5)/12</f>
        <v>212.194946851123</v>
      </c>
      <c r="M38" s="434" t="n">
        <f aca="false">'Project Assumtions'!$N$23*((1+OM_Escal)^('Book Income Statement'!M4-'Project Assumtions'!$N$6))*(M5)/12</f>
        <v>218.560795256657</v>
      </c>
      <c r="N38" s="434" t="n">
        <f aca="false">'Project Assumtions'!$N$23*((1+OM_Escal)^('Book Income Statement'!N4-'Project Assumtions'!$N$6))*(N5)/12</f>
        <v>225.117619114356</v>
      </c>
      <c r="O38" s="434" t="n">
        <f aca="false">'Project Assumtions'!$N$23*((1+OM_Escal)^('Book Income Statement'!O4-'Project Assumtions'!$N$6))*(O5)/12</f>
        <v>231.871147687787</v>
      </c>
      <c r="P38" s="434" t="n">
        <f aca="false">'Project Assumtions'!$N$23*((1+OM_Escal)^('Book Income Statement'!P4-'Project Assumtions'!$N$6))*(P5)/12</f>
        <v>238.827282118421</v>
      </c>
      <c r="Q38" s="434" t="n">
        <f aca="false">'Project Assumtions'!$N$23*((1+OM_Escal)^('Book Income Statement'!Q4-'Project Assumtions'!$N$6))*(Q5)/12</f>
        <v>245.992100581973</v>
      </c>
      <c r="R38" s="434" t="n">
        <f aca="false">'Project Assumtions'!$N$23*((1+OM_Escal)^('Book Income Statement'!R4-'Project Assumtions'!$N$6))*(R5)/12</f>
        <v>253.371863599432</v>
      </c>
      <c r="S38" s="434" t="n">
        <f aca="false">'Project Assumtions'!$N$23*((1+OM_Escal)^('Book Income Statement'!S4-'Project Assumtions'!$N$6))*(S5)/12</f>
        <v>260.973019507415</v>
      </c>
      <c r="T38" s="434" t="n">
        <f aca="false">'Project Assumtions'!$N$23*((1+OM_Escal)^('Book Income Statement'!T4-'Project Assumtions'!$N$6))*(T5)/12</f>
        <v>268.802210092638</v>
      </c>
      <c r="U38" s="434" t="n">
        <f aca="false">'Project Assumtions'!$N$23*((1+OM_Escal)^('Book Income Statement'!U4-'Project Assumtions'!$N$6))*(U5)/12</f>
        <v>276.866276395417</v>
      </c>
      <c r="V38" s="434" t="n">
        <f aca="false">'Project Assumtions'!$N$23*((1+OM_Escal)^('Book Income Statement'!V4-'Project Assumtions'!$N$6))*(V5)/12</f>
        <v>285.17226468728</v>
      </c>
      <c r="W38" s="434" t="n">
        <f aca="false">'Project Assumtions'!$N$23*((1+OM_Escal)^('Book Income Statement'!W4-'Project Assumtions'!$N$6))*(W5)/12</f>
        <v>293.727432627898</v>
      </c>
      <c r="X38" s="434" t="n">
        <f aca="false">'Project Assumtions'!$N$23*((1+OM_Escal)^('Book Income Statement'!X4-'Project Assumtions'!$N$6))*(X5)/12</f>
        <v>126.058023169473</v>
      </c>
      <c r="Y38" s="434" t="n">
        <f aca="false">'Project Assumtions'!$N$23*((1+OM_Escal)^('Book Income Statement'!Y4-'Project Assumtions'!$N$6))*(Y5)/12</f>
        <v>0</v>
      </c>
      <c r="Z38" s="434" t="n">
        <f aca="false">'Project Assumtions'!$N$23*((1+OM_Escal)^('Book Income Statement'!Z4-'Project Assumtions'!$N$6))*(Z5)/12</f>
        <v>0</v>
      </c>
      <c r="AA38" s="434" t="n">
        <f aca="false">'Project Assumtions'!$N$23*((1+OM_Escal)^('Book Income Statement'!AA4-'Project Assumtions'!$N$6))*(AA5)/12</f>
        <v>0</v>
      </c>
      <c r="AB38" s="435" t="n">
        <f aca="false">'Project Assumtions'!$N$23*((1+OM_Escal)^('Book Income Statement'!AB4-'Project Assumtions'!$N$6))*(AB5)/12</f>
        <v>0</v>
      </c>
    </row>
    <row r="39" customFormat="false" ht="12.6" hidden="false" customHeight="true" outlineLevel="0" collapsed="false">
      <c r="B39" s="409" t="s">
        <v>513</v>
      </c>
      <c r="C39" s="672" t="n">
        <f aca="false">AVERAGE(D39:W39)</f>
        <v>461.332048193861</v>
      </c>
      <c r="D39" s="434" t="n">
        <f aca="false">IF(D3&gt;ProjectLife+1,0,'Project Assumtions'!$N$24*((1+OM_Escal)^(D4-2003))*D7/12)</f>
        <v>0</v>
      </c>
      <c r="E39" s="434" t="n">
        <f aca="false">IF(E3&gt;ProjectLife+1,0,'Project Assumtions'!$N$24*((1+OM_Escal)^(E4-2003))*E7/12)</f>
        <v>0</v>
      </c>
      <c r="F39" s="434" t="n">
        <f aca="false">IF(F3&gt;ProjectLife+1,0,'Project Assumtions'!$N$24*((1+OM_Escal)^(F4-2003))*F7/12)</f>
        <v>0</v>
      </c>
      <c r="G39" s="434" t="n">
        <f aca="false">IF(G3&gt;ProjectLife+1,0,'Project Assumtions'!$N$24*((1+OM_Escal)^(G4-2003))*G7/12)</f>
        <v>252.154</v>
      </c>
      <c r="H39" s="434" t="n">
        <f aca="false">IF(H3&gt;ProjectLife+1,0,'Project Assumtions'!$N$24*((1+OM_Escal)^(H4-2003))*H7/12)</f>
        <v>445.23192</v>
      </c>
      <c r="I39" s="434" t="n">
        <f aca="false">IF(I3&gt;ProjectLife+1,0,'Project Assumtions'!$N$24*((1+OM_Escal)^(I4-2003))*I7/12)</f>
        <v>458.5888776</v>
      </c>
      <c r="J39" s="434" t="n">
        <f aca="false">IF(J3&gt;ProjectLife+1,0,'Project Assumtions'!$N$24*((1+OM_Escal)^(J4-2003))*J7/12)</f>
        <v>472.346543928</v>
      </c>
      <c r="K39" s="434" t="n">
        <f aca="false">IF(K3&gt;ProjectLife+1,0,'Project Assumtions'!$N$24*((1+OM_Escal)^(K4-2003))*K7/12)</f>
        <v>486.51694024584</v>
      </c>
      <c r="L39" s="434" t="n">
        <f aca="false">IF(L3&gt;ProjectLife+1,0,'Project Assumtions'!$N$24*((1+OM_Escal)^(L4-2003))*L7/12)</f>
        <v>501.112448453215</v>
      </c>
      <c r="M39" s="434" t="n">
        <f aca="false">IF(M3&gt;ProjectLife+1,0,'Project Assumtions'!$N$24*((1+OM_Escal)^(M4-2003))*M7/12)</f>
        <v>516.145821906812</v>
      </c>
      <c r="N39" s="434" t="n">
        <f aca="false">IF(N3&gt;ProjectLife+1,0,'Project Assumtions'!$N$24*((1+OM_Escal)^(N4-2003))*N7/12)</f>
        <v>531.630196564016</v>
      </c>
      <c r="O39" s="434" t="n">
        <f aca="false">IF(O3&gt;ProjectLife+1,0,'Project Assumtions'!$N$24*((1+OM_Escal)^(O4-2003))*O7/12)</f>
        <v>547.579102460937</v>
      </c>
      <c r="P39" s="434" t="n">
        <f aca="false">IF(P3&gt;ProjectLife+1,0,'Project Assumtions'!$N$24*((1+OM_Escal)^(P4-2003))*P7/12)</f>
        <v>564.006475534765</v>
      </c>
      <c r="Q39" s="434" t="n">
        <f aca="false">IF(Q3&gt;ProjectLife+1,0,'Project Assumtions'!$N$24*((1+OM_Escal)^(Q4-2003))*Q7/12)</f>
        <v>580.926669800808</v>
      </c>
      <c r="R39" s="434" t="n">
        <f aca="false">IF(R3&gt;ProjectLife+1,0,'Project Assumtions'!$N$24*((1+OM_Escal)^(R4-2003))*R7/12)</f>
        <v>598.354469894832</v>
      </c>
      <c r="S39" s="434" t="n">
        <f aca="false">IF(S3&gt;ProjectLife+1,0,'Project Assumtions'!$N$24*((1+OM_Escal)^(S4-2003))*S7/12)</f>
        <v>616.305103991677</v>
      </c>
      <c r="T39" s="434" t="n">
        <f aca="false">IF(T3&gt;ProjectLife+1,0,'Project Assumtions'!$N$24*((1+OM_Escal)^(T4-2003))*T7/12)</f>
        <v>634.794257111427</v>
      </c>
      <c r="U39" s="434" t="n">
        <f aca="false">IF(U3&gt;ProjectLife+1,0,'Project Assumtions'!$N$24*((1+OM_Escal)^(U4-2003))*U7/12)</f>
        <v>653.83808482477</v>
      </c>
      <c r="V39" s="434" t="n">
        <f aca="false">IF(V3&gt;ProjectLife+1,0,'Project Assumtions'!$N$24*((1+OM_Escal)^(V4-2003))*V7/12)</f>
        <v>673.453227369513</v>
      </c>
      <c r="W39" s="434" t="n">
        <f aca="false">IF(W3&gt;ProjectLife+1,0,'Project Assumtions'!$N$24*((1+OM_Escal)^(W4-2003))*W7/12)</f>
        <v>693.656824190599</v>
      </c>
      <c r="X39" s="434" t="n">
        <f aca="false">IF(X3&gt;ProjectLife+1,0,'Project Assumtions'!$N$24*((1+OM_Escal)^(X4-2003))*X7/12)</f>
        <v>297.694387048465</v>
      </c>
      <c r="Y39" s="434" t="n">
        <f aca="false">IF(Y3&gt;ProjectLife+1,0,'Project Assumtions'!$N$24*((1+OM_Escal)^(Y4-2003))*Y7/12)</f>
        <v>0</v>
      </c>
      <c r="Z39" s="434" t="n">
        <f aca="false">IF(Z3&gt;ProjectLife+1,0,'Project Assumtions'!$N$24*((1+OM_Escal)^(Z4-2003))*Z7/12)</f>
        <v>0</v>
      </c>
      <c r="AA39" s="434" t="n">
        <f aca="false">IF(AA3&gt;ProjectLife+1,0,'Project Assumtions'!$N$24*((1+OM_Escal)^(AA4-2003))*AA7/12)</f>
        <v>0</v>
      </c>
      <c r="AB39" s="435" t="n">
        <f aca="false">IF(AB3&gt;ProjectLife+1,0,'Project Assumtions'!$N$24*((1+OM_Escal)^(AB4-2003))*AB7/12)</f>
        <v>0</v>
      </c>
    </row>
    <row r="40" customFormat="false" ht="12.6" hidden="false" customHeight="true" outlineLevel="0" collapsed="false">
      <c r="A40" s="637" t="n">
        <v>9</v>
      </c>
      <c r="B40" s="409" t="s">
        <v>514</v>
      </c>
      <c r="C40" s="673" t="n">
        <f aca="false">AVERAGE(D40:W40)</f>
        <v>340.59148821229</v>
      </c>
      <c r="D40" s="674" t="n">
        <f aca="false">'Project Assumtions'!$N$25*((1+OM_Escal)^('Book Income Statement'!D4-'Project Assumtions'!$N$6))*D5/12</f>
        <v>150.208333333333</v>
      </c>
      <c r="E40" s="675" t="n">
        <f aca="false">'Project Assumtions'!$N$25*((1+OM_Escal)^('Book Income Statement'!E4-'Project Assumtions'!$N$6))*E5/12</f>
        <v>265.225</v>
      </c>
      <c r="F40" s="675" t="n">
        <f aca="false">'Project Assumtions'!$N$25*((1+OM_Escal)^('Book Income Statement'!F4-'Project Assumtions'!$N$6))*F5/12</f>
        <v>273.18175</v>
      </c>
      <c r="G40" s="675" t="n">
        <f aca="false">'Project Assumtions'!$N$25*((1+OM_Escal)^('Book Income Statement'!G4-'Project Assumtions'!$N$6))*G5/12</f>
        <v>281.3772025</v>
      </c>
      <c r="H40" s="675" t="n">
        <f aca="false">'Project Assumtions'!$N$25*((1+OM_Escal)^('Book Income Statement'!H4-'Project Assumtions'!$N$6))*H5/12</f>
        <v>289.818518575</v>
      </c>
      <c r="I40" s="675" t="n">
        <f aca="false">'Project Assumtions'!$N$25*((1+OM_Escal)^('Book Income Statement'!I4-'Project Assumtions'!$N$6))*I5/12</f>
        <v>298.51307413225</v>
      </c>
      <c r="J40" s="675" t="n">
        <f aca="false">'Project Assumtions'!$N$25*((1+OM_Escal)^('Book Income Statement'!J4-'Project Assumtions'!$N$6))*J5/12</f>
        <v>307.468466356218</v>
      </c>
      <c r="K40" s="675" t="n">
        <f aca="false">'Project Assumtions'!$N$25*((1+OM_Escal)^('Book Income Statement'!K4-'Project Assumtions'!$N$6))*K5/12</f>
        <v>316.692520346904</v>
      </c>
      <c r="L40" s="675" t="n">
        <f aca="false">'Project Assumtions'!$N$25*((1+OM_Escal)^('Book Income Statement'!L4-'Project Assumtions'!$N$6))*L5/12</f>
        <v>326.193295957311</v>
      </c>
      <c r="M40" s="675" t="n">
        <f aca="false">'Project Assumtions'!$N$25*((1+OM_Escal)^('Book Income Statement'!M4-'Project Assumtions'!$N$6))*M5/12</f>
        <v>335.979094836031</v>
      </c>
      <c r="N40" s="675" t="n">
        <f aca="false">'Project Assumtions'!$N$25*((1+OM_Escal)^('Book Income Statement'!N4-'Project Assumtions'!$N$6))*N5/12</f>
        <v>346.058467681112</v>
      </c>
      <c r="O40" s="675" t="n">
        <f aca="false">'Project Assumtions'!$N$25*((1+OM_Escal)^('Book Income Statement'!O4-'Project Assumtions'!$N$6))*O5/12</f>
        <v>356.440221711545</v>
      </c>
      <c r="P40" s="675" t="n">
        <f aca="false">'Project Assumtions'!$N$25*((1+OM_Escal)^('Book Income Statement'!P4-'Project Assumtions'!$N$6))*P5/12</f>
        <v>367.133428362891</v>
      </c>
      <c r="Q40" s="675" t="n">
        <f aca="false">'Project Assumtions'!$N$25*((1+OM_Escal)^('Book Income Statement'!Q4-'Project Assumtions'!$N$6))*Q5/12</f>
        <v>378.147431213778</v>
      </c>
      <c r="R40" s="675" t="n">
        <f aca="false">'Project Assumtions'!$N$25*((1+OM_Escal)^('Book Income Statement'!R4-'Project Assumtions'!$N$6))*R5/12</f>
        <v>389.491854150191</v>
      </c>
      <c r="S40" s="675" t="n">
        <f aca="false">'Project Assumtions'!$N$25*((1+OM_Escal)^('Book Income Statement'!S4-'Project Assumtions'!$N$6))*S5/12</f>
        <v>401.176609774697</v>
      </c>
      <c r="T40" s="675" t="n">
        <f aca="false">'Project Assumtions'!$N$25*((1+OM_Escal)^('Book Income Statement'!T4-'Project Assumtions'!$N$6))*T5/12</f>
        <v>413.211908067938</v>
      </c>
      <c r="U40" s="675" t="n">
        <f aca="false">'Project Assumtions'!$N$25*((1+OM_Escal)^('Book Income Statement'!U4-'Project Assumtions'!$N$6))*U5/12</f>
        <v>425.608265309976</v>
      </c>
      <c r="V40" s="675" t="n">
        <f aca="false">'Project Assumtions'!$N$25*((1+OM_Escal)^('Book Income Statement'!V4-'Project Assumtions'!$N$6))*V5/12</f>
        <v>438.376513269275</v>
      </c>
      <c r="W40" s="675" t="n">
        <f aca="false">'Project Assumtions'!$N$25*((1+OM_Escal)^('Book Income Statement'!W4-'Project Assumtions'!$N$6))*W5/12</f>
        <v>451.527808667354</v>
      </c>
      <c r="X40" s="675" t="n">
        <f aca="false">'Project Assumtions'!$N$25*((1+OM_Escal)^('Book Income Statement'!X4-'Project Assumtions'!$N$6))*X5/12</f>
        <v>193.780684553073</v>
      </c>
      <c r="Y40" s="675" t="n">
        <f aca="false">'Project Assumtions'!$N$25*((1+OM_Escal)^('Book Income Statement'!Y4-'Project Assumtions'!$N$6))*Y5/12</f>
        <v>0</v>
      </c>
      <c r="Z40" s="675" t="n">
        <f aca="false">'Project Assumtions'!$N$25*((1+OM_Escal)^('Book Income Statement'!Z4-'Project Assumtions'!$N$6))*Z5/12</f>
        <v>0</v>
      </c>
      <c r="AA40" s="675" t="n">
        <f aca="false">'Project Assumtions'!$N$25*((1+OM_Escal)^('Book Income Statement'!AA4-'Project Assumtions'!$N$6))*AA5/12</f>
        <v>0</v>
      </c>
      <c r="AB40" s="676" t="n">
        <f aca="false">'Project Assumtions'!$N$25*((1+OM_Escal)^('Book Income Statement'!AB4-'Project Assumtions'!$N$6))*AB5/12</f>
        <v>0</v>
      </c>
    </row>
    <row r="41" customFormat="false" ht="12.6" hidden="false" customHeight="true" outlineLevel="0" collapsed="false">
      <c r="B41" s="663" t="s">
        <v>515</v>
      </c>
      <c r="C41" s="677" t="n">
        <f aca="false">SUM(C36:C40)</f>
        <v>2610.64111640245</v>
      </c>
      <c r="D41" s="666" t="n">
        <f aca="false">SUM(D36:D40)</f>
        <v>947.892546136102</v>
      </c>
      <c r="E41" s="666" t="n">
        <f aca="false">SUM(E36:E40)</f>
        <v>1673.7074100346</v>
      </c>
      <c r="F41" s="666" t="n">
        <f aca="false">SUM(F36:F40)</f>
        <v>1723.91863233564</v>
      </c>
      <c r="G41" s="666" t="n">
        <f aca="false">SUM(G36:G40)</f>
        <v>2027.79019130571</v>
      </c>
      <c r="H41" s="666" t="n">
        <f aca="false">SUM(H36:H40)</f>
        <v>2274.13719704488</v>
      </c>
      <c r="I41" s="666" t="n">
        <f aca="false">SUM(I36:I40)</f>
        <v>2342.36131295623</v>
      </c>
      <c r="J41" s="666" t="n">
        <f aca="false">SUM(J36:J40)</f>
        <v>2412.63215234491</v>
      </c>
      <c r="K41" s="666" t="n">
        <f aca="false">SUM(K36:K40)</f>
        <v>2485.01111691526</v>
      </c>
      <c r="L41" s="666" t="n">
        <f aca="false">SUM(L36:L40)</f>
        <v>2559.56145042272</v>
      </c>
      <c r="M41" s="666" t="n">
        <f aca="false">SUM(M36:M40)</f>
        <v>2636.3482939354</v>
      </c>
      <c r="N41" s="666" t="n">
        <f aca="false">SUM(N36:N40)</f>
        <v>2715.43874275346</v>
      </c>
      <c r="O41" s="666" t="n">
        <f aca="false">SUM(O36:O40)</f>
        <v>2796.90190503607</v>
      </c>
      <c r="P41" s="666" t="n">
        <f aca="false">SUM(P36:P40)</f>
        <v>2880.80896218715</v>
      </c>
      <c r="Q41" s="666" t="n">
        <f aca="false">SUM(Q36:Q40)</f>
        <v>2967.23323105276</v>
      </c>
      <c r="R41" s="666" t="n">
        <f aca="false">SUM(R36:R40)</f>
        <v>3056.25022798435</v>
      </c>
      <c r="S41" s="666" t="n">
        <f aca="false">SUM(S36:S40)</f>
        <v>3147.93773482388</v>
      </c>
      <c r="T41" s="666" t="n">
        <f aca="false">SUM(T36:T40)</f>
        <v>3242.37586686859</v>
      </c>
      <c r="U41" s="666" t="n">
        <f aca="false">SUM(U36:U40)</f>
        <v>3339.64714287465</v>
      </c>
      <c r="V41" s="666" t="n">
        <f aca="false">SUM(V36:V40)</f>
        <v>3439.83655716089</v>
      </c>
      <c r="W41" s="666" t="n">
        <f aca="false">SUM(W36:W40)</f>
        <v>3543.03165387572</v>
      </c>
      <c r="X41" s="666" t="n">
        <f aca="false">SUM(X36:X40)</f>
        <v>1520.55108478833</v>
      </c>
      <c r="Y41" s="666" t="n">
        <f aca="false">SUM(Y36:Y40)</f>
        <v>0</v>
      </c>
      <c r="Z41" s="666" t="n">
        <f aca="false">SUM(Z36:Z40)</f>
        <v>0</v>
      </c>
      <c r="AA41" s="666" t="n">
        <f aca="false">SUM(AA36:AA40)</f>
        <v>0</v>
      </c>
      <c r="AB41" s="667" t="n">
        <f aca="false">SUM(AB36:AB40)</f>
        <v>0</v>
      </c>
    </row>
    <row r="42" customFormat="false" ht="12.6" hidden="false" customHeight="true" outlineLevel="0" collapsed="false">
      <c r="B42" s="409"/>
      <c r="C42" s="672"/>
      <c r="D42" s="678"/>
      <c r="E42" s="678"/>
      <c r="F42" s="678"/>
      <c r="G42" s="678"/>
      <c r="H42" s="678"/>
      <c r="I42" s="678"/>
      <c r="J42" s="678"/>
      <c r="K42" s="678"/>
      <c r="L42" s="678"/>
      <c r="M42" s="678"/>
      <c r="N42" s="678"/>
      <c r="O42" s="678"/>
      <c r="P42" s="678"/>
      <c r="Q42" s="678"/>
      <c r="R42" s="678"/>
      <c r="S42" s="678"/>
      <c r="T42" s="678"/>
      <c r="U42" s="678"/>
      <c r="V42" s="678"/>
      <c r="W42" s="678"/>
      <c r="X42" s="678"/>
      <c r="Y42" s="678"/>
      <c r="Z42" s="678"/>
      <c r="AA42" s="678"/>
      <c r="AB42" s="679"/>
    </row>
    <row r="43" customFormat="false" ht="12.6" hidden="false" customHeight="true" outlineLevel="0" collapsed="false">
      <c r="B43" s="663" t="s">
        <v>516</v>
      </c>
      <c r="C43" s="672"/>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9"/>
    </row>
    <row r="44" customFormat="false" ht="12.6" hidden="false" customHeight="true" outlineLevel="0" collapsed="false">
      <c r="A44" s="637" t="n">
        <v>6</v>
      </c>
      <c r="B44" s="409" t="s">
        <v>517</v>
      </c>
      <c r="C44" s="672" t="n">
        <f aca="false">AVERAGE(D44:W44)</f>
        <v>361.026977505028</v>
      </c>
      <c r="D44" s="434" t="n">
        <f aca="false">'Project Assumtions'!$N$34*((1+OM_Escal)^('Book Income Statement'!D4-'Project Assumtions'!$N$29))*D5/12</f>
        <v>159.220833333333</v>
      </c>
      <c r="E44" s="434" t="n">
        <f aca="false">'Project Assumtions'!$N$34*((1+OM_Escal)^('Book Income Statement'!E4-'Project Assumtions'!$N$29))*E5/12</f>
        <v>281.1385</v>
      </c>
      <c r="F44" s="434" t="n">
        <f aca="false">'Project Assumtions'!$N$34*((1+OM_Escal)^('Book Income Statement'!F4-'Project Assumtions'!$N$29))*F5/12</f>
        <v>289.572655</v>
      </c>
      <c r="G44" s="434" t="n">
        <f aca="false">'Project Assumtions'!$N$34*((1+OM_Escal)^('Book Income Statement'!G4-'Project Assumtions'!$N$29))*G5/12</f>
        <v>298.25983465</v>
      </c>
      <c r="H44" s="434" t="n">
        <f aca="false">'Project Assumtions'!$N$34*((1+OM_Escal)^('Book Income Statement'!H4-'Project Assumtions'!$N$29))*H5/12</f>
        <v>307.2076296895</v>
      </c>
      <c r="I44" s="434" t="n">
        <f aca="false">'Project Assumtions'!$N$34*((1+OM_Escal)^('Book Income Statement'!I4-'Project Assumtions'!$N$29))*I5/12</f>
        <v>316.423858580185</v>
      </c>
      <c r="J44" s="434" t="n">
        <f aca="false">'Project Assumtions'!$N$34*((1+OM_Escal)^('Book Income Statement'!J4-'Project Assumtions'!$N$29))*J5/12</f>
        <v>325.916574337591</v>
      </c>
      <c r="K44" s="434" t="n">
        <f aca="false">'Project Assumtions'!$N$34*((1+OM_Escal)^('Book Income Statement'!K4-'Project Assumtions'!$N$29))*K5/12</f>
        <v>335.694071567718</v>
      </c>
      <c r="L44" s="434" t="n">
        <f aca="false">'Project Assumtions'!$N$34*((1+OM_Escal)^('Book Income Statement'!L4-'Project Assumtions'!$N$29))*L5/12</f>
        <v>345.76489371475</v>
      </c>
      <c r="M44" s="434" t="n">
        <f aca="false">'Project Assumtions'!$N$34*((1+OM_Escal)^('Book Income Statement'!M4-'Project Assumtions'!$N$29))*M5/12</f>
        <v>356.137840526192</v>
      </c>
      <c r="N44" s="434" t="n">
        <f aca="false">'Project Assumtions'!$N$34*((1+OM_Escal)^('Book Income Statement'!N4-'Project Assumtions'!$N$29))*N5/12</f>
        <v>366.821975741978</v>
      </c>
      <c r="O44" s="434" t="n">
        <f aca="false">'Project Assumtions'!$N$34*((1+OM_Escal)^('Book Income Statement'!O4-'Project Assumtions'!$N$29))*O5/12</f>
        <v>377.826635014238</v>
      </c>
      <c r="P44" s="434" t="n">
        <f aca="false">'Project Assumtions'!$N$34*((1+OM_Escal)^('Book Income Statement'!P4-'Project Assumtions'!$N$29))*P5/12</f>
        <v>389.161434064665</v>
      </c>
      <c r="Q44" s="434" t="n">
        <f aca="false">'Project Assumtions'!$N$34*((1+OM_Escal)^('Book Income Statement'!Q4-'Project Assumtions'!$N$29))*Q5/12</f>
        <v>400.836277086605</v>
      </c>
      <c r="R44" s="434" t="n">
        <f aca="false">'Project Assumtions'!$N$34*((1+OM_Escal)^('Book Income Statement'!R4-'Project Assumtions'!$N$29))*R5/12</f>
        <v>412.861365399203</v>
      </c>
      <c r="S44" s="434" t="n">
        <f aca="false">'Project Assumtions'!$N$34*((1+OM_Escal)^('Book Income Statement'!S4-'Project Assumtions'!$N$29))*S5/12</f>
        <v>425.247206361179</v>
      </c>
      <c r="T44" s="434" t="n">
        <f aca="false">'Project Assumtions'!$N$34*((1+OM_Escal)^('Book Income Statement'!T4-'Project Assumtions'!$N$29))*T5/12</f>
        <v>438.004622552014</v>
      </c>
      <c r="U44" s="434" t="n">
        <f aca="false">'Project Assumtions'!$N$34*((1+OM_Escal)^('Book Income Statement'!U4-'Project Assumtions'!$N$29))*U5/12</f>
        <v>451.144761228575</v>
      </c>
      <c r="V44" s="434" t="n">
        <f aca="false">'Project Assumtions'!$N$34*((1+OM_Escal)^('Book Income Statement'!V4-'Project Assumtions'!$N$29))*V5/12</f>
        <v>464.679104065432</v>
      </c>
      <c r="W44" s="434" t="n">
        <f aca="false">'Project Assumtions'!$N$34*((1+OM_Escal)^('Book Income Statement'!W4-'Project Assumtions'!$N$29))*W5/12</f>
        <v>478.619477187395</v>
      </c>
      <c r="X44" s="434" t="n">
        <f aca="false">'Project Assumtions'!$N$34*((1+OM_Escal)^('Book Income Statement'!X4-'Project Assumtions'!$N$29))*X5/12</f>
        <v>205.407525626257</v>
      </c>
      <c r="Y44" s="434" t="n">
        <f aca="false">'Project Assumtions'!$N$34*((1+OM_Escal)^('Book Income Statement'!Y4-'Project Assumtions'!$N$29))*Y5/12</f>
        <v>0</v>
      </c>
      <c r="Z44" s="434" t="n">
        <f aca="false">'Project Assumtions'!$N$34*((1+OM_Escal)^('Book Income Statement'!Z4-'Project Assumtions'!$N$29))*Z5/12</f>
        <v>0</v>
      </c>
      <c r="AA44" s="434" t="n">
        <f aca="false">'Project Assumtions'!$N$34*((1+OM_Escal)^('Book Income Statement'!AA4-'Project Assumtions'!$N$29))*AA5/12</f>
        <v>0</v>
      </c>
      <c r="AB44" s="435" t="n">
        <f aca="false">'Project Assumtions'!$N$34*((1+OM_Escal)^('Book Income Statement'!AB4-'Project Assumtions'!$N$29))*AB5/12</f>
        <v>0</v>
      </c>
    </row>
    <row r="45" customFormat="false" ht="12.6" hidden="false" customHeight="true" outlineLevel="0" collapsed="false">
      <c r="A45" s="637" t="n">
        <v>7</v>
      </c>
      <c r="B45" s="409" t="s">
        <v>518</v>
      </c>
      <c r="C45" s="672" t="n">
        <f aca="false">AVERAGE(D45:W45)</f>
        <v>131.463307187337</v>
      </c>
      <c r="D45" s="434" t="n">
        <f aca="false">IF(D3&gt;ProjectLife+1,0,'Project Assumtions'!$N$35*((1+OM_Escal)^('Book Income Statement'!D4-'Project Assumtions'!$N$29)))</f>
        <v>97.85</v>
      </c>
      <c r="E45" s="434" t="n">
        <f aca="false">IF(E3&gt;ProjectLife+1,0,'Project Assumtions'!$N$35*((1+OM_Escal)^('Book Income Statement'!E4-'Project Assumtions'!$N$29)))</f>
        <v>100.7855</v>
      </c>
      <c r="F45" s="434" t="n">
        <f aca="false">IF(F3&gt;ProjectLife+1,0,'Project Assumtions'!$N$35*((1+OM_Escal)^('Book Income Statement'!F4-'Project Assumtions'!$N$29)))</f>
        <v>103.809065</v>
      </c>
      <c r="G45" s="434" t="n">
        <f aca="false">IF(G3&gt;ProjectLife+1,0,'Project Assumtions'!$N$35*((1+OM_Escal)^('Book Income Statement'!G4-'Project Assumtions'!$N$29)))</f>
        <v>106.92333695</v>
      </c>
      <c r="H45" s="434" t="n">
        <f aca="false">IF(H3&gt;ProjectLife+1,0,'Project Assumtions'!$N$35*((1+OM_Escal)^('Book Income Statement'!H4-'Project Assumtions'!$N$29)))</f>
        <v>110.1310370585</v>
      </c>
      <c r="I45" s="434" t="n">
        <f aca="false">IF(I3&gt;ProjectLife+1,0,'Project Assumtions'!$N$35*((1+OM_Escal)^('Book Income Statement'!I4-'Project Assumtions'!$N$29)))</f>
        <v>113.434968170255</v>
      </c>
      <c r="J45" s="434" t="n">
        <f aca="false">IF(J3&gt;ProjectLife+1,0,'Project Assumtions'!$N$35*((1+OM_Escal)^('Book Income Statement'!J4-'Project Assumtions'!$N$29)))</f>
        <v>116.838017215363</v>
      </c>
      <c r="K45" s="434" t="n">
        <f aca="false">IF(K3&gt;ProjectLife+1,0,'Project Assumtions'!$N$35*((1+OM_Escal)^('Book Income Statement'!K4-'Project Assumtions'!$N$29)))</f>
        <v>120.343157731824</v>
      </c>
      <c r="L45" s="434" t="n">
        <f aca="false">IF(L3&gt;ProjectLife+1,0,'Project Assumtions'!$N$35*((1+OM_Escal)^('Book Income Statement'!L4-'Project Assumtions'!$N$29)))</f>
        <v>123.953452463778</v>
      </c>
      <c r="M45" s="434" t="n">
        <f aca="false">IF(M3&gt;ProjectLife+1,0,'Project Assumtions'!$N$35*((1+OM_Escal)^('Book Income Statement'!M4-'Project Assumtions'!$N$29)))</f>
        <v>127.672056037692</v>
      </c>
      <c r="N45" s="434" t="n">
        <f aca="false">IF(N3&gt;ProjectLife+1,0,'Project Assumtions'!$N$35*((1+OM_Escal)^('Book Income Statement'!N4-'Project Assumtions'!$N$29)))</f>
        <v>131.502217718822</v>
      </c>
      <c r="O45" s="434" t="n">
        <f aca="false">IF(O3&gt;ProjectLife+1,0,'Project Assumtions'!$N$35*((1+OM_Escal)^('Book Income Statement'!O4-'Project Assumtions'!$N$29)))</f>
        <v>135.447284250387</v>
      </c>
      <c r="P45" s="434" t="n">
        <f aca="false">IF(P3&gt;ProjectLife+1,0,'Project Assumtions'!$N$35*((1+OM_Escal)^('Book Income Statement'!P4-'Project Assumtions'!$N$29)))</f>
        <v>139.510702777899</v>
      </c>
      <c r="Q45" s="434" t="n">
        <f aca="false">IF(Q3&gt;ProjectLife+1,0,'Project Assumtions'!$N$35*((1+OM_Escal)^('Book Income Statement'!Q4-'Project Assumtions'!$N$29)))</f>
        <v>143.696023861236</v>
      </c>
      <c r="R45" s="434" t="n">
        <f aca="false">IF(R3&gt;ProjectLife+1,0,'Project Assumtions'!$N$35*((1+OM_Escal)^('Book Income Statement'!R4-'Project Assumtions'!$N$29)))</f>
        <v>148.006904577073</v>
      </c>
      <c r="S45" s="434" t="n">
        <f aca="false">IF(S3&gt;ProjectLife+1,0,'Project Assumtions'!$N$35*((1+OM_Escal)^('Book Income Statement'!S4-'Project Assumtions'!$N$29)))</f>
        <v>152.447111714385</v>
      </c>
      <c r="T45" s="434" t="n">
        <f aca="false">IF(T3&gt;ProjectLife+1,0,'Project Assumtions'!$N$35*((1+OM_Escal)^('Book Income Statement'!T4-'Project Assumtions'!$N$29)))</f>
        <v>157.020525065816</v>
      </c>
      <c r="U45" s="434" t="n">
        <f aca="false">IF(U3&gt;ProjectLife+1,0,'Project Assumtions'!$N$35*((1+OM_Escal)^('Book Income Statement'!U4-'Project Assumtions'!$N$29)))</f>
        <v>161.731140817791</v>
      </c>
      <c r="V45" s="434" t="n">
        <f aca="false">IF(V3&gt;ProjectLife+1,0,'Project Assumtions'!$N$35*((1+OM_Escal)^('Book Income Statement'!V4-'Project Assumtions'!$N$29)))</f>
        <v>166.583075042325</v>
      </c>
      <c r="W45" s="434" t="n">
        <f aca="false">IF(W3&gt;ProjectLife+1,0,'Project Assumtions'!$N$35*((1+OM_Escal)^('Book Income Statement'!W4-'Project Assumtions'!$N$29)))</f>
        <v>171.580567293594</v>
      </c>
      <c r="X45" s="434" t="n">
        <f aca="false">IF(X3&gt;ProjectLife+1,0,'Project Assumtions'!$N$35*((1+OM_Escal)^('Book Income Statement'!X4-'Project Assumtions'!$N$29)))</f>
        <v>176.727984312402</v>
      </c>
      <c r="Y45" s="434" t="n">
        <f aca="false">IF(Y3&gt;ProjectLife+1,0,'Project Assumtions'!$N$35*((1+OM_Escal)^('Book Income Statement'!Y4-'Project Assumtions'!$N$29)))</f>
        <v>0</v>
      </c>
      <c r="Z45" s="434" t="n">
        <f aca="false">IF(Z3&gt;ProjectLife+1,0,'Project Assumtions'!$N$35*((1+OM_Escal)^('Book Income Statement'!Z4-'Project Assumtions'!$N$29)))</f>
        <v>0</v>
      </c>
      <c r="AA45" s="434" t="n">
        <f aca="false">IF(AA3&gt;ProjectLife+1,0,'Project Assumtions'!$N$35*((1+OM_Escal)^('Book Income Statement'!AA4-'Project Assumtions'!$N$29)))</f>
        <v>0</v>
      </c>
      <c r="AB45" s="435" t="n">
        <f aca="false">IF(AB3&gt;ProjectLife+1,0,'Project Assumtions'!$N$35*((1+OM_Escal)^('Book Income Statement'!AB4-'Project Assumtions'!$N$29)))</f>
        <v>0</v>
      </c>
    </row>
    <row r="46" customFormat="false" ht="12.6" hidden="false" customHeight="true" outlineLevel="0" collapsed="false">
      <c r="B46" s="409" t="s">
        <v>519</v>
      </c>
      <c r="C46" s="672" t="n">
        <f aca="false">AVERAGE(D46:W46)</f>
        <v>190.731233398883</v>
      </c>
      <c r="D46" s="434" t="n">
        <f aca="false">'Project Assumtions'!$N$36*((1+OM_Escal)^('Book Income Statement'!D4-'Project Assumtions'!$N$29))*(D5/12)</f>
        <v>84.1166666666667</v>
      </c>
      <c r="E46" s="434" t="n">
        <f aca="false">'Project Assumtions'!$N$36*((1+OM_Escal)^('Book Income Statement'!E4-'Project Assumtions'!$N$29))*(E5/12)</f>
        <v>148.526</v>
      </c>
      <c r="F46" s="434" t="n">
        <f aca="false">'Project Assumtions'!$N$36*((1+OM_Escal)^('Book Income Statement'!F4-'Project Assumtions'!$N$29))*(F5/12)</f>
        <v>152.98178</v>
      </c>
      <c r="G46" s="434" t="n">
        <f aca="false">'Project Assumtions'!$N$36*((1+OM_Escal)^('Book Income Statement'!G4-'Project Assumtions'!$N$29))*(G5/12)</f>
        <v>157.5712334</v>
      </c>
      <c r="H46" s="434" t="n">
        <f aca="false">'Project Assumtions'!$N$36*((1+OM_Escal)^('Book Income Statement'!H4-'Project Assumtions'!$N$29))*(H5/12)</f>
        <v>162.298370402</v>
      </c>
      <c r="I46" s="434" t="n">
        <f aca="false">'Project Assumtions'!$N$36*((1+OM_Escal)^('Book Income Statement'!I4-'Project Assumtions'!$N$29))*(I5/12)</f>
        <v>167.16732151406</v>
      </c>
      <c r="J46" s="434" t="n">
        <f aca="false">'Project Assumtions'!$N$36*((1+OM_Escal)^('Book Income Statement'!J4-'Project Assumtions'!$N$29))*(J5/12)</f>
        <v>172.182341159482</v>
      </c>
      <c r="K46" s="434" t="n">
        <f aca="false">'Project Assumtions'!$N$36*((1+OM_Escal)^('Book Income Statement'!K4-'Project Assumtions'!$N$29))*(K5/12)</f>
        <v>177.347811394266</v>
      </c>
      <c r="L46" s="434" t="n">
        <f aca="false">'Project Assumtions'!$N$36*((1+OM_Escal)^('Book Income Statement'!L4-'Project Assumtions'!$N$29))*(L5/12)</f>
        <v>182.668245736094</v>
      </c>
      <c r="M46" s="434" t="n">
        <f aca="false">'Project Assumtions'!$N$36*((1+OM_Escal)^('Book Income Statement'!M4-'Project Assumtions'!$N$29))*(M5/12)</f>
        <v>188.148293108177</v>
      </c>
      <c r="N46" s="434" t="n">
        <f aca="false">'Project Assumtions'!$N$36*((1+OM_Escal)^('Book Income Statement'!N4-'Project Assumtions'!$N$29))*(N5/12)</f>
        <v>193.792741901422</v>
      </c>
      <c r="O46" s="434" t="n">
        <f aca="false">'Project Assumtions'!$N$36*((1+OM_Escal)^('Book Income Statement'!O4-'Project Assumtions'!$N$29))*(O5/12)</f>
        <v>199.606524158465</v>
      </c>
      <c r="P46" s="434" t="n">
        <f aca="false">'Project Assumtions'!$N$36*((1+OM_Escal)^('Book Income Statement'!P4-'Project Assumtions'!$N$29))*(P5/12)</f>
        <v>205.594719883219</v>
      </c>
      <c r="Q46" s="434" t="n">
        <f aca="false">'Project Assumtions'!$N$36*((1+OM_Escal)^('Book Income Statement'!Q4-'Project Assumtions'!$N$29))*(Q5/12)</f>
        <v>211.762561479716</v>
      </c>
      <c r="R46" s="434" t="n">
        <f aca="false">'Project Assumtions'!$N$36*((1+OM_Escal)^('Book Income Statement'!R4-'Project Assumtions'!$N$29))*(R5/12)</f>
        <v>218.115438324107</v>
      </c>
      <c r="S46" s="434" t="n">
        <f aca="false">'Project Assumtions'!$N$36*((1+OM_Escal)^('Book Income Statement'!S4-'Project Assumtions'!$N$29))*(S5/12)</f>
        <v>224.65890147383</v>
      </c>
      <c r="T46" s="434" t="n">
        <f aca="false">'Project Assumtions'!$N$36*((1+OM_Escal)^('Book Income Statement'!T4-'Project Assumtions'!$N$29))*(T5/12)</f>
        <v>231.398668518045</v>
      </c>
      <c r="U46" s="434" t="n">
        <f aca="false">'Project Assumtions'!$N$36*((1+OM_Escal)^('Book Income Statement'!U4-'Project Assumtions'!$N$29))*(U5/12)</f>
        <v>238.340628573587</v>
      </c>
      <c r="V46" s="434" t="n">
        <f aca="false">'Project Assumtions'!$N$36*((1+OM_Escal)^('Book Income Statement'!V4-'Project Assumtions'!$N$29))*(V5/12)</f>
        <v>245.490847430794</v>
      </c>
      <c r="W46" s="434" t="n">
        <f aca="false">'Project Assumtions'!$N$36*((1+OM_Escal)^('Book Income Statement'!W4-'Project Assumtions'!$N$29))*(W5/12)</f>
        <v>252.855572853718</v>
      </c>
      <c r="X46" s="434" t="n">
        <f aca="false">'Project Assumtions'!$N$36*((1+OM_Escal)^('Book Income Statement'!X4-'Project Assumtions'!$N$29))*(X5/12)</f>
        <v>108.517183349721</v>
      </c>
      <c r="Y46" s="434" t="n">
        <f aca="false">'Project Assumtions'!$N$36*((1+OM_Escal)^('Book Income Statement'!Y4-'Project Assumtions'!$N$29))*(Y5/12)</f>
        <v>0</v>
      </c>
      <c r="Z46" s="434" t="n">
        <f aca="false">'Project Assumtions'!$N$36*((1+OM_Escal)^('Book Income Statement'!Z4-'Project Assumtions'!$N$29))*(Z5/12)</f>
        <v>0</v>
      </c>
      <c r="AA46" s="434" t="n">
        <f aca="false">'Project Assumtions'!$N$36*((1+OM_Escal)^('Book Income Statement'!AA4-'Project Assumtions'!$N$29))*(AA5/12)</f>
        <v>0</v>
      </c>
      <c r="AB46" s="435" t="n">
        <f aca="false">'Project Assumtions'!$N$36*((1+OM_Escal)^('Book Income Statement'!AB4-'Project Assumtions'!$N$29))*(AB5/12)</f>
        <v>0</v>
      </c>
    </row>
    <row r="47" customFormat="false" ht="12.6" hidden="false" customHeight="true" outlineLevel="0" collapsed="false">
      <c r="A47" s="637" t="n">
        <v>7</v>
      </c>
      <c r="B47" s="409" t="s">
        <v>520</v>
      </c>
      <c r="C47" s="672" t="n">
        <f aca="false">AVERAGE(D47:W47)</f>
        <v>111.714008133631</v>
      </c>
      <c r="D47" s="434" t="n">
        <f aca="false">'Project Assumtions'!$N$37*(1+OM_Escal)^('Book Income Statement'!D4-'Project Assumtions'!$N$29)*(D5/12)</f>
        <v>49.2683333333333</v>
      </c>
      <c r="E47" s="434" t="n">
        <f aca="false">'Project Assumtions'!$N$37*(1+OM_Escal)^('Book Income Statement'!E4-'Project Assumtions'!$N$29)*(E5/12)</f>
        <v>86.9938</v>
      </c>
      <c r="F47" s="434" t="n">
        <f aca="false">'Project Assumtions'!$N$37*(1+OM_Escal)^('Book Income Statement'!F4-'Project Assumtions'!$N$29)*(F5/12)</f>
        <v>89.603614</v>
      </c>
      <c r="G47" s="434" t="n">
        <f aca="false">'Project Assumtions'!$N$37*(1+OM_Escal)^('Book Income Statement'!G4-'Project Assumtions'!$N$29)*(G5/12)</f>
        <v>92.29172242</v>
      </c>
      <c r="H47" s="434" t="n">
        <f aca="false">'Project Assumtions'!$N$37*(1+OM_Escal)^('Book Income Statement'!H4-'Project Assumtions'!$N$29)*(H5/12)</f>
        <v>95.0604740926</v>
      </c>
      <c r="I47" s="434" t="n">
        <f aca="false">'Project Assumtions'!$N$37*(1+OM_Escal)^('Book Income Statement'!I4-'Project Assumtions'!$N$29)*(I5/12)</f>
        <v>97.912288315378</v>
      </c>
      <c r="J47" s="434" t="n">
        <f aca="false">'Project Assumtions'!$N$37*(1+OM_Escal)^('Book Income Statement'!J4-'Project Assumtions'!$N$29)*(J5/12)</f>
        <v>100.849656964839</v>
      </c>
      <c r="K47" s="434" t="n">
        <f aca="false">'Project Assumtions'!$N$37*(1+OM_Escal)^('Book Income Statement'!K4-'Project Assumtions'!$N$29)*(K5/12)</f>
        <v>103.875146673785</v>
      </c>
      <c r="L47" s="434" t="n">
        <f aca="false">'Project Assumtions'!$N$37*(1+OM_Escal)^('Book Income Statement'!L4-'Project Assumtions'!$N$29)*(L5/12)</f>
        <v>106.991401073998</v>
      </c>
      <c r="M47" s="434" t="n">
        <f aca="false">'Project Assumtions'!$N$37*(1+OM_Escal)^('Book Income Statement'!M4-'Project Assumtions'!$N$29)*(M5/12)</f>
        <v>110.201143106218</v>
      </c>
      <c r="N47" s="434" t="n">
        <f aca="false">'Project Assumtions'!$N$37*(1+OM_Escal)^('Book Income Statement'!N4-'Project Assumtions'!$N$29)*(N5/12)</f>
        <v>113.507177399405</v>
      </c>
      <c r="O47" s="434" t="n">
        <f aca="false">'Project Assumtions'!$N$37*(1+OM_Escal)^('Book Income Statement'!O4-'Project Assumtions'!$N$29)*(O5/12)</f>
        <v>116.912392721387</v>
      </c>
      <c r="P47" s="434" t="n">
        <f aca="false">'Project Assumtions'!$N$37*(1+OM_Escal)^('Book Income Statement'!P4-'Project Assumtions'!$N$29)*(P5/12)</f>
        <v>120.419764503028</v>
      </c>
      <c r="Q47" s="434" t="n">
        <f aca="false">'Project Assumtions'!$N$37*(1+OM_Escal)^('Book Income Statement'!Q4-'Project Assumtions'!$N$29)*(Q5/12)</f>
        <v>124.032357438119</v>
      </c>
      <c r="R47" s="434" t="n">
        <f aca="false">'Project Assumtions'!$N$37*(1+OM_Escal)^('Book Income Statement'!R4-'Project Assumtions'!$N$29)*(R5/12)</f>
        <v>127.753328161263</v>
      </c>
      <c r="S47" s="434" t="n">
        <f aca="false">'Project Assumtions'!$N$37*(1+OM_Escal)^('Book Income Statement'!S4-'Project Assumtions'!$N$29)*(S5/12)</f>
        <v>131.585928006101</v>
      </c>
      <c r="T47" s="434" t="n">
        <f aca="false">'Project Assumtions'!$N$37*(1+OM_Escal)^('Book Income Statement'!T4-'Project Assumtions'!$N$29)*(T5/12)</f>
        <v>135.533505846284</v>
      </c>
      <c r="U47" s="434" t="n">
        <f aca="false">'Project Assumtions'!$N$37*(1+OM_Escal)^('Book Income Statement'!U4-'Project Assumtions'!$N$29)*(U5/12)</f>
        <v>139.599511021672</v>
      </c>
      <c r="V47" s="434" t="n">
        <f aca="false">'Project Assumtions'!$N$37*(1+OM_Escal)^('Book Income Statement'!V4-'Project Assumtions'!$N$29)*(V5/12)</f>
        <v>143.787496352322</v>
      </c>
      <c r="W47" s="434" t="n">
        <f aca="false">'Project Assumtions'!$N$37*(1+OM_Escal)^('Book Income Statement'!W4-'Project Assumtions'!$N$29)*(W5/12)</f>
        <v>148.101121242892</v>
      </c>
      <c r="X47" s="434" t="n">
        <f aca="false">'Project Assumtions'!$N$37*(1+OM_Escal)^('Book Income Statement'!X4-'Project Assumtions'!$N$29)*(X5/12)</f>
        <v>63.5600645334078</v>
      </c>
      <c r="Y47" s="434" t="n">
        <f aca="false">'Project Assumtions'!$N$37*(1+OM_Escal)^('Book Income Statement'!Y4-'Project Assumtions'!$N$29)*(Y5/12)</f>
        <v>0</v>
      </c>
      <c r="Z47" s="434" t="n">
        <f aca="false">'Project Assumtions'!$N$37*(1+OM_Escal)^('Book Income Statement'!Z4-'Project Assumtions'!$N$29)*(Z5/12)</f>
        <v>0</v>
      </c>
      <c r="AA47" s="434" t="n">
        <f aca="false">'Project Assumtions'!$N$37*(1+OM_Escal)^('Book Income Statement'!AA4-'Project Assumtions'!$N$29)*(AA5/12)</f>
        <v>0</v>
      </c>
      <c r="AB47" s="435" t="n">
        <f aca="false">'Project Assumtions'!$N$37*(1+OM_Escal)^('Book Income Statement'!AB4-'Project Assumtions'!$N$29)*(AB5/12)</f>
        <v>0</v>
      </c>
    </row>
    <row r="48" customFormat="false" ht="12.6" hidden="false" customHeight="true" outlineLevel="0" collapsed="false">
      <c r="A48" s="637" t="n">
        <v>7</v>
      </c>
      <c r="B48" s="409" t="s">
        <v>521</v>
      </c>
      <c r="C48" s="672" t="n">
        <f aca="false">AVERAGE(D48:W48)</f>
        <v>40.8709785854748</v>
      </c>
      <c r="D48" s="434" t="n">
        <f aca="false">'Project Assumtions'!$N$38*(1+OM_Escal)^('Book Income Statement'!D4-'Project Assumtions'!$N$29)*(D5/12)</f>
        <v>18.025</v>
      </c>
      <c r="E48" s="434" t="n">
        <f aca="false">'Project Assumtions'!$N$38*(1+OM_Escal)^('Book Income Statement'!E4-'Project Assumtions'!$N$29)*(E5/12)</f>
        <v>31.827</v>
      </c>
      <c r="F48" s="434" t="n">
        <f aca="false">'Project Assumtions'!$N$38*(1+OM_Escal)^('Book Income Statement'!F4-'Project Assumtions'!$N$29)*(F5/12)</f>
        <v>32.78181</v>
      </c>
      <c r="G48" s="434" t="n">
        <f aca="false">'Project Assumtions'!$N$38*(1+OM_Escal)^('Book Income Statement'!G4-'Project Assumtions'!$N$29)*(G5/12)</f>
        <v>33.7652643</v>
      </c>
      <c r="H48" s="434" t="n">
        <f aca="false">'Project Assumtions'!$N$38*(1+OM_Escal)^('Book Income Statement'!H4-'Project Assumtions'!$N$29)*(H5/12)</f>
        <v>34.778222229</v>
      </c>
      <c r="I48" s="434" t="n">
        <f aca="false">'Project Assumtions'!$N$38*(1+OM_Escal)^('Book Income Statement'!I4-'Project Assumtions'!$N$29)*(I5/12)</f>
        <v>35.82156889587</v>
      </c>
      <c r="J48" s="434" t="n">
        <f aca="false">'Project Assumtions'!$N$38*(1+OM_Escal)^('Book Income Statement'!J4-'Project Assumtions'!$N$29)*(J5/12)</f>
        <v>36.8962159627461</v>
      </c>
      <c r="K48" s="434" t="n">
        <f aca="false">'Project Assumtions'!$N$38*(1+OM_Escal)^('Book Income Statement'!K4-'Project Assumtions'!$N$29)*(K5/12)</f>
        <v>38.0031024416285</v>
      </c>
      <c r="L48" s="434" t="n">
        <f aca="false">'Project Assumtions'!$N$38*(1+OM_Escal)^('Book Income Statement'!L4-'Project Assumtions'!$N$29)*(L5/12)</f>
        <v>39.1431955148774</v>
      </c>
      <c r="M48" s="434" t="n">
        <f aca="false">'Project Assumtions'!$N$38*(1+OM_Escal)^('Book Income Statement'!M4-'Project Assumtions'!$N$29)*(M5/12)</f>
        <v>40.3174913803237</v>
      </c>
      <c r="N48" s="434" t="n">
        <f aca="false">'Project Assumtions'!$N$38*(1+OM_Escal)^('Book Income Statement'!N4-'Project Assumtions'!$N$29)*(N5/12)</f>
        <v>41.5270161217334</v>
      </c>
      <c r="O48" s="434" t="n">
        <f aca="false">'Project Assumtions'!$N$38*(1+OM_Escal)^('Book Income Statement'!O4-'Project Assumtions'!$N$29)*(O5/12)</f>
        <v>42.7728266053854</v>
      </c>
      <c r="P48" s="434" t="n">
        <f aca="false">'Project Assumtions'!$N$38*(1+OM_Escal)^('Book Income Statement'!P4-'Project Assumtions'!$N$29)*(P5/12)</f>
        <v>44.056011403547</v>
      </c>
      <c r="Q48" s="434" t="n">
        <f aca="false">'Project Assumtions'!$N$38*(1+OM_Escal)^('Book Income Statement'!Q4-'Project Assumtions'!$N$29)*(Q5/12)</f>
        <v>45.3776917456534</v>
      </c>
      <c r="R48" s="434" t="n">
        <f aca="false">'Project Assumtions'!$N$38*(1+OM_Escal)^('Book Income Statement'!R4-'Project Assumtions'!$N$29)*(R5/12)</f>
        <v>46.739022498023</v>
      </c>
      <c r="S48" s="434" t="n">
        <f aca="false">'Project Assumtions'!$N$38*(1+OM_Escal)^('Book Income Statement'!S4-'Project Assumtions'!$N$29)*(S5/12)</f>
        <v>48.1411931729636</v>
      </c>
      <c r="T48" s="434" t="n">
        <f aca="false">'Project Assumtions'!$N$38*(1+OM_Escal)^('Book Income Statement'!T4-'Project Assumtions'!$N$29)*(T5/12)</f>
        <v>49.5854289681526</v>
      </c>
      <c r="U48" s="434" t="n">
        <f aca="false">'Project Assumtions'!$N$38*(1+OM_Escal)^('Book Income Statement'!U4-'Project Assumtions'!$N$29)*(U5/12)</f>
        <v>51.0729918371971</v>
      </c>
      <c r="V48" s="434" t="n">
        <f aca="false">'Project Assumtions'!$N$38*(1+OM_Escal)^('Book Income Statement'!V4-'Project Assumtions'!$N$29)*(V5/12)</f>
        <v>52.605181592313</v>
      </c>
      <c r="W48" s="434" t="n">
        <f aca="false">'Project Assumtions'!$N$38*(1+OM_Escal)^('Book Income Statement'!W4-'Project Assumtions'!$N$29)*(W5/12)</f>
        <v>54.1833370400824</v>
      </c>
      <c r="X48" s="434" t="n">
        <f aca="false">'Project Assumtions'!$N$38*(1+OM_Escal)^('Book Income Statement'!X4-'Project Assumtions'!$N$29)*(X5/12)</f>
        <v>23.2536821463687</v>
      </c>
      <c r="Y48" s="434" t="n">
        <f aca="false">'Project Assumtions'!$N$38*(1+OM_Escal)^('Book Income Statement'!Y4-'Project Assumtions'!$N$29)*(Y5/12)</f>
        <v>0</v>
      </c>
      <c r="Z48" s="434" t="n">
        <f aca="false">'Project Assumtions'!$N$38*(1+OM_Escal)^('Book Income Statement'!Z4-'Project Assumtions'!$N$29)*(Z5/12)</f>
        <v>0</v>
      </c>
      <c r="AA48" s="434" t="n">
        <f aca="false">'Project Assumtions'!$N$38*(1+OM_Escal)^('Book Income Statement'!AA4-'Project Assumtions'!$N$29)*(AA5/12)</f>
        <v>0</v>
      </c>
      <c r="AB48" s="435" t="n">
        <f aca="false">'Project Assumtions'!$N$38*(1+OM_Escal)^('Book Income Statement'!AB4-'Project Assumtions'!$N$29)*(AB5/12)</f>
        <v>0</v>
      </c>
    </row>
    <row r="49" customFormat="false" ht="12.6" hidden="false" customHeight="true" outlineLevel="0" collapsed="false">
      <c r="A49" s="637" t="n">
        <v>7</v>
      </c>
      <c r="B49" s="409" t="s">
        <v>522</v>
      </c>
      <c r="C49" s="671" t="n">
        <f aca="false">AVERAGE(D49:W49)</f>
        <v>102.177446463687</v>
      </c>
      <c r="D49" s="438" t="n">
        <f aca="false">'Project Assumtions'!$N$39*((1+OM_Escal)^('Book Income Statement'!D4-'Project Assumtions'!$N$29))*(D5/12)</f>
        <v>45.0625</v>
      </c>
      <c r="E49" s="438" t="n">
        <f aca="false">'Project Assumtions'!$N$39*((1+OM_Escal)^('Book Income Statement'!E4-'Project Assumtions'!$N$29))*(E5/12)</f>
        <v>79.5675</v>
      </c>
      <c r="F49" s="438" t="n">
        <f aca="false">'Project Assumtions'!$N$39*((1+OM_Escal)^('Book Income Statement'!F4-'Project Assumtions'!$N$29))*(F5/12)</f>
        <v>81.954525</v>
      </c>
      <c r="G49" s="438" t="n">
        <f aca="false">'Project Assumtions'!$N$39*((1+OM_Escal)^('Book Income Statement'!G4-'Project Assumtions'!$N$29))*(G5/12)</f>
        <v>84.41316075</v>
      </c>
      <c r="H49" s="438" t="n">
        <f aca="false">'Project Assumtions'!$N$39*((1+OM_Escal)^('Book Income Statement'!H4-'Project Assumtions'!$N$29))*(H5/12)</f>
        <v>86.9455555725</v>
      </c>
      <c r="I49" s="438" t="n">
        <f aca="false">'Project Assumtions'!$N$39*((1+OM_Escal)^('Book Income Statement'!I4-'Project Assumtions'!$N$29))*(I5/12)</f>
        <v>89.553922239675</v>
      </c>
      <c r="J49" s="438" t="n">
        <f aca="false">'Project Assumtions'!$N$39*((1+OM_Escal)^('Book Income Statement'!J4-'Project Assumtions'!$N$29))*(J5/12)</f>
        <v>92.2405399068653</v>
      </c>
      <c r="K49" s="438" t="n">
        <f aca="false">'Project Assumtions'!$N$39*((1+OM_Escal)^('Book Income Statement'!K4-'Project Assumtions'!$N$29))*(K5/12)</f>
        <v>95.0077561040712</v>
      </c>
      <c r="L49" s="438" t="n">
        <f aca="false">'Project Assumtions'!$N$39*((1+OM_Escal)^('Book Income Statement'!L4-'Project Assumtions'!$N$29))*(L5/12)</f>
        <v>97.8579887871934</v>
      </c>
      <c r="M49" s="438" t="n">
        <f aca="false">'Project Assumtions'!$N$39*((1+OM_Escal)^('Book Income Statement'!M4-'Project Assumtions'!$N$29))*(M5/12)</f>
        <v>100.793728450809</v>
      </c>
      <c r="N49" s="438" t="n">
        <f aca="false">'Project Assumtions'!$N$39*((1+OM_Escal)^('Book Income Statement'!N4-'Project Assumtions'!$N$29))*(N5/12)</f>
        <v>103.817540304333</v>
      </c>
      <c r="O49" s="438" t="n">
        <f aca="false">'Project Assumtions'!$N$39*((1+OM_Escal)^('Book Income Statement'!O4-'Project Assumtions'!$N$29))*(O5/12)</f>
        <v>106.932066513463</v>
      </c>
      <c r="P49" s="438" t="n">
        <f aca="false">'Project Assumtions'!$N$39*((1+OM_Escal)^('Book Income Statement'!P4-'Project Assumtions'!$N$29))*(P5/12)</f>
        <v>110.140028508867</v>
      </c>
      <c r="Q49" s="438" t="n">
        <f aca="false">'Project Assumtions'!$N$39*((1+OM_Escal)^('Book Income Statement'!Q4-'Project Assumtions'!$N$29))*(Q5/12)</f>
        <v>113.444229364133</v>
      </c>
      <c r="R49" s="438" t="n">
        <f aca="false">'Project Assumtions'!$N$39*((1+OM_Escal)^('Book Income Statement'!R4-'Project Assumtions'!$N$29))*(R5/12)</f>
        <v>116.847556245057</v>
      </c>
      <c r="S49" s="438" t="n">
        <f aca="false">'Project Assumtions'!$N$39*((1+OM_Escal)^('Book Income Statement'!S4-'Project Assumtions'!$N$29))*(S5/12)</f>
        <v>120.352982932409</v>
      </c>
      <c r="T49" s="438" t="n">
        <f aca="false">'Project Assumtions'!$N$39*((1+OM_Escal)^('Book Income Statement'!T4-'Project Assumtions'!$N$29))*(T5/12)</f>
        <v>123.963572420381</v>
      </c>
      <c r="U49" s="438" t="n">
        <f aca="false">'Project Assumtions'!$N$39*((1+OM_Escal)^('Book Income Statement'!U4-'Project Assumtions'!$N$29))*(U5/12)</f>
        <v>127.682479592993</v>
      </c>
      <c r="V49" s="438" t="n">
        <f aca="false">'Project Assumtions'!$N$39*((1+OM_Escal)^('Book Income Statement'!V4-'Project Assumtions'!$N$29))*(V5/12)</f>
        <v>131.512953980783</v>
      </c>
      <c r="W49" s="438" t="n">
        <f aca="false">'Project Assumtions'!$N$39*((1+OM_Escal)^('Book Income Statement'!W4-'Project Assumtions'!$N$29))*(W5/12)</f>
        <v>135.458342600206</v>
      </c>
      <c r="X49" s="438" t="n">
        <f aca="false">'Project Assumtions'!$N$39*((1+OM_Escal)^('Book Income Statement'!X4-'Project Assumtions'!$N$29))*(X5/12)</f>
        <v>58.1342053659218</v>
      </c>
      <c r="Y49" s="438" t="n">
        <f aca="false">'Project Assumtions'!$N$39*((1+OM_Escal)^('Book Income Statement'!Y4-'Project Assumtions'!$N$29))*(Y5/12)</f>
        <v>0</v>
      </c>
      <c r="Z49" s="438" t="n">
        <f aca="false">'Project Assumtions'!$N$39*((1+OM_Escal)^('Book Income Statement'!Z4-'Project Assumtions'!$N$29))*(Z5/12)</f>
        <v>0</v>
      </c>
      <c r="AA49" s="438" t="n">
        <f aca="false">'Project Assumtions'!$N$39*((1+OM_Escal)^('Book Income Statement'!AA4-'Project Assumtions'!$N$29))*(AA5/12)</f>
        <v>0</v>
      </c>
      <c r="AB49" s="439" t="n">
        <f aca="false">'Project Assumtions'!$N$39*((1+OM_Escal)^('Book Income Statement'!AB4-'Project Assumtions'!$N$29))*(AB5/12)</f>
        <v>0</v>
      </c>
    </row>
    <row r="50" customFormat="false" ht="12.6" hidden="false" customHeight="true" outlineLevel="0" collapsed="false">
      <c r="B50" s="663" t="s">
        <v>523</v>
      </c>
      <c r="D50" s="680" t="n">
        <f aca="false">D44+SUM(D45:D49)</f>
        <v>453.543333333333</v>
      </c>
      <c r="E50" s="680" t="n">
        <f aca="false">E44+SUM(E45:E49)</f>
        <v>728.8383</v>
      </c>
      <c r="F50" s="680" t="n">
        <f aca="false">F44+SUM(F45:F49)</f>
        <v>750.703449</v>
      </c>
      <c r="G50" s="680" t="n">
        <f aca="false">G44+SUM(G45:G49)</f>
        <v>773.22455247</v>
      </c>
      <c r="H50" s="680" t="n">
        <f aca="false">H44+SUM(H45:H49)</f>
        <v>796.4212890441</v>
      </c>
      <c r="I50" s="680" t="n">
        <f aca="false">I44+SUM(I45:I49)</f>
        <v>820.313927715423</v>
      </c>
      <c r="J50" s="680" t="n">
        <f aca="false">J44+SUM(J45:J49)</f>
        <v>844.923345546886</v>
      </c>
      <c r="K50" s="680" t="n">
        <f aca="false">K44+SUM(K45:K49)</f>
        <v>870.271045913293</v>
      </c>
      <c r="L50" s="680" t="n">
        <f aca="false">L44+SUM(L45:L49)</f>
        <v>896.379177290691</v>
      </c>
      <c r="M50" s="680" t="n">
        <f aca="false">M44+SUM(M45:M49)</f>
        <v>923.270552609412</v>
      </c>
      <c r="N50" s="680" t="n">
        <f aca="false">N44+SUM(N45:N49)</f>
        <v>950.968669187694</v>
      </c>
      <c r="O50" s="680" t="n">
        <f aca="false">O44+SUM(O45:O49)</f>
        <v>979.497729263325</v>
      </c>
      <c r="P50" s="680" t="n">
        <f aca="false">P44+SUM(P45:P49)</f>
        <v>1008.88266114123</v>
      </c>
      <c r="Q50" s="680" t="n">
        <f aca="false">Q44+SUM(Q45:Q49)</f>
        <v>1039.14914097546</v>
      </c>
      <c r="R50" s="680" t="n">
        <f aca="false">R44+SUM(R45:R49)</f>
        <v>1070.32361520473</v>
      </c>
      <c r="S50" s="680" t="n">
        <f aca="false">S44+SUM(S45:S49)</f>
        <v>1102.43332366087</v>
      </c>
      <c r="T50" s="680" t="n">
        <f aca="false">T44+SUM(T45:T49)</f>
        <v>1135.50632337069</v>
      </c>
      <c r="U50" s="680" t="n">
        <f aca="false">U44+SUM(U45:U49)</f>
        <v>1169.57151307181</v>
      </c>
      <c r="V50" s="680" t="n">
        <f aca="false">V44+SUM(V45:V49)</f>
        <v>1204.65865846397</v>
      </c>
      <c r="W50" s="680" t="n">
        <f aca="false">W44+SUM(W45:W49)</f>
        <v>1240.79841821789</v>
      </c>
      <c r="X50" s="680" t="n">
        <f aca="false">X44+SUM(X45:X49)</f>
        <v>635.600645334078</v>
      </c>
      <c r="Y50" s="680" t="n">
        <f aca="false">Y44+SUM(Y45:Y49)</f>
        <v>0</v>
      </c>
      <c r="Z50" s="680" t="n">
        <f aca="false">Z44+SUM(Z45:Z49)</f>
        <v>0</v>
      </c>
      <c r="AA50" s="680" t="n">
        <f aca="false">AA44+SUM(AA45:AA49)</f>
        <v>0</v>
      </c>
      <c r="AB50" s="681" t="n">
        <f aca="false">AB44+SUM(AB45:AB49)</f>
        <v>0</v>
      </c>
    </row>
    <row r="51" customFormat="false" ht="12.6" hidden="false" customHeight="true" outlineLevel="0" collapsed="false">
      <c r="B51" s="409"/>
      <c r="D51" s="438"/>
      <c r="E51" s="438"/>
      <c r="F51" s="438"/>
      <c r="G51" s="438"/>
      <c r="H51" s="438"/>
      <c r="I51" s="438"/>
      <c r="J51" s="438"/>
      <c r="K51" s="438"/>
      <c r="L51" s="438"/>
      <c r="M51" s="438"/>
      <c r="N51" s="438"/>
      <c r="O51" s="438"/>
      <c r="P51" s="438"/>
      <c r="Q51" s="438"/>
      <c r="R51" s="438"/>
      <c r="S51" s="438"/>
      <c r="T51" s="438"/>
      <c r="U51" s="438"/>
      <c r="V51" s="438"/>
      <c r="W51" s="438"/>
      <c r="X51" s="438"/>
      <c r="Y51" s="438"/>
      <c r="Z51" s="438"/>
      <c r="AA51" s="438"/>
      <c r="AB51" s="439"/>
    </row>
    <row r="52" customFormat="false" ht="12.6" hidden="false" customHeight="true" outlineLevel="0" collapsed="false">
      <c r="B52" s="663"/>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c r="AB52" s="683"/>
    </row>
    <row r="53" customFormat="false" ht="12.6" hidden="false" customHeight="true" outlineLevel="0" collapsed="false">
      <c r="A53" s="637" t="n">
        <v>8</v>
      </c>
      <c r="B53" s="663" t="s">
        <v>524</v>
      </c>
      <c r="C53" s="684" t="n">
        <f aca="false">AVERAGE(D53:W53)</f>
        <v>471.26507258682</v>
      </c>
      <c r="D53" s="666" t="n">
        <f aca="false">IF(D3&gt;'Project Assumtions'!$I$15+1,0,Depreciation!D64)</f>
        <v>146.77966132968</v>
      </c>
      <c r="E53" s="666" t="n">
        <f aca="false">IF(E3&gt;'Project Assumtions'!$I$15+1,0,Depreciation!E64)</f>
        <v>0</v>
      </c>
      <c r="F53" s="666" t="n">
        <f aca="false">IF(F3&gt;'Project Assumtions'!$I$15+1,0,Depreciation!F64)</f>
        <v>87.3891860580519</v>
      </c>
      <c r="G53" s="666" t="n">
        <f aca="false">IF(G3&gt;'Project Assumtions'!$I$15+1,0,Depreciation!G64)</f>
        <v>162.257228121825</v>
      </c>
      <c r="H53" s="666" t="n">
        <f aca="false">IF(H3&gt;'Project Assumtions'!$I$15+1,0,Depreciation!H64)</f>
        <v>221.387675752945</v>
      </c>
      <c r="I53" s="666" t="n">
        <f aca="false">IF(I3&gt;'Project Assumtions'!$I$15+1,0,Depreciation!I64)</f>
        <v>267.21788876867</v>
      </c>
      <c r="J53" s="666" t="n">
        <f aca="false">IF(J3&gt;'Project Assumtions'!$I$15+1,0,Depreciation!J64)</f>
        <v>353.458281782708</v>
      </c>
      <c r="K53" s="666" t="n">
        <f aca="false">IF(K3&gt;'Project Assumtions'!$I$15+1,0,Depreciation!K64)</f>
        <v>461.590474736253</v>
      </c>
      <c r="L53" s="666" t="n">
        <f aca="false">IF(L3&gt;'Project Assumtions'!$I$15+1,0,Depreciation!L64)</f>
        <v>530.068172088748</v>
      </c>
      <c r="M53" s="666" t="n">
        <f aca="false">IF(M3&gt;'Project Assumtions'!$I$15+1,0,Depreciation!M64)</f>
        <v>522.921422366245</v>
      </c>
      <c r="N53" s="666" t="n">
        <f aca="false">IF(N3&gt;'Project Assumtions'!$I$15+1,0,Depreciation!N64)</f>
        <v>517.609895005798</v>
      </c>
      <c r="O53" s="666" t="n">
        <f aca="false">IF(O3&gt;'Project Assumtions'!$I$15+1,0,Depreciation!O64)</f>
        <v>683.846840636165</v>
      </c>
      <c r="P53" s="666" t="n">
        <f aca="false">IF(P3&gt;'Project Assumtions'!$I$15+1,0,Depreciation!P64)</f>
        <v>683.846840636165</v>
      </c>
      <c r="Q53" s="666" t="n">
        <f aca="false">IF(Q3&gt;'Project Assumtions'!$I$15+1,0,Depreciation!Q64)</f>
        <v>683.846840636165</v>
      </c>
      <c r="R53" s="666" t="n">
        <f aca="false">IF(R3&gt;'Project Assumtions'!$I$15+1,0,Depreciation!R64)</f>
        <v>683.846840636165</v>
      </c>
      <c r="S53" s="666" t="n">
        <f aca="false">IF(S3&gt;'Project Assumtions'!$I$15+1,0,Depreciation!S64)</f>
        <v>683.846840636165</v>
      </c>
      <c r="T53" s="666" t="n">
        <f aca="false">IF(T3&gt;'Project Assumtions'!$I$15+1,0,Depreciation!T64)</f>
        <v>683.846840636165</v>
      </c>
      <c r="U53" s="666" t="n">
        <f aca="false">IF(U3&gt;'Project Assumtions'!$I$15+1,0,Depreciation!U64)</f>
        <v>683.846840636165</v>
      </c>
      <c r="V53" s="666" t="n">
        <f aca="false">IF(V3&gt;'Project Assumtions'!$I$15+1,0,Depreciation!V64)</f>
        <v>683.846840636165</v>
      </c>
      <c r="W53" s="666" t="n">
        <f aca="false">IF(W3&gt;'Project Assumtions'!$I$15+1,0,Depreciation!W64)</f>
        <v>683.846840636165</v>
      </c>
      <c r="X53" s="666" t="n">
        <f aca="false">IF(X3&gt;'Project Assumtions'!$I$15+1,0,Depreciation!X64)</f>
        <v>683.846840636165</v>
      </c>
      <c r="Y53" s="666" t="n">
        <f aca="false">IF(Y3&gt;'Project Assumtions'!$I$15+1,0,Depreciation!Y64)</f>
        <v>0</v>
      </c>
      <c r="Z53" s="666" t="n">
        <f aca="false">IF(Z3&gt;'Project Assumtions'!$I$15+1,0,Depreciation!Z64)</f>
        <v>0</v>
      </c>
      <c r="AA53" s="666" t="n">
        <f aca="false">IF(AA3&gt;'Project Assumtions'!$I$15+1,0,Depreciation!AA64)</f>
        <v>0</v>
      </c>
      <c r="AB53" s="667" t="n">
        <f aca="false">IF(AB3&gt;'Project Assumtions'!$I$15+1,0,Depreciation!AB64)</f>
        <v>0</v>
      </c>
    </row>
    <row r="54" customFormat="false" ht="12.6" hidden="false" customHeight="true" outlineLevel="0" collapsed="false">
      <c r="B54" s="663"/>
      <c r="D54" s="685"/>
      <c r="E54" s="685"/>
      <c r="F54" s="685"/>
      <c r="G54" s="685"/>
      <c r="H54" s="685"/>
      <c r="I54" s="685"/>
      <c r="J54" s="685"/>
      <c r="K54" s="685"/>
      <c r="L54" s="685"/>
      <c r="M54" s="685"/>
      <c r="N54" s="685"/>
      <c r="O54" s="685"/>
      <c r="P54" s="685"/>
      <c r="Q54" s="685"/>
      <c r="R54" s="685"/>
      <c r="S54" s="685"/>
      <c r="T54" s="685"/>
      <c r="U54" s="685"/>
      <c r="V54" s="685"/>
      <c r="W54" s="685"/>
      <c r="X54" s="685"/>
      <c r="Y54" s="685"/>
      <c r="Z54" s="685"/>
      <c r="AA54" s="685"/>
      <c r="AB54" s="686"/>
    </row>
    <row r="55" customFormat="false" ht="12.6" hidden="false" customHeight="true" outlineLevel="0" collapsed="false">
      <c r="B55" s="663" t="s">
        <v>525</v>
      </c>
      <c r="D55" s="685"/>
      <c r="E55" s="685"/>
      <c r="F55" s="685"/>
      <c r="G55" s="685"/>
      <c r="H55" s="685"/>
      <c r="I55" s="685"/>
      <c r="J55" s="685"/>
      <c r="K55" s="685"/>
      <c r="L55" s="685"/>
      <c r="M55" s="685"/>
      <c r="N55" s="685"/>
      <c r="O55" s="685"/>
      <c r="P55" s="685"/>
      <c r="Q55" s="685"/>
      <c r="R55" s="685"/>
      <c r="S55" s="685"/>
      <c r="T55" s="685"/>
      <c r="U55" s="685"/>
      <c r="V55" s="685"/>
      <c r="W55" s="685"/>
      <c r="X55" s="685"/>
      <c r="Y55" s="685"/>
      <c r="Z55" s="685"/>
      <c r="AA55" s="685"/>
      <c r="AB55" s="686"/>
    </row>
    <row r="56" customFormat="false" ht="12.6" hidden="false" customHeight="true" outlineLevel="0" collapsed="false">
      <c r="B56" s="409" t="s">
        <v>526</v>
      </c>
      <c r="D56" s="687" t="n">
        <v>0</v>
      </c>
      <c r="E56" s="687" t="n">
        <v>0</v>
      </c>
      <c r="F56" s="687" t="n">
        <v>0</v>
      </c>
      <c r="G56" s="687" t="n">
        <v>0</v>
      </c>
      <c r="H56" s="687" t="n">
        <v>0</v>
      </c>
      <c r="I56" s="687" t="n">
        <v>0</v>
      </c>
      <c r="J56" s="687" t="n">
        <v>0</v>
      </c>
      <c r="K56" s="687" t="n">
        <v>0</v>
      </c>
      <c r="L56" s="687" t="n">
        <v>0</v>
      </c>
      <c r="M56" s="687" t="n">
        <v>0</v>
      </c>
      <c r="N56" s="687" t="n">
        <v>0</v>
      </c>
      <c r="O56" s="687" t="n">
        <v>0</v>
      </c>
      <c r="P56" s="687" t="n">
        <v>0</v>
      </c>
      <c r="Q56" s="687" t="n">
        <v>0</v>
      </c>
      <c r="R56" s="687" t="n">
        <v>0</v>
      </c>
      <c r="S56" s="687" t="n">
        <v>0</v>
      </c>
      <c r="T56" s="687" t="n">
        <v>0</v>
      </c>
      <c r="U56" s="687" t="n">
        <v>0</v>
      </c>
      <c r="V56" s="687" t="n">
        <v>0</v>
      </c>
      <c r="W56" s="687" t="n">
        <v>0</v>
      </c>
      <c r="X56" s="687" t="n">
        <v>0</v>
      </c>
      <c r="Y56" s="687" t="n">
        <v>0</v>
      </c>
      <c r="Z56" s="687" t="n">
        <v>0</v>
      </c>
      <c r="AA56" s="687" t="n">
        <v>0</v>
      </c>
      <c r="AB56" s="688" t="n">
        <v>0</v>
      </c>
    </row>
    <row r="57" customFormat="false" ht="12.6" hidden="false" customHeight="true" outlineLevel="0" collapsed="false">
      <c r="AB57" s="531"/>
    </row>
    <row r="58" customFormat="false" ht="12.6" hidden="false" customHeight="true" outlineLevel="0" collapsed="false">
      <c r="B58" s="663" t="s">
        <v>527</v>
      </c>
      <c r="D58" s="434" t="n">
        <f aca="false">D56</f>
        <v>0</v>
      </c>
      <c r="E58" s="434" t="n">
        <f aca="false">E56</f>
        <v>0</v>
      </c>
      <c r="F58" s="434" t="n">
        <f aca="false">F56</f>
        <v>0</v>
      </c>
      <c r="G58" s="434" t="n">
        <f aca="false">G56</f>
        <v>0</v>
      </c>
      <c r="H58" s="434" t="n">
        <f aca="false">H56</f>
        <v>0</v>
      </c>
      <c r="I58" s="434" t="n">
        <f aca="false">I56</f>
        <v>0</v>
      </c>
      <c r="J58" s="434" t="n">
        <f aca="false">J56</f>
        <v>0</v>
      </c>
      <c r="K58" s="434" t="n">
        <f aca="false">K56</f>
        <v>0</v>
      </c>
      <c r="L58" s="434" t="n">
        <f aca="false">L56</f>
        <v>0</v>
      </c>
      <c r="M58" s="434" t="n">
        <f aca="false">M56</f>
        <v>0</v>
      </c>
      <c r="N58" s="434" t="n">
        <f aca="false">N56</f>
        <v>0</v>
      </c>
      <c r="O58" s="434" t="n">
        <f aca="false">O56</f>
        <v>0</v>
      </c>
      <c r="P58" s="434" t="n">
        <f aca="false">P56</f>
        <v>0</v>
      </c>
      <c r="Q58" s="434" t="n">
        <f aca="false">Q56</f>
        <v>0</v>
      </c>
      <c r="R58" s="434" t="n">
        <f aca="false">R56</f>
        <v>0</v>
      </c>
      <c r="S58" s="434" t="n">
        <f aca="false">S56</f>
        <v>0</v>
      </c>
      <c r="T58" s="434" t="n">
        <f aca="false">T56</f>
        <v>0</v>
      </c>
      <c r="U58" s="434" t="n">
        <f aca="false">U56</f>
        <v>0</v>
      </c>
      <c r="V58" s="434" t="n">
        <f aca="false">V56</f>
        <v>0</v>
      </c>
      <c r="W58" s="434" t="n">
        <f aca="false">W56</f>
        <v>0</v>
      </c>
      <c r="X58" s="434" t="n">
        <f aca="false">X56</f>
        <v>0</v>
      </c>
      <c r="Y58" s="434" t="n">
        <f aca="false">Y56</f>
        <v>0</v>
      </c>
      <c r="Z58" s="434" t="n">
        <f aca="false">Z56</f>
        <v>0</v>
      </c>
      <c r="AA58" s="434" t="n">
        <f aca="false">AA56</f>
        <v>0</v>
      </c>
      <c r="AB58" s="435" t="n">
        <f aca="false">AB56</f>
        <v>0</v>
      </c>
    </row>
    <row r="59" customFormat="false" ht="12.6" hidden="false" customHeight="true" outlineLevel="0" collapsed="false">
      <c r="B59" s="663"/>
      <c r="D59" s="438"/>
      <c r="E59" s="438"/>
      <c r="F59" s="438"/>
      <c r="G59" s="438"/>
      <c r="H59" s="438"/>
      <c r="I59" s="438"/>
      <c r="J59" s="438"/>
      <c r="K59" s="438"/>
      <c r="L59" s="438"/>
      <c r="M59" s="438"/>
      <c r="N59" s="438"/>
      <c r="O59" s="438"/>
      <c r="P59" s="438"/>
      <c r="Q59" s="438"/>
      <c r="R59" s="438"/>
      <c r="S59" s="438"/>
      <c r="T59" s="438"/>
      <c r="U59" s="438"/>
      <c r="V59" s="438"/>
      <c r="W59" s="438"/>
      <c r="X59" s="438"/>
      <c r="Y59" s="438"/>
      <c r="Z59" s="438"/>
      <c r="AA59" s="438"/>
      <c r="AB59" s="439"/>
    </row>
    <row r="60" customFormat="false" ht="15.75" hidden="false" customHeight="true" outlineLevel="0" collapsed="false">
      <c r="B60" s="655" t="s">
        <v>528</v>
      </c>
      <c r="C60" s="490"/>
      <c r="D60" s="689" t="n">
        <f aca="false">D28+D33+D41+D50+D53+D58</f>
        <v>13735.2718741324</v>
      </c>
      <c r="E60" s="689" t="n">
        <f aca="false">E28+E33+E41+E50+E53+E58</f>
        <v>21850.0328500346</v>
      </c>
      <c r="F60" s="689" t="n">
        <f aca="false">F28+F33+F41+F50+F53+F58</f>
        <v>22096.5325215937</v>
      </c>
      <c r="G60" s="689" t="n">
        <f aca="false">G28+G33+G41+G50+G53+G58</f>
        <v>23413.6017414817</v>
      </c>
      <c r="H60" s="689" t="n">
        <f aca="false">H28+H33+H41+H50+H53+H58</f>
        <v>24271.7891906064</v>
      </c>
      <c r="I60" s="689" t="n">
        <f aca="false">I28+I33+I41+I50+I53+I58</f>
        <v>24506.5065548677</v>
      </c>
      <c r="J60" s="689" t="n">
        <f aca="false">J28+J33+J41+J50+J53+J58</f>
        <v>24787.3007136647</v>
      </c>
      <c r="K60" s="689" t="n">
        <f aca="false">K28+K33+K41+K50+K53+K58</f>
        <v>25095.8232853748</v>
      </c>
      <c r="L60" s="689" t="n">
        <f aca="false">L28+L33+L41+L50+L53+L58</f>
        <v>25370.7030728464</v>
      </c>
      <c r="M60" s="689" t="n">
        <f aca="false">M28+M33+M41+M50+M53+M58</f>
        <v>25576.1504759466</v>
      </c>
      <c r="N60" s="689" t="n">
        <f aca="false">N28+N33+N41+N50+N53+N58</f>
        <v>25789.8109259936</v>
      </c>
      <c r="O60" s="689" t="n">
        <f aca="false">O28+O33+O41+O50+O53+O58</f>
        <v>26181.5890083536</v>
      </c>
      <c r="P60" s="689" t="n">
        <f aca="false">P28+P33+P41+P50+P53+P58</f>
        <v>26413.8963791851</v>
      </c>
      <c r="Q60" s="689" t="n">
        <f aca="false">Q28+Q33+Q41+Q50+Q53+Q58</f>
        <v>26653.1729711416</v>
      </c>
      <c r="R60" s="689" t="n">
        <f aca="false">R28+R33+R41+R50+R53+R58</f>
        <v>26899.6278608567</v>
      </c>
      <c r="S60" s="689" t="n">
        <f aca="false">S28+S33+S41+S50+S53+S58</f>
        <v>27153.4763972634</v>
      </c>
      <c r="T60" s="689" t="n">
        <f aca="false">T28+T33+T41+T50+T53+T58</f>
        <v>27414.9403897622</v>
      </c>
      <c r="U60" s="689" t="n">
        <f aca="false">U28+U33+U41+U50+U53+U58</f>
        <v>27684.248302036</v>
      </c>
      <c r="V60" s="689" t="n">
        <f aca="false">V28+V33+V41+V50+V53+V58</f>
        <v>27961.635451678</v>
      </c>
      <c r="W60" s="689" t="n">
        <f aca="false">W28+W33+W41+W50+W53+W58</f>
        <v>28247.3442158092</v>
      </c>
      <c r="X60" s="689" t="n">
        <f aca="false">X28+X33+X41+X50+X53+X58</f>
        <v>25770.4309987304</v>
      </c>
      <c r="Y60" s="689" t="n">
        <f aca="false">Y28+Y33+Y41+Y50+Y53+Y58</f>
        <v>0</v>
      </c>
      <c r="Z60" s="689" t="n">
        <f aca="false">Z28+Z33+Z41+Z50+Z53+Z58</f>
        <v>0</v>
      </c>
      <c r="AA60" s="689" t="n">
        <f aca="false">AA28+AA33+AA41+AA50+AA53+AA58</f>
        <v>0</v>
      </c>
      <c r="AB60" s="690" t="n">
        <f aca="false">AB28+AB33+AB41+AB50+AB53+AB58</f>
        <v>0</v>
      </c>
    </row>
    <row r="61" customFormat="false" ht="15.75" hidden="false" customHeight="true" outlineLevel="0" collapsed="false">
      <c r="B61" s="658"/>
      <c r="C61" s="659"/>
      <c r="D61" s="691"/>
      <c r="E61" s="691"/>
      <c r="F61" s="691"/>
      <c r="G61" s="691"/>
      <c r="H61" s="691"/>
      <c r="I61" s="691"/>
      <c r="J61" s="691"/>
      <c r="K61" s="691"/>
      <c r="L61" s="691"/>
      <c r="M61" s="691"/>
      <c r="N61" s="691"/>
      <c r="O61" s="691"/>
      <c r="P61" s="691"/>
      <c r="Q61" s="691"/>
      <c r="R61" s="691"/>
      <c r="S61" s="691"/>
      <c r="T61" s="691"/>
      <c r="U61" s="691"/>
      <c r="V61" s="691"/>
      <c r="W61" s="691"/>
      <c r="X61" s="691"/>
      <c r="Y61" s="691"/>
      <c r="Z61" s="691"/>
      <c r="AA61" s="691"/>
      <c r="AB61" s="691"/>
    </row>
    <row r="62" customFormat="false" ht="12.75" hidden="false" customHeight="true" outlineLevel="0" collapsed="false">
      <c r="B62" s="692"/>
      <c r="D62" s="693"/>
      <c r="E62" s="693"/>
      <c r="F62" s="693"/>
      <c r="G62" s="693"/>
      <c r="H62" s="693"/>
      <c r="I62" s="693"/>
      <c r="J62" s="693"/>
      <c r="K62" s="693"/>
      <c r="L62" s="693"/>
      <c r="M62" s="693"/>
      <c r="N62" s="693"/>
      <c r="O62" s="693"/>
      <c r="P62" s="693"/>
      <c r="Q62" s="693"/>
      <c r="R62" s="693"/>
      <c r="S62" s="693"/>
      <c r="T62" s="693"/>
      <c r="U62" s="693"/>
      <c r="V62" s="693"/>
      <c r="W62" s="693"/>
      <c r="X62" s="693"/>
      <c r="Y62" s="693"/>
      <c r="Z62" s="693"/>
      <c r="AA62" s="693"/>
      <c r="AB62" s="693"/>
    </row>
    <row r="63" customFormat="false" ht="12.6" hidden="false" customHeight="true" outlineLevel="0" collapsed="false">
      <c r="B63" s="646" t="s">
        <v>435</v>
      </c>
      <c r="C63" s="485"/>
      <c r="D63" s="495" t="n">
        <f aca="false">D17-D60</f>
        <v>11611.7844592009</v>
      </c>
      <c r="E63" s="495" t="n">
        <f aca="false">E17-E60</f>
        <v>20157.4542899654</v>
      </c>
      <c r="F63" s="495" t="n">
        <f aca="false">F17-F60</f>
        <v>19997.9887326063</v>
      </c>
      <c r="G63" s="495" t="n">
        <f aca="false">G17-G60</f>
        <v>27255.0559192318</v>
      </c>
      <c r="H63" s="495" t="n">
        <f aca="false">H17-H60</f>
        <v>33472.1040708492</v>
      </c>
      <c r="I63" s="495" t="n">
        <f aca="false">I17-I60</f>
        <v>34436.7155084716</v>
      </c>
      <c r="J63" s="495" t="n">
        <f aca="false">J17-J60</f>
        <v>34765.1645751344</v>
      </c>
      <c r="K63" s="495" t="n">
        <f aca="false">K17-K60</f>
        <v>35065.3805624336</v>
      </c>
      <c r="L63" s="495" t="n">
        <f aca="false">L17-L60</f>
        <v>35398.1560686306</v>
      </c>
      <c r="M63" s="495" t="n">
        <f aca="false">M17-M60</f>
        <v>35798.667833235</v>
      </c>
      <c r="N63" s="495" t="n">
        <f aca="false">N17-N60</f>
        <v>36188.6217676063</v>
      </c>
      <c r="O63" s="495" t="n">
        <f aca="false">O17-O60</f>
        <v>36397.4272361302</v>
      </c>
      <c r="P63" s="495" t="n">
        <f aca="false">P17-P60</f>
        <v>36761.9474796902</v>
      </c>
      <c r="Q63" s="495" t="n">
        <f aca="false">Q17-Q60</f>
        <v>36344.9951609551</v>
      </c>
      <c r="R63" s="495" t="n">
        <f aca="false">R17-R60</f>
        <v>36662.4163502515</v>
      </c>
      <c r="S63" s="495" t="n">
        <f aca="false">S17-S60</f>
        <v>36965.5677461572</v>
      </c>
      <c r="T63" s="495" t="n">
        <f aca="false">T17-T60</f>
        <v>37253.3074819982</v>
      </c>
      <c r="U63" s="495" t="n">
        <f aca="false">U17-U60</f>
        <v>37524.4380219143</v>
      </c>
      <c r="V63" s="495" t="n">
        <f aca="false">V17-V60</f>
        <v>37777.7038483878</v>
      </c>
      <c r="W63" s="495" t="n">
        <f aca="false">W17-W60</f>
        <v>37092.390854954</v>
      </c>
      <c r="X63" s="495" t="n">
        <f aca="false">X17-X60</f>
        <v>13524.081601163</v>
      </c>
      <c r="Y63" s="495" t="n">
        <f aca="false">Y17-Y60</f>
        <v>0</v>
      </c>
      <c r="Z63" s="495" t="n">
        <f aca="false">Z17-Z60</f>
        <v>0</v>
      </c>
      <c r="AA63" s="495" t="n">
        <f aca="false">AA17-AA60</f>
        <v>0</v>
      </c>
      <c r="AB63" s="496" t="n">
        <f aca="false">AB17-AB60</f>
        <v>0</v>
      </c>
    </row>
    <row r="64" customFormat="false" ht="12.6" hidden="false" customHeight="true" outlineLevel="0" collapsed="false">
      <c r="B64" s="409"/>
      <c r="D64" s="410"/>
      <c r="E64" s="410"/>
      <c r="F64" s="410"/>
      <c r="G64" s="410"/>
      <c r="H64" s="410"/>
      <c r="I64" s="410"/>
      <c r="J64" s="410"/>
      <c r="K64" s="410"/>
      <c r="L64" s="410"/>
      <c r="M64" s="410"/>
      <c r="N64" s="410"/>
      <c r="O64" s="410"/>
      <c r="P64" s="410"/>
      <c r="Q64" s="410"/>
      <c r="R64" s="410"/>
      <c r="S64" s="410"/>
      <c r="T64" s="410"/>
      <c r="U64" s="410"/>
      <c r="V64" s="410"/>
      <c r="W64" s="410"/>
      <c r="X64" s="410"/>
      <c r="Y64" s="410"/>
      <c r="Z64" s="410"/>
      <c r="AA64" s="410"/>
      <c r="AB64" s="489"/>
    </row>
    <row r="65" customFormat="false" ht="12.6" hidden="false" customHeight="true" outlineLevel="0" collapsed="false">
      <c r="A65" s="637" t="n">
        <v>11</v>
      </c>
      <c r="B65" s="409" t="s">
        <v>529</v>
      </c>
      <c r="D65" s="431" t="n">
        <f aca="false">Depreciation!D40</f>
        <v>2958.42630416667</v>
      </c>
      <c r="E65" s="431" t="n">
        <f aca="false">IF(E3&gt;'Project Assumtions'!$I$15+1,0,Depreciation!E40)</f>
        <v>5071.58795</v>
      </c>
      <c r="F65" s="431" t="n">
        <f aca="false">IF(F3&gt;'Project Assumtions'!$I$15+1,0,Depreciation!F40)</f>
        <v>5071.58795</v>
      </c>
      <c r="G65" s="431" t="n">
        <f aca="false">IF(G3&gt;'Project Assumtions'!$I$15+1,0,Depreciation!G40)</f>
        <v>5071.58795</v>
      </c>
      <c r="H65" s="431" t="n">
        <f aca="false">IF(H3&gt;'Project Assumtions'!$I$15+1,0,Depreciation!H40)</f>
        <v>5071.58795</v>
      </c>
      <c r="I65" s="431" t="n">
        <f aca="false">IF(I3&gt;'Project Assumtions'!$I$15+1,0,Depreciation!I40)</f>
        <v>4873.30723333333</v>
      </c>
      <c r="J65" s="431" t="n">
        <f aca="false">IF(J3&gt;'Project Assumtions'!$I$15+1,0,Depreciation!J40)</f>
        <v>4731.67815</v>
      </c>
      <c r="K65" s="431" t="n">
        <f aca="false">IF(K3&gt;'Project Assumtions'!$I$15+1,0,Depreciation!K40)</f>
        <v>4731.67815</v>
      </c>
      <c r="L65" s="431" t="n">
        <f aca="false">IF(L3&gt;'Project Assumtions'!$I$15+1,0,Depreciation!L40)</f>
        <v>4731.67815</v>
      </c>
      <c r="M65" s="431" t="n">
        <f aca="false">IF(M3&gt;'Project Assumtions'!$I$15+1,0,Depreciation!M40)</f>
        <v>4731.67815</v>
      </c>
      <c r="N65" s="431" t="n">
        <f aca="false">IF(N3&gt;'Project Assumtions'!$I$15+1,0,Depreciation!N40)</f>
        <v>4731.67815</v>
      </c>
      <c r="O65" s="431" t="n">
        <f aca="false">IF(O3&gt;'Project Assumtions'!$I$15+1,0,Depreciation!O40)</f>
        <v>4731.67815</v>
      </c>
      <c r="P65" s="431" t="n">
        <f aca="false">IF(P3&gt;'Project Assumtions'!$I$15+1,0,Depreciation!P40)</f>
        <v>4731.67815</v>
      </c>
      <c r="Q65" s="431" t="n">
        <f aca="false">IF(Q3&gt;'Project Assumtions'!$I$15+1,0,Depreciation!Q40)</f>
        <v>4731.67815</v>
      </c>
      <c r="R65" s="431" t="n">
        <f aca="false">IF(R3&gt;'Project Assumtions'!$I$15+1,0,Depreciation!R40)</f>
        <v>4731.67815</v>
      </c>
      <c r="S65" s="431" t="n">
        <f aca="false">IF(S3&gt;'Project Assumtions'!$I$15+1,0,Depreciation!S40)</f>
        <v>4731.67815</v>
      </c>
      <c r="T65" s="431" t="n">
        <f aca="false">IF(T3&gt;'Project Assumtions'!$I$15+1,0,Depreciation!T40)</f>
        <v>4731.67815</v>
      </c>
      <c r="U65" s="431" t="n">
        <f aca="false">IF(U3&gt;'Project Assumtions'!$I$15+1,0,Depreciation!U40)</f>
        <v>4731.67815</v>
      </c>
      <c r="V65" s="431" t="n">
        <f aca="false">IF(V3&gt;'Project Assumtions'!$I$15+1,0,Depreciation!V40)</f>
        <v>4731.67815</v>
      </c>
      <c r="W65" s="431" t="n">
        <f aca="false">IF(W3&gt;'Project Assumtions'!$I$15+1,0,Depreciation!W40)</f>
        <v>4731.67815</v>
      </c>
      <c r="X65" s="431" t="n">
        <f aca="false">IF(X3&gt;'Project Assumtions'!$I$15+1,0,Depreciation!X40)</f>
        <v>4731.67815</v>
      </c>
      <c r="Y65" s="431" t="n">
        <f aca="false">IF(Y3&gt;'Project Assumtions'!$I$15+1,0,Depreciation!Y40)</f>
        <v>0</v>
      </c>
      <c r="Z65" s="431" t="n">
        <f aca="false">IF(Z3&gt;'Project Assumtions'!$I$15+1,0,Depreciation!Z40)</f>
        <v>0</v>
      </c>
      <c r="AA65" s="431" t="n">
        <f aca="false">IF(AA3&gt;'Project Assumtions'!$I$15+1,0,Depreciation!AA40)</f>
        <v>0</v>
      </c>
      <c r="AB65" s="432" t="n">
        <f aca="false">IF(AB3&gt;'Project Assumtions'!$I$15+1,0,Depreciation!AB40)</f>
        <v>0</v>
      </c>
    </row>
    <row r="66" customFormat="false" ht="12.6" hidden="false" customHeight="true" outlineLevel="0" collapsed="false">
      <c r="B66" s="409" t="s">
        <v>530</v>
      </c>
      <c r="D66" s="694" t="n">
        <f aca="false">'Project Assumtions'!C41+'Project Assumtions'!C40</f>
        <v>247.388</v>
      </c>
      <c r="E66" s="437" t="n">
        <v>0</v>
      </c>
      <c r="F66" s="437" t="n">
        <v>0</v>
      </c>
      <c r="G66" s="437" t="n">
        <v>0</v>
      </c>
      <c r="H66" s="437" t="n">
        <v>0</v>
      </c>
      <c r="I66" s="437" t="n">
        <v>0</v>
      </c>
      <c r="J66" s="437" t="n">
        <v>0</v>
      </c>
      <c r="K66" s="437" t="n">
        <v>0</v>
      </c>
      <c r="L66" s="437" t="n">
        <v>0</v>
      </c>
      <c r="M66" s="437" t="n">
        <v>0</v>
      </c>
      <c r="N66" s="437" t="n">
        <v>0</v>
      </c>
      <c r="O66" s="437" t="n">
        <v>0</v>
      </c>
      <c r="P66" s="437" t="n">
        <v>0</v>
      </c>
      <c r="Q66" s="437" t="n">
        <v>0</v>
      </c>
      <c r="R66" s="437" t="n">
        <v>0</v>
      </c>
      <c r="S66" s="437" t="n">
        <v>0</v>
      </c>
      <c r="T66" s="437" t="n">
        <v>0</v>
      </c>
      <c r="U66" s="437" t="n">
        <v>0</v>
      </c>
      <c r="V66" s="437" t="n">
        <v>0</v>
      </c>
      <c r="W66" s="437" t="n">
        <v>0</v>
      </c>
      <c r="X66" s="437" t="n">
        <v>0</v>
      </c>
      <c r="Y66" s="437" t="n">
        <v>0</v>
      </c>
      <c r="Z66" s="437" t="n">
        <v>0</v>
      </c>
      <c r="AA66" s="437" t="n">
        <v>0</v>
      </c>
      <c r="AB66" s="665" t="n">
        <v>0</v>
      </c>
    </row>
    <row r="67" customFormat="false" ht="12.6" hidden="false" customHeight="true" outlineLevel="0" collapsed="false">
      <c r="B67" s="663" t="s">
        <v>531</v>
      </c>
      <c r="D67" s="431" t="n">
        <f aca="false">D63-D65+D66</f>
        <v>8900.74615503422</v>
      </c>
      <c r="E67" s="431" t="n">
        <f aca="false">E63-E65+E66</f>
        <v>15085.8663399654</v>
      </c>
      <c r="F67" s="431" t="n">
        <f aca="false">F63-F65+F66</f>
        <v>14926.4007826063</v>
      </c>
      <c r="G67" s="431" t="n">
        <f aca="false">G63-G65+G66</f>
        <v>22183.4679692318</v>
      </c>
      <c r="H67" s="431" t="n">
        <f aca="false">H63-H65+H66</f>
        <v>28400.5161208492</v>
      </c>
      <c r="I67" s="431" t="n">
        <f aca="false">I63-I65+I66</f>
        <v>29563.4082751382</v>
      </c>
      <c r="J67" s="431" t="n">
        <f aca="false">J63-J65+J66</f>
        <v>30033.4864251344</v>
      </c>
      <c r="K67" s="431" t="n">
        <f aca="false">K63-K65+K66</f>
        <v>30333.7024124336</v>
      </c>
      <c r="L67" s="431" t="n">
        <f aca="false">L63-L65+L66</f>
        <v>30666.4779186306</v>
      </c>
      <c r="M67" s="431" t="n">
        <f aca="false">M63-M65+M66</f>
        <v>31066.989683235</v>
      </c>
      <c r="N67" s="431" t="n">
        <f aca="false">N63-N65+N66</f>
        <v>31456.9436176063</v>
      </c>
      <c r="O67" s="431" t="n">
        <f aca="false">O63-O65+O66</f>
        <v>31665.7490861302</v>
      </c>
      <c r="P67" s="431" t="n">
        <f aca="false">P63-P65+P66</f>
        <v>32030.2693296902</v>
      </c>
      <c r="Q67" s="431" t="n">
        <f aca="false">Q63-Q65+Q66</f>
        <v>31613.3170109551</v>
      </c>
      <c r="R67" s="431" t="n">
        <f aca="false">R63-R65+R66</f>
        <v>31930.7382002515</v>
      </c>
      <c r="S67" s="431" t="n">
        <f aca="false">S63-S65+S66</f>
        <v>32233.8895961572</v>
      </c>
      <c r="T67" s="431" t="n">
        <f aca="false">T63-T65+T66</f>
        <v>32521.6293319982</v>
      </c>
      <c r="U67" s="431" t="n">
        <f aca="false">U63-U65+U66</f>
        <v>32792.7598719143</v>
      </c>
      <c r="V67" s="431" t="n">
        <f aca="false">V63-V65+V66</f>
        <v>33046.0256983878</v>
      </c>
      <c r="W67" s="431" t="n">
        <f aca="false">W63-W65+W66</f>
        <v>32360.712704954</v>
      </c>
      <c r="X67" s="431" t="n">
        <f aca="false">X63-X65+X66</f>
        <v>8792.40345116304</v>
      </c>
      <c r="Y67" s="431" t="n">
        <f aca="false">Y63-Y65+Y66</f>
        <v>0</v>
      </c>
      <c r="Z67" s="431" t="n">
        <f aca="false">Z63-Z65+Z66</f>
        <v>0</v>
      </c>
      <c r="AA67" s="431" t="n">
        <f aca="false">AA63-AA65+AA66</f>
        <v>0</v>
      </c>
      <c r="AB67" s="432" t="n">
        <f aca="false">AB63-AB65+AB66</f>
        <v>0</v>
      </c>
    </row>
    <row r="68" customFormat="false" ht="12.6" hidden="false" customHeight="true" outlineLevel="0" collapsed="false">
      <c r="B68" s="695"/>
      <c r="AB68" s="531"/>
    </row>
    <row r="69" customFormat="false" ht="12.6" hidden="false" customHeight="true" outlineLevel="0" collapsed="false">
      <c r="B69" s="409" t="s">
        <v>532</v>
      </c>
      <c r="D69" s="431" t="n">
        <f aca="false">'Debt Amortization'!E$52</f>
        <v>9363.570028425</v>
      </c>
      <c r="E69" s="431" t="n">
        <f aca="false">'Debt Amortization'!F$52</f>
        <v>9038.950189191</v>
      </c>
      <c r="F69" s="431" t="n">
        <f aca="false">'Debt Amortization'!G$52</f>
        <v>8714.330349957</v>
      </c>
      <c r="G69" s="431" t="n">
        <f aca="false">'Debt Amortization'!H$52</f>
        <v>8252.78412608325</v>
      </c>
      <c r="H69" s="431" t="n">
        <f aca="false">'Debt Amortization'!I$52</f>
        <v>7654.31151756975</v>
      </c>
      <c r="I69" s="431" t="n">
        <f aca="false">'Debt Amortization'!J$52</f>
        <v>7273.92748871637</v>
      </c>
      <c r="J69" s="431" t="n">
        <f aca="false">'Debt Amortization'!K$52</f>
        <v>6893.54345986299</v>
      </c>
      <c r="K69" s="431" t="n">
        <f aca="false">'Debt Amortization'!L$52</f>
        <v>6459.89380122267</v>
      </c>
      <c r="L69" s="431" t="n">
        <f aca="false">'Debt Amortization'!M$52</f>
        <v>6026.24414258235</v>
      </c>
      <c r="M69" s="431" t="n">
        <f aca="false">'Debt Amortization'!N$52</f>
        <v>5318.74171466253</v>
      </c>
      <c r="N69" s="431" t="n">
        <f aca="false">'Debt Amortization'!O$52</f>
        <v>4421.04727231602</v>
      </c>
      <c r="O69" s="431" t="n">
        <f aca="false">'Debt Amortization'!P$52</f>
        <v>4207.98475316826</v>
      </c>
      <c r="P69" s="431" t="n">
        <f aca="false">'Debt Amortization'!Q$52</f>
        <v>3941.65660423356</v>
      </c>
      <c r="Q69" s="431" t="n">
        <f aca="false">'Debt Amortization'!R$52</f>
        <v>3675.32845529886</v>
      </c>
      <c r="R69" s="431" t="n">
        <f aca="false">'Debt Amortization'!S$52</f>
        <v>3409.00030636416</v>
      </c>
      <c r="S69" s="431" t="n">
        <f aca="false">'Debt Amortization'!T$52</f>
        <v>3142.67215742946</v>
      </c>
      <c r="T69" s="431" t="n">
        <f aca="false">'Debt Amortization'!U$52</f>
        <v>2876.34400849476</v>
      </c>
      <c r="U69" s="431" t="n">
        <f aca="false">'Debt Amortization'!V$52</f>
        <v>2343.68771062536</v>
      </c>
      <c r="V69" s="431" t="n">
        <f aca="false">'Debt Amortization'!W$52</f>
        <v>1704.50015318208</v>
      </c>
      <c r="W69" s="431" t="n">
        <f aca="false">'Debt Amortization'!X$52</f>
        <v>905.51570637798</v>
      </c>
      <c r="X69" s="431" t="n">
        <f aca="false">'Debt Amortization'!Y$52</f>
        <v>0</v>
      </c>
      <c r="Y69" s="431" t="n">
        <f aca="false">'Debt Amortization'!Z$52</f>
        <v>0</v>
      </c>
      <c r="Z69" s="431" t="n">
        <f aca="false">'Debt Amortization'!AA$52</f>
        <v>0</v>
      </c>
      <c r="AA69" s="431" t="n">
        <f aca="false">'Debt Amortization'!AB$52</f>
        <v>0</v>
      </c>
      <c r="AB69" s="432" t="n">
        <f aca="false">'Debt Amortization'!AC$52</f>
        <v>0</v>
      </c>
      <c r="AC69" s="612"/>
    </row>
    <row r="70" customFormat="false" ht="12.6" hidden="false" customHeight="true" outlineLevel="0" collapsed="false">
      <c r="A70" s="637" t="n">
        <v>10</v>
      </c>
      <c r="B70" s="409" t="s">
        <v>533</v>
      </c>
      <c r="D70" s="434" t="n">
        <f aca="false">0.05*0.25*D63</f>
        <v>145.147305740011</v>
      </c>
      <c r="E70" s="434" t="n">
        <f aca="false">0.05*0.25*E63</f>
        <v>251.968178624567</v>
      </c>
      <c r="F70" s="434" t="n">
        <f aca="false">0.05*0.25*F63</f>
        <v>249.974859157579</v>
      </c>
      <c r="G70" s="434" t="n">
        <f aca="false">0.05*0.25*G63</f>
        <v>340.688198990397</v>
      </c>
      <c r="H70" s="434" t="n">
        <f aca="false">0.05*0.25*H63</f>
        <v>418.401300885615</v>
      </c>
      <c r="I70" s="434" t="n">
        <f aca="false">0.05*0.25*I63</f>
        <v>430.458943855894</v>
      </c>
      <c r="J70" s="434" t="n">
        <f aca="false">0.05*0.25*J63</f>
        <v>434.56455718918</v>
      </c>
      <c r="K70" s="434" t="n">
        <f aca="false">0.05*0.25*K63</f>
        <v>438.31725703042</v>
      </c>
      <c r="L70" s="434" t="n">
        <f aca="false">0.05*0.25*L63</f>
        <v>442.476950857883</v>
      </c>
      <c r="M70" s="434" t="n">
        <f aca="false">0.05*0.25*M63</f>
        <v>447.483347915437</v>
      </c>
      <c r="N70" s="434" t="n">
        <f aca="false">0.05*0.25*N63</f>
        <v>452.357772095079</v>
      </c>
      <c r="O70" s="434" t="n">
        <f aca="false">0.05*0.25*O63</f>
        <v>454.967840451628</v>
      </c>
      <c r="P70" s="434" t="n">
        <f aca="false">0.05*0.25*P63</f>
        <v>459.524343496128</v>
      </c>
      <c r="Q70" s="434" t="n">
        <f aca="false">0.05*0.25*Q63</f>
        <v>454.312439511938</v>
      </c>
      <c r="R70" s="434" t="n">
        <f aca="false">0.05*0.25*R63</f>
        <v>458.280204378144</v>
      </c>
      <c r="S70" s="434" t="n">
        <f aca="false">0.05*0.25*S63</f>
        <v>462.069596826965</v>
      </c>
      <c r="T70" s="434" t="n">
        <f aca="false">0.05*0.25*T63</f>
        <v>465.666343524977</v>
      </c>
      <c r="U70" s="434" t="n">
        <f aca="false">0.05*0.25*U63</f>
        <v>469.055475273929</v>
      </c>
      <c r="V70" s="434" t="n">
        <f aca="false">0.05*0.25*V63</f>
        <v>472.221298104848</v>
      </c>
      <c r="W70" s="434" t="n">
        <f aca="false">0.05*0.25*W63</f>
        <v>463.654885686925</v>
      </c>
      <c r="X70" s="434" t="n">
        <f aca="false">0.05*0.25*X63</f>
        <v>169.051020014538</v>
      </c>
      <c r="Y70" s="434" t="n">
        <f aca="false">0.05*0.25*Y63</f>
        <v>0</v>
      </c>
      <c r="Z70" s="434" t="n">
        <f aca="false">0.05*0.25*Z63</f>
        <v>0</v>
      </c>
      <c r="AA70" s="434" t="n">
        <f aca="false">0.05*0.25*AA63</f>
        <v>0</v>
      </c>
      <c r="AB70" s="435" t="n">
        <f aca="false">0.05*0.25*AB63</f>
        <v>0</v>
      </c>
    </row>
    <row r="71" customFormat="false" ht="12.6" hidden="false" customHeight="true" outlineLevel="0" collapsed="false">
      <c r="B71" s="409" t="s">
        <v>534</v>
      </c>
      <c r="D71" s="438" t="n">
        <f aca="false">D69-D70</f>
        <v>9218.42272268499</v>
      </c>
      <c r="E71" s="438" t="n">
        <f aca="false">E69-E70</f>
        <v>8786.98201056643</v>
      </c>
      <c r="F71" s="438" t="n">
        <f aca="false">F69-F70</f>
        <v>8464.35549079942</v>
      </c>
      <c r="G71" s="438" t="n">
        <f aca="false">G69-G70</f>
        <v>7912.09592709285</v>
      </c>
      <c r="H71" s="438" t="n">
        <f aca="false">H69-H70</f>
        <v>7235.91021668413</v>
      </c>
      <c r="I71" s="438" t="n">
        <f aca="false">I69-I70</f>
        <v>6843.46854486048</v>
      </c>
      <c r="J71" s="438" t="n">
        <f aca="false">J69-J70</f>
        <v>6458.97890267381</v>
      </c>
      <c r="K71" s="438" t="n">
        <f aca="false">K69-K70</f>
        <v>6021.57654419225</v>
      </c>
      <c r="L71" s="438" t="n">
        <f aca="false">L69-L70</f>
        <v>5583.76719172447</v>
      </c>
      <c r="M71" s="438" t="n">
        <f aca="false">M69-M70</f>
        <v>4871.25836674709</v>
      </c>
      <c r="N71" s="438" t="n">
        <f aca="false">N69-N70</f>
        <v>3968.68950022094</v>
      </c>
      <c r="O71" s="438" t="n">
        <f aca="false">O69-O70</f>
        <v>3753.01691271663</v>
      </c>
      <c r="P71" s="438" t="n">
        <f aca="false">P69-P70</f>
        <v>3482.13226073743</v>
      </c>
      <c r="Q71" s="438" t="n">
        <f aca="false">Q69-Q70</f>
        <v>3221.01601578692</v>
      </c>
      <c r="R71" s="438" t="n">
        <f aca="false">R69-R70</f>
        <v>2950.72010198602</v>
      </c>
      <c r="S71" s="438" t="n">
        <f aca="false">S69-S70</f>
        <v>2680.6025606025</v>
      </c>
      <c r="T71" s="438" t="n">
        <f aca="false">T69-T70</f>
        <v>2410.67766496978</v>
      </c>
      <c r="U71" s="438" t="n">
        <f aca="false">U69-U70</f>
        <v>1874.63223535143</v>
      </c>
      <c r="V71" s="438" t="n">
        <f aca="false">V69-V70</f>
        <v>1232.27885507723</v>
      </c>
      <c r="W71" s="438" t="n">
        <f aca="false">W69-W70</f>
        <v>441.860820691055</v>
      </c>
      <c r="X71" s="438" t="n">
        <f aca="false">X69-X70</f>
        <v>-169.051020014538</v>
      </c>
      <c r="Y71" s="438" t="n">
        <f aca="false">Y69-Y70</f>
        <v>0</v>
      </c>
      <c r="Z71" s="438" t="n">
        <f aca="false">Z69-Z70</f>
        <v>0</v>
      </c>
      <c r="AA71" s="438" t="n">
        <f aca="false">AA69-AA70</f>
        <v>0</v>
      </c>
      <c r="AB71" s="439" t="n">
        <f aca="false">AB69-AB70</f>
        <v>0</v>
      </c>
    </row>
    <row r="72" customFormat="false" ht="12.6" hidden="false" customHeight="true" outlineLevel="0" collapsed="false">
      <c r="B72" s="663" t="s">
        <v>535</v>
      </c>
      <c r="D72" s="431" t="n">
        <f aca="false">D67-D71</f>
        <v>-317.676567650769</v>
      </c>
      <c r="E72" s="431" t="n">
        <f aca="false">IF(E3&gt;'Project Assumtions'!$I$15+1,0,E67-E71)</f>
        <v>6298.88432939896</v>
      </c>
      <c r="F72" s="431" t="n">
        <f aca="false">IF(F3&gt;'Project Assumtions'!$I$15+1,0,F67-F71)</f>
        <v>6462.04529180689</v>
      </c>
      <c r="G72" s="431" t="n">
        <f aca="false">IF(G3&gt;'Project Assumtions'!$I$15+1,0,G67-G71)</f>
        <v>14271.3720421389</v>
      </c>
      <c r="H72" s="431" t="n">
        <f aca="false">IF(H3&gt;'Project Assumtions'!$I$15+1,0,H67-H71)</f>
        <v>21164.6059041651</v>
      </c>
      <c r="I72" s="431" t="n">
        <f aca="false">IF(I3&gt;'Project Assumtions'!$I$15+1,0,I67-I71)</f>
        <v>22719.9397302777</v>
      </c>
      <c r="J72" s="431" t="n">
        <f aca="false">IF(J3&gt;'Project Assumtions'!$I$15+1,0,J67-J71)</f>
        <v>23574.5075224606</v>
      </c>
      <c r="K72" s="431" t="n">
        <f aca="false">IF(K3&gt;'Project Assumtions'!$I$15+1,0,K67-K71)</f>
        <v>24312.1258682414</v>
      </c>
      <c r="L72" s="431" t="n">
        <f aca="false">IF(L3&gt;'Project Assumtions'!$I$15+1,0,L67-L71)</f>
        <v>25082.7107269062</v>
      </c>
      <c r="M72" s="431" t="n">
        <f aca="false">IF(M3&gt;'Project Assumtions'!$I$15+1,0,M67-M71)</f>
        <v>26195.7313164879</v>
      </c>
      <c r="N72" s="431" t="n">
        <f aca="false">IF(N3&gt;'Project Assumtions'!$I$15+1,0,N67-N71)</f>
        <v>27488.2541173853</v>
      </c>
      <c r="O72" s="431" t="n">
        <f aca="false">IF(O3&gt;'Project Assumtions'!$I$15+1,0,O67-O71)</f>
        <v>27912.7321734136</v>
      </c>
      <c r="P72" s="431" t="n">
        <f aca="false">IF(P3&gt;'Project Assumtions'!$I$15+1,0,P67-P71)</f>
        <v>28548.1370689528</v>
      </c>
      <c r="Q72" s="431" t="n">
        <f aca="false">IF(Q3&gt;'Project Assumtions'!$I$15+1,0,Q67-Q71)</f>
        <v>28392.3009951681</v>
      </c>
      <c r="R72" s="431" t="n">
        <f aca="false">IF(R3&gt;'Project Assumtions'!$I$15+1,0,R67-R71)</f>
        <v>28980.0180982655</v>
      </c>
      <c r="S72" s="431" t="n">
        <f aca="false">IF(S3&gt;'Project Assumtions'!$I$15+1,0,S67-S71)</f>
        <v>29553.2870355547</v>
      </c>
      <c r="T72" s="431" t="n">
        <f aca="false">IF(T3&gt;'Project Assumtions'!$I$15+1,0,T67-T71)</f>
        <v>30110.9516670284</v>
      </c>
      <c r="U72" s="431" t="n">
        <f aca="false">IF(U3&gt;'Project Assumtions'!$I$15+1,0,U67-U71)</f>
        <v>30918.1276365629</v>
      </c>
      <c r="V72" s="431" t="n">
        <f aca="false">IF(V3&gt;'Project Assumtions'!$I$15+1,0,V67-V71)</f>
        <v>31813.7468433106</v>
      </c>
      <c r="W72" s="431" t="n">
        <f aca="false">IF(W3&gt;'Project Assumtions'!$I$15+1,0,W67-W71)</f>
        <v>31918.8518842629</v>
      </c>
      <c r="X72" s="431" t="n">
        <f aca="false">IF(X3&gt;'Project Assumtions'!$I$15+1,0,X67-X71)</f>
        <v>8961.45447117758</v>
      </c>
      <c r="Y72" s="431" t="n">
        <f aca="false">IF(Y3&gt;'Project Assumtions'!$I$15+1,0,Y67-Y71)</f>
        <v>0</v>
      </c>
      <c r="Z72" s="431" t="n">
        <f aca="false">IF(Z3&gt;'Project Assumtions'!$I$15+1,0,Z67-Z71)</f>
        <v>0</v>
      </c>
      <c r="AA72" s="431" t="n">
        <f aca="false">IF(AA3&gt;'Project Assumtions'!$I$15+1,0,AA67-AA71)</f>
        <v>0</v>
      </c>
      <c r="AB72" s="432" t="n">
        <f aca="false">IF(AB3&gt;'Project Assumtions'!$I$15+1,0,AB67-AB71)</f>
        <v>0</v>
      </c>
    </row>
    <row r="73" customFormat="false" ht="12.6" hidden="false" customHeight="true" outlineLevel="0" collapsed="false">
      <c r="B73" s="663"/>
      <c r="D73" s="431"/>
      <c r="E73" s="431"/>
      <c r="F73" s="431"/>
      <c r="G73" s="431"/>
      <c r="H73" s="431"/>
      <c r="I73" s="431"/>
      <c r="J73" s="431"/>
      <c r="K73" s="431"/>
      <c r="L73" s="431"/>
      <c r="M73" s="431"/>
      <c r="N73" s="431"/>
      <c r="O73" s="431"/>
      <c r="P73" s="431"/>
      <c r="Q73" s="431"/>
      <c r="R73" s="431"/>
      <c r="S73" s="431"/>
      <c r="T73" s="431"/>
      <c r="U73" s="431"/>
      <c r="V73" s="431"/>
      <c r="W73" s="431"/>
      <c r="X73" s="431"/>
      <c r="Y73" s="431"/>
      <c r="Z73" s="431"/>
      <c r="AA73" s="431"/>
      <c r="AB73" s="432"/>
    </row>
    <row r="74" customFormat="false" ht="12.6" hidden="false" customHeight="true" outlineLevel="0" collapsed="false">
      <c r="B74" s="409" t="s">
        <v>536</v>
      </c>
      <c r="D74" s="410" t="n">
        <f aca="false">'Project Assumtions'!$N$65*D72</f>
        <v>-14.2954455442846</v>
      </c>
      <c r="E74" s="410" t="n">
        <f aca="false">'Project Assumtions'!$N$65*E72</f>
        <v>283.449794822953</v>
      </c>
      <c r="F74" s="410" t="n">
        <f aca="false">'Project Assumtions'!$N$65*F72</f>
        <v>290.79203813131</v>
      </c>
      <c r="G74" s="410" t="n">
        <f aca="false">'Project Assumtions'!$N$65*G72</f>
        <v>642.211741896251</v>
      </c>
      <c r="H74" s="410" t="n">
        <f aca="false">'Project Assumtions'!$N$65*H72</f>
        <v>952.407265687428</v>
      </c>
      <c r="I74" s="410" t="n">
        <f aca="false">'Project Assumtions'!$N$65*I72</f>
        <v>1022.3972878625</v>
      </c>
      <c r="J74" s="410" t="n">
        <f aca="false">'Project Assumtions'!$N$65*J72</f>
        <v>1060.85283851073</v>
      </c>
      <c r="K74" s="410" t="n">
        <f aca="false">'Project Assumtions'!$N$65*K72</f>
        <v>1094.04566407086</v>
      </c>
      <c r="L74" s="410" t="n">
        <f aca="false">'Project Assumtions'!$N$65*L72</f>
        <v>1128.72198271078</v>
      </c>
      <c r="M74" s="410" t="n">
        <f aca="false">'Project Assumtions'!$N$65*M72</f>
        <v>1178.80790924195</v>
      </c>
      <c r="N74" s="410" t="n">
        <f aca="false">'Project Assumtions'!$N$65*N72</f>
        <v>1236.97143528234</v>
      </c>
      <c r="O74" s="410" t="n">
        <f aca="false">'Project Assumtions'!$N$65*O72</f>
        <v>1256.07294780361</v>
      </c>
      <c r="P74" s="410" t="n">
        <f aca="false">'Project Assumtions'!$N$65*P72</f>
        <v>1284.66616810288</v>
      </c>
      <c r="Q74" s="410" t="n">
        <f aca="false">'Project Assumtions'!$N$65*Q72</f>
        <v>1277.65354478257</v>
      </c>
      <c r="R74" s="410" t="n">
        <f aca="false">'Project Assumtions'!$N$65*R72</f>
        <v>1304.10081442195</v>
      </c>
      <c r="S74" s="410" t="n">
        <f aca="false">'Project Assumtions'!$N$65*S72</f>
        <v>1329.89791659996</v>
      </c>
      <c r="T74" s="410" t="n">
        <f aca="false">'Project Assumtions'!$N$65*T72</f>
        <v>1354.99282501628</v>
      </c>
      <c r="U74" s="410" t="n">
        <f aca="false">'Project Assumtions'!$N$65*U72</f>
        <v>1391.31574364533</v>
      </c>
      <c r="V74" s="410" t="n">
        <f aca="false">'Project Assumtions'!$N$65*V72</f>
        <v>1431.61860794898</v>
      </c>
      <c r="W74" s="410" t="n">
        <f aca="false">'Project Assumtions'!$N$65*W72</f>
        <v>1436.34833479183</v>
      </c>
      <c r="X74" s="410" t="n">
        <f aca="false">'Project Assumtions'!$N$65*X72</f>
        <v>403.265451202991</v>
      </c>
      <c r="Y74" s="410" t="n">
        <f aca="false">'Project Assumtions'!$N$65*Y72</f>
        <v>0</v>
      </c>
      <c r="Z74" s="410" t="n">
        <f aca="false">'Project Assumtions'!$N$65*Z72</f>
        <v>0</v>
      </c>
      <c r="AA74" s="410" t="n">
        <f aca="false">'Project Assumtions'!$N$65*AA72</f>
        <v>0</v>
      </c>
      <c r="AB74" s="489" t="n">
        <f aca="false">'Project Assumtions'!$N$65*AB72</f>
        <v>0</v>
      </c>
    </row>
    <row r="75" customFormat="false" ht="12.6" hidden="false" customHeight="true" outlineLevel="0" collapsed="false">
      <c r="B75" s="409" t="s">
        <v>537</v>
      </c>
      <c r="D75" s="685" t="n">
        <f aca="false">'Tax Calculations'!D17</f>
        <v>188.340226</v>
      </c>
      <c r="E75" s="685" t="n">
        <f aca="false">'Tax Calculations'!E17</f>
        <v>305.53364568</v>
      </c>
      <c r="F75" s="685" t="n">
        <f aca="false">'Tax Calculations'!F17</f>
        <v>306.5780550504</v>
      </c>
      <c r="G75" s="685" t="n">
        <f aca="false">'Tax Calculations'!G17</f>
        <v>485.226649432723</v>
      </c>
      <c r="H75" s="685" t="n">
        <f aca="false">'Tax Calculations'!H17</f>
        <v>719.596600741613</v>
      </c>
      <c r="I75" s="685" t="n">
        <f aca="false">'Tax Calculations'!I17</f>
        <v>772.477950829443</v>
      </c>
      <c r="J75" s="685" t="n">
        <f aca="false">'Tax Calculations'!J17</f>
        <v>801.53325576366</v>
      </c>
      <c r="K75" s="685" t="n">
        <f aca="false">'Tax Calculations'!K17</f>
        <v>826.612279520206</v>
      </c>
      <c r="L75" s="685" t="n">
        <f aca="false">'Tax Calculations'!L17</f>
        <v>852.812164714809</v>
      </c>
      <c r="M75" s="685" t="n">
        <f aca="false">'Tax Calculations'!M17</f>
        <v>890.654864760587</v>
      </c>
      <c r="N75" s="685" t="n">
        <f aca="false">'Tax Calculations'!N17</f>
        <v>934.600639991102</v>
      </c>
      <c r="O75" s="685" t="n">
        <f aca="false">'Tax Calculations'!O17</f>
        <v>949.032893896062</v>
      </c>
      <c r="P75" s="685" t="n">
        <f aca="false">'Tax Calculations'!P17</f>
        <v>970.636660344395</v>
      </c>
      <c r="Q75" s="685" t="n">
        <f aca="false">'Tax Calculations'!Q17</f>
        <v>965.338233835717</v>
      </c>
      <c r="R75" s="685" t="n">
        <f aca="false">'Tax Calculations'!R17</f>
        <v>985.320615341028</v>
      </c>
      <c r="S75" s="685" t="n">
        <f aca="false">'Tax Calculations'!S17</f>
        <v>1004.81175920886</v>
      </c>
      <c r="T75" s="685" t="n">
        <f aca="false">'Tax Calculations'!T17</f>
        <v>1023.77235667897</v>
      </c>
      <c r="U75" s="685" t="n">
        <f aca="false">'Tax Calculations'!U17</f>
        <v>1051.21633964314</v>
      </c>
      <c r="V75" s="685" t="n">
        <f aca="false">'Tax Calculations'!V17</f>
        <v>1081.66739267256</v>
      </c>
      <c r="W75" s="685" t="n">
        <f aca="false">'Tax Calculations'!W17</f>
        <v>1085.24096406494</v>
      </c>
      <c r="X75" s="685" t="n">
        <f aca="false">'Tax Calculations'!X17</f>
        <v>304.689452020038</v>
      </c>
      <c r="Y75" s="685" t="n">
        <f aca="false">'Tax Calculations'!Y17</f>
        <v>0</v>
      </c>
      <c r="Z75" s="685" t="n">
        <f aca="false">'Tax Calculations'!Z17</f>
        <v>0</v>
      </c>
      <c r="AA75" s="685" t="n">
        <f aca="false">'Tax Calculations'!AA17</f>
        <v>0</v>
      </c>
      <c r="AB75" s="686" t="n">
        <v>0</v>
      </c>
    </row>
    <row r="76" customFormat="false" ht="12.6" hidden="false" customHeight="true" outlineLevel="0" collapsed="false">
      <c r="B76" s="409"/>
      <c r="D76" s="503"/>
      <c r="E76" s="503"/>
      <c r="F76" s="503"/>
      <c r="G76" s="503"/>
      <c r="H76" s="503"/>
      <c r="I76" s="503"/>
      <c r="J76" s="503"/>
      <c r="K76" s="503"/>
      <c r="L76" s="503"/>
      <c r="M76" s="503"/>
      <c r="N76" s="503"/>
      <c r="O76" s="503"/>
      <c r="P76" s="503"/>
      <c r="Q76" s="503"/>
      <c r="R76" s="503"/>
      <c r="S76" s="503"/>
      <c r="T76" s="503"/>
      <c r="U76" s="503"/>
      <c r="V76" s="503"/>
      <c r="W76" s="503"/>
      <c r="X76" s="503"/>
      <c r="Y76" s="503"/>
      <c r="Z76" s="503"/>
      <c r="AA76" s="503"/>
      <c r="AB76" s="504"/>
    </row>
    <row r="77" customFormat="false" ht="12.6" hidden="false" customHeight="true" outlineLevel="0" collapsed="false">
      <c r="B77" s="663" t="s">
        <v>538</v>
      </c>
      <c r="D77" s="696" t="n">
        <f aca="false">D72-D74-D75</f>
        <v>-491.721348106485</v>
      </c>
      <c r="E77" s="696" t="n">
        <f aca="false">E72-E74-E75</f>
        <v>5709.90088889601</v>
      </c>
      <c r="F77" s="696" t="n">
        <f aca="false">F72-F74-F75</f>
        <v>5864.67519862518</v>
      </c>
      <c r="G77" s="696" t="n">
        <f aca="false">G72-G74-G75</f>
        <v>13143.9336508099</v>
      </c>
      <c r="H77" s="696" t="n">
        <f aca="false">H72-H74-H75</f>
        <v>19492.602037736</v>
      </c>
      <c r="I77" s="696" t="n">
        <f aca="false">I72-I74-I75</f>
        <v>20925.0644915858</v>
      </c>
      <c r="J77" s="696" t="n">
        <f aca="false">J72-J74-J75</f>
        <v>21712.1214281862</v>
      </c>
      <c r="K77" s="696" t="n">
        <f aca="false">K72-K74-K75</f>
        <v>22391.4679246503</v>
      </c>
      <c r="L77" s="696" t="n">
        <f aca="false">L72-L74-L75</f>
        <v>23101.1765794806</v>
      </c>
      <c r="M77" s="696" t="n">
        <f aca="false">M72-M74-M75</f>
        <v>24126.2685424853</v>
      </c>
      <c r="N77" s="696" t="n">
        <f aca="false">N72-N74-N75</f>
        <v>25316.6820421119</v>
      </c>
      <c r="O77" s="696" t="n">
        <f aca="false">O72-O74-O75</f>
        <v>25707.6263317139</v>
      </c>
      <c r="P77" s="696" t="n">
        <f aca="false">P72-P74-P75</f>
        <v>26292.8342405055</v>
      </c>
      <c r="Q77" s="696" t="n">
        <f aca="false">Q72-Q74-Q75</f>
        <v>26149.3092165499</v>
      </c>
      <c r="R77" s="696" t="n">
        <f aca="false">R72-R74-R75</f>
        <v>26690.5966685026</v>
      </c>
      <c r="S77" s="696" t="n">
        <f aca="false">S72-S74-S75</f>
        <v>27218.5773597459</v>
      </c>
      <c r="T77" s="696" t="n">
        <f aca="false">T72-T74-T75</f>
        <v>27732.1864853331</v>
      </c>
      <c r="U77" s="696" t="n">
        <f aca="false">U72-U74-U75</f>
        <v>28475.5955532744</v>
      </c>
      <c r="V77" s="696" t="n">
        <f aca="false">V72-V74-V75</f>
        <v>29300.4608426891</v>
      </c>
      <c r="W77" s="696" t="n">
        <f aca="false">W72-W74-W75</f>
        <v>29397.2625854062</v>
      </c>
      <c r="X77" s="696" t="n">
        <f aca="false">X72-X74-X75</f>
        <v>8253.49956795455</v>
      </c>
      <c r="Y77" s="696" t="n">
        <f aca="false">Y72-Y74-Y75</f>
        <v>0</v>
      </c>
      <c r="Z77" s="696" t="n">
        <f aca="false">Z72-Z74-Z75</f>
        <v>0</v>
      </c>
      <c r="AA77" s="696" t="n">
        <f aca="false">AA72-AA74-AA75</f>
        <v>0</v>
      </c>
      <c r="AB77" s="697" t="n">
        <f aca="false">AB72-AB74-AB75</f>
        <v>0</v>
      </c>
    </row>
    <row r="78" customFormat="false" ht="12.6" hidden="false" customHeight="true" outlineLevel="0" collapsed="false">
      <c r="B78" s="663"/>
      <c r="D78" s="698"/>
      <c r="E78" s="698"/>
      <c r="F78" s="698"/>
      <c r="G78" s="698"/>
      <c r="H78" s="698"/>
      <c r="I78" s="698"/>
      <c r="J78" s="698"/>
      <c r="K78" s="698"/>
      <c r="L78" s="698"/>
      <c r="M78" s="698"/>
      <c r="N78" s="698"/>
      <c r="O78" s="698"/>
      <c r="P78" s="698"/>
      <c r="Q78" s="698"/>
      <c r="R78" s="698"/>
      <c r="S78" s="698"/>
      <c r="T78" s="698"/>
      <c r="U78" s="698"/>
      <c r="V78" s="698"/>
      <c r="W78" s="698"/>
      <c r="X78" s="698"/>
      <c r="Y78" s="698"/>
      <c r="Z78" s="698"/>
      <c r="AA78" s="698"/>
      <c r="AB78" s="699"/>
    </row>
    <row r="79" customFormat="false" ht="12.6" hidden="false" customHeight="true" outlineLevel="0" collapsed="false">
      <c r="B79" s="409" t="s">
        <v>539</v>
      </c>
      <c r="D79" s="503" t="n">
        <f aca="false">'Project Assumtions'!$N$64*'Book Income Statement'!D77</f>
        <v>-172.10247183727</v>
      </c>
      <c r="E79" s="503" t="n">
        <f aca="false">'Project Assumtions'!$N$64*'Book Income Statement'!E77</f>
        <v>1998.4653111136</v>
      </c>
      <c r="F79" s="503" t="n">
        <f aca="false">'Project Assumtions'!$N$64*'Book Income Statement'!F77</f>
        <v>2052.63631951881</v>
      </c>
      <c r="G79" s="503" t="n">
        <f aca="false">'Project Assumtions'!$N$64*'Book Income Statement'!G77</f>
        <v>4600.37677778348</v>
      </c>
      <c r="H79" s="503" t="n">
        <f aca="false">'Project Assumtions'!$N$64*'Book Income Statement'!H77</f>
        <v>6822.41071320761</v>
      </c>
      <c r="I79" s="503" t="n">
        <f aca="false">'Project Assumtions'!$N$64*'Book Income Statement'!I77</f>
        <v>7323.77257205503</v>
      </c>
      <c r="J79" s="503" t="n">
        <f aca="false">'Project Assumtions'!$N$64*'Book Income Statement'!J77</f>
        <v>7599.24249986517</v>
      </c>
      <c r="K79" s="503" t="n">
        <f aca="false">'Project Assumtions'!$N$64*'Book Income Statement'!K77</f>
        <v>7837.0137736276</v>
      </c>
      <c r="L79" s="503" t="n">
        <f aca="false">'Project Assumtions'!$N$64*'Book Income Statement'!L77</f>
        <v>8085.4118028182</v>
      </c>
      <c r="M79" s="503" t="n">
        <f aca="false">'Project Assumtions'!$N$64*'Book Income Statement'!M77</f>
        <v>8444.19398986986</v>
      </c>
      <c r="N79" s="503" t="n">
        <f aca="false">'Project Assumtions'!$N$64*'Book Income Statement'!N77</f>
        <v>8860.83871473916</v>
      </c>
      <c r="O79" s="503" t="n">
        <f aca="false">'Project Assumtions'!$N$64*'Book Income Statement'!O77</f>
        <v>8997.66921609987</v>
      </c>
      <c r="P79" s="503" t="n">
        <f aca="false">'Project Assumtions'!$N$64*'Book Income Statement'!P77</f>
        <v>9202.49198417693</v>
      </c>
      <c r="Q79" s="503" t="n">
        <f aca="false">'Project Assumtions'!$N$64*'Book Income Statement'!Q77</f>
        <v>9152.25822579245</v>
      </c>
      <c r="R79" s="503" t="n">
        <f aca="false">'Project Assumtions'!$N$64*'Book Income Statement'!R77</f>
        <v>9341.70883397589</v>
      </c>
      <c r="S79" s="503" t="n">
        <f aca="false">'Project Assumtions'!$N$64*'Book Income Statement'!S77</f>
        <v>9526.50207591105</v>
      </c>
      <c r="T79" s="503" t="n">
        <f aca="false">'Project Assumtions'!$N$64*'Book Income Statement'!T77</f>
        <v>9706.2652698666</v>
      </c>
      <c r="U79" s="503" t="n">
        <f aca="false">'Project Assumtions'!$N$64*'Book Income Statement'!U77</f>
        <v>9966.45844364604</v>
      </c>
      <c r="V79" s="503" t="n">
        <f aca="false">'Project Assumtions'!$N$64*'Book Income Statement'!V77</f>
        <v>10255.1612949412</v>
      </c>
      <c r="W79" s="503" t="n">
        <f aca="false">'Project Assumtions'!$N$64*'Book Income Statement'!W77</f>
        <v>10289.0419048922</v>
      </c>
      <c r="X79" s="503" t="n">
        <f aca="false">'Project Assumtions'!$N$64*'Book Income Statement'!X77</f>
        <v>2888.72484878409</v>
      </c>
      <c r="Y79" s="503" t="n">
        <f aca="false">'Project Assumtions'!$N$64*'Book Income Statement'!Y77</f>
        <v>0</v>
      </c>
      <c r="Z79" s="503" t="n">
        <f aca="false">'Project Assumtions'!$N$64*'Book Income Statement'!Z77</f>
        <v>0</v>
      </c>
      <c r="AA79" s="503" t="n">
        <f aca="false">'Project Assumtions'!$N$64*'Book Income Statement'!AA77</f>
        <v>0</v>
      </c>
      <c r="AB79" s="504" t="n">
        <f aca="false">'Project Assumtions'!$N$64*'Book Income Statement'!AB77</f>
        <v>0</v>
      </c>
    </row>
    <row r="80" customFormat="false" ht="12.6" hidden="false" customHeight="true" outlineLevel="0" collapsed="false">
      <c r="B80" s="409"/>
      <c r="D80" s="410"/>
      <c r="E80" s="410"/>
      <c r="F80" s="410"/>
      <c r="G80" s="410"/>
      <c r="H80" s="410"/>
      <c r="I80" s="410"/>
      <c r="J80" s="410"/>
      <c r="K80" s="410"/>
      <c r="L80" s="410"/>
      <c r="M80" s="410"/>
      <c r="N80" s="410"/>
      <c r="O80" s="410"/>
      <c r="P80" s="410"/>
      <c r="Q80" s="410"/>
      <c r="R80" s="410"/>
      <c r="S80" s="410"/>
      <c r="T80" s="410"/>
      <c r="U80" s="410"/>
      <c r="V80" s="410"/>
      <c r="W80" s="410"/>
      <c r="X80" s="410"/>
      <c r="Y80" s="410"/>
      <c r="Z80" s="410"/>
      <c r="AA80" s="410"/>
      <c r="AB80" s="489"/>
    </row>
    <row r="81" customFormat="false" ht="12.6" hidden="false" customHeight="true" outlineLevel="0" collapsed="false">
      <c r="B81" s="655" t="s">
        <v>10</v>
      </c>
      <c r="C81" s="490"/>
      <c r="D81" s="700" t="n">
        <f aca="false">D77-D79</f>
        <v>-319.618876269215</v>
      </c>
      <c r="E81" s="700" t="n">
        <f aca="false">E77-E79</f>
        <v>3711.43557778241</v>
      </c>
      <c r="F81" s="700" t="n">
        <f aca="false">F77-F79</f>
        <v>3812.03887910637</v>
      </c>
      <c r="G81" s="700" t="n">
        <f aca="false">G77-G79</f>
        <v>8543.55687302645</v>
      </c>
      <c r="H81" s="700" t="n">
        <f aca="false">H77-H79</f>
        <v>12670.1913245284</v>
      </c>
      <c r="I81" s="700" t="n">
        <f aca="false">I77-I79</f>
        <v>13601.2919195308</v>
      </c>
      <c r="J81" s="700" t="n">
        <f aca="false">J77-J79</f>
        <v>14112.878928321</v>
      </c>
      <c r="K81" s="700" t="n">
        <f aca="false">K77-K79</f>
        <v>14554.4541510227</v>
      </c>
      <c r="L81" s="700" t="n">
        <f aca="false">L77-L79</f>
        <v>15015.7647766624</v>
      </c>
      <c r="M81" s="700" t="n">
        <f aca="false">M77-M79</f>
        <v>15682.0745526155</v>
      </c>
      <c r="N81" s="700" t="n">
        <f aca="false">N77-N79</f>
        <v>16455.8433273727</v>
      </c>
      <c r="O81" s="700" t="n">
        <f aca="false">O77-O79</f>
        <v>16709.957115614</v>
      </c>
      <c r="P81" s="700" t="n">
        <f aca="false">P77-P79</f>
        <v>17090.3422563286</v>
      </c>
      <c r="Q81" s="700" t="n">
        <f aca="false">Q77-Q79</f>
        <v>16997.0509907574</v>
      </c>
      <c r="R81" s="700" t="n">
        <f aca="false">R77-R79</f>
        <v>17348.8878345267</v>
      </c>
      <c r="S81" s="700" t="n">
        <f aca="false">S77-S79</f>
        <v>17692.0752838348</v>
      </c>
      <c r="T81" s="700" t="n">
        <f aca="false">T77-T79</f>
        <v>18025.9212154665</v>
      </c>
      <c r="U81" s="700" t="n">
        <f aca="false">U77-U79</f>
        <v>18509.1371096284</v>
      </c>
      <c r="V81" s="700" t="n">
        <f aca="false">V77-V79</f>
        <v>19045.2995477479</v>
      </c>
      <c r="W81" s="700" t="n">
        <f aca="false">W77-W79</f>
        <v>19108.220680514</v>
      </c>
      <c r="X81" s="700" t="n">
        <f aca="false">X77-X79</f>
        <v>5364.77471917046</v>
      </c>
      <c r="Y81" s="700" t="n">
        <f aca="false">Y77-Y79</f>
        <v>0</v>
      </c>
      <c r="Z81" s="700" t="n">
        <f aca="false">Z77-Z79</f>
        <v>0</v>
      </c>
      <c r="AA81" s="700" t="n">
        <f aca="false">AA77-AA79</f>
        <v>0</v>
      </c>
      <c r="AB81" s="701" t="n">
        <f aca="false">AB77-AB79</f>
        <v>0</v>
      </c>
    </row>
    <row r="82" customFormat="false" ht="12.6" hidden="false" customHeight="true" outlineLevel="0" collapsed="false">
      <c r="B82" s="606"/>
      <c r="C82" s="482"/>
      <c r="D82" s="410"/>
      <c r="E82" s="410"/>
      <c r="F82" s="410"/>
      <c r="G82" s="410"/>
      <c r="H82" s="410"/>
      <c r="I82" s="410"/>
      <c r="J82" s="410"/>
      <c r="K82" s="410"/>
      <c r="L82" s="410"/>
      <c r="M82" s="410"/>
      <c r="N82" s="410"/>
      <c r="O82" s="410"/>
      <c r="P82" s="410"/>
      <c r="Q82" s="410"/>
      <c r="R82" s="410"/>
      <c r="S82" s="410"/>
      <c r="T82" s="410"/>
      <c r="U82" s="410"/>
      <c r="V82" s="410"/>
      <c r="W82" s="410"/>
      <c r="X82" s="410"/>
      <c r="Y82" s="410"/>
      <c r="Z82" s="410"/>
      <c r="AA82" s="410"/>
      <c r="AB82" s="410"/>
    </row>
    <row r="83" customFormat="false" ht="12.6" hidden="false" customHeight="true" outlineLevel="0" collapsed="false">
      <c r="B83" s="606" t="s">
        <v>540</v>
      </c>
      <c r="C83" s="481" t="n">
        <f aca="false">NPV('Project Assumtions'!$I$56,'Book Income Statement'!D83:F83)</f>
        <v>8209.4123270423</v>
      </c>
      <c r="D83" s="434" t="n">
        <v>0</v>
      </c>
      <c r="E83" s="434" t="n">
        <v>0</v>
      </c>
      <c r="F83" s="434" t="n">
        <f aca="false">F72+F65</f>
        <v>11533.6332418069</v>
      </c>
      <c r="G83" s="434"/>
      <c r="H83" s="434"/>
      <c r="I83" s="434"/>
      <c r="J83" s="434"/>
      <c r="K83" s="434"/>
      <c r="L83" s="434"/>
      <c r="M83" s="434"/>
      <c r="N83" s="434"/>
      <c r="O83" s="434"/>
      <c r="P83" s="434"/>
      <c r="Q83" s="434"/>
      <c r="R83" s="434"/>
      <c r="S83" s="434"/>
      <c r="T83" s="434"/>
      <c r="U83" s="434"/>
      <c r="V83" s="434"/>
      <c r="W83" s="434"/>
      <c r="X83" s="434"/>
      <c r="Y83" s="434"/>
      <c r="Z83" s="434"/>
      <c r="AA83" s="434"/>
      <c r="AB83" s="434"/>
    </row>
    <row r="84" customFormat="false" ht="12.6" hidden="false" customHeight="true" outlineLevel="0" collapsed="false">
      <c r="B84" s="422" t="s">
        <v>541</v>
      </c>
      <c r="C84" s="481" t="n">
        <f aca="false">NPV('Project Assumtions'!$I$56,'Book Income Statement'!D84:F84)</f>
        <v>2713.33397804469</v>
      </c>
      <c r="D84" s="481" t="n">
        <v>0</v>
      </c>
      <c r="E84" s="481" t="n">
        <v>0</v>
      </c>
      <c r="F84" s="434" t="n">
        <f aca="false">F81</f>
        <v>3812.03887910637</v>
      </c>
    </row>
    <row r="85" customFormat="false" ht="13.15" hidden="false" customHeight="true" outlineLevel="0" collapsed="false">
      <c r="B85" s="422"/>
      <c r="D85" s="434"/>
      <c r="E85" s="434"/>
      <c r="F85" s="434"/>
      <c r="G85" s="434"/>
      <c r="H85" s="434"/>
      <c r="I85" s="434"/>
      <c r="J85" s="434"/>
      <c r="K85" s="434"/>
      <c r="L85" s="434"/>
      <c r="M85" s="434"/>
      <c r="N85" s="434"/>
      <c r="O85" s="434"/>
      <c r="P85" s="434"/>
      <c r="Q85" s="434"/>
      <c r="R85" s="434"/>
      <c r="S85" s="434"/>
      <c r="T85" s="434"/>
      <c r="U85" s="434"/>
      <c r="V85" s="434"/>
      <c r="W85" s="434"/>
      <c r="X85" s="434"/>
      <c r="Y85" s="434"/>
      <c r="Z85" s="434"/>
      <c r="AA85" s="434"/>
      <c r="AB85" s="434"/>
    </row>
    <row r="86" customFormat="false" ht="12.6" hidden="false" customHeight="true" outlineLevel="0" collapsed="false">
      <c r="A86" s="0"/>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0"/>
      <c r="AD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row>
    <row r="87" customFormat="false" ht="12.6" hidden="false" customHeight="true" outlineLevel="0" collapsed="false">
      <c r="B87" s="606"/>
      <c r="C87" s="482"/>
      <c r="D87" s="410"/>
      <c r="E87" s="410"/>
      <c r="F87" s="410"/>
      <c r="G87" s="410"/>
      <c r="H87" s="410"/>
      <c r="I87" s="410"/>
      <c r="J87" s="410"/>
      <c r="K87" s="410"/>
      <c r="L87" s="410"/>
      <c r="M87" s="410"/>
      <c r="N87" s="410"/>
      <c r="O87" s="410"/>
      <c r="P87" s="410"/>
      <c r="Q87" s="410"/>
      <c r="R87" s="410"/>
      <c r="S87" s="410"/>
      <c r="T87" s="410"/>
      <c r="U87" s="410"/>
      <c r="V87" s="410"/>
      <c r="W87" s="410"/>
      <c r="X87" s="410"/>
      <c r="Y87" s="410"/>
      <c r="Z87" s="410"/>
      <c r="AA87" s="410"/>
      <c r="AB87" s="410"/>
    </row>
    <row r="88" customFormat="false" ht="12.6" hidden="false" customHeight="true" outlineLevel="0" collapsed="false">
      <c r="B88" s="692"/>
      <c r="D88" s="678"/>
      <c r="E88" s="678"/>
      <c r="F88" s="678"/>
      <c r="G88" s="678"/>
      <c r="H88" s="678"/>
      <c r="I88" s="678"/>
      <c r="J88" s="678"/>
      <c r="K88" s="678"/>
      <c r="L88" s="678"/>
      <c r="M88" s="678"/>
      <c r="N88" s="678"/>
      <c r="O88" s="678"/>
      <c r="P88" s="678"/>
      <c r="Q88" s="678"/>
      <c r="R88" s="678"/>
      <c r="S88" s="678"/>
      <c r="T88" s="678"/>
      <c r="U88" s="678"/>
      <c r="V88" s="678"/>
      <c r="W88" s="678"/>
      <c r="X88" s="678"/>
      <c r="Y88" s="678"/>
      <c r="Z88" s="678"/>
      <c r="AA88" s="678"/>
      <c r="AB88" s="678"/>
    </row>
    <row r="89" customFormat="false" ht="12.6" hidden="false" customHeight="true" outlineLevel="0" collapsed="false">
      <c r="B89" s="422"/>
      <c r="D89" s="434"/>
      <c r="E89" s="434"/>
      <c r="F89" s="434"/>
      <c r="G89" s="434"/>
      <c r="H89" s="434"/>
      <c r="I89" s="434"/>
      <c r="J89" s="434"/>
      <c r="K89" s="434"/>
      <c r="L89" s="434"/>
      <c r="M89" s="434"/>
      <c r="N89" s="434"/>
      <c r="O89" s="434"/>
      <c r="P89" s="434"/>
      <c r="Q89" s="434"/>
      <c r="R89" s="434"/>
      <c r="S89" s="434"/>
      <c r="T89" s="434"/>
      <c r="U89" s="434"/>
      <c r="V89" s="434"/>
      <c r="W89" s="434"/>
      <c r="X89" s="434"/>
      <c r="Y89" s="434"/>
      <c r="Z89" s="434"/>
      <c r="AA89" s="434"/>
      <c r="AB89" s="434"/>
    </row>
    <row r="90" customFormat="false" ht="12.6" hidden="false" customHeight="true" outlineLevel="0" collapsed="false">
      <c r="B90" s="422"/>
      <c r="D90" s="438"/>
      <c r="E90" s="438"/>
      <c r="F90" s="438"/>
      <c r="G90" s="438"/>
      <c r="H90" s="438"/>
      <c r="I90" s="438"/>
      <c r="J90" s="438"/>
      <c r="K90" s="438"/>
      <c r="L90" s="438"/>
      <c r="M90" s="438"/>
      <c r="N90" s="438"/>
      <c r="O90" s="438"/>
      <c r="P90" s="438"/>
      <c r="Q90" s="438"/>
      <c r="R90" s="438"/>
      <c r="S90" s="438"/>
      <c r="T90" s="438"/>
      <c r="U90" s="438"/>
      <c r="V90" s="438"/>
      <c r="W90" s="438"/>
      <c r="X90" s="438"/>
      <c r="Y90" s="438"/>
      <c r="Z90" s="438"/>
      <c r="AA90" s="438"/>
      <c r="AB90" s="438"/>
    </row>
    <row r="91" customFormat="false" ht="12.6" hidden="false" customHeight="true" outlineLevel="0" collapsed="false">
      <c r="B91" s="422"/>
      <c r="D91" s="434"/>
      <c r="E91" s="434"/>
      <c r="F91" s="434"/>
      <c r="G91" s="434"/>
      <c r="H91" s="434"/>
      <c r="I91" s="434"/>
      <c r="J91" s="434"/>
      <c r="K91" s="434"/>
      <c r="L91" s="434"/>
      <c r="M91" s="434"/>
      <c r="N91" s="434"/>
      <c r="O91" s="434"/>
      <c r="P91" s="434"/>
      <c r="Q91" s="434"/>
      <c r="R91" s="434"/>
      <c r="S91" s="434"/>
      <c r="T91" s="434"/>
      <c r="U91" s="434"/>
      <c r="V91" s="434"/>
      <c r="W91" s="434"/>
      <c r="X91" s="434"/>
      <c r="Y91" s="434"/>
      <c r="Z91" s="434"/>
      <c r="AA91" s="434"/>
      <c r="AB91" s="434"/>
    </row>
    <row r="92" customFormat="false" ht="12.6" hidden="false" customHeight="true" outlineLevel="0" collapsed="false">
      <c r="A92" s="0"/>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0"/>
      <c r="AD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row>
    <row r="93" customFormat="false" ht="12.6" hidden="false" customHeight="true" outlineLevel="0" collapsed="false">
      <c r="B93" s="422"/>
      <c r="D93" s="702"/>
      <c r="E93" s="438"/>
      <c r="F93" s="438"/>
      <c r="G93" s="438"/>
      <c r="H93" s="438"/>
      <c r="I93" s="438"/>
      <c r="J93" s="438"/>
      <c r="K93" s="438"/>
      <c r="L93" s="438"/>
      <c r="M93" s="438"/>
      <c r="N93" s="438"/>
      <c r="O93" s="438"/>
      <c r="P93" s="438"/>
      <c r="Q93" s="438"/>
      <c r="R93" s="438"/>
      <c r="S93" s="438"/>
      <c r="T93" s="438"/>
      <c r="U93" s="438"/>
      <c r="V93" s="438"/>
      <c r="W93" s="438"/>
      <c r="X93" s="438"/>
      <c r="Y93" s="438"/>
      <c r="Z93" s="438"/>
      <c r="AA93" s="438"/>
      <c r="AB93" s="438"/>
    </row>
    <row r="94" customFormat="false" ht="12.6" hidden="false" customHeight="true" outlineLevel="0" collapsed="false">
      <c r="A94" s="0"/>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0"/>
      <c r="AD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row>
    <row r="95" customFormat="false" ht="12.6" hidden="false" customHeight="true" outlineLevel="0" collapsed="false">
      <c r="A95" s="0"/>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0"/>
      <c r="AD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row>
    <row r="96" customFormat="false" ht="12.6" hidden="false" customHeight="true" outlineLevel="0" collapsed="false">
      <c r="A96" s="0"/>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0"/>
      <c r="AD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row>
    <row r="97" customFormat="false" ht="12.6" hidden="false" customHeight="true" outlineLevel="0" collapsed="false">
      <c r="A97" s="0"/>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0"/>
      <c r="AD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row>
    <row r="98" customFormat="false" ht="12.6" hidden="false" customHeight="true" outlineLevel="0" collapsed="false">
      <c r="B98" s="606"/>
      <c r="C98" s="482"/>
      <c r="D98" s="703"/>
      <c r="E98" s="703"/>
      <c r="F98" s="703"/>
      <c r="G98" s="703"/>
      <c r="H98" s="703"/>
      <c r="I98" s="703"/>
      <c r="J98" s="703"/>
      <c r="K98" s="703"/>
      <c r="L98" s="703"/>
      <c r="M98" s="703"/>
      <c r="N98" s="703"/>
      <c r="O98" s="703"/>
      <c r="P98" s="703"/>
      <c r="Q98" s="703"/>
      <c r="R98" s="703"/>
      <c r="S98" s="703"/>
      <c r="T98" s="703"/>
      <c r="U98" s="703"/>
      <c r="V98" s="703"/>
      <c r="W98" s="703"/>
      <c r="X98" s="703"/>
      <c r="Y98" s="703"/>
      <c r="Z98" s="703"/>
      <c r="AA98" s="703"/>
      <c r="AB98" s="703"/>
    </row>
    <row r="99" customFormat="false" ht="12.6" hidden="false" customHeight="true" outlineLevel="0" collapsed="false">
      <c r="A99" s="0"/>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0"/>
      <c r="AD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row>
    <row r="100" customFormat="false" ht="12.6" hidden="false" customHeight="true" outlineLevel="0" collapsed="false">
      <c r="A100" s="0"/>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0"/>
      <c r="AD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row>
    <row r="101" customFormat="false" ht="12.6" hidden="false" customHeight="true" outlineLevel="0" collapsed="false">
      <c r="A101" s="0"/>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0"/>
      <c r="AD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row>
    <row r="102" customFormat="false" ht="12.6" hidden="false" customHeight="true" outlineLevel="0" collapsed="false">
      <c r="A102" s="0"/>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0"/>
      <c r="AD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row>
    <row r="103" customFormat="false" ht="12.6" hidden="false" customHeight="true" outlineLevel="0" collapsed="false">
      <c r="A103" s="0"/>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0"/>
      <c r="AD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row>
    <row r="104" customFormat="false" ht="12.6" hidden="false" customHeight="true" outlineLevel="0" collapsed="false">
      <c r="A104" s="0"/>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0"/>
      <c r="AD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row>
    <row r="105" customFormat="false" ht="12.6" hidden="false" customHeight="true" outlineLevel="0" collapsed="false">
      <c r="A105" s="0"/>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0"/>
      <c r="AD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row>
    <row r="106" customFormat="false" ht="12.6" hidden="false" customHeight="true" outlineLevel="0" collapsed="false">
      <c r="A106" s="0"/>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0"/>
      <c r="AD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row>
    <row r="107" customFormat="false" ht="12.6" hidden="false" customHeight="true" outlineLevel="0" collapsed="false">
      <c r="A107" s="0"/>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0"/>
      <c r="AD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row>
    <row r="108" customFormat="false" ht="12.6" hidden="false" customHeight="true" outlineLevel="0" collapsed="false">
      <c r="A108" s="0"/>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0"/>
      <c r="AD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row>
    <row r="109" customFormat="false" ht="12.6" hidden="false" customHeight="true" outlineLevel="0" collapsed="false">
      <c r="B109" s="692"/>
      <c r="D109" s="704"/>
      <c r="E109" s="704"/>
      <c r="F109" s="704"/>
      <c r="G109" s="704"/>
      <c r="H109" s="704"/>
      <c r="I109" s="704"/>
      <c r="J109" s="704"/>
      <c r="K109" s="704"/>
      <c r="L109" s="704"/>
      <c r="M109" s="704"/>
      <c r="N109" s="704"/>
      <c r="O109" s="704"/>
      <c r="P109" s="704"/>
      <c r="Q109" s="704"/>
      <c r="R109" s="704"/>
      <c r="S109" s="704"/>
      <c r="T109" s="704"/>
      <c r="U109" s="704"/>
      <c r="V109" s="704"/>
      <c r="W109" s="704"/>
      <c r="X109" s="704"/>
      <c r="Y109" s="704"/>
      <c r="Z109" s="704"/>
      <c r="AA109" s="704"/>
      <c r="AB109" s="704"/>
    </row>
    <row r="110" customFormat="false" ht="12.6" hidden="false" customHeight="true" outlineLevel="0" collapsed="false">
      <c r="B110" s="692"/>
      <c r="D110" s="704"/>
      <c r="E110" s="704"/>
      <c r="F110" s="704"/>
      <c r="G110" s="704"/>
      <c r="H110" s="704"/>
      <c r="I110" s="704"/>
      <c r="J110" s="704"/>
      <c r="K110" s="704"/>
      <c r="L110" s="704"/>
      <c r="M110" s="434"/>
      <c r="N110" s="434"/>
      <c r="O110" s="434"/>
      <c r="P110" s="434"/>
      <c r="Q110" s="434"/>
      <c r="R110" s="434"/>
      <c r="S110" s="434"/>
      <c r="T110" s="434"/>
      <c r="U110" s="434"/>
      <c r="V110" s="434"/>
      <c r="W110" s="434"/>
      <c r="X110" s="434"/>
      <c r="Y110" s="434"/>
      <c r="Z110" s="434"/>
      <c r="AA110" s="434"/>
      <c r="AB110" s="434"/>
    </row>
    <row r="111" customFormat="false" ht="12.6" hidden="false" customHeight="true" outlineLevel="0" collapsed="false">
      <c r="B111" s="692"/>
      <c r="D111" s="704"/>
      <c r="E111" s="704"/>
      <c r="F111" s="704"/>
      <c r="G111" s="704"/>
      <c r="H111" s="704"/>
      <c r="I111" s="704"/>
      <c r="J111" s="704"/>
      <c r="K111" s="704"/>
      <c r="L111" s="704"/>
      <c r="M111" s="434"/>
      <c r="N111" s="434"/>
      <c r="O111" s="434"/>
      <c r="P111" s="434"/>
      <c r="Q111" s="434"/>
      <c r="R111" s="434"/>
      <c r="S111" s="434"/>
      <c r="T111" s="434"/>
      <c r="U111" s="434"/>
      <c r="V111" s="434"/>
      <c r="W111" s="434"/>
      <c r="X111" s="434"/>
      <c r="Y111" s="434"/>
      <c r="Z111" s="434"/>
      <c r="AA111" s="434"/>
      <c r="AB111" s="434"/>
    </row>
    <row r="112" customFormat="false" ht="12.6" hidden="false" customHeight="true" outlineLevel="0" collapsed="false">
      <c r="B112" s="692"/>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row>
    <row r="113" customFormat="false" ht="12.6" hidden="false" customHeight="true" outlineLevel="0" collapsed="false">
      <c r="B113" s="692"/>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row>
    <row r="114" customFormat="false" ht="12.6" hidden="false" customHeight="true" outlineLevel="0" collapsed="false">
      <c r="A114" s="0"/>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0"/>
      <c r="AD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row>
    <row r="115" customFormat="false" ht="12.6" hidden="false" customHeight="true" outlineLevel="0" collapsed="false">
      <c r="A115" s="0"/>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0"/>
      <c r="AD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row>
    <row r="116" customFormat="false" ht="12.6" hidden="false" customHeight="true" outlineLevel="0" collapsed="false">
      <c r="A116" s="0"/>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0"/>
      <c r="AD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c r="IW116" s="0"/>
    </row>
    <row r="117" customFormat="false" ht="12.6" hidden="false" customHeight="true" outlineLevel="0" collapsed="false">
      <c r="B117" s="692"/>
      <c r="D117" s="705"/>
      <c r="E117" s="705"/>
      <c r="F117" s="705"/>
      <c r="G117" s="705"/>
      <c r="H117" s="705"/>
      <c r="I117" s="705"/>
      <c r="J117" s="705"/>
      <c r="K117" s="705"/>
      <c r="L117" s="705"/>
      <c r="M117" s="705"/>
      <c r="N117" s="705"/>
      <c r="O117" s="705"/>
      <c r="P117" s="705"/>
      <c r="Q117" s="705"/>
      <c r="R117" s="705"/>
      <c r="S117" s="705"/>
      <c r="T117" s="705"/>
      <c r="U117" s="705"/>
      <c r="V117" s="705"/>
      <c r="W117" s="705"/>
      <c r="X117" s="705"/>
      <c r="Y117" s="705"/>
      <c r="Z117" s="705"/>
      <c r="AA117" s="705"/>
      <c r="AB117" s="705"/>
    </row>
    <row r="118" customFormat="false" ht="12.6" hidden="false" customHeight="true" outlineLevel="0" collapsed="false">
      <c r="B118" s="692"/>
      <c r="D118" s="434"/>
      <c r="E118" s="434"/>
      <c r="F118" s="434"/>
      <c r="G118" s="434"/>
      <c r="H118" s="434"/>
      <c r="I118" s="434"/>
      <c r="J118" s="434"/>
      <c r="K118" s="434"/>
      <c r="L118" s="434"/>
      <c r="M118" s="434"/>
      <c r="N118" s="434"/>
      <c r="O118" s="434"/>
      <c r="P118" s="434"/>
      <c r="Q118" s="434"/>
      <c r="R118" s="434"/>
      <c r="S118" s="434"/>
      <c r="T118" s="434"/>
      <c r="U118" s="434"/>
      <c r="V118" s="434"/>
      <c r="W118" s="434"/>
      <c r="X118" s="434"/>
      <c r="Y118" s="434"/>
      <c r="Z118" s="434"/>
      <c r="AA118" s="434"/>
      <c r="AB118" s="434"/>
    </row>
    <row r="129" customFormat="false" ht="12.6" hidden="false" customHeight="true" outlineLevel="0" collapsed="false">
      <c r="A129" s="0"/>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0"/>
      <c r="AD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row>
    <row r="130" customFormat="false" ht="12.6" hidden="false" customHeight="true" outlineLevel="0" collapsed="false">
      <c r="A130" s="0"/>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0"/>
      <c r="AD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row>
    <row r="131" customFormat="false" ht="12.6" hidden="false" customHeight="true" outlineLevel="0" collapsed="false">
      <c r="A131" s="0"/>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0"/>
      <c r="AD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row>
    <row r="132" customFormat="false" ht="12.6" hidden="false" customHeight="true" outlineLevel="0" collapsed="false">
      <c r="A132" s="0"/>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0"/>
      <c r="AD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row>
    <row r="133" customFormat="false" ht="12.6" hidden="false" customHeight="true" outlineLevel="0" collapsed="false">
      <c r="A133" s="0"/>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0"/>
      <c r="AD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row>
    <row r="134" customFormat="false" ht="12.6" hidden="false" customHeight="true" outlineLevel="0" collapsed="false">
      <c r="A134" s="0"/>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0"/>
      <c r="AD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row>
    <row r="135" customFormat="false" ht="12.6" hidden="false" customHeight="true" outlineLevel="0" collapsed="false">
      <c r="A135" s="0"/>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0"/>
      <c r="AD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row>
    <row r="136" customFormat="false" ht="12.6" hidden="false" customHeight="true" outlineLevel="0" collapsed="false">
      <c r="A136" s="0"/>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0"/>
      <c r="AD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row>
    <row r="137" customFormat="false" ht="12.6" hidden="false" customHeight="true" outlineLevel="0" collapsed="false">
      <c r="A137" s="0"/>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0"/>
      <c r="AD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row>
    <row r="138" customFormat="false" ht="12.6" hidden="false" customHeight="true" outlineLevel="0" collapsed="false">
      <c r="A138" s="0"/>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0"/>
      <c r="AD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row>
    <row r="139" customFormat="false" ht="12.6" hidden="false" customHeight="true" outlineLevel="0" collapsed="false">
      <c r="A139" s="0"/>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0"/>
      <c r="AD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row>
    <row r="140" customFormat="false" ht="12.6" hidden="false" customHeight="true" outlineLevel="0" collapsed="false">
      <c r="A140" s="0"/>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0"/>
      <c r="AD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row>
    <row r="141" customFormat="false" ht="12.6" hidden="false" customHeight="true" outlineLevel="0" collapsed="false">
      <c r="A141" s="0"/>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0"/>
      <c r="AD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row>
    <row r="142" customFormat="false" ht="12.6" hidden="false" customHeight="true" outlineLevel="0" collapsed="false">
      <c r="A142" s="0"/>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0"/>
      <c r="AD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row>
    <row r="143" customFormat="false" ht="12.6" hidden="false" customHeight="true" outlineLevel="0" collapsed="false">
      <c r="A143" s="0"/>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0"/>
      <c r="AD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row>
    <row r="144" customFormat="false" ht="12.6" hidden="false" customHeight="true" outlineLevel="0" collapsed="false">
      <c r="A144" s="0"/>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0"/>
      <c r="AD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row>
    <row r="145" customFormat="false" ht="12.6" hidden="false" customHeight="true" outlineLevel="0" collapsed="false">
      <c r="A145" s="0"/>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0"/>
      <c r="AD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row>
    <row r="146" customFormat="false" ht="12.6" hidden="false" customHeight="true" outlineLevel="0" collapsed="false">
      <c r="A146" s="0"/>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0"/>
      <c r="AD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row>
    <row r="147" customFormat="false" ht="12.6" hidden="false" customHeight="true" outlineLevel="0" collapsed="false">
      <c r="A147" s="0"/>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0"/>
      <c r="AD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row>
    <row r="148" customFormat="false" ht="12.6" hidden="false" customHeight="true" outlineLevel="0" collapsed="false">
      <c r="A148" s="0"/>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0"/>
      <c r="AD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row>
    <row r="149" customFormat="false" ht="12.6" hidden="false" customHeight="true" outlineLevel="0" collapsed="false">
      <c r="A149" s="0"/>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0"/>
      <c r="AD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c r="IW149" s="0"/>
    </row>
    <row r="150" customFormat="false" ht="12.6" hidden="false" customHeight="true" outlineLevel="0" collapsed="false">
      <c r="A150" s="0"/>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0"/>
      <c r="AD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c r="IW150" s="0"/>
    </row>
    <row r="151" customFormat="false" ht="12.6" hidden="false" customHeight="true" outlineLevel="0" collapsed="false">
      <c r="A151" s="0"/>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0"/>
      <c r="AD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c r="IW151" s="0"/>
    </row>
    <row r="152" customFormat="false" ht="12.6" hidden="false" customHeight="true" outlineLevel="0" collapsed="false">
      <c r="A152" s="0"/>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0"/>
      <c r="AD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c r="IW152" s="0"/>
    </row>
    <row r="153" customFormat="false" ht="12.6" hidden="false" customHeight="true" outlineLevel="0" collapsed="false">
      <c r="A153" s="0"/>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0"/>
      <c r="AD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c r="IW153" s="0"/>
    </row>
    <row r="154" customFormat="false" ht="12.6" hidden="false" customHeight="true" outlineLevel="0" collapsed="false">
      <c r="A154" s="0"/>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0"/>
      <c r="AD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c r="IW154" s="0"/>
    </row>
    <row r="248" customFormat="false" ht="12.6" hidden="false" customHeight="true" outlineLevel="0" collapsed="false">
      <c r="D248" s="410"/>
      <c r="E248" s="410"/>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t="n">
        <v>0</v>
      </c>
    </row>
    <row r="249" customFormat="false" ht="12.6" hidden="false" customHeight="true" outlineLevel="0" collapsed="false">
      <c r="D249" s="410"/>
      <c r="E249" s="410"/>
      <c r="F249" s="410"/>
      <c r="G249" s="410"/>
      <c r="H249" s="410"/>
      <c r="I249" s="410"/>
      <c r="J249" s="410"/>
      <c r="K249" s="410"/>
      <c r="L249" s="410"/>
      <c r="M249" s="410"/>
      <c r="N249" s="410"/>
      <c r="O249" s="410"/>
      <c r="P249" s="410"/>
      <c r="Q249" s="410"/>
      <c r="R249" s="410"/>
      <c r="S249" s="410"/>
      <c r="T249" s="410"/>
      <c r="U249" s="410"/>
      <c r="V249" s="410"/>
      <c r="W249" s="410"/>
      <c r="X249" s="410"/>
      <c r="Y249" s="410"/>
      <c r="Z249" s="410"/>
      <c r="AA249" s="410"/>
      <c r="AB249" s="410" t="n">
        <v>0</v>
      </c>
    </row>
    <row r="250" customFormat="false" ht="12.6" hidden="false" customHeight="true" outlineLevel="0" collapsed="false">
      <c r="D250" s="410"/>
      <c r="E250" s="410"/>
      <c r="F250" s="410"/>
      <c r="G250" s="410"/>
      <c r="H250" s="410"/>
      <c r="I250" s="410"/>
      <c r="J250" s="410"/>
      <c r="K250" s="410"/>
      <c r="L250" s="410"/>
      <c r="M250" s="410"/>
      <c r="N250" s="410"/>
      <c r="O250" s="410"/>
      <c r="P250" s="410"/>
      <c r="Q250" s="410"/>
      <c r="R250" s="410"/>
      <c r="S250" s="410"/>
      <c r="T250" s="410"/>
      <c r="U250" s="410"/>
      <c r="V250" s="410"/>
      <c r="W250" s="410"/>
      <c r="X250" s="410"/>
      <c r="Y250" s="410"/>
      <c r="Z250" s="410"/>
      <c r="AA250" s="410"/>
      <c r="AB250" s="410" t="n">
        <v>0</v>
      </c>
    </row>
    <row r="251" customFormat="false" ht="12.6" hidden="false" customHeight="true" outlineLevel="0" collapsed="false">
      <c r="D251" s="410"/>
      <c r="E251" s="410"/>
      <c r="F251" s="410"/>
      <c r="G251" s="410"/>
      <c r="H251" s="410"/>
      <c r="I251" s="410"/>
      <c r="J251" s="410"/>
      <c r="K251" s="410"/>
      <c r="L251" s="410"/>
      <c r="M251" s="410"/>
      <c r="N251" s="410"/>
      <c r="O251" s="410"/>
      <c r="P251" s="410"/>
      <c r="Q251" s="410"/>
      <c r="R251" s="410"/>
      <c r="S251" s="410"/>
      <c r="T251" s="410"/>
      <c r="U251" s="410"/>
      <c r="V251" s="410"/>
      <c r="W251" s="410"/>
      <c r="X251" s="410"/>
      <c r="Y251" s="410"/>
      <c r="Z251" s="410"/>
      <c r="AA251" s="410"/>
      <c r="AB251" s="410" t="n">
        <v>0</v>
      </c>
    </row>
    <row r="252" customFormat="false" ht="12.6" hidden="false" customHeight="true" outlineLevel="0" collapsed="false">
      <c r="D252" s="410"/>
      <c r="E252" s="410"/>
      <c r="F252" s="410"/>
      <c r="G252" s="410"/>
      <c r="H252" s="410"/>
      <c r="I252" s="410"/>
      <c r="J252" s="410"/>
      <c r="K252" s="410"/>
      <c r="L252" s="410"/>
      <c r="M252" s="410"/>
      <c r="N252" s="410"/>
      <c r="O252" s="410"/>
      <c r="P252" s="410"/>
      <c r="Q252" s="410"/>
      <c r="R252" s="410"/>
      <c r="S252" s="410"/>
      <c r="T252" s="410"/>
      <c r="U252" s="410"/>
      <c r="V252" s="410"/>
      <c r="W252" s="410"/>
      <c r="X252" s="410"/>
      <c r="Y252" s="410"/>
      <c r="Z252" s="410"/>
      <c r="AA252" s="410"/>
      <c r="AB252" s="410" t="n">
        <v>0</v>
      </c>
    </row>
    <row r="253" customFormat="false" ht="12.6" hidden="false" customHeight="true" outlineLevel="0" collapsed="false">
      <c r="D253" s="410"/>
      <c r="E253" s="410"/>
      <c r="F253" s="410"/>
      <c r="G253" s="410"/>
      <c r="H253" s="410"/>
      <c r="I253" s="410"/>
      <c r="J253" s="410"/>
      <c r="K253" s="410"/>
      <c r="L253" s="410"/>
      <c r="M253" s="410"/>
      <c r="N253" s="410"/>
      <c r="O253" s="410"/>
      <c r="P253" s="410"/>
      <c r="Q253" s="410"/>
      <c r="R253" s="410"/>
      <c r="S253" s="410"/>
      <c r="T253" s="410"/>
      <c r="U253" s="410"/>
      <c r="V253" s="410"/>
      <c r="W253" s="410"/>
      <c r="X253" s="410"/>
      <c r="Y253" s="410"/>
      <c r="Z253" s="410"/>
      <c r="AA253" s="410"/>
      <c r="AB253" s="410" t="n">
        <v>0</v>
      </c>
    </row>
    <row r="254" customFormat="false" ht="12.6" hidden="false" customHeight="true" outlineLevel="0" collapsed="false">
      <c r="D254" s="410"/>
      <c r="E254" s="410"/>
      <c r="F254" s="410"/>
      <c r="G254" s="410"/>
      <c r="H254" s="410"/>
      <c r="I254" s="410"/>
      <c r="J254" s="410"/>
      <c r="K254" s="410"/>
      <c r="L254" s="410"/>
      <c r="M254" s="410"/>
      <c r="N254" s="410"/>
      <c r="O254" s="410"/>
      <c r="P254" s="410"/>
      <c r="Q254" s="410"/>
      <c r="R254" s="410"/>
      <c r="S254" s="410"/>
      <c r="T254" s="410"/>
      <c r="U254" s="410"/>
      <c r="V254" s="410"/>
      <c r="W254" s="410"/>
      <c r="X254" s="410"/>
      <c r="Y254" s="410"/>
      <c r="Z254" s="410"/>
      <c r="AA254" s="410"/>
      <c r="AB254" s="410" t="n">
        <v>0</v>
      </c>
    </row>
    <row r="255" customFormat="false" ht="12.6" hidden="false" customHeight="true" outlineLevel="0" collapsed="false">
      <c r="D255" s="410"/>
      <c r="E255" s="410"/>
      <c r="F255" s="410"/>
      <c r="G255" s="410"/>
      <c r="H255" s="410"/>
      <c r="I255" s="410"/>
      <c r="J255" s="410"/>
      <c r="K255" s="410"/>
      <c r="L255" s="410"/>
      <c r="M255" s="410"/>
      <c r="N255" s="410"/>
      <c r="O255" s="410"/>
      <c r="P255" s="410"/>
      <c r="Q255" s="410"/>
      <c r="R255" s="410"/>
      <c r="S255" s="410"/>
      <c r="T255" s="410"/>
      <c r="U255" s="410"/>
      <c r="V255" s="410"/>
      <c r="W255" s="410"/>
      <c r="X255" s="410"/>
      <c r="Y255" s="410"/>
      <c r="Z255" s="410"/>
      <c r="AA255" s="410"/>
      <c r="AB255" s="410" t="n">
        <v>0</v>
      </c>
    </row>
    <row r="256" customFormat="false" ht="12.6" hidden="false" customHeight="true" outlineLevel="0" collapsed="false">
      <c r="D256" s="410"/>
      <c r="E256" s="410"/>
      <c r="F256" s="410"/>
      <c r="G256" s="410"/>
      <c r="H256" s="410"/>
      <c r="I256" s="410"/>
      <c r="J256" s="410"/>
      <c r="K256" s="410"/>
      <c r="L256" s="410"/>
      <c r="M256" s="410"/>
      <c r="N256" s="410"/>
      <c r="O256" s="410"/>
      <c r="P256" s="410"/>
      <c r="Q256" s="410"/>
      <c r="R256" s="410"/>
      <c r="S256" s="410"/>
      <c r="T256" s="410"/>
      <c r="U256" s="410"/>
      <c r="V256" s="410"/>
      <c r="W256" s="410"/>
      <c r="X256" s="410"/>
      <c r="Y256" s="410"/>
      <c r="Z256" s="410"/>
      <c r="AA256" s="410"/>
      <c r="AB256" s="410" t="n">
        <v>0</v>
      </c>
    </row>
    <row r="257" customFormat="false" ht="12.6" hidden="false" customHeight="true" outlineLevel="0" collapsed="false">
      <c r="D257" s="410"/>
      <c r="E257" s="410"/>
      <c r="F257" s="410"/>
      <c r="G257" s="410"/>
      <c r="H257" s="410"/>
      <c r="I257" s="410"/>
      <c r="J257" s="410"/>
      <c r="K257" s="410"/>
      <c r="L257" s="410"/>
      <c r="M257" s="410"/>
      <c r="N257" s="410"/>
      <c r="O257" s="410"/>
      <c r="P257" s="410"/>
      <c r="Q257" s="410"/>
      <c r="R257" s="410"/>
      <c r="S257" s="410"/>
      <c r="T257" s="410"/>
      <c r="U257" s="410"/>
      <c r="V257" s="410"/>
      <c r="W257" s="410"/>
      <c r="X257" s="410"/>
      <c r="Y257" s="410"/>
      <c r="Z257" s="410"/>
      <c r="AA257" s="410"/>
      <c r="AB257" s="410" t="n">
        <v>0</v>
      </c>
    </row>
    <row r="258" customFormat="false" ht="12.6" hidden="false" customHeight="true" outlineLevel="0" collapsed="false">
      <c r="D258" s="410"/>
      <c r="E258" s="410"/>
      <c r="F258" s="410"/>
      <c r="G258" s="410"/>
      <c r="H258" s="410"/>
      <c r="I258" s="410"/>
      <c r="J258" s="410"/>
      <c r="K258" s="410"/>
      <c r="L258" s="410"/>
      <c r="M258" s="410"/>
      <c r="N258" s="410"/>
      <c r="O258" s="410"/>
      <c r="P258" s="410"/>
      <c r="Q258" s="410"/>
      <c r="R258" s="410"/>
      <c r="S258" s="410"/>
      <c r="T258" s="410"/>
      <c r="U258" s="410"/>
      <c r="V258" s="410"/>
      <c r="W258" s="410"/>
      <c r="X258" s="410"/>
      <c r="Y258" s="410"/>
      <c r="Z258" s="410"/>
      <c r="AA258" s="410"/>
      <c r="AB258" s="410" t="n">
        <v>0</v>
      </c>
    </row>
    <row r="259" customFormat="false" ht="12.6" hidden="false" customHeight="true" outlineLevel="0" collapsed="false">
      <c r="D259" s="410"/>
      <c r="E259" s="410"/>
      <c r="F259" s="410"/>
      <c r="G259" s="410"/>
      <c r="H259" s="410"/>
      <c r="I259" s="410"/>
      <c r="J259" s="410"/>
      <c r="K259" s="410"/>
      <c r="L259" s="410"/>
      <c r="M259" s="410"/>
      <c r="N259" s="410"/>
      <c r="O259" s="410"/>
      <c r="P259" s="410"/>
      <c r="Q259" s="410"/>
      <c r="R259" s="410"/>
      <c r="S259" s="410"/>
      <c r="T259" s="410"/>
      <c r="U259" s="410"/>
      <c r="V259" s="410"/>
      <c r="W259" s="410"/>
      <c r="X259" s="410"/>
      <c r="Y259" s="410"/>
      <c r="Z259" s="410"/>
      <c r="AA259" s="410"/>
      <c r="AB259" s="410" t="n">
        <v>0</v>
      </c>
    </row>
    <row r="260" customFormat="false" ht="12.6" hidden="false" customHeight="true" outlineLevel="0" collapsed="false">
      <c r="D260" s="410"/>
      <c r="E260" s="410"/>
      <c r="F260" s="410"/>
      <c r="G260" s="410"/>
      <c r="H260" s="410"/>
      <c r="I260" s="410"/>
      <c r="J260" s="410"/>
      <c r="K260" s="410"/>
      <c r="L260" s="410"/>
      <c r="M260" s="410"/>
      <c r="N260" s="410"/>
      <c r="O260" s="410"/>
      <c r="P260" s="410"/>
      <c r="Q260" s="410"/>
      <c r="R260" s="410"/>
      <c r="S260" s="410"/>
      <c r="T260" s="410"/>
      <c r="U260" s="410"/>
      <c r="V260" s="410"/>
      <c r="W260" s="410"/>
      <c r="X260" s="410"/>
      <c r="Y260" s="410"/>
      <c r="Z260" s="410"/>
      <c r="AA260" s="410"/>
      <c r="AB260" s="410" t="n">
        <v>0</v>
      </c>
    </row>
    <row r="261" customFormat="false" ht="12.6" hidden="false" customHeight="true" outlineLevel="0" collapsed="false">
      <c r="D261" s="410"/>
      <c r="E261" s="410"/>
      <c r="F261" s="410"/>
      <c r="G261" s="410"/>
      <c r="H261" s="410"/>
      <c r="I261" s="410"/>
      <c r="J261" s="410"/>
      <c r="K261" s="410"/>
      <c r="L261" s="410"/>
      <c r="M261" s="410"/>
      <c r="N261" s="410"/>
      <c r="O261" s="410"/>
      <c r="P261" s="410"/>
      <c r="Q261" s="410"/>
      <c r="R261" s="410"/>
      <c r="S261" s="410"/>
      <c r="T261" s="410"/>
      <c r="U261" s="410"/>
      <c r="V261" s="410"/>
      <c r="W261" s="410"/>
      <c r="X261" s="410"/>
      <c r="Y261" s="410"/>
      <c r="Z261" s="410"/>
      <c r="AA261" s="410"/>
      <c r="AB261" s="410" t="n">
        <v>0</v>
      </c>
    </row>
    <row r="262" customFormat="false" ht="12.6" hidden="false" customHeight="true" outlineLevel="0" collapsed="false">
      <c r="D262" s="410"/>
      <c r="E262" s="410"/>
      <c r="F262" s="410"/>
      <c r="G262" s="410"/>
      <c r="H262" s="410"/>
      <c r="I262" s="410"/>
      <c r="J262" s="410"/>
      <c r="K262" s="410"/>
      <c r="L262" s="410"/>
      <c r="M262" s="410"/>
      <c r="N262" s="410"/>
      <c r="O262" s="410"/>
      <c r="P262" s="410"/>
      <c r="Q262" s="410"/>
      <c r="R262" s="410"/>
      <c r="S262" s="410"/>
      <c r="T262" s="410"/>
      <c r="U262" s="410"/>
      <c r="V262" s="410"/>
      <c r="W262" s="410"/>
      <c r="X262" s="410"/>
      <c r="Y262" s="410"/>
      <c r="Z262" s="410"/>
      <c r="AA262" s="410"/>
      <c r="AB262" s="410" t="n">
        <v>0</v>
      </c>
    </row>
    <row r="263" customFormat="false" ht="12.6" hidden="false" customHeight="true" outlineLevel="0" collapsed="false">
      <c r="A263" s="0"/>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0"/>
      <c r="AD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c r="IW263" s="0"/>
    </row>
    <row r="264" customFormat="false" ht="12.6" hidden="false" customHeight="true" outlineLevel="0" collapsed="false">
      <c r="A264" s="0"/>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0"/>
      <c r="AD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c r="IW264" s="0"/>
    </row>
    <row r="265" customFormat="false" ht="12.6" hidden="false" customHeight="true" outlineLevel="0" collapsed="false">
      <c r="D265" s="410"/>
      <c r="E265" s="410"/>
      <c r="F265" s="410"/>
      <c r="G265" s="410"/>
      <c r="H265" s="410"/>
      <c r="I265" s="410"/>
      <c r="J265" s="410"/>
      <c r="K265" s="410"/>
      <c r="L265" s="410"/>
      <c r="M265" s="410"/>
      <c r="N265" s="410"/>
      <c r="O265" s="410"/>
      <c r="P265" s="410"/>
      <c r="Q265" s="410"/>
      <c r="R265" s="410"/>
      <c r="S265" s="410"/>
      <c r="T265" s="410"/>
      <c r="U265" s="410"/>
      <c r="V265" s="410"/>
      <c r="W265" s="410"/>
      <c r="X265" s="410"/>
      <c r="Y265" s="410"/>
      <c r="Z265" s="410"/>
      <c r="AA265" s="410"/>
      <c r="AB265" s="410" t="n">
        <v>0</v>
      </c>
    </row>
    <row r="266" customFormat="false" ht="12.6" hidden="false" customHeight="true" outlineLevel="0" collapsed="false">
      <c r="D266" s="410"/>
      <c r="E266" s="410"/>
      <c r="F266" s="410"/>
      <c r="G266" s="410"/>
      <c r="H266" s="410"/>
      <c r="I266" s="410"/>
      <c r="J266" s="410"/>
      <c r="K266" s="410"/>
      <c r="L266" s="410"/>
      <c r="M266" s="410"/>
      <c r="N266" s="410"/>
      <c r="O266" s="410"/>
      <c r="P266" s="410"/>
      <c r="Q266" s="410"/>
      <c r="R266" s="410"/>
      <c r="S266" s="410"/>
      <c r="T266" s="410"/>
      <c r="U266" s="410"/>
      <c r="V266" s="410"/>
      <c r="W266" s="410"/>
      <c r="X266" s="410"/>
      <c r="Y266" s="410"/>
      <c r="Z266" s="410"/>
      <c r="AA266" s="410"/>
      <c r="AB266" s="410"/>
    </row>
    <row r="267" customFormat="false" ht="12.6" hidden="false" customHeight="true" outlineLevel="0" collapsed="false">
      <c r="D267" s="410"/>
      <c r="E267" s="410"/>
      <c r="F267" s="410"/>
      <c r="G267" s="410"/>
      <c r="H267" s="410"/>
      <c r="I267" s="410"/>
      <c r="J267" s="410"/>
      <c r="K267" s="410"/>
      <c r="L267" s="410"/>
      <c r="M267" s="410"/>
      <c r="N267" s="410"/>
      <c r="O267" s="410"/>
      <c r="P267" s="410"/>
      <c r="Q267" s="410"/>
      <c r="R267" s="410"/>
      <c r="S267" s="410"/>
      <c r="T267" s="410"/>
      <c r="U267" s="410"/>
      <c r="V267" s="410"/>
      <c r="W267" s="410"/>
      <c r="X267" s="410"/>
      <c r="Y267" s="410"/>
      <c r="Z267" s="410"/>
      <c r="AA267" s="410"/>
      <c r="AB267" s="410"/>
    </row>
    <row r="268" customFormat="false" ht="12.6" hidden="false" customHeight="true" outlineLevel="0" collapsed="false">
      <c r="D268" s="410"/>
      <c r="E268" s="410"/>
      <c r="F268" s="410"/>
      <c r="G268" s="410"/>
      <c r="H268" s="410"/>
      <c r="I268" s="410"/>
      <c r="J268" s="410"/>
      <c r="K268" s="410"/>
      <c r="L268" s="410"/>
      <c r="M268" s="410"/>
      <c r="N268" s="410"/>
      <c r="O268" s="410"/>
      <c r="P268" s="410"/>
      <c r="Q268" s="410"/>
      <c r="R268" s="410"/>
      <c r="S268" s="410"/>
      <c r="T268" s="410"/>
      <c r="U268" s="410"/>
      <c r="V268" s="410"/>
      <c r="W268" s="410"/>
      <c r="X268" s="410"/>
      <c r="Y268" s="410"/>
      <c r="Z268" s="410"/>
      <c r="AA268" s="410"/>
      <c r="AB268" s="410"/>
    </row>
    <row r="269" customFormat="false" ht="12.6" hidden="false" customHeight="true" outlineLevel="0" collapsed="false">
      <c r="D269" s="410"/>
      <c r="E269" s="410"/>
      <c r="F269" s="410"/>
      <c r="G269" s="410"/>
      <c r="H269" s="410"/>
      <c r="I269" s="410"/>
      <c r="J269" s="410"/>
      <c r="K269" s="410"/>
      <c r="L269" s="410"/>
      <c r="M269" s="410"/>
      <c r="N269" s="410"/>
      <c r="O269" s="410"/>
      <c r="P269" s="410"/>
      <c r="Q269" s="410"/>
      <c r="R269" s="410"/>
      <c r="S269" s="410"/>
      <c r="T269" s="410"/>
      <c r="U269" s="410"/>
      <c r="V269" s="410"/>
      <c r="W269" s="410"/>
      <c r="X269" s="410"/>
      <c r="Y269" s="410"/>
      <c r="Z269" s="410"/>
      <c r="AA269" s="410"/>
      <c r="AB269" s="410"/>
    </row>
    <row r="270" customFormat="false" ht="12.6" hidden="false" customHeight="true" outlineLevel="0" collapsed="false">
      <c r="D270" s="410"/>
      <c r="E270" s="410"/>
      <c r="F270" s="410"/>
      <c r="G270" s="410"/>
      <c r="H270" s="410"/>
      <c r="I270" s="410"/>
      <c r="J270" s="410"/>
      <c r="K270" s="410"/>
      <c r="L270" s="410"/>
      <c r="M270" s="410"/>
      <c r="N270" s="410"/>
      <c r="O270" s="410"/>
      <c r="P270" s="410"/>
      <c r="Q270" s="410"/>
      <c r="R270" s="410"/>
      <c r="S270" s="410"/>
      <c r="T270" s="410"/>
      <c r="U270" s="410"/>
      <c r="V270" s="410"/>
      <c r="W270" s="410"/>
      <c r="X270" s="410"/>
      <c r="Y270" s="410"/>
      <c r="Z270" s="410"/>
      <c r="AA270" s="410"/>
      <c r="AB270" s="410"/>
    </row>
    <row r="271" customFormat="false" ht="12.6" hidden="false" customHeight="true" outlineLevel="0" collapsed="false">
      <c r="D271" s="410"/>
      <c r="E271" s="410"/>
      <c r="F271" s="410"/>
      <c r="G271" s="410"/>
      <c r="H271" s="410"/>
      <c r="I271" s="410"/>
      <c r="J271" s="410"/>
      <c r="K271" s="410"/>
      <c r="L271" s="410"/>
      <c r="M271" s="410"/>
      <c r="N271" s="410"/>
      <c r="O271" s="410"/>
      <c r="P271" s="410"/>
      <c r="Q271" s="410"/>
      <c r="R271" s="410"/>
      <c r="S271" s="410"/>
      <c r="T271" s="410"/>
      <c r="U271" s="410"/>
      <c r="V271" s="410"/>
      <c r="W271" s="410"/>
      <c r="X271" s="410"/>
      <c r="Y271" s="410"/>
      <c r="Z271" s="410"/>
      <c r="AA271" s="410"/>
      <c r="AB271" s="410"/>
    </row>
    <row r="272" customFormat="false" ht="12.6" hidden="false" customHeight="true" outlineLevel="0" collapsed="false">
      <c r="D272" s="410"/>
      <c r="E272" s="410"/>
      <c r="F272" s="410"/>
      <c r="G272" s="410"/>
      <c r="H272" s="410"/>
      <c r="I272" s="410"/>
      <c r="J272" s="410"/>
      <c r="K272" s="410"/>
      <c r="L272" s="410"/>
      <c r="M272" s="410"/>
      <c r="N272" s="410"/>
      <c r="O272" s="410"/>
      <c r="P272" s="410"/>
      <c r="Q272" s="410"/>
      <c r="R272" s="410"/>
      <c r="S272" s="410"/>
      <c r="T272" s="410"/>
      <c r="U272" s="410"/>
      <c r="V272" s="410"/>
      <c r="W272" s="410"/>
      <c r="X272" s="410"/>
      <c r="Y272" s="410"/>
      <c r="Z272" s="410"/>
      <c r="AA272" s="410"/>
      <c r="AB272" s="410"/>
    </row>
    <row r="273" customFormat="false" ht="12.6" hidden="false" customHeight="true" outlineLevel="0" collapsed="false">
      <c r="D273" s="410"/>
      <c r="E273" s="410"/>
      <c r="F273" s="410"/>
      <c r="G273" s="410"/>
      <c r="H273" s="410"/>
      <c r="I273" s="410"/>
      <c r="J273" s="410"/>
      <c r="K273" s="410"/>
      <c r="L273" s="410"/>
      <c r="M273" s="410"/>
      <c r="N273" s="410"/>
      <c r="O273" s="410"/>
      <c r="P273" s="410"/>
      <c r="Q273" s="410"/>
      <c r="R273" s="410"/>
      <c r="S273" s="410"/>
      <c r="T273" s="410"/>
      <c r="U273" s="410"/>
      <c r="V273" s="410"/>
      <c r="W273" s="410"/>
      <c r="X273" s="410"/>
      <c r="Y273" s="410"/>
      <c r="Z273" s="410"/>
      <c r="AA273" s="410"/>
      <c r="AB273" s="410"/>
    </row>
    <row r="274" customFormat="false" ht="12.6" hidden="false" customHeight="true" outlineLevel="0" collapsed="false">
      <c r="D274" s="410"/>
      <c r="E274" s="410"/>
      <c r="F274" s="410"/>
      <c r="G274" s="410"/>
      <c r="H274" s="410"/>
      <c r="I274" s="410"/>
      <c r="J274" s="410"/>
      <c r="K274" s="410"/>
      <c r="L274" s="410"/>
      <c r="M274" s="410"/>
      <c r="N274" s="410"/>
      <c r="O274" s="410"/>
      <c r="P274" s="410"/>
      <c r="Q274" s="410"/>
      <c r="R274" s="410"/>
      <c r="S274" s="410"/>
      <c r="T274" s="410"/>
      <c r="U274" s="410"/>
      <c r="V274" s="410"/>
      <c r="W274" s="410"/>
      <c r="X274" s="410"/>
      <c r="Y274" s="410"/>
      <c r="Z274" s="410"/>
      <c r="AA274" s="410"/>
      <c r="AB274" s="410"/>
    </row>
    <row r="275" customFormat="false" ht="12.6" hidden="false" customHeight="true" outlineLevel="0" collapsed="false">
      <c r="D275" s="410"/>
      <c r="E275" s="410"/>
      <c r="F275" s="410"/>
      <c r="G275" s="410"/>
      <c r="H275" s="410"/>
      <c r="I275" s="410"/>
      <c r="J275" s="410"/>
      <c r="K275" s="410"/>
      <c r="L275" s="410"/>
      <c r="M275" s="410"/>
      <c r="N275" s="410"/>
      <c r="O275" s="410"/>
      <c r="P275" s="410"/>
      <c r="Q275" s="410"/>
      <c r="R275" s="410"/>
      <c r="S275" s="410"/>
      <c r="T275" s="410"/>
      <c r="U275" s="410"/>
      <c r="V275" s="410"/>
      <c r="W275" s="410"/>
      <c r="X275" s="410"/>
      <c r="Y275" s="410"/>
      <c r="Z275" s="410"/>
      <c r="AA275" s="410"/>
      <c r="AB275" s="410"/>
    </row>
    <row r="276" customFormat="false" ht="12.6" hidden="false" customHeight="true" outlineLevel="0" collapsed="false">
      <c r="D276" s="410"/>
      <c r="E276" s="410"/>
      <c r="F276" s="410"/>
      <c r="G276" s="410"/>
      <c r="H276" s="410"/>
      <c r="I276" s="410"/>
      <c r="J276" s="410"/>
      <c r="K276" s="410"/>
      <c r="L276" s="410"/>
      <c r="M276" s="410"/>
      <c r="N276" s="410"/>
      <c r="O276" s="410"/>
      <c r="P276" s="410"/>
      <c r="Q276" s="410"/>
      <c r="R276" s="410"/>
      <c r="S276" s="410"/>
      <c r="T276" s="410"/>
      <c r="U276" s="410"/>
      <c r="V276" s="410"/>
      <c r="W276" s="410"/>
      <c r="X276" s="410"/>
      <c r="Y276" s="410"/>
      <c r="Z276" s="410"/>
      <c r="AA276" s="410"/>
      <c r="AB276" s="410"/>
    </row>
    <row r="277" customFormat="false" ht="12.6" hidden="false" customHeight="true" outlineLevel="0" collapsed="false">
      <c r="D277" s="410"/>
      <c r="E277" s="410"/>
      <c r="F277" s="410"/>
      <c r="G277" s="410"/>
      <c r="H277" s="410"/>
      <c r="I277" s="410"/>
      <c r="J277" s="410"/>
      <c r="K277" s="410"/>
      <c r="L277" s="410"/>
      <c r="M277" s="410"/>
      <c r="N277" s="410"/>
      <c r="O277" s="410"/>
      <c r="P277" s="410"/>
      <c r="Q277" s="410"/>
      <c r="R277" s="410"/>
      <c r="S277" s="410"/>
      <c r="T277" s="410"/>
      <c r="U277" s="410"/>
      <c r="V277" s="410"/>
      <c r="W277" s="410"/>
      <c r="X277" s="410"/>
      <c r="Y277" s="410"/>
      <c r="Z277" s="410"/>
      <c r="AA277" s="410"/>
      <c r="AB277" s="410"/>
    </row>
    <row r="278" customFormat="false" ht="12.6" hidden="false" customHeight="true" outlineLevel="0" collapsed="false">
      <c r="D278" s="410"/>
      <c r="E278" s="410"/>
      <c r="F278" s="410"/>
      <c r="G278" s="410"/>
      <c r="H278" s="410"/>
      <c r="I278" s="410"/>
      <c r="J278" s="410"/>
      <c r="K278" s="410"/>
      <c r="L278" s="410"/>
      <c r="M278" s="410"/>
      <c r="N278" s="410"/>
      <c r="O278" s="410"/>
      <c r="P278" s="410"/>
      <c r="Q278" s="410"/>
      <c r="R278" s="410"/>
      <c r="S278" s="410"/>
      <c r="T278" s="410"/>
      <c r="U278" s="410"/>
      <c r="V278" s="410"/>
      <c r="W278" s="410"/>
      <c r="X278" s="410"/>
      <c r="Y278" s="410"/>
      <c r="Z278" s="410"/>
      <c r="AA278" s="410"/>
      <c r="AB278" s="410"/>
    </row>
    <row r="279" customFormat="false" ht="12.6" hidden="false" customHeight="true" outlineLevel="0" collapsed="false">
      <c r="D279" s="410"/>
      <c r="E279" s="410"/>
      <c r="F279" s="410"/>
      <c r="G279" s="410"/>
      <c r="H279" s="410"/>
      <c r="I279" s="410"/>
      <c r="J279" s="410"/>
      <c r="K279" s="410"/>
      <c r="L279" s="410"/>
      <c r="M279" s="410"/>
      <c r="N279" s="410"/>
      <c r="O279" s="410"/>
      <c r="P279" s="410"/>
      <c r="Q279" s="410"/>
      <c r="R279" s="410"/>
      <c r="S279" s="410"/>
      <c r="T279" s="410"/>
      <c r="U279" s="410"/>
      <c r="V279" s="410"/>
      <c r="W279" s="410"/>
      <c r="X279" s="410"/>
      <c r="Y279" s="410"/>
      <c r="Z279" s="410"/>
      <c r="AA279" s="410"/>
      <c r="AB279" s="410"/>
    </row>
    <row r="280" customFormat="false" ht="12.6" hidden="false" customHeight="true" outlineLevel="0" collapsed="false">
      <c r="D280" s="410"/>
      <c r="E280" s="410"/>
      <c r="F280" s="410"/>
      <c r="G280" s="410"/>
      <c r="H280" s="410"/>
      <c r="I280" s="410"/>
      <c r="J280" s="410"/>
      <c r="K280" s="410"/>
      <c r="L280" s="410"/>
      <c r="M280" s="410"/>
      <c r="N280" s="410"/>
      <c r="O280" s="410"/>
      <c r="P280" s="410"/>
      <c r="Q280" s="410"/>
      <c r="R280" s="410"/>
      <c r="S280" s="410"/>
      <c r="T280" s="410"/>
      <c r="U280" s="410"/>
      <c r="V280" s="410"/>
      <c r="W280" s="410"/>
      <c r="X280" s="410"/>
      <c r="Y280" s="410"/>
      <c r="Z280" s="410"/>
      <c r="AA280" s="410"/>
      <c r="AB280" s="410"/>
    </row>
    <row r="281" customFormat="false" ht="12.6" hidden="false" customHeight="true" outlineLevel="0" collapsed="false">
      <c r="D281" s="410"/>
      <c r="E281" s="410"/>
      <c r="F281" s="410"/>
      <c r="G281" s="410"/>
      <c r="H281" s="410"/>
      <c r="I281" s="410"/>
      <c r="J281" s="410"/>
      <c r="K281" s="410"/>
      <c r="L281" s="410"/>
      <c r="M281" s="410"/>
      <c r="N281" s="410"/>
      <c r="O281" s="410"/>
      <c r="P281" s="410"/>
      <c r="Q281" s="410"/>
      <c r="R281" s="410"/>
      <c r="S281" s="410"/>
      <c r="T281" s="410"/>
      <c r="U281" s="410"/>
      <c r="V281" s="410"/>
      <c r="W281" s="410"/>
      <c r="X281" s="410"/>
      <c r="Y281" s="410"/>
      <c r="Z281" s="410"/>
      <c r="AA281" s="410"/>
      <c r="AB281" s="410"/>
    </row>
    <row r="282" customFormat="false" ht="12.6" hidden="false" customHeight="true" outlineLevel="0" collapsed="false">
      <c r="D282" s="410"/>
      <c r="E282" s="410"/>
      <c r="F282" s="410"/>
      <c r="G282" s="410"/>
      <c r="H282" s="410"/>
      <c r="I282" s="410"/>
      <c r="J282" s="410"/>
      <c r="K282" s="410"/>
      <c r="L282" s="410"/>
      <c r="M282" s="410"/>
      <c r="N282" s="410"/>
      <c r="O282" s="410"/>
      <c r="P282" s="410"/>
      <c r="Q282" s="410"/>
      <c r="R282" s="410"/>
      <c r="S282" s="410"/>
      <c r="T282" s="410"/>
      <c r="U282" s="410"/>
      <c r="V282" s="410"/>
      <c r="W282" s="410"/>
      <c r="X282" s="410"/>
      <c r="Y282" s="410"/>
      <c r="Z282" s="410"/>
      <c r="AA282" s="410"/>
      <c r="AB282" s="410"/>
    </row>
    <row r="283" customFormat="false" ht="12.6" hidden="false" customHeight="true" outlineLevel="0" collapsed="false">
      <c r="D283" s="410"/>
      <c r="E283" s="410"/>
      <c r="F283" s="410"/>
      <c r="G283" s="410"/>
      <c r="H283" s="410"/>
      <c r="I283" s="410"/>
      <c r="J283" s="410"/>
      <c r="K283" s="410"/>
      <c r="L283" s="410"/>
      <c r="M283" s="410"/>
      <c r="N283" s="410"/>
      <c r="O283" s="410"/>
      <c r="P283" s="410"/>
      <c r="Q283" s="410"/>
      <c r="R283" s="410"/>
      <c r="S283" s="410"/>
      <c r="T283" s="410"/>
      <c r="U283" s="410"/>
      <c r="V283" s="410"/>
      <c r="W283" s="410"/>
      <c r="X283" s="410"/>
      <c r="Y283" s="410"/>
      <c r="Z283" s="410"/>
      <c r="AA283" s="410"/>
      <c r="AB283" s="410"/>
    </row>
    <row r="284" customFormat="false" ht="12.6" hidden="false" customHeight="true" outlineLevel="0" collapsed="false">
      <c r="D284" s="410"/>
      <c r="E284" s="410"/>
      <c r="F284" s="410"/>
      <c r="G284" s="410"/>
      <c r="H284" s="410"/>
      <c r="I284" s="410"/>
      <c r="J284" s="410"/>
      <c r="K284" s="410"/>
      <c r="L284" s="410"/>
      <c r="M284" s="410"/>
      <c r="N284" s="410"/>
      <c r="O284" s="410"/>
      <c r="P284" s="410"/>
      <c r="Q284" s="410"/>
      <c r="R284" s="410"/>
      <c r="S284" s="410"/>
      <c r="T284" s="410"/>
      <c r="U284" s="410"/>
      <c r="V284" s="410"/>
      <c r="W284" s="410"/>
      <c r="X284" s="410"/>
      <c r="Y284" s="410"/>
      <c r="Z284" s="410"/>
      <c r="AA284" s="410"/>
      <c r="AB284" s="410"/>
    </row>
    <row r="285" customFormat="false" ht="12.6" hidden="false" customHeight="true" outlineLevel="0" collapsed="false">
      <c r="D285" s="410"/>
      <c r="E285" s="410"/>
      <c r="F285" s="410"/>
      <c r="G285" s="410"/>
      <c r="H285" s="410"/>
      <c r="I285" s="410"/>
      <c r="J285" s="410"/>
      <c r="K285" s="410"/>
      <c r="L285" s="410"/>
      <c r="M285" s="410"/>
      <c r="N285" s="410"/>
      <c r="O285" s="410"/>
      <c r="P285" s="410"/>
      <c r="Q285" s="410"/>
      <c r="R285" s="410"/>
      <c r="S285" s="410"/>
      <c r="T285" s="410"/>
      <c r="U285" s="410"/>
      <c r="V285" s="410"/>
      <c r="W285" s="410"/>
      <c r="X285" s="410"/>
      <c r="Y285" s="410"/>
      <c r="Z285" s="410"/>
      <c r="AA285" s="410"/>
      <c r="AB285" s="410"/>
    </row>
    <row r="286" customFormat="false" ht="12.6" hidden="false" customHeight="true" outlineLevel="0" collapsed="false">
      <c r="D286" s="410"/>
      <c r="E286" s="410"/>
      <c r="F286" s="410"/>
      <c r="G286" s="410"/>
      <c r="H286" s="410"/>
      <c r="I286" s="410"/>
      <c r="J286" s="410"/>
      <c r="K286" s="410"/>
      <c r="L286" s="410"/>
      <c r="M286" s="410"/>
      <c r="N286" s="410"/>
      <c r="O286" s="410"/>
      <c r="P286" s="410"/>
      <c r="Q286" s="410"/>
      <c r="R286" s="410"/>
      <c r="S286" s="410"/>
      <c r="T286" s="410"/>
      <c r="U286" s="410"/>
      <c r="V286" s="410"/>
      <c r="W286" s="410"/>
      <c r="X286" s="410"/>
      <c r="Y286" s="410"/>
      <c r="Z286" s="410"/>
      <c r="AA286" s="410"/>
      <c r="AB286" s="410"/>
    </row>
    <row r="287" customFormat="false" ht="12.6" hidden="false" customHeight="true" outlineLevel="0" collapsed="false">
      <c r="D287" s="410"/>
      <c r="E287" s="410"/>
      <c r="F287" s="410"/>
      <c r="G287" s="410"/>
      <c r="H287" s="410"/>
      <c r="I287" s="410"/>
      <c r="J287" s="410"/>
      <c r="K287" s="410"/>
      <c r="L287" s="410"/>
      <c r="M287" s="410"/>
      <c r="N287" s="410"/>
      <c r="O287" s="410"/>
      <c r="P287" s="410"/>
      <c r="Q287" s="410"/>
      <c r="R287" s="410"/>
      <c r="S287" s="410"/>
      <c r="T287" s="410"/>
      <c r="U287" s="410"/>
      <c r="V287" s="410"/>
      <c r="W287" s="410"/>
      <c r="X287" s="410"/>
      <c r="Y287" s="410"/>
      <c r="Z287" s="410"/>
      <c r="AA287" s="410"/>
      <c r="AB287" s="410"/>
    </row>
    <row r="288" customFormat="false" ht="12.6" hidden="false" customHeight="true" outlineLevel="0" collapsed="false">
      <c r="D288" s="410"/>
      <c r="E288" s="410"/>
      <c r="F288" s="410"/>
      <c r="G288" s="410"/>
      <c r="H288" s="410"/>
      <c r="I288" s="410"/>
      <c r="J288" s="410"/>
      <c r="K288" s="410"/>
      <c r="L288" s="410"/>
      <c r="M288" s="410"/>
      <c r="N288" s="410"/>
      <c r="O288" s="410"/>
      <c r="P288" s="410"/>
      <c r="Q288" s="410"/>
      <c r="R288" s="410"/>
      <c r="S288" s="410"/>
      <c r="T288" s="410"/>
      <c r="U288" s="410"/>
      <c r="V288" s="410"/>
      <c r="W288" s="410"/>
      <c r="X288" s="410"/>
      <c r="Y288" s="410"/>
      <c r="Z288" s="410"/>
      <c r="AA288" s="410"/>
      <c r="AB288" s="410"/>
    </row>
    <row r="289" customFormat="false" ht="12.6" hidden="false" customHeight="true" outlineLevel="0" collapsed="false">
      <c r="D289" s="410"/>
      <c r="E289" s="410"/>
      <c r="F289" s="410"/>
      <c r="G289" s="410"/>
      <c r="H289" s="410"/>
      <c r="I289" s="410"/>
      <c r="J289" s="410"/>
      <c r="K289" s="410"/>
      <c r="L289" s="410"/>
      <c r="M289" s="410"/>
      <c r="N289" s="410"/>
      <c r="O289" s="410"/>
      <c r="P289" s="410"/>
      <c r="Q289" s="410"/>
      <c r="R289" s="410"/>
      <c r="S289" s="410"/>
      <c r="T289" s="410"/>
      <c r="U289" s="410"/>
      <c r="V289" s="410"/>
      <c r="W289" s="410"/>
      <c r="X289" s="410"/>
      <c r="Y289" s="410"/>
      <c r="Z289" s="410"/>
      <c r="AA289" s="410"/>
      <c r="AB289" s="410"/>
    </row>
    <row r="290" customFormat="false" ht="12.6" hidden="false" customHeight="true" outlineLevel="0" collapsed="false">
      <c r="D290" s="410"/>
      <c r="E290" s="410"/>
      <c r="F290" s="410"/>
      <c r="G290" s="410"/>
      <c r="H290" s="410"/>
      <c r="I290" s="410"/>
      <c r="J290" s="410"/>
      <c r="K290" s="410"/>
      <c r="L290" s="410"/>
      <c r="M290" s="410"/>
      <c r="N290" s="410"/>
      <c r="O290" s="410"/>
      <c r="P290" s="410"/>
      <c r="Q290" s="410"/>
      <c r="R290" s="410"/>
      <c r="S290" s="410"/>
      <c r="T290" s="410"/>
      <c r="U290" s="410"/>
      <c r="V290" s="410"/>
      <c r="W290" s="410"/>
      <c r="X290" s="410"/>
      <c r="Y290" s="410"/>
      <c r="Z290" s="410"/>
      <c r="AA290" s="410"/>
      <c r="AB290" s="410"/>
    </row>
    <row r="291" customFormat="false" ht="12.6" hidden="false" customHeight="true" outlineLevel="0" collapsed="false">
      <c r="D291" s="410"/>
      <c r="E291" s="410"/>
      <c r="F291" s="410"/>
      <c r="G291" s="410"/>
      <c r="H291" s="410"/>
      <c r="I291" s="410"/>
      <c r="J291" s="410"/>
      <c r="K291" s="410"/>
      <c r="L291" s="410"/>
      <c r="M291" s="410"/>
      <c r="N291" s="410"/>
      <c r="O291" s="410"/>
      <c r="P291" s="410"/>
      <c r="Q291" s="410"/>
      <c r="R291" s="410"/>
      <c r="S291" s="410"/>
      <c r="T291" s="410"/>
      <c r="U291" s="410"/>
      <c r="V291" s="410"/>
      <c r="W291" s="410"/>
      <c r="X291" s="410"/>
      <c r="Y291" s="410"/>
      <c r="Z291" s="410"/>
      <c r="AA291" s="410"/>
      <c r="AB291" s="410"/>
    </row>
    <row r="292" customFormat="false" ht="12.6" hidden="false" customHeight="true" outlineLevel="0" collapsed="false">
      <c r="D292" s="410"/>
      <c r="E292" s="410"/>
      <c r="F292" s="410"/>
      <c r="G292" s="410"/>
      <c r="H292" s="410"/>
      <c r="I292" s="410"/>
      <c r="J292" s="410"/>
      <c r="K292" s="410"/>
      <c r="L292" s="410"/>
      <c r="M292" s="410"/>
      <c r="N292" s="410"/>
      <c r="O292" s="410"/>
      <c r="P292" s="410"/>
      <c r="Q292" s="410"/>
      <c r="R292" s="410"/>
      <c r="S292" s="410"/>
      <c r="T292" s="410"/>
      <c r="U292" s="410"/>
      <c r="V292" s="410"/>
      <c r="W292" s="410"/>
      <c r="X292" s="410"/>
      <c r="Y292" s="410"/>
      <c r="Z292" s="410"/>
      <c r="AA292" s="410"/>
      <c r="AB292" s="410"/>
    </row>
    <row r="293" customFormat="false" ht="12.6" hidden="false" customHeight="true" outlineLevel="0" collapsed="false">
      <c r="D293" s="410"/>
      <c r="E293" s="410"/>
      <c r="F293" s="410"/>
      <c r="G293" s="410"/>
      <c r="H293" s="410"/>
      <c r="I293" s="410"/>
      <c r="J293" s="410"/>
      <c r="K293" s="410"/>
      <c r="L293" s="410"/>
      <c r="M293" s="410"/>
      <c r="N293" s="410"/>
      <c r="O293" s="410"/>
      <c r="P293" s="410"/>
      <c r="Q293" s="410"/>
      <c r="R293" s="410"/>
      <c r="S293" s="410"/>
      <c r="T293" s="410"/>
      <c r="U293" s="410"/>
      <c r="V293" s="410"/>
      <c r="W293" s="410"/>
      <c r="X293" s="410"/>
      <c r="Y293" s="410"/>
      <c r="Z293" s="410"/>
      <c r="AA293" s="410"/>
      <c r="AB293" s="410"/>
    </row>
    <row r="294" customFormat="false" ht="12.6" hidden="false" customHeight="true" outlineLevel="0" collapsed="false">
      <c r="D294" s="410"/>
      <c r="E294" s="410"/>
      <c r="F294" s="410"/>
      <c r="G294" s="410"/>
      <c r="H294" s="410"/>
      <c r="I294" s="410"/>
      <c r="J294" s="410"/>
      <c r="K294" s="410"/>
      <c r="L294" s="410"/>
      <c r="M294" s="410"/>
      <c r="N294" s="410"/>
      <c r="O294" s="410"/>
      <c r="P294" s="410"/>
      <c r="Q294" s="410"/>
      <c r="R294" s="410"/>
      <c r="S294" s="410"/>
      <c r="T294" s="410"/>
      <c r="U294" s="410"/>
      <c r="V294" s="410"/>
      <c r="W294" s="410"/>
      <c r="X294" s="410"/>
      <c r="Y294" s="410"/>
      <c r="Z294" s="410"/>
      <c r="AA294" s="410"/>
      <c r="AB294" s="410"/>
    </row>
    <row r="295" customFormat="false" ht="12.6" hidden="false" customHeight="true" outlineLevel="0" collapsed="false">
      <c r="D295" s="410"/>
      <c r="E295" s="410"/>
      <c r="F295" s="410"/>
      <c r="G295" s="410"/>
      <c r="H295" s="410"/>
      <c r="I295" s="410"/>
      <c r="J295" s="410"/>
      <c r="K295" s="410"/>
      <c r="L295" s="410"/>
      <c r="M295" s="410"/>
      <c r="N295" s="410"/>
      <c r="O295" s="410"/>
      <c r="P295" s="410"/>
      <c r="Q295" s="410"/>
      <c r="R295" s="410"/>
      <c r="S295" s="410"/>
      <c r="T295" s="410"/>
      <c r="U295" s="410"/>
      <c r="V295" s="410"/>
      <c r="W295" s="410"/>
      <c r="X295" s="410"/>
      <c r="Y295" s="410"/>
      <c r="Z295" s="410"/>
      <c r="AA295" s="410"/>
      <c r="AB295" s="410"/>
    </row>
    <row r="296" customFormat="false" ht="12.6" hidden="false" customHeight="true" outlineLevel="0" collapsed="false">
      <c r="D296" s="410"/>
      <c r="E296" s="410"/>
      <c r="F296" s="410"/>
      <c r="G296" s="410"/>
      <c r="H296" s="410"/>
      <c r="I296" s="410"/>
      <c r="J296" s="410"/>
      <c r="K296" s="410"/>
      <c r="L296" s="410"/>
      <c r="M296" s="410"/>
      <c r="N296" s="410"/>
      <c r="O296" s="410"/>
      <c r="P296" s="410"/>
      <c r="Q296" s="410"/>
      <c r="R296" s="410"/>
      <c r="S296" s="410"/>
      <c r="T296" s="410"/>
      <c r="U296" s="410"/>
      <c r="V296" s="410"/>
      <c r="W296" s="410"/>
      <c r="X296" s="410"/>
      <c r="Y296" s="410"/>
      <c r="Z296" s="410"/>
      <c r="AA296" s="410"/>
      <c r="AB296" s="410"/>
    </row>
    <row r="297" customFormat="false" ht="12.6" hidden="false" customHeight="true" outlineLevel="0" collapsed="false">
      <c r="D297" s="410"/>
      <c r="E297" s="410"/>
      <c r="F297" s="410"/>
      <c r="G297" s="410"/>
      <c r="H297" s="410"/>
      <c r="I297" s="410"/>
      <c r="J297" s="410"/>
      <c r="K297" s="410"/>
      <c r="L297" s="410"/>
      <c r="M297" s="410"/>
      <c r="N297" s="410"/>
      <c r="O297" s="410"/>
      <c r="P297" s="410"/>
      <c r="Q297" s="410"/>
      <c r="R297" s="410"/>
      <c r="S297" s="410"/>
      <c r="T297" s="410"/>
      <c r="U297" s="410"/>
      <c r="V297" s="410"/>
      <c r="W297" s="410"/>
      <c r="X297" s="410"/>
      <c r="Y297" s="410"/>
      <c r="Z297" s="410"/>
      <c r="AA297" s="410"/>
      <c r="AB297" s="410"/>
    </row>
    <row r="298" customFormat="false" ht="12.6" hidden="false" customHeight="true" outlineLevel="0" collapsed="false">
      <c r="D298" s="410"/>
      <c r="E298" s="410"/>
      <c r="F298" s="410"/>
      <c r="G298" s="410"/>
      <c r="H298" s="410"/>
      <c r="I298" s="410"/>
      <c r="J298" s="410"/>
      <c r="K298" s="410"/>
      <c r="L298" s="410"/>
      <c r="M298" s="410"/>
      <c r="N298" s="410"/>
      <c r="O298" s="410"/>
      <c r="P298" s="410"/>
      <c r="Q298" s="410"/>
      <c r="R298" s="410"/>
      <c r="S298" s="410"/>
      <c r="T298" s="410"/>
      <c r="U298" s="410"/>
      <c r="V298" s="410"/>
      <c r="W298" s="410"/>
      <c r="X298" s="410"/>
      <c r="Y298" s="410"/>
      <c r="Z298" s="410"/>
      <c r="AA298" s="410"/>
      <c r="AB298" s="410"/>
    </row>
    <row r="299" customFormat="false" ht="12.6" hidden="false" customHeight="true" outlineLevel="0" collapsed="false">
      <c r="D299" s="410"/>
      <c r="E299" s="410"/>
      <c r="F299" s="410"/>
      <c r="G299" s="410"/>
      <c r="H299" s="410"/>
      <c r="I299" s="410"/>
      <c r="J299" s="410"/>
      <c r="K299" s="410"/>
      <c r="L299" s="410"/>
      <c r="M299" s="410"/>
      <c r="N299" s="410"/>
      <c r="O299" s="410"/>
      <c r="P299" s="410"/>
      <c r="Q299" s="410"/>
      <c r="R299" s="410"/>
      <c r="S299" s="410"/>
      <c r="T299" s="410"/>
      <c r="U299" s="410"/>
      <c r="V299" s="410"/>
      <c r="W299" s="410"/>
      <c r="X299" s="410"/>
      <c r="Y299" s="410"/>
      <c r="Z299" s="410"/>
      <c r="AA299" s="410"/>
      <c r="AB299" s="410"/>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1997-11-12T23:08:26Z</dcterms:created>
  <dc:creator>ECT</dc:creator>
  <dc:description/>
  <dc:language>en-US</dc:language>
  <cp:lastModifiedBy>Ben Rogers</cp:lastModifiedBy>
  <cp:lastPrinted>1999-12-15T18:02:32Z</cp:lastPrinted>
  <cp:revision>0</cp:revision>
  <dc:subject/>
  <dc:title/>
</cp:coreProperties>
</file>