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3.xml.rels" ContentType="application/vnd.openxmlformats-package.relationships+xml"/>
  <Override PartName="/xl/worksheets/_rels/sheet12.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comments5.xml" ContentType="application/vnd.openxmlformats-officedocument.spreadsheetml.comments+xml"/>
  <Override PartName="/xl/comments1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ssumptions" sheetId="1" state="visible" r:id="rId3"/>
    <sheet name="Project Summary" sheetId="2" state="visible" r:id="rId4"/>
    <sheet name="Cash Flow Forecast" sheetId="3" state="visible" r:id="rId5"/>
    <sheet name="Unit Summary" sheetId="4" state="visible" r:id="rId6"/>
    <sheet name="A&amp;D Costs" sheetId="5" state="visible" r:id="rId7"/>
    <sheet name="1164SF 2Sty" sheetId="6" state="visible" r:id="rId8"/>
    <sheet name="1302SF 2Sty" sheetId="7" state="visible" r:id="rId9"/>
    <sheet name="1358SF 2Sty" sheetId="8" state="visible" r:id="rId10"/>
    <sheet name="1240SF 2Sty" sheetId="9" state="visible" r:id="rId11"/>
    <sheet name="1463 IntCt-1Sty" sheetId="10" state="visible" r:id="rId12"/>
    <sheet name="1335 IntCt-1Sty" sheetId="11" state="visible" r:id="rId13"/>
    <sheet name="1335 ExtCt-1Sty" sheetId="12" state="visible" r:id="rId14"/>
  </sheets>
  <externalReferences>
    <externalReference r:id="rId15"/>
  </externalReferences>
  <definedNames>
    <definedName function="false" hidden="false" localSheetId="5" name="_xlnm.Print_Area" vbProcedure="false">'1164SF 2Sty'!$A$6:$H$114</definedName>
    <definedName function="false" hidden="false" localSheetId="5" name="_xlnm.Print_Titles" vbProcedure="false">'1164SF 2Sty'!$1:$5</definedName>
    <definedName function="false" hidden="false" localSheetId="6" name="_xlnm.Print_Area" vbProcedure="false">'1302SF 2Sty'!$A$17:$H$111</definedName>
    <definedName function="false" hidden="false" localSheetId="6" name="_xlnm.Print_Titles" vbProcedure="false">'1302SF 2Sty'!$1:$16</definedName>
    <definedName function="false" hidden="false" localSheetId="11" name="_xlnm.Print_Area" vbProcedure="false">'1335 ExtCt-1Sty'!$A$5:$H$111</definedName>
    <definedName function="false" hidden="false" localSheetId="11" name="_xlnm.Print_Titles" vbProcedure="false">'1335 ExtCt-1Sty'!$1:$4</definedName>
    <definedName function="false" hidden="false" localSheetId="10" name="_xlnm.Print_Area" vbProcedure="false">'1335 IntCt-1Sty'!$A$5:$H$111</definedName>
    <definedName function="false" hidden="false" localSheetId="10" name="_xlnm.Print_Titles" vbProcedure="false">'1335 IntCt-1Sty'!$1:$4</definedName>
    <definedName function="false" hidden="false" localSheetId="7" name="_xlnm.Print_Area" vbProcedure="false">'1358SF 2Sty'!$A$17:$H$111</definedName>
    <definedName function="false" hidden="false" localSheetId="7" name="_xlnm.Print_Titles" vbProcedure="false">'1358SF 2Sty'!$1:$16</definedName>
    <definedName function="false" hidden="false" localSheetId="9" name="_xlnm.Print_Area" vbProcedure="false">'1463 IntCt-1Sty'!$A$5:$H$111</definedName>
    <definedName function="false" hidden="false" localSheetId="9" name="_xlnm.Print_Titles" vbProcedure="false">'1463 IntCt-1Sty'!$1:$4</definedName>
    <definedName function="false" hidden="false" localSheetId="4" name="_xlnm.Print_Area" vbProcedure="false">'A&amp;D Costs'!$A$8:$F$104</definedName>
    <definedName function="false" hidden="false" localSheetId="4" name="_xlnm.Print_Titles" vbProcedure="false">'A&amp;D Costs'!$1:$6</definedName>
    <definedName function="false" hidden="false" localSheetId="2" name="_xlnm.Print_Area" vbProcedure="false">'Cash Flow Forecast'!$C$14:$AQ$57</definedName>
    <definedName function="false" hidden="false" localSheetId="2" name="_xlnm.Print_Titles" vbProcedure="false">'Cash Flow Forecast'!$B:$B</definedName>
    <definedName function="false" hidden="false" localSheetId="1" name="_xlnm.Print_Area" vbProcedure="false">'Project Summary'!$A$1:$E$36</definedName>
    <definedName function="false" hidden="false" localSheetId="3" name="_xlnm.Print_Area" vbProcedure="false">'Unit Summary'!$A$1:$K$14</definedName>
    <definedName function="false" hidden="false" name="AdjRate" vbProcedure="false">Assumptions!$C$4</definedName>
    <definedName function="false" hidden="false" name="AvgBal" vbProcedure="false">Assumptions!$C$11</definedName>
    <definedName function="false" hidden="false" name="AvgUC" vbProcedure="false">'Project Summary'!$C$20</definedName>
    <definedName function="false" hidden="false" name="AvgWidth" vbProcedure="false">Assumptions!$C$20</definedName>
    <definedName function="false" hidden="false" name="Ccost" vbProcedure="false">Assumptions!$C$27</definedName>
    <definedName function="false" hidden="false" name="CLIntRt" vbProcedure="false">Assumptions!$C$10</definedName>
    <definedName function="false" hidden="false" name="CLPts" vbProcedure="false">Assumptions!$C$9</definedName>
    <definedName function="false" hidden="false" name="ConstTime" vbProcedure="false">Assumptions!$C$5</definedName>
    <definedName function="false" hidden="false" name="ImpLotValue" vbProcedure="false">'Project Summary'!$B$40</definedName>
    <definedName function="false" hidden="false" name="Investment" vbProcedure="false">'Project Summary'!$B$32</definedName>
    <definedName function="false" hidden="false" name="InvShare" vbProcedure="false">Assumptions!$C$25</definedName>
    <definedName function="false" hidden="false" name="KFScale" vbProcedure="false">Assumptions!$C$6</definedName>
    <definedName function="false" hidden="false" name="LandLTV" vbProcedure="false">Assumptions!$C$14</definedName>
    <definedName function="false" hidden="false" name="LandPrice" vbProcedure="false">Assumptions!$C$16</definedName>
    <definedName function="false" hidden="false" name="LotImpEq" vbProcedure="false">'Project Summary'!$B$43</definedName>
    <definedName function="false" hidden="false" name="LotIMPLN" vbProcedure="false">'Project Summary'!$B$41</definedName>
    <definedName function="false" hidden="false" name="LotRel" vbProcedure="false">'Project Summary'!$C$45</definedName>
    <definedName function="false" hidden="false" name="Lot_Improvement_Costs" vbProcedure="false">'Project Summary'!$B$19</definedName>
    <definedName function="false" hidden="false" name="LTV" vbProcedure="false">Assumptions!$C$13</definedName>
    <definedName function="false" hidden="false" name="PreSldLn80" vbProcedure="false">'Project Summary'!$C$59</definedName>
    <definedName function="false" hidden="false" name="ProfessionalFees" vbProcedure="false">'A&amp;D Costs'!$E$20</definedName>
    <definedName function="false" hidden="false" name="Projected_Profit" vbProcedure="false">'Project Summary'!$B$30</definedName>
    <definedName function="false" hidden="false" name="Slscomm" vbProcedure="false">Assumptions!$C$26</definedName>
    <definedName function="false" hidden="false" name="SpecLoan75" vbProcedure="false">'Project Summary'!$C$51</definedName>
    <definedName function="false" hidden="false" name="TLU" vbProcedure="false">Assumptions!$C$7</definedName>
    <definedName function="false" hidden="false" name="Totequity" vbProcedure="false">'Cash Flow Forecast'!$AM$26</definedName>
    <definedName function="false" hidden="false" name="TotImpLotCost" vbProcedure="false">'Project Summary'!$B$42</definedName>
    <definedName function="false" hidden="false" localSheetId="4" name="PMFees" vbProcedure="false">'[1]Project Summary'!$B$9</definedName>
    <definedName function="false" hidden="false" localSheetId="6" name="ACSFPLNA" vbProcedure="false">'1302SF 2Sty'!$B$9</definedName>
    <definedName function="false" hidden="false" localSheetId="6" name="Construction_Period" vbProcedure="false">#REF!</definedName>
    <definedName function="false" hidden="false" localSheetId="6" name="Driveway" vbProcedure="false">'1302SF 2Sty'!$H$11</definedName>
    <definedName function="false" hidden="false" localSheetId="6" name="Foundation" vbProcedure="false">'1302SF 2Sty'!$G$6</definedName>
    <definedName function="false" hidden="false" localSheetId="6" name="Masonry" vbProcedure="false">'1302SF 2Sty'!$G$5</definedName>
    <definedName function="false" hidden="false" localSheetId="6" name="Patio" vbProcedure="false">'1302SF 2Sty'!$H$9</definedName>
    <definedName function="false" hidden="false" localSheetId="6" name="PMFees" vbProcedure="false">'[1]Project Summary'!$B$9</definedName>
    <definedName function="false" hidden="false" localSheetId="6" name="TCSF" vbProcedure="false">'1302SF 2Sty'!$B$15</definedName>
    <definedName function="false" hidden="false" localSheetId="6" name="Walk" vbProcedure="false">#REF!</definedName>
    <definedName function="false" hidden="false" localSheetId="7" name="ACSFPLNA" vbProcedure="false">'1358SF 2Sty'!$B$9</definedName>
    <definedName function="false" hidden="false" localSheetId="7" name="Construction_Period" vbProcedure="false">'1358SF 2Sty'!$G$11</definedName>
    <definedName function="false" hidden="false" localSheetId="7" name="Driveway" vbProcedure="false">#REF!</definedName>
    <definedName function="false" hidden="false" localSheetId="7" name="Foundation" vbProcedure="false">'1358SF 2Sty'!$G$6</definedName>
    <definedName function="false" hidden="false" localSheetId="7" name="Masonry" vbProcedure="false">'1358SF 2Sty'!$G$5</definedName>
    <definedName function="false" hidden="false" localSheetId="7" name="Patio" vbProcedure="false">'1358SF 2Sty'!$G$8</definedName>
    <definedName function="false" hidden="false" localSheetId="7" name="PMFees" vbProcedure="false">'[1]Project Summary'!$B$9</definedName>
    <definedName function="false" hidden="false" localSheetId="7" name="TCSF" vbProcedure="false">'1358SF 2Sty'!$B$15</definedName>
    <definedName function="false" hidden="false" localSheetId="7" name="Walk" vbProcedure="false">'1358SF 2Sty'!$G$10</definedName>
    <definedName function="false" hidden="false" localSheetId="9" name="PMFees" vbProcedure="false">'[1]Project Summary'!$B$9</definedName>
    <definedName function="false" hidden="false" localSheetId="9" name="TCSF" vbProcedure="false">'1463 IntCt-1Sty'!$B$15</definedName>
    <definedName function="false" hidden="false" localSheetId="10" name="Construction_Period" vbProcedure="false">#REF!</definedName>
    <definedName function="false" hidden="false" localSheetId="10" name="Driveway" vbProcedure="false">#REF!</definedName>
    <definedName function="false" hidden="false" localSheetId="10" name="Foundation" vbProcedure="false">#REF!</definedName>
    <definedName function="false" hidden="false" localSheetId="10" name="Masonry" vbProcedure="false">#REF!</definedName>
    <definedName function="false" hidden="false" localSheetId="10" name="Patio" vbProcedure="false">#REF!</definedName>
    <definedName function="false" hidden="false" localSheetId="10" name="PMFees" vbProcedure="false">'[1]Project Summary'!$B$9</definedName>
    <definedName function="false" hidden="false" localSheetId="10" name="TCSF" vbProcedure="false">'1335 IntCt-1Sty'!$B$15</definedName>
    <definedName function="false" hidden="false" localSheetId="10" name="Walk" vbProcedure="false">#REF!</definedName>
  </definedNames>
  <calcPr iterateCount="100" refMode="A1" iterate="false" iterateDelta="0.001"/>
  <extLst>
    <ext xmlns:loext="http://schemas.libreoffice.org/" uri="{7626C862-2A13-11E5-B345-FEFF819CDC9F}">
      <loext:extCalcPr stringRefSyntax="CalcA1"/>
    </ext>
  </extLst>
</workbook>
</file>

<file path=xl/comments1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71" authorId="0">
      <text>
        <r>
          <rPr>
            <b val="true"/>
            <sz val="8"/>
            <color rgb="FF000000"/>
            <rFont val="Tahoma"/>
            <family val="0"/>
          </rPr>
          <t xml:space="preserve">Shower over Tub</t>
        </r>
      </text>
      <mc:AlternateContent>
        <mc:Choice Requires="v2">
          <commentPr autoFill="true" autoScale="false" colHidden="false" locked="false" rowHidden="false" textHAlign="justify" textVAlign="top">
            <anchor moveWithCells="false" sizeWithCells="false">
              <xdr:from>
                <xdr:col>1</xdr:col>
                <xdr:colOff>55</xdr:colOff>
                <xdr:row>68</xdr:row>
                <xdr:rowOff>10</xdr:rowOff>
              </xdr:from>
              <xdr:to>
                <xdr:col>3</xdr:col>
                <xdr:colOff>48</xdr:colOff>
                <xdr:row>69</xdr:row>
                <xdr:rowOff>10</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E41" authorId="0">
      <text>
        <r>
          <rPr>
            <b val="true"/>
            <sz val="8"/>
            <color rgb="FF000000"/>
            <rFont val="Tahoma"/>
            <family val="0"/>
          </rPr>
          <t xml:space="preserve">2.5% x $25K est lot value x lots owned as of 1/1/02 x 50% assuming 4 closed/mo</t>
        </r>
      </text>
      <mc:AlternateContent>
        <mc:Choice Requires="v2">
          <commentPr autoFill="true" autoScale="false" colHidden="false" locked="false" rowHidden="false" textHAlign="justify" textVAlign="top">
            <anchor moveWithCells="false" sizeWithCells="false">
              <xdr:from>
                <xdr:col>36</xdr:col>
                <xdr:colOff>2</xdr:colOff>
                <xdr:row>44</xdr:row>
                <xdr:rowOff>10</xdr:rowOff>
              </xdr:from>
              <xdr:to>
                <xdr:col>37</xdr:col>
                <xdr:colOff>51</xdr:colOff>
                <xdr:row>49</xdr:row>
                <xdr:rowOff>8</xdr:rowOff>
              </xdr:to>
            </anchor>
          </commentPr>
        </mc:Choice>
        <mc:Fallback/>
      </mc:AlternateContent>
    </comment>
    <comment ref="AL41" authorId="0">
      <text>
        <r>
          <rPr>
            <b val="true"/>
            <sz val="8"/>
            <color rgb="FF000000"/>
            <rFont val="Tahoma"/>
            <family val="0"/>
          </rPr>
          <t xml:space="preserve">2.5% x $25K est lot value x lots owned as of 1/1/03 x 10mos x 50% assuming 4 closed/mo</t>
        </r>
      </text>
      <mc:AlternateContent>
        <mc:Choice Requires="v2">
          <commentPr autoFill="true" autoScale="false" colHidden="false" locked="false" rowHidden="false" textHAlign="justify" textVAlign="top">
            <anchor moveWithCells="false" sizeWithCells="false">
              <xdr:from>
                <xdr:col>37</xdr:col>
                <xdr:colOff>50</xdr:colOff>
                <xdr:row>39</xdr:row>
                <xdr:rowOff>5</xdr:rowOff>
              </xdr:from>
              <xdr:to>
                <xdr:col>39</xdr:col>
                <xdr:colOff>22</xdr:colOff>
                <xdr:row>44</xdr:row>
                <xdr:rowOff>2</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25" authorId="0">
      <text>
        <r>
          <rPr>
            <b val="true"/>
            <sz val="8"/>
            <color rgb="FF000000"/>
            <rFont val="Tahoma"/>
            <family val="0"/>
          </rPr>
          <t xml:space="preserve">Entire perimeter of property.</t>
        </r>
      </text>
      <mc:AlternateContent>
        <mc:Choice Requires="v2">
          <commentPr autoFill="true" autoScale="false" colHidden="false" locked="false" rowHidden="false" textHAlign="justify" textVAlign="top">
            <anchor moveWithCells="false" sizeWithCells="false">
              <xdr:from>
                <xdr:col>2</xdr:col>
                <xdr:colOff>40</xdr:colOff>
                <xdr:row>22</xdr:row>
                <xdr:rowOff>1</xdr:rowOff>
              </xdr:from>
              <xdr:to>
                <xdr:col>4</xdr:col>
                <xdr:colOff>49</xdr:colOff>
                <xdr:row>26</xdr:row>
                <xdr:rowOff>15</xdr:rowOff>
              </xdr:to>
            </anchor>
          </commentPr>
        </mc:Choice>
        <mc:Fallback/>
      </mc:AlternateContent>
    </comment>
    <comment ref="B41" authorId="0">
      <text>
        <r>
          <rPr>
            <b val="true"/>
            <sz val="8"/>
            <color rgb="FF000000"/>
            <rFont val="Tahoma"/>
            <family val="0"/>
          </rPr>
          <t xml:space="preserve">12.5 for TWJV None for Westgate</t>
        </r>
      </text>
      <mc:AlternateContent>
        <mc:Choice Requires="v2">
          <commentPr autoFill="true" autoScale="false" colHidden="false" locked="false" rowHidden="false" textHAlign="justify" textVAlign="top">
            <anchor moveWithCells="false" sizeWithCells="false">
              <xdr:from>
                <xdr:col>2</xdr:col>
                <xdr:colOff>40</xdr:colOff>
                <xdr:row>37</xdr:row>
                <xdr:rowOff>12</xdr:rowOff>
              </xdr:from>
              <xdr:to>
                <xdr:col>4</xdr:col>
                <xdr:colOff>49</xdr:colOff>
                <xdr:row>42</xdr:row>
                <xdr:rowOff>11</xdr:rowOff>
              </xdr:to>
            </anchor>
          </commentPr>
        </mc:Choice>
        <mc:Fallback/>
      </mc:AlternateContent>
    </comment>
    <comment ref="B46" authorId="0">
      <text>
        <r>
          <rPr>
            <b val="true"/>
            <sz val="8"/>
            <color rgb="FF000000"/>
            <rFont val="Tahoma"/>
            <family val="0"/>
          </rPr>
          <t xml:space="preserve">1 for twjv</t>
        </r>
      </text>
      <mc:AlternateContent>
        <mc:Choice Requires="v2">
          <commentPr autoFill="true" autoScale="false" colHidden="false" locked="false" rowHidden="false" textHAlign="justify" textVAlign="top">
            <anchor moveWithCells="false" sizeWithCells="false">
              <xdr:from>
                <xdr:col>2</xdr:col>
                <xdr:colOff>40</xdr:colOff>
                <xdr:row>42</xdr:row>
                <xdr:rowOff>12</xdr:rowOff>
              </xdr:from>
              <xdr:to>
                <xdr:col>4</xdr:col>
                <xdr:colOff>49</xdr:colOff>
                <xdr:row>46</xdr:row>
                <xdr:rowOff>21</xdr:rowOff>
              </xdr:to>
            </anchor>
          </commentPr>
        </mc:Choice>
        <mc:Fallback/>
      </mc:AlternateContent>
    </comment>
    <comment ref="B47" authorId="0">
      <text>
        <r>
          <rPr>
            <b val="true"/>
            <sz val="8"/>
            <color rgb="FF000000"/>
            <rFont val="Tahoma"/>
            <family val="0"/>
          </rPr>
          <t xml:space="preserve">1 for twjv</t>
        </r>
      </text>
      <mc:AlternateContent>
        <mc:Choice Requires="v2">
          <commentPr autoFill="true" autoScale="false" colHidden="false" locked="false" rowHidden="false" textHAlign="justify" textVAlign="top">
            <anchor moveWithCells="false" sizeWithCells="false">
              <xdr:from>
                <xdr:col>2</xdr:col>
                <xdr:colOff>40</xdr:colOff>
                <xdr:row>43</xdr:row>
                <xdr:rowOff>12</xdr:rowOff>
              </xdr:from>
              <xdr:to>
                <xdr:col>4</xdr:col>
                <xdr:colOff>49</xdr:colOff>
                <xdr:row>46</xdr:row>
                <xdr:rowOff>21</xdr:rowOff>
              </xdr:to>
            </anchor>
          </commentPr>
        </mc:Choice>
        <mc:Fallback/>
      </mc:AlternateContent>
    </comment>
    <comment ref="B89" authorId="0">
      <text>
        <r>
          <rPr>
            <b val="true"/>
            <sz val="8"/>
            <color rgb="FF000000"/>
            <rFont val="Tahoma"/>
            <family val="0"/>
          </rPr>
          <t xml:space="preserve">Cameron Loop is 13.5" or 675 LFand Westgate is 9" or 450LF</t>
        </r>
      </text>
      <mc:AlternateContent>
        <mc:Choice Requires="v2">
          <commentPr autoFill="true" autoScale="false" colHidden="false" locked="false" rowHidden="false" textHAlign="justify" textVAlign="top">
            <anchor moveWithCells="false" sizeWithCells="false">
              <xdr:from>
                <xdr:col>2</xdr:col>
                <xdr:colOff>40</xdr:colOff>
                <xdr:row>86</xdr:row>
                <xdr:rowOff>4</xdr:rowOff>
              </xdr:from>
              <xdr:to>
                <xdr:col>4</xdr:col>
                <xdr:colOff>49</xdr:colOff>
                <xdr:row>93</xdr:row>
                <xdr:rowOff>16</xdr:rowOff>
              </xdr:to>
            </anchor>
          </commentPr>
        </mc:Choice>
        <mc:Fallback/>
      </mc:AlternateContent>
    </comment>
    <comment ref="B143" authorId="0">
      <text>
        <r>
          <rPr>
            <b val="true"/>
            <sz val="8"/>
            <color rgb="FF000000"/>
            <rFont val="Tahoma"/>
            <family val="0"/>
          </rPr>
          <t xml:space="preserve">12.5 for TWJV None for Westgate</t>
        </r>
      </text>
      <mc:AlternateContent>
        <mc:Choice Requires="v2">
          <commentPr autoFill="true" autoScale="false" colHidden="false" locked="false" rowHidden="true" textHAlign="justify" textVAlign="top">
            <anchor moveWithCells="false" sizeWithCells="false">
              <xdr:from>
                <xdr:col>12</xdr:col>
                <xdr:colOff>19</xdr:colOff>
                <xdr:row>232</xdr:row>
                <xdr:rowOff>10</xdr:rowOff>
              </xdr:from>
              <xdr:to>
                <xdr:col>14</xdr:col>
                <xdr:colOff>25</xdr:colOff>
                <xdr:row>242</xdr:row>
                <xdr:rowOff>8</xdr:rowOff>
              </xdr:to>
            </anchor>
          </commentPr>
        </mc:Choice>
        <mc:Fallback/>
      </mc:AlternateContent>
    </comment>
    <comment ref="B148" authorId="0">
      <text>
        <r>
          <rPr>
            <b val="true"/>
            <sz val="8"/>
            <color rgb="FF000000"/>
            <rFont val="Tahoma"/>
            <family val="0"/>
          </rPr>
          <t xml:space="preserve">1 for twjv</t>
        </r>
      </text>
      <mc:AlternateContent>
        <mc:Choice Requires="v2">
          <commentPr autoFill="true" autoScale="false" colHidden="false" locked="false" rowHidden="true" textHAlign="justify" textVAlign="top">
            <anchor moveWithCells="false" sizeWithCells="false">
              <xdr:from>
                <xdr:col>12</xdr:col>
                <xdr:colOff>19</xdr:colOff>
                <xdr:row>236</xdr:row>
                <xdr:rowOff>5</xdr:rowOff>
              </xdr:from>
              <xdr:to>
                <xdr:col>14</xdr:col>
                <xdr:colOff>25</xdr:colOff>
                <xdr:row>241</xdr:row>
                <xdr:rowOff>4</xdr:rowOff>
              </xdr:to>
            </anchor>
          </commentPr>
        </mc:Choice>
        <mc:Fallback/>
      </mc:AlternateContent>
    </comment>
    <comment ref="B149" authorId="0">
      <text>
        <r>
          <rPr>
            <b val="true"/>
            <sz val="8"/>
            <color rgb="FF000000"/>
            <rFont val="Tahoma"/>
            <family val="0"/>
          </rPr>
          <t xml:space="preserve">1 for twjv</t>
        </r>
      </text>
      <mc:AlternateContent>
        <mc:Choice Requires="v2">
          <commentPr autoFill="true" autoScale="false" colHidden="false" locked="false" rowHidden="true" textHAlign="justify" textVAlign="top">
            <anchor moveWithCells="false" sizeWithCells="false">
              <xdr:from>
                <xdr:col>12</xdr:col>
                <xdr:colOff>19</xdr:colOff>
                <xdr:row>237</xdr:row>
                <xdr:rowOff>8</xdr:rowOff>
              </xdr:from>
              <xdr:to>
                <xdr:col>14</xdr:col>
                <xdr:colOff>25</xdr:colOff>
                <xdr:row>242</xdr:row>
                <xdr:rowOff>7</xdr:rowOff>
              </xdr:to>
            </anchor>
          </commentPr>
        </mc:Choice>
        <mc:Fallback/>
      </mc:AlternateContent>
    </comment>
    <comment ref="B185" authorId="0">
      <text>
        <r>
          <rPr>
            <b val="true"/>
            <sz val="8"/>
            <color rgb="FF000000"/>
            <rFont val="Tahoma"/>
            <family val="0"/>
          </rPr>
          <t xml:space="preserve">Cameron Loop is 13.5" or 675 LFand Westgate is 9" or 450LF</t>
        </r>
      </text>
      <mc:AlternateContent>
        <mc:Choice Requires="v2">
          <commentPr autoFill="true" autoScale="false" colHidden="false" locked="false" rowHidden="true" textHAlign="justify" textVAlign="top">
            <anchor moveWithCells="false" sizeWithCells="false">
              <xdr:from>
                <xdr:col>12</xdr:col>
                <xdr:colOff>19</xdr:colOff>
                <xdr:row>277</xdr:row>
                <xdr:rowOff>9</xdr:rowOff>
              </xdr:from>
              <xdr:to>
                <xdr:col>14</xdr:col>
                <xdr:colOff>25</xdr:colOff>
                <xdr:row>284</xdr:row>
                <xdr:rowOff>2</xdr:rowOff>
              </xdr:to>
            </anchor>
          </commentPr>
        </mc:Choice>
        <mc:Fallback/>
      </mc:AlternateContent>
    </comment>
    <comment ref="B189" authorId="0">
      <text>
        <r>
          <rPr>
            <b val="true"/>
            <sz val="8"/>
            <color rgb="FF000000"/>
            <rFont val="Tahoma"/>
            <family val="0"/>
          </rPr>
          <t xml:space="preserve">Entire perimeter of property.</t>
        </r>
      </text>
      <mc:AlternateContent>
        <mc:Choice Requires="v2">
          <commentPr autoFill="true" autoScale="false" colHidden="false" locked="false" rowHidden="true" textHAlign="justify" textVAlign="top">
            <anchor moveWithCells="false" sizeWithCells="false">
              <xdr:from>
                <xdr:col>12</xdr:col>
                <xdr:colOff>19</xdr:colOff>
                <xdr:row>284</xdr:row>
                <xdr:rowOff>6</xdr:rowOff>
              </xdr:from>
              <xdr:to>
                <xdr:col>14</xdr:col>
                <xdr:colOff>25</xdr:colOff>
                <xdr:row>289</xdr:row>
                <xdr:rowOff>6</xdr:rowOff>
              </xdr:to>
            </anchor>
          </commentPr>
        </mc:Choice>
        <mc:Fallback/>
      </mc:AlternateContent>
    </comment>
  </commentList>
</comments>
</file>

<file path=xl/sharedStrings.xml><?xml version="1.0" encoding="utf-8"?>
<sst xmlns="http://schemas.openxmlformats.org/spreadsheetml/2006/main" count="1848" uniqueCount="439">
  <si>
    <t xml:space="preserve">Adjustment of base Cost for CMF &amp; Ovhd</t>
  </si>
  <si>
    <t xml:space="preserve">AdjRate</t>
  </si>
  <si>
    <t xml:space="preserve">Construction Period</t>
  </si>
  <si>
    <t xml:space="preserve">Construction_Period</t>
  </si>
  <si>
    <t xml:space="preserve">Months</t>
  </si>
  <si>
    <t xml:space="preserve">Scale from KF Preliminary Plans</t>
  </si>
  <si>
    <t xml:space="preserve">KFScale</t>
  </si>
  <si>
    <t xml:space="preserve">Ft. Per Inch</t>
  </si>
  <si>
    <t xml:space="preserve">Total Living Units</t>
  </si>
  <si>
    <t xml:space="preserve">TLU</t>
  </si>
  <si>
    <t xml:space="preserve">Construction Loan</t>
  </si>
  <si>
    <t xml:space="preserve">Origination Fees</t>
  </si>
  <si>
    <t xml:space="preserve">CLPts</t>
  </si>
  <si>
    <t xml:space="preserve">Interest Rate</t>
  </si>
  <si>
    <t xml:space="preserve">CLIntRt</t>
  </si>
  <si>
    <t xml:space="preserve">Per Mo</t>
  </si>
  <si>
    <t xml:space="preserve">Avg Loan Balance</t>
  </si>
  <si>
    <t xml:space="preserve">AvgBal</t>
  </si>
  <si>
    <t xml:space="preserve">Avg Loan Balance Land</t>
  </si>
  <si>
    <t xml:space="preserve">AvgLandBal</t>
  </si>
  <si>
    <t xml:space="preserve">Loan To Value</t>
  </si>
  <si>
    <t xml:space="preserve">LTV</t>
  </si>
  <si>
    <t xml:space="preserve">Loan to Value - Land</t>
  </si>
  <si>
    <t xml:space="preserve">LandLTV</t>
  </si>
  <si>
    <t xml:space="preserve">Land Price</t>
  </si>
  <si>
    <t xml:space="preserve">LandPrice</t>
  </si>
  <si>
    <t xml:space="preserve">Total Square Feet</t>
  </si>
  <si>
    <t xml:space="preserve">Heated</t>
  </si>
  <si>
    <t xml:space="preserve">TACSF</t>
  </si>
  <si>
    <t xml:space="preserve">Total Covered</t>
  </si>
  <si>
    <t xml:space="preserve">TCSF</t>
  </si>
  <si>
    <t xml:space="preserve">Average Unit Width</t>
  </si>
  <si>
    <t xml:space="preserve">AvgWidth</t>
  </si>
  <si>
    <t xml:space="preserve">Investor Share</t>
  </si>
  <si>
    <t xml:space="preserve">InvShare</t>
  </si>
  <si>
    <t xml:space="preserve">Sales Commission</t>
  </si>
  <si>
    <t xml:space="preserve">Slscomm</t>
  </si>
  <si>
    <t xml:space="preserve">Closing Costs</t>
  </si>
  <si>
    <t xml:space="preserve">Ccost</t>
  </si>
  <si>
    <t xml:space="preserve">PROJECT PROFORMA</t>
  </si>
  <si>
    <t xml:space="preserve">Total </t>
  </si>
  <si>
    <t xml:space="preserve">Per Unit</t>
  </si>
  <si>
    <t xml:space="preserve">Per SF</t>
  </si>
  <si>
    <t xml:space="preserve">% Sales</t>
  </si>
  <si>
    <t xml:space="preserve">Total # of Units</t>
  </si>
  <si>
    <t xml:space="preserve">Total Sq.Ftg Heated Area</t>
  </si>
  <si>
    <t xml:space="preserve">Sales Revenues</t>
  </si>
  <si>
    <t xml:space="preserve">Gross Sales Revenue</t>
  </si>
  <si>
    <t xml:space="preserve">Cost of Sales</t>
  </si>
  <si>
    <t xml:space="preserve">Commissions</t>
  </si>
  <si>
    <t xml:space="preserve">Total Costs of Sales</t>
  </si>
  <si>
    <t xml:space="preserve">Net Sales Revenues</t>
  </si>
  <si>
    <t xml:space="preserve">Development Costs</t>
  </si>
  <si>
    <t xml:space="preserve">Land Acquisition</t>
  </si>
  <si>
    <t xml:space="preserve">Lot Improvement Costs</t>
  </si>
  <si>
    <t xml:space="preserve">Building Construction Cost</t>
  </si>
  <si>
    <t xml:space="preserve">Total Development Costs</t>
  </si>
  <si>
    <t xml:space="preserve">Interim Construction Loan Fee</t>
  </si>
  <si>
    <t xml:space="preserve">Interim Interest</t>
  </si>
  <si>
    <t xml:space="preserve">Total Interim Financing Expense</t>
  </si>
  <si>
    <t xml:space="preserve">Total Direct Costs</t>
  </si>
  <si>
    <t xml:space="preserve">Projected Profit</t>
  </si>
  <si>
    <t xml:space="preserve">Investment</t>
  </si>
  <si>
    <t xml:space="preserve">Return - 50% Share</t>
  </si>
  <si>
    <r>
      <rPr>
        <sz val="9"/>
        <rFont val="Arial"/>
        <family val="2"/>
      </rPr>
      <t xml:space="preserve">Total Project ROI </t>
    </r>
    <r>
      <rPr>
        <i val="true"/>
        <sz val="8"/>
        <rFont val="Arial"/>
        <family val="2"/>
      </rPr>
      <t xml:space="preserve">(Return/Investment)</t>
    </r>
  </si>
  <si>
    <r>
      <rPr>
        <sz val="9"/>
        <rFont val="Arial"/>
        <family val="2"/>
      </rPr>
      <t xml:space="preserve">Annualized ROI </t>
    </r>
    <r>
      <rPr>
        <i val="true"/>
        <sz val="8"/>
        <rFont val="Arial"/>
        <family val="2"/>
      </rPr>
      <t xml:space="preserve">(Total/36 x 12)</t>
    </r>
  </si>
  <si>
    <t xml:space="preserve">LOAN AND EQUITY ANALYSIS</t>
  </si>
  <si>
    <t xml:space="preserve">TOTALS</t>
  </si>
  <si>
    <t xml:space="preserve">Per Unit/Lot</t>
  </si>
  <si>
    <t xml:space="preserve">Acquisition &amp; Development Loan</t>
  </si>
  <si>
    <t xml:space="preserve">Appraised Value Per Improved Lot</t>
  </si>
  <si>
    <t xml:space="preserve">Improvement Loan - 75% LTV</t>
  </si>
  <si>
    <t xml:space="preserve">Lot Improvement Cost</t>
  </si>
  <si>
    <t xml:space="preserve">Equity Required For Improvement Loan</t>
  </si>
  <si>
    <r>
      <rPr>
        <sz val="10"/>
        <rFont val="Arial"/>
        <family val="0"/>
      </rPr>
      <t xml:space="preserve">Equity or Collateral for</t>
    </r>
    <r>
      <rPr>
        <b val="true"/>
        <i val="true"/>
        <sz val="10"/>
        <rFont val="Arial"/>
        <family val="2"/>
      </rPr>
      <t xml:space="preserve"> EST.</t>
    </r>
    <r>
      <rPr>
        <sz val="10"/>
        <rFont val="Arial"/>
        <family val="0"/>
      </rPr>
      <t xml:space="preserve"> COA Fiscals</t>
    </r>
  </si>
  <si>
    <t xml:space="preserve">Lot Release Price - 120% of Loan/Lot</t>
  </si>
  <si>
    <t xml:space="preserve">Construction Loans</t>
  </si>
  <si>
    <t xml:space="preserve">Units Built on Spec</t>
  </si>
  <si>
    <t xml:space="preserve">Number of Specs</t>
  </si>
  <si>
    <t xml:space="preserve">Appraised Value</t>
  </si>
  <si>
    <t xml:space="preserve">Loan Amount -Loan to Value 70%</t>
  </si>
  <si>
    <t xml:space="preserve">Less: Lot Release Price</t>
  </si>
  <si>
    <t xml:space="preserve">Financing Cost Per Unit</t>
  </si>
  <si>
    <t xml:space="preserve">Equity Per Unit</t>
  </si>
  <si>
    <t xml:space="preserve">Units Pre-Sold</t>
  </si>
  <si>
    <t xml:space="preserve">Number of Pre-Sold Starts In Cycle</t>
  </si>
  <si>
    <t xml:space="preserve">Loan Amount -Loan to Value 80%</t>
  </si>
  <si>
    <t xml:space="preserve">Equity Required Per Unit</t>
  </si>
  <si>
    <t xml:space="preserve">Microsoft Business Planner</t>
  </si>
  <si>
    <t xml:space="preserve">Go to Article:</t>
  </si>
  <si>
    <t xml:space="preserve">Cash Flow Projections</t>
  </si>
  <si>
    <t xml:space="preserve">Cash Flow Forecast -12 Months</t>
  </si>
  <si>
    <t xml:space="preserve">This template provides a pro forma cash flow forecast. Enter your figures in the month you realistically expect them to take place. Start by entering the definite amounts first. You can customize the form by changing the row labels or adding rows.
To add a row, select one of the rows labeled "Other," click Insert on the Excel menu bar, and then click Rows. You will then need to use the fill handle (see Excel Help) to fill in the formula in the "Totals" column. The cells displaying zeros contain formulas to perform automatic calculations on your data. Do not enter data into these cells because doing so will erase the formulas in them.</t>
  </si>
  <si>
    <r>
      <rPr>
        <b val="true"/>
        <sz val="9"/>
        <rFont val="Verdana"/>
        <family val="2"/>
      </rPr>
      <t xml:space="preserve">Note:</t>
    </r>
    <r>
      <rPr>
        <sz val="9"/>
        <rFont val="Verdana"/>
        <family val="2"/>
      </rPr>
      <t xml:space="preserve"> When you save this template as a workbook, note the workbook's file name and location. To edit the workbook next time, you must open it using Excel. Every time you open this template from Microsoft Business Planner, a new workbook is created.</t>
    </r>
  </si>
  <si>
    <t xml:space="preserve">© Microsoft, 1998.</t>
  </si>
  <si>
    <t xml:space="preserve">CASH FLOW FORECAST</t>
  </si>
  <si>
    <t xml:space="preserve">Month:</t>
  </si>
  <si>
    <t xml:space="preserve">SOURCES</t>
  </si>
  <si>
    <t xml:space="preserve">PER UNIT</t>
  </si>
  <si>
    <t xml:space="preserve">% SALES</t>
  </si>
  <si>
    <t xml:space="preserve">Sire Plan Design &amp; Approval </t>
  </si>
  <si>
    <t xml:space="preserve">Pre Sales</t>
  </si>
  <si>
    <t xml:space="preserve">Lot Development</t>
  </si>
  <si>
    <t xml:space="preserve">Construction Starts</t>
  </si>
  <si>
    <t xml:space="preserve">Completions</t>
  </si>
  <si>
    <t xml:space="preserve">Equity Investment</t>
  </si>
  <si>
    <t xml:space="preserve">Loan Funds</t>
  </si>
  <si>
    <t xml:space="preserve">Lot Improvement Loan</t>
  </si>
  <si>
    <t xml:space="preserve">Unit Construction</t>
  </si>
  <si>
    <t xml:space="preserve">Total Loan Funds</t>
  </si>
  <si>
    <t xml:space="preserve">Sales Revenue</t>
  </si>
  <si>
    <t xml:space="preserve">Total Receipts</t>
  </si>
  <si>
    <t xml:space="preserve">USES</t>
  </si>
  <si>
    <t xml:space="preserve">Land Cost</t>
  </si>
  <si>
    <t xml:space="preserve">Professional Fees</t>
  </si>
  <si>
    <t xml:space="preserve">Lot Improvements</t>
  </si>
  <si>
    <t xml:space="preserve">Unit Construction - Board &amp; Nail</t>
  </si>
  <si>
    <t xml:space="preserve">Property Tax</t>
  </si>
  <si>
    <t xml:space="preserve">Sales Cost - Commissions</t>
  </si>
  <si>
    <t xml:space="preserve">Sales Cost - Closing Costs</t>
  </si>
  <si>
    <t xml:space="preserve">Loan Cost</t>
  </si>
  <si>
    <t xml:space="preserve">Loan Interest</t>
  </si>
  <si>
    <t xml:space="preserve">Loan repayments</t>
  </si>
  <si>
    <t xml:space="preserve">Imp. Loan Payoff With Const. Loan</t>
  </si>
  <si>
    <t xml:space="preserve">Const. Ln. Payoff On Unit Close</t>
  </si>
  <si>
    <t xml:space="preserve">Equity Repayment</t>
  </si>
  <si>
    <t xml:space="preserve">Other</t>
  </si>
  <si>
    <t xml:space="preserve"> </t>
  </si>
  <si>
    <t xml:space="preserve">Total Payments</t>
  </si>
  <si>
    <t xml:space="preserve">Cashflow Surplus/Deficit (-)</t>
  </si>
  <si>
    <t xml:space="preserve">Opening Cash Balance</t>
  </si>
  <si>
    <t xml:space="preserve">Closing Cash Balance</t>
  </si>
  <si>
    <t xml:space="preserve">  </t>
  </si>
  <si>
    <t xml:space="preserve">Investment Flow</t>
  </si>
  <si>
    <t xml:space="preserve">Return on Investment</t>
  </si>
  <si>
    <t xml:space="preserve">Total</t>
  </si>
  <si>
    <t xml:space="preserve">Cummulative</t>
  </si>
  <si>
    <t xml:space="preserve">Internal Rate of Return</t>
  </si>
  <si>
    <t xml:space="preserve">Cummulative Use of Loan</t>
  </si>
  <si>
    <t xml:space="preserve">Loan Paydowns</t>
  </si>
  <si>
    <t xml:space="preserve">Net Loan Uses</t>
  </si>
  <si>
    <t xml:space="preserve">Interest</t>
  </si>
  <si>
    <t xml:space="preserve">PRICE &amp; COST SUMMARY BY PLAN</t>
  </si>
  <si>
    <t xml:space="preserve">Unit Type</t>
  </si>
  <si>
    <t xml:space="preserve">Unit Description</t>
  </si>
  <si>
    <t xml:space="preserve">Unit Size</t>
  </si>
  <si>
    <t xml:space="preserve">Unit Cost</t>
  </si>
  <si>
    <t xml:space="preserve">Cost Per S.F.</t>
  </si>
  <si>
    <t xml:space="preserve">Qty.</t>
  </si>
  <si>
    <t xml:space="preserve">%</t>
  </si>
  <si>
    <t xml:space="preserve">Total Cost</t>
  </si>
  <si>
    <t xml:space="preserve">Price Per S.F.</t>
  </si>
  <si>
    <t xml:space="preserve">Price Per Unit</t>
  </si>
  <si>
    <t xml:space="preserve">Total Sales</t>
  </si>
  <si>
    <t xml:space="preserve">Total ACSF</t>
  </si>
  <si>
    <t xml:space="preserve">Total Cvrd</t>
  </si>
  <si>
    <t xml:space="preserve">TWO STORY DUPLEXES</t>
  </si>
  <si>
    <t xml:space="preserve">A</t>
  </si>
  <si>
    <t xml:space="preserve">3B 2.5B</t>
  </si>
  <si>
    <t xml:space="preserve">B</t>
  </si>
  <si>
    <t xml:space="preserve">C</t>
  </si>
  <si>
    <t xml:space="preserve">3 B+Loft 2.5B</t>
  </si>
  <si>
    <t xml:space="preserve">D</t>
  </si>
  <si>
    <t xml:space="preserve">ONE STORY DUPLEXES</t>
  </si>
  <si>
    <t xml:space="preserve">E</t>
  </si>
  <si>
    <t xml:space="preserve">2B+Study 2B</t>
  </si>
  <si>
    <t xml:space="preserve">F</t>
  </si>
  <si>
    <t xml:space="preserve">2B 2B</t>
  </si>
  <si>
    <t xml:space="preserve">G</t>
  </si>
  <si>
    <t xml:space="preserve">Site Development Cost Estimate</t>
  </si>
  <si>
    <t xml:space="preserve">Total Acres</t>
  </si>
  <si>
    <t xml:space="preserve">Total Buidling Acres</t>
  </si>
  <si>
    <t xml:space="preserve">QTY</t>
  </si>
  <si>
    <t xml:space="preserve">UNIT</t>
  </si>
  <si>
    <t xml:space="preserve">Unit Price</t>
  </si>
  <si>
    <t xml:space="preserve">Project Total</t>
  </si>
  <si>
    <t xml:space="preserve">Remarks</t>
  </si>
  <si>
    <t xml:space="preserve">Land</t>
  </si>
  <si>
    <t xml:space="preserve">Land Cost &amp; Carry</t>
  </si>
  <si>
    <t xml:space="preserve">L.S.</t>
  </si>
  <si>
    <t xml:space="preserve">Property Tax Estimate</t>
  </si>
  <si>
    <t xml:space="preserve">Interest Prior to Construction</t>
  </si>
  <si>
    <t xml:space="preserve">Mo</t>
  </si>
  <si>
    <t xml:space="preserve">Total Land Cost</t>
  </si>
  <si>
    <t xml:space="preserve">Professional Services</t>
  </si>
  <si>
    <t xml:space="preserve">Legal-Condominium Assoc.</t>
  </si>
  <si>
    <t xml:space="preserve">Condominium Associaton</t>
  </si>
  <si>
    <t xml:space="preserve">Legal-Purchase &amp; Organization</t>
  </si>
  <si>
    <t xml:space="preserve">Architecture</t>
  </si>
  <si>
    <t xml:space="preserve">Engineering</t>
  </si>
  <si>
    <t xml:space="preserve">Surveying-Staking &amp; Condo &amp; Foundation</t>
  </si>
  <si>
    <t xml:space="preserve">Total Professional Services</t>
  </si>
  <si>
    <t xml:space="preserve">Mobilization (Bonds, Insurance, Move-In, etc) </t>
  </si>
  <si>
    <t xml:space="preserve">TEMP &amp; PERMANENT EROSION CONTROL</t>
  </si>
  <si>
    <t xml:space="preserve">Silt Fence</t>
  </si>
  <si>
    <t xml:space="preserve">Each</t>
  </si>
  <si>
    <t xml:space="preserve">Inlet Protection Controls</t>
  </si>
  <si>
    <t xml:space="preserve">Construction Entrance</t>
  </si>
  <si>
    <t xml:space="preserve">DRAINAGE</t>
  </si>
  <si>
    <t xml:space="preserve">33" RCP Avg. 8' Depth</t>
  </si>
  <si>
    <t xml:space="preserve">L.F.</t>
  </si>
  <si>
    <t xml:space="preserve">30" RCP 0'-6' Depth</t>
  </si>
  <si>
    <t xml:space="preserve">30" RCP 6'-8' Depth</t>
  </si>
  <si>
    <t xml:space="preserve">30" RCP 8'-10' Depth</t>
  </si>
  <si>
    <t xml:space="preserve">27" RCP 0'-6' Depth</t>
  </si>
  <si>
    <t xml:space="preserve">27" RCP 6'-8' Depth</t>
  </si>
  <si>
    <t xml:space="preserve">27" RCP 8'-10' Depth</t>
  </si>
  <si>
    <t xml:space="preserve">18" RCP Laterals 0'-6' Depth</t>
  </si>
  <si>
    <t xml:space="preserve">48" Manhole 0'-6'</t>
  </si>
  <si>
    <t xml:space="preserve">60" Manhole 0'-6'</t>
  </si>
  <si>
    <t xml:space="preserve">60" Verticle Rebar Over 6'</t>
  </si>
  <si>
    <t xml:space="preserve">V.F.</t>
  </si>
  <si>
    <t xml:space="preserve">None for private/public well</t>
  </si>
  <si>
    <t xml:space="preserve">5' Curb Inlet</t>
  </si>
  <si>
    <t xml:space="preserve">Incl. Unit Cost</t>
  </si>
  <si>
    <t xml:space="preserve">10' Curb Inlet</t>
  </si>
  <si>
    <t xml:space="preserve">15' Curb Inlet</t>
  </si>
  <si>
    <t xml:space="preserve">Spliter Box</t>
  </si>
  <si>
    <t xml:space="preserve">Headwall on 30" RCP</t>
  </si>
  <si>
    <t xml:space="preserve">Detention Pond (Including all concrete, filtration, piping, fence, driveways)</t>
  </si>
  <si>
    <t xml:space="preserve">Total Drainage</t>
  </si>
  <si>
    <t xml:space="preserve">WATER</t>
  </si>
  <si>
    <t xml:space="preserve">8" C-900 DR 14 (Incl. Fillup)</t>
  </si>
  <si>
    <t xml:space="preserve">5 1/4" Fire Hydrant (Incl. Tee &amp; G.V.)</t>
  </si>
  <si>
    <t xml:space="preserve">None</t>
  </si>
  <si>
    <t xml:space="preserve">Long Service on New Line</t>
  </si>
  <si>
    <t xml:space="preserve">Included in plumbing</t>
  </si>
  <si>
    <t xml:space="preserve">Short Service on New Line</t>
  </si>
  <si>
    <t xml:space="preserve">Short services on Existing Line</t>
  </si>
  <si>
    <t xml:space="preserve">8" Gate Value</t>
  </si>
  <si>
    <t xml:space="preserve">Wet Connections</t>
  </si>
  <si>
    <t xml:space="preserve">Plug &amp; Abandon 4" Stub Out</t>
  </si>
  <si>
    <t xml:space="preserve">Total Water</t>
  </si>
  <si>
    <t xml:space="preserve">WASTEWATER</t>
  </si>
  <si>
    <t xml:space="preserve">SDR26 0'-8'</t>
  </si>
  <si>
    <t xml:space="preserve">I.C.</t>
  </si>
  <si>
    <t xml:space="preserve">SDR26 8'-10'</t>
  </si>
  <si>
    <t xml:space="preserve">SDR26 10'-12'</t>
  </si>
  <si>
    <t xml:space="preserve">SDR26 12'-14'</t>
  </si>
  <si>
    <t xml:space="preserve">4' Washer 0'-8'</t>
  </si>
  <si>
    <t xml:space="preserve">Long Single Services</t>
  </si>
  <si>
    <t xml:space="preserve">Same as Franklin Homes</t>
  </si>
  <si>
    <t xml:space="preserve">Long Double Services</t>
  </si>
  <si>
    <t xml:space="preserve">Short Double Services</t>
  </si>
  <si>
    <t xml:space="preserve">Total WasteWater</t>
  </si>
  <si>
    <t xml:space="preserve">Electrical, TV &amp; Phone Service</t>
  </si>
  <si>
    <t xml:space="preserve">Electrical Distribution</t>
  </si>
  <si>
    <t xml:space="preserve">Cable Distribution</t>
  </si>
  <si>
    <t xml:space="preserve">Phone Distribution</t>
  </si>
  <si>
    <t xml:space="preserve">Total Electric, TV &amp; Phone</t>
  </si>
  <si>
    <t xml:space="preserve">STREETS</t>
  </si>
  <si>
    <t xml:space="preserve">Subgrade Excavation</t>
  </si>
  <si>
    <t xml:space="preserve">S.Yds.</t>
  </si>
  <si>
    <t xml:space="preserve">Subgrade Preperation (Not including stabilization if necessary)</t>
  </si>
  <si>
    <t xml:space="preserve">8" Flexible Base</t>
  </si>
  <si>
    <t xml:space="preserve">1 1/2" HWAC</t>
  </si>
  <si>
    <t xml:space="preserve">Curb &amp; Gutter</t>
  </si>
  <si>
    <t xml:space="preserve">4' Sidewalk</t>
  </si>
  <si>
    <t xml:space="preserve">S.F.</t>
  </si>
  <si>
    <t xml:space="preserve">ADA Ramps</t>
  </si>
  <si>
    <t xml:space="preserve">Sub Total New Streets</t>
  </si>
  <si>
    <t xml:space="preserve">Cameron Loop Widening</t>
  </si>
  <si>
    <t xml:space="preserve">Excavate, compact, subgrade, install &amp; compact 8" flexible base, 1 1/2" HWAC, Cur &amp; Gutter &amp; Sidewalk to widen west side of Tanglewild Drive</t>
  </si>
  <si>
    <t xml:space="preserve">Total Streets</t>
  </si>
  <si>
    <t xml:space="preserve">Site Amenities</t>
  </si>
  <si>
    <t xml:space="preserve">Security Temp Fence</t>
  </si>
  <si>
    <t xml:space="preserve">Entry Gate &amp; Security Fence</t>
  </si>
  <si>
    <t xml:space="preserve">Landscaping</t>
  </si>
  <si>
    <t xml:space="preserve">Signage</t>
  </si>
  <si>
    <t xml:space="preserve">Site Lighting</t>
  </si>
  <si>
    <t xml:space="preserve">Total Site Amenities</t>
  </si>
  <si>
    <t xml:space="preserve">Removal of Poor Top Soil Under Foundations</t>
  </si>
  <si>
    <t xml:space="preserve">C.Y.</t>
  </si>
  <si>
    <t xml:space="preserve">Supervision</t>
  </si>
  <si>
    <t xml:space="preserve">Mos.</t>
  </si>
  <si>
    <t xml:space="preserve">Total Development Cost</t>
  </si>
  <si>
    <t xml:space="preserve">Total Site Acquisition &amp; Development Costs</t>
  </si>
  <si>
    <t xml:space="preserve">Other Data</t>
  </si>
  <si>
    <t xml:space="preserve">Length</t>
  </si>
  <si>
    <t xml:space="preserve">Width</t>
  </si>
  <si>
    <t xml:space="preserve">Sq. Ft.</t>
  </si>
  <si>
    <t xml:space="preserve">Acres</t>
  </si>
  <si>
    <t xml:space="preserve">Pipeline Area</t>
  </si>
  <si>
    <t xml:space="preserve">Detension Pond</t>
  </si>
  <si>
    <t xml:space="preserve">Total Site Area</t>
  </si>
  <si>
    <t xml:space="preserve">Cameron Loop Frontage</t>
  </si>
  <si>
    <t xml:space="preserve">Westgate Frontage</t>
  </si>
  <si>
    <t xml:space="preserve">SE Residential Side</t>
  </si>
  <si>
    <t xml:space="preserve">NW Residential Side</t>
  </si>
  <si>
    <t xml:space="preserve">BASED ON TANGLEWILD BID FROM HANK LEWIS</t>
  </si>
  <si>
    <t xml:space="preserve">Category/Description</t>
  </si>
  <si>
    <t xml:space="preserve">Quantitiy</t>
  </si>
  <si>
    <t xml:space="preserve">Basis</t>
  </si>
  <si>
    <t xml:space="preserve">Total Amt.</t>
  </si>
  <si>
    <t xml:space="preserve">Per Lot</t>
  </si>
  <si>
    <t xml:space="preserve">Total Lots</t>
  </si>
  <si>
    <t xml:space="preserve">Avg Lot Width</t>
  </si>
  <si>
    <t xml:space="preserve">Lump Sum</t>
  </si>
  <si>
    <r>
      <rPr>
        <sz val="8"/>
        <rFont val="Arial"/>
        <family val="0"/>
      </rPr>
      <t xml:space="preserve">Detention Pond (Including all concrete, filtration, piping, fence, driveways and </t>
    </r>
    <r>
      <rPr>
        <sz val="8"/>
        <color rgb="FFFF0000"/>
        <rFont val="Arial"/>
        <family val="2"/>
      </rPr>
      <t xml:space="preserve">tonhorn</t>
    </r>
    <r>
      <rPr>
        <sz val="8"/>
        <rFont val="Arial"/>
        <family val="0"/>
      </rPr>
      <t xml:space="preserve">)</t>
    </r>
  </si>
  <si>
    <t xml:space="preserve">Total Erosion Control</t>
  </si>
  <si>
    <t xml:space="preserve">Removal of Poor Top Soil</t>
  </si>
  <si>
    <t xml:space="preserve">TOTAL LOT IMPROVEMENTS </t>
  </si>
  <si>
    <t xml:space="preserve">Assumptions:</t>
  </si>
  <si>
    <t xml:space="preserve">Average Lot width at TWJV 65LF with streets at 72LF for estimate</t>
  </si>
  <si>
    <t xml:space="preserve">Average lot width at Westgate 25LF</t>
  </si>
  <si>
    <t xml:space="preserve">TWO STORY DUPLEX PLAN A:  3 Bedroom, 2 1/2 Bath, 1164 SF</t>
  </si>
  <si>
    <t xml:space="preserve">Descriptions</t>
  </si>
  <si>
    <t xml:space="preserve">Unit</t>
  </si>
  <si>
    <t xml:space="preserve">Unit Total</t>
  </si>
  <si>
    <t xml:space="preserve">Unit Total With Ovhd</t>
  </si>
  <si>
    <t xml:space="preserve">Area Calculations:</t>
  </si>
  <si>
    <t xml:space="preserve">Masonry</t>
  </si>
  <si>
    <t xml:space="preserve">Heated Area:</t>
  </si>
  <si>
    <t xml:space="preserve">Foundation</t>
  </si>
  <si>
    <t xml:space="preserve">Lower Level</t>
  </si>
  <si>
    <t xml:space="preserve">Flatwork</t>
  </si>
  <si>
    <t xml:space="preserve">Upper Level</t>
  </si>
  <si>
    <t xml:space="preserve">Patio</t>
  </si>
  <si>
    <t xml:space="preserve">Total Heated</t>
  </si>
  <si>
    <t xml:space="preserve">Second patio</t>
  </si>
  <si>
    <t xml:space="preserve">Walk</t>
  </si>
  <si>
    <t xml:space="preserve">Other Covered Areas:</t>
  </si>
  <si>
    <t xml:space="preserve">Driveway</t>
  </si>
  <si>
    <t xml:space="preserve">Garage</t>
  </si>
  <si>
    <t xml:space="preserve">Windows</t>
  </si>
  <si>
    <t xml:space="preserve">Entry/Covd Porch</t>
  </si>
  <si>
    <t xml:space="preserve">Ext. Doors</t>
  </si>
  <si>
    <t xml:space="preserve">Total Other Covered</t>
  </si>
  <si>
    <t xml:space="preserve">Interior Doors</t>
  </si>
  <si>
    <t xml:space="preserve">Total Covered SF</t>
  </si>
  <si>
    <t xml:space="preserve">Const.Time</t>
  </si>
  <si>
    <t xml:space="preserve">Architectural</t>
  </si>
  <si>
    <t xml:space="preserve">Structural Engineering</t>
  </si>
  <si>
    <t xml:space="preserve">Construction Surveying</t>
  </si>
  <si>
    <t xml:space="preserve">Interior Design</t>
  </si>
  <si>
    <t xml:space="preserve">Permits &amp; Fees</t>
  </si>
  <si>
    <t xml:space="preserve">Building Permits</t>
  </si>
  <si>
    <t xml:space="preserve">Building Inspections</t>
  </si>
  <si>
    <t xml:space="preserve">Utility Connections</t>
  </si>
  <si>
    <t xml:space="preserve">Insurance</t>
  </si>
  <si>
    <t xml:space="preserve">Builder's Risk</t>
  </si>
  <si>
    <t xml:space="preserve">General Liability</t>
  </si>
  <si>
    <t xml:space="preserve">Temporary Utilities</t>
  </si>
  <si>
    <t xml:space="preserve">Electricity</t>
  </si>
  <si>
    <t xml:space="preserve">Water</t>
  </si>
  <si>
    <t xml:space="preserve">Sanitary Facilities</t>
  </si>
  <si>
    <t xml:space="preserve">Clean Up</t>
  </si>
  <si>
    <t xml:space="preserve">Site Clean Up</t>
  </si>
  <si>
    <t xml:space="preserve">Building Clean</t>
  </si>
  <si>
    <t xml:space="preserve">Sitework</t>
  </si>
  <si>
    <t xml:space="preserve">Environmental Controls</t>
  </si>
  <si>
    <t xml:space="preserve">Lot Clear</t>
  </si>
  <si>
    <t xml:space="preserve">Finish Grading</t>
  </si>
  <si>
    <t xml:space="preserve">Sprinkler System</t>
  </si>
  <si>
    <t xml:space="preserve">x</t>
  </si>
  <si>
    <t xml:space="preserve">Privacy Fencing</t>
  </si>
  <si>
    <t xml:space="preserve">Fence Gate</t>
  </si>
  <si>
    <t xml:space="preserve">Concrete Work</t>
  </si>
  <si>
    <t xml:space="preserve">Underpinning</t>
  </si>
  <si>
    <t xml:space="preserve">Driveways</t>
  </si>
  <si>
    <t xml:space="preserve">Carpentry</t>
  </si>
  <si>
    <t xml:space="preserve">Framing Materials</t>
  </si>
  <si>
    <t xml:space="preserve">Floor Trusses</t>
  </si>
  <si>
    <t xml:space="preserve">Roof Trusses</t>
  </si>
  <si>
    <t xml:space="preserve">Framing Labor</t>
  </si>
  <si>
    <t xml:space="preserve">Entry Door</t>
  </si>
  <si>
    <t xml:space="preserve">Exterior Doors</t>
  </si>
  <si>
    <t xml:space="preserve">LS</t>
  </si>
  <si>
    <t xml:space="preserve">Trim Materials</t>
  </si>
  <si>
    <t xml:space="preserve">DRS</t>
  </si>
  <si>
    <t xml:space="preserve">Trim Labor</t>
  </si>
  <si>
    <t xml:space="preserve">Base Cabinets</t>
  </si>
  <si>
    <t xml:space="preserve">Upper Cabinets</t>
  </si>
  <si>
    <t xml:space="preserve">Glass &amp; Mirrors</t>
  </si>
  <si>
    <t xml:space="preserve">Wdws.</t>
  </si>
  <si>
    <t xml:space="preserve">Shower Enclosures</t>
  </si>
  <si>
    <t xml:space="preserve">Mirrors</t>
  </si>
  <si>
    <t xml:space="preserve">Moisture Protectors</t>
  </si>
  <si>
    <t xml:space="preserve">Roofing &amp; Flashing</t>
  </si>
  <si>
    <t xml:space="preserve">SQS.</t>
  </si>
  <si>
    <t xml:space="preserve">Gutters</t>
  </si>
  <si>
    <t xml:space="preserve">Insulation</t>
  </si>
  <si>
    <t xml:space="preserve">Drywall</t>
  </si>
  <si>
    <t xml:space="preserve">Stone Veneer</t>
  </si>
  <si>
    <t xml:space="preserve">Painting (Heated)</t>
  </si>
  <si>
    <t xml:space="preserve">Painting (Covered)</t>
  </si>
  <si>
    <t xml:space="preserve">Flr Tile</t>
  </si>
  <si>
    <t xml:space="preserve">Carpet &amp; Vinyl</t>
  </si>
  <si>
    <t xml:space="preserve">S.Y.</t>
  </si>
  <si>
    <t xml:space="preserve">Laminate Counters</t>
  </si>
  <si>
    <t xml:space="preserve">Syn. Marble Counters</t>
  </si>
  <si>
    <t xml:space="preserve">Syn. Marble Lavatories</t>
  </si>
  <si>
    <t xml:space="preserve">Lavs</t>
  </si>
  <si>
    <t xml:space="preserve">Syn. Marble Tubs</t>
  </si>
  <si>
    <t xml:space="preserve">Tub</t>
  </si>
  <si>
    <t xml:space="preserve">Tub Tile</t>
  </si>
  <si>
    <t xml:space="preserve">Window Treatments</t>
  </si>
  <si>
    <t xml:space="preserve">WDWS.</t>
  </si>
  <si>
    <t xml:space="preserve">F.P. Treatments</t>
  </si>
  <si>
    <t xml:space="preserve">Specialties</t>
  </si>
  <si>
    <t xml:space="preserve">Hardware</t>
  </si>
  <si>
    <t xml:space="preserve">Metal Fireplaces</t>
  </si>
  <si>
    <t xml:space="preserve">EA.</t>
  </si>
  <si>
    <t xml:space="preserve">Overhead Door &amp; Openor</t>
  </si>
  <si>
    <t xml:space="preserve">DRS.</t>
  </si>
  <si>
    <t xml:space="preserve">Electrical</t>
  </si>
  <si>
    <t xml:space="preserve">Wiring &amp; Panels</t>
  </si>
  <si>
    <t xml:space="preserve">Fixtures</t>
  </si>
  <si>
    <t xml:space="preserve">TV. Phone Prewire</t>
  </si>
  <si>
    <t xml:space="preserve">Mechanical</t>
  </si>
  <si>
    <t xml:space="preserve">Plumbing</t>
  </si>
  <si>
    <t xml:space="preserve">Laterals</t>
  </si>
  <si>
    <t xml:space="preserve">Plumbing Fixtures</t>
  </si>
  <si>
    <t xml:space="preserve">Appliances</t>
  </si>
  <si>
    <t xml:space="preserve">HVAC</t>
  </si>
  <si>
    <t xml:space="preserve">TOTAL</t>
  </si>
  <si>
    <t xml:space="preserve">TWO STORY DUPLEX PLAN B:  3 Bedroom, 2 1/2 Bath, 1302 SF</t>
  </si>
  <si>
    <t xml:space="preserve">Unit Total W/Ovrhd</t>
  </si>
  <si>
    <t xml:space="preserve">Rear Patio</t>
  </si>
  <si>
    <t xml:space="preserve">Courtyard</t>
  </si>
  <si>
    <t xml:space="preserve">Front Walk</t>
  </si>
  <si>
    <t xml:space="preserve">Floor Tile</t>
  </si>
  <si>
    <t xml:space="preserve">TWO STORY DUPLEX PLAN C:  3 Bedroom, 2 1/2 Bath, 1358 SF</t>
  </si>
  <si>
    <t xml:space="preserve">TWO STORY DUPLEX PLAN D:  3 Bedroom, 2 1/2 Bath, 1240 SF</t>
  </si>
  <si>
    <t xml:space="preserve">ONE STORY DUPLEX PLAN E:  3 Bedroom, 2 Bath, 1463 SF</t>
  </si>
  <si>
    <t xml:space="preserve">See Site Dev. Costs</t>
  </si>
  <si>
    <t xml:space="preserve">Wrought Iron Single Gate</t>
  </si>
  <si>
    <t xml:space="preserve">See Foundation</t>
  </si>
  <si>
    <t xml:space="preserve">Flr Tile - Kit &amp; Entry</t>
  </si>
  <si>
    <t xml:space="preserve">Tile C.Top &amp; Backsplash</t>
  </si>
  <si>
    <t xml:space="preserve">Tub Tile-2 sides 5' high</t>
  </si>
  <si>
    <t xml:space="preserve">ONE STORY DUPLEX PLAN F:  DOUBLE MASTER, 2 Bath, 1335 SF</t>
  </si>
  <si>
    <t xml:space="preserve">Per Sf</t>
  </si>
  <si>
    <t xml:space="preserve">ONE STORY DUPLEX PLAN G:  DOUBLE MASTER, 2 Bath, 1335 SF</t>
  </si>
  <si>
    <t xml:space="preserve">Per S.F.</t>
  </si>
  <si>
    <t xml:space="preserve">Courtyard Fence</t>
  </si>
  <si>
    <t xml:space="preserve">F.P. Treatments-Hearth</t>
  </si>
  <si>
    <t xml:space="preserve">Fireplaces</t>
  </si>
  <si>
    <t xml:space="preserve">Plumbing - 2B,Lndry &amp;Kit</t>
  </si>
</sst>
</file>

<file path=xl/styles.xml><?xml version="1.0" encoding="utf-8"?>
<styleSheet xmlns="http://schemas.openxmlformats.org/spreadsheetml/2006/main">
  <numFmts count="28">
    <numFmt numFmtId="164" formatCode="General"/>
    <numFmt numFmtId="165" formatCode="[$-409]#,##0_);\(#,##0\)"/>
    <numFmt numFmtId="166" formatCode="\$#,##0_);[RED]&quot;($&quot;#,##0\)"/>
    <numFmt numFmtId="167" formatCode="[$-409]#,##0.00_);[RED]\(#,##0.00\)"/>
    <numFmt numFmtId="168" formatCode="#,##0"/>
    <numFmt numFmtId="169" formatCode="_(* #,##0.00_);_(* \(#,##0.00\);_(* \-??_);_(@_)"/>
    <numFmt numFmtId="170" formatCode="[$-409]#,##0_);[RED]\(#,##0\)"/>
    <numFmt numFmtId="171" formatCode="\$#,##0\ ;&quot;($&quot;#,##0\)"/>
    <numFmt numFmtId="172" formatCode="_(\$* #,##0.00_);_(\$* \(#,##0.00\);_(\$* \-??_);_(@_)"/>
    <numFmt numFmtId="173" formatCode="0.00"/>
    <numFmt numFmtId="174" formatCode="#,##0.00"/>
    <numFmt numFmtId="175" formatCode="0"/>
    <numFmt numFmtId="176" formatCode="_(* #,##0_);_(* \(#,##0\);_(* \-??_);_(@_)"/>
    <numFmt numFmtId="177" formatCode="0%"/>
    <numFmt numFmtId="178" formatCode="_(* #,##0_);_(* \(#,##0\);_(* \-_);_(@_)"/>
    <numFmt numFmtId="179" formatCode="_(\$* #,##0_);_(\$* \(#,##0\);_(\$* \-??_);_(@_)"/>
    <numFmt numFmtId="180" formatCode="_(\$* #,##0.00_);_(\$* \(#,##0.00\);_(\$* \-_);_(@_)"/>
    <numFmt numFmtId="181" formatCode="0.0%"/>
    <numFmt numFmtId="182" formatCode="_(\$* #,##0_);_(\$* \(#,##0\);_(\$* \-_);_(@_)"/>
    <numFmt numFmtId="183" formatCode="0.00%"/>
    <numFmt numFmtId="184" formatCode="\$#,##0_);&quot;($&quot;#,##0\)"/>
    <numFmt numFmtId="185" formatCode="[$-409]General"/>
    <numFmt numFmtId="186" formatCode="[$-409]mmm\-yy"/>
    <numFmt numFmtId="187" formatCode="0.00000"/>
    <numFmt numFmtId="188" formatCode="_(* #,##0.00_);_(* \(#,##0.00\);_(* \-_);_(@_)"/>
    <numFmt numFmtId="189" formatCode="\$#,##0.00_);[RED]&quot;($&quot;#,##0.00\)"/>
    <numFmt numFmtId="190" formatCode="0.0"/>
    <numFmt numFmtId="191" formatCode="0.000"/>
  </numFmts>
  <fonts count="61">
    <font>
      <sz val="9"/>
      <name val="Arial"/>
      <family val="2"/>
    </font>
    <font>
      <sz val="10"/>
      <name val="Arial"/>
      <family val="0"/>
    </font>
    <font>
      <sz val="10"/>
      <name val="Arial"/>
      <family val="0"/>
    </font>
    <font>
      <sz val="10"/>
      <name val="Arial"/>
      <family val="0"/>
    </font>
    <font>
      <sz val="8"/>
      <name val="Tahoma"/>
      <family val="2"/>
    </font>
    <font>
      <sz val="8"/>
      <name val="Verdana"/>
      <family val="2"/>
    </font>
    <font>
      <b val="true"/>
      <sz val="10"/>
      <name val="AmeriGarmnd BT"/>
      <family val="1"/>
    </font>
    <font>
      <sz val="9"/>
      <name val="BD Oxford"/>
      <family val="0"/>
    </font>
    <font>
      <b val="true"/>
      <sz val="8"/>
      <color rgb="FFFFFFFF"/>
      <name val="Tahoma"/>
      <family val="2"/>
    </font>
    <font>
      <b val="true"/>
      <sz val="8"/>
      <color rgb="FF000000"/>
      <name val="Tahoma"/>
      <family val="2"/>
    </font>
    <font>
      <b val="true"/>
      <u val="single"/>
      <sz val="8"/>
      <color rgb="FF000000"/>
      <name val="Tahoma"/>
      <family val="2"/>
    </font>
    <font>
      <b val="true"/>
      <sz val="18"/>
      <name val="Arial"/>
      <family val="0"/>
    </font>
    <font>
      <b val="true"/>
      <sz val="8"/>
      <name val="Franklin Gothic Book"/>
      <family val="2"/>
    </font>
    <font>
      <b val="true"/>
      <u val="single"/>
      <sz val="9"/>
      <name val="Franklin Gothic Heavy"/>
      <family val="2"/>
    </font>
    <font>
      <sz val="10"/>
      <name val="Arial Narrow"/>
      <family val="2"/>
    </font>
    <font>
      <b val="true"/>
      <sz val="10"/>
      <name val="Times New Roman"/>
      <family val="1"/>
    </font>
    <font>
      <b val="true"/>
      <sz val="8"/>
      <color rgb="FF808080"/>
      <name val="Verdana"/>
      <family val="2"/>
    </font>
    <font>
      <b val="true"/>
      <sz val="8"/>
      <name val="Verdana"/>
      <family val="2"/>
    </font>
    <font>
      <b val="true"/>
      <sz val="11"/>
      <color rgb="FF808080"/>
      <name val="Verdana"/>
      <family val="2"/>
    </font>
    <font>
      <sz val="16"/>
      <color rgb="FFFFFFFF"/>
      <name val="Tahoma"/>
      <family val="2"/>
    </font>
    <font>
      <b val="true"/>
      <sz val="8"/>
      <color rgb="FF333333"/>
      <name val="Verdana"/>
      <family val="2"/>
    </font>
    <font>
      <b val="true"/>
      <sz val="16"/>
      <color rgb="FFFFFFFF"/>
      <name val="Tahoma"/>
      <family val="2"/>
    </font>
    <font>
      <sz val="10"/>
      <name val="Arial"/>
      <family val="2"/>
    </font>
    <font>
      <u val="single"/>
      <sz val="9"/>
      <name val="Goudy"/>
      <family val="1"/>
    </font>
    <font>
      <b val="true"/>
      <sz val="9"/>
      <color rgb="FF000080"/>
      <name val="Arial"/>
      <family val="2"/>
    </font>
    <font>
      <i val="true"/>
      <sz val="9"/>
      <color rgb="FF000080"/>
      <name val="Arial"/>
      <family val="2"/>
    </font>
    <font>
      <b val="true"/>
      <sz val="14"/>
      <name val="BauerBodni Blk BT"/>
      <family val="1"/>
    </font>
    <font>
      <b val="true"/>
      <u val="single"/>
      <sz val="10"/>
      <name val="Arial"/>
      <family val="2"/>
    </font>
    <font>
      <b val="true"/>
      <u val="single"/>
      <sz val="9"/>
      <name val="Arial"/>
      <family val="2"/>
    </font>
    <font>
      <sz val="9"/>
      <name val="Goudy"/>
      <family val="1"/>
    </font>
    <font>
      <b val="true"/>
      <sz val="9"/>
      <name val="Arial"/>
      <family val="2"/>
    </font>
    <font>
      <b val="true"/>
      <sz val="10"/>
      <name val="Arial"/>
      <family val="2"/>
    </font>
    <font>
      <u val="single"/>
      <sz val="9"/>
      <name val="Goudy"/>
      <family val="0"/>
    </font>
    <font>
      <i val="true"/>
      <sz val="8"/>
      <name val="Arial"/>
      <family val="2"/>
    </font>
    <font>
      <b val="true"/>
      <i val="true"/>
      <sz val="10"/>
      <name val="Arial"/>
      <family val="2"/>
    </font>
    <font>
      <sz val="9"/>
      <name val="Arial"/>
      <family val="0"/>
    </font>
    <font>
      <sz val="9"/>
      <color rgb="FFFFFFFF"/>
      <name val="Tahoma"/>
      <family val="2"/>
    </font>
    <font>
      <sz val="9"/>
      <color rgb="FFFFFFFF"/>
      <name val="Arial"/>
      <family val="0"/>
    </font>
    <font>
      <b val="true"/>
      <sz val="9"/>
      <color rgb="FFFFFFFF"/>
      <name val="Tahoma"/>
      <family val="2"/>
    </font>
    <font>
      <b val="true"/>
      <sz val="9"/>
      <color rgb="FF808080"/>
      <name val="Verdana"/>
      <family val="2"/>
    </font>
    <font>
      <b val="true"/>
      <sz val="9"/>
      <color rgb="FF0000FF"/>
      <name val="Verdana"/>
      <family val="2"/>
    </font>
    <font>
      <sz val="9"/>
      <name val="Verdana"/>
      <family val="2"/>
    </font>
    <font>
      <b val="true"/>
      <sz val="9"/>
      <name val="Verdana"/>
      <family val="2"/>
    </font>
    <font>
      <sz val="9"/>
      <name val="Tahoma"/>
      <family val="2"/>
    </font>
    <font>
      <b val="true"/>
      <sz val="14"/>
      <color rgb="FFFFFFFF"/>
      <name val="Amerigo Md BT"/>
      <family val="2"/>
    </font>
    <font>
      <sz val="9"/>
      <name val="Times New Roman"/>
      <family val="1"/>
    </font>
    <font>
      <b val="true"/>
      <sz val="9"/>
      <color rgb="FFFFFFFF"/>
      <name val="Times New Roman"/>
      <family val="1"/>
    </font>
    <font>
      <b val="true"/>
      <i val="true"/>
      <sz val="9"/>
      <name val="Arial"/>
      <family val="2"/>
    </font>
    <font>
      <b val="true"/>
      <sz val="9"/>
      <color rgb="FF000000"/>
      <name val="Times New Roman"/>
      <family val="1"/>
    </font>
    <font>
      <u val="single"/>
      <sz val="9"/>
      <name val="Arial"/>
      <family val="2"/>
    </font>
    <font>
      <b val="true"/>
      <sz val="8"/>
      <color rgb="FF000000"/>
      <name val="Tahoma"/>
      <family val="0"/>
    </font>
    <font>
      <sz val="8"/>
      <name val="Arial"/>
      <family val="0"/>
    </font>
    <font>
      <b val="true"/>
      <sz val="8"/>
      <name val="Arial"/>
      <family val="2"/>
    </font>
    <font>
      <b val="true"/>
      <u val="single"/>
      <sz val="8"/>
      <name val="Arial"/>
      <family val="2"/>
    </font>
    <font>
      <sz val="8"/>
      <name val="Arial"/>
      <family val="2"/>
    </font>
    <font>
      <sz val="8"/>
      <color rgb="FFFF0000"/>
      <name val="Arial"/>
      <family val="2"/>
    </font>
    <font>
      <b val="true"/>
      <u val="single"/>
      <sz val="9"/>
      <name val="BD Oxford"/>
      <family val="0"/>
    </font>
    <font>
      <b val="true"/>
      <u val="single"/>
      <sz val="10"/>
      <name val="BD Oxford"/>
      <family val="0"/>
    </font>
    <font>
      <b val="true"/>
      <sz val="9"/>
      <name val="BD Oxford"/>
      <family val="0"/>
    </font>
    <font>
      <sz val="9"/>
      <name val="Garamond"/>
      <family val="1"/>
    </font>
    <font>
      <u val="single"/>
      <sz val="9"/>
      <name val="Garamond"/>
      <family val="1"/>
    </font>
  </fonts>
  <fills count="12">
    <fill>
      <patternFill patternType="none"/>
    </fill>
    <fill>
      <patternFill patternType="gray125"/>
    </fill>
    <fill>
      <patternFill patternType="solid">
        <fgColor rgb="FFFFFFFF"/>
        <bgColor rgb="FFFFFFCC"/>
      </patternFill>
    </fill>
    <fill>
      <patternFill patternType="solid">
        <fgColor rgb="FF969696"/>
        <bgColor rgb="FF808080"/>
      </patternFill>
    </fill>
    <fill>
      <patternFill patternType="solid">
        <fgColor rgb="FF000000"/>
        <bgColor rgb="FF003300"/>
      </patternFill>
    </fill>
    <fill>
      <patternFill patternType="solid">
        <fgColor rgb="FFC0C0C0"/>
        <bgColor rgb="FFCCCCFF"/>
      </patternFill>
    </fill>
    <fill>
      <patternFill patternType="solid">
        <fgColor rgb="FF808080"/>
        <bgColor rgb="FF969696"/>
      </patternFill>
    </fill>
    <fill>
      <patternFill patternType="solid">
        <fgColor rgb="FFFFCC99"/>
        <bgColor rgb="FFC0C0C0"/>
      </patternFill>
    </fill>
    <fill>
      <patternFill patternType="solid">
        <fgColor rgb="FF99CC00"/>
        <bgColor rgb="FFFFCC00"/>
      </patternFill>
    </fill>
    <fill>
      <patternFill patternType="solid">
        <fgColor rgb="FF808000"/>
        <bgColor rgb="FF808080"/>
      </patternFill>
    </fill>
    <fill>
      <patternFill patternType="solid">
        <fgColor rgb="FFFF99CC"/>
        <bgColor rgb="FFFF8080"/>
      </patternFill>
    </fill>
    <fill>
      <patternFill patternType="solid">
        <fgColor rgb="FFFFFF99"/>
        <bgColor rgb="FFFFFFCC"/>
      </patternFill>
    </fill>
  </fills>
  <borders count="47">
    <border diagonalUp="false" diagonalDown="false">
      <left/>
      <right/>
      <top/>
      <bottom/>
      <diagonal/>
    </border>
    <border diagonalUp="false" diagonalDown="false">
      <left/>
      <right/>
      <top style="medium"/>
      <bottom style="medium"/>
      <diagonal/>
    </border>
    <border diagonalUp="false" diagonalDown="false">
      <left/>
      <right/>
      <top/>
      <bottom style="medium"/>
      <diagonal/>
    </border>
    <border diagonalUp="false" diagonalDown="false">
      <left style="double"/>
      <right style="double"/>
      <top style="double"/>
      <bottom style="double"/>
      <diagonal/>
    </border>
    <border diagonalUp="false" diagonalDown="false">
      <left/>
      <right/>
      <top style="double"/>
      <bottom/>
      <diagonal/>
    </border>
    <border diagonalUp="false" diagonalDown="false">
      <left/>
      <right/>
      <top style="medium">
        <color rgb="FF808080"/>
      </top>
      <bottom style="medium">
        <color rgb="FF808080"/>
      </bottom>
      <diagonal/>
    </border>
    <border diagonalUp="false" diagonalDown="false">
      <left/>
      <right/>
      <top style="thin">
        <color rgb="FF808080"/>
      </top>
      <botto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right style="thin"/>
      <top/>
      <bottom/>
      <diagonal/>
    </border>
    <border diagonalUp="false" diagonalDown="false">
      <left/>
      <right style="thin"/>
      <top/>
      <bottom style="thin"/>
      <diagonal/>
    </border>
    <border diagonalUp="false" diagonalDown="false">
      <left style="thin"/>
      <right/>
      <top/>
      <bottom/>
      <diagonal/>
    </border>
    <border diagonalUp="false" diagonalDown="false">
      <left style="medium">
        <color rgb="FFC0C0C0"/>
      </left>
      <right style="medium">
        <color rgb="FFC0C0C0"/>
      </right>
      <top style="thin"/>
      <bottom/>
      <diagonal/>
    </border>
    <border diagonalUp="false" diagonalDown="false">
      <left style="medium">
        <color rgb="FFC0C0C0"/>
      </left>
      <right style="thin">
        <color rgb="FF969696"/>
      </right>
      <top style="thin"/>
      <bottom/>
      <diagonal/>
    </border>
    <border diagonalUp="false" diagonalDown="false">
      <left/>
      <right style="medium">
        <color rgb="FFC0C0C0"/>
      </right>
      <top style="thin"/>
      <bottom/>
      <diagonal/>
    </border>
    <border diagonalUp="false" diagonalDown="false">
      <left style="thin"/>
      <right style="medium">
        <color rgb="FFC0C0C0"/>
      </right>
      <top/>
      <bottom/>
      <diagonal/>
    </border>
    <border diagonalUp="false" diagonalDown="false">
      <left style="medium">
        <color rgb="FFC0C0C0"/>
      </left>
      <right style="medium">
        <color rgb="FFC0C0C0"/>
      </right>
      <top/>
      <bottom/>
      <diagonal/>
    </border>
    <border diagonalUp="false" diagonalDown="false">
      <left style="medium">
        <color rgb="FFC0C0C0"/>
      </left>
      <right style="thin">
        <color rgb="FF969696"/>
      </right>
      <top/>
      <bottom/>
      <diagonal/>
    </border>
    <border diagonalUp="false" diagonalDown="false">
      <left/>
      <right style="medium">
        <color rgb="FFC0C0C0"/>
      </right>
      <top/>
      <bottom/>
      <diagonal/>
    </border>
    <border diagonalUp="false" diagonalDown="false">
      <left style="medium">
        <color rgb="FFC0C0C0"/>
      </left>
      <right style="medium">
        <color rgb="FFC0C0C0"/>
      </right>
      <top/>
      <bottom style="thin">
        <color rgb="FF808080"/>
      </bottom>
      <diagonal/>
    </border>
    <border diagonalUp="false" diagonalDown="false">
      <left style="medium">
        <color rgb="FFC0C0C0"/>
      </left>
      <right style="thin">
        <color rgb="FF969696"/>
      </right>
      <top/>
      <bottom style="thin">
        <color rgb="FF808080"/>
      </bottom>
      <diagonal/>
    </border>
    <border diagonalUp="false" diagonalDown="false">
      <left/>
      <right style="medium">
        <color rgb="FFC0C0C0"/>
      </right>
      <top/>
      <bottom style="thin">
        <color rgb="FF808080"/>
      </bottom>
      <diagonal/>
    </border>
    <border diagonalUp="false" diagonalDown="false">
      <left style="thin"/>
      <right/>
      <top style="thin"/>
      <bottom style="thin"/>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969696"/>
      </left>
      <right/>
      <top/>
      <bottom style="thin">
        <color rgb="FF969696"/>
      </bottom>
      <diagonal/>
    </border>
    <border diagonalUp="false" diagonalDown="false">
      <left style="thin"/>
      <right/>
      <top style="thin">
        <color rgb="FF969696"/>
      </top>
      <bottom style="thin">
        <color rgb="FF969696"/>
      </bottom>
      <diagonal/>
    </border>
    <border diagonalUp="false" diagonalDown="false">
      <left style="thin"/>
      <right/>
      <top/>
      <bottom style="thin">
        <color rgb="FF969696"/>
      </bottom>
      <diagonal/>
    </border>
    <border diagonalUp="false" diagonalDown="false">
      <left style="thin"/>
      <right/>
      <top style="thin">
        <color rgb="FF969696"/>
      </top>
      <bottom style="medium"/>
      <diagonal/>
    </border>
    <border diagonalUp="false" diagonalDown="false">
      <left style="thin">
        <color rgb="FF808080"/>
      </left>
      <right style="thin">
        <color rgb="FF808080"/>
      </right>
      <top style="thin">
        <color rgb="FF808080"/>
      </top>
      <bottom style="medium"/>
      <diagonal/>
    </border>
    <border diagonalUp="false" diagonalDown="false">
      <left style="thin"/>
      <right style="thin">
        <color rgb="FF808080"/>
      </right>
      <top/>
      <bottom/>
      <diagonal/>
    </border>
    <border diagonalUp="false" diagonalDown="false">
      <left style="thin">
        <color rgb="FF808080"/>
      </left>
      <right style="thin">
        <color rgb="FF808080"/>
      </right>
      <top/>
      <bottom style="thin">
        <color rgb="FF808080"/>
      </bottom>
      <diagonal/>
    </border>
    <border diagonalUp="false" diagonalDown="false">
      <left style="thin"/>
      <right style="thin">
        <color rgb="FF808080"/>
      </right>
      <top style="thin">
        <color rgb="FF969696"/>
      </top>
      <bottom style="thin"/>
      <diagonal/>
    </border>
    <border diagonalUp="false" diagonalDown="false">
      <left style="thin">
        <color rgb="FF808080"/>
      </left>
      <right style="thin">
        <color rgb="FF808080"/>
      </right>
      <top style="thin">
        <color rgb="FF808080"/>
      </top>
      <bottom/>
      <diagonal/>
    </border>
    <border diagonalUp="false" diagonalDown="false">
      <left style="thin"/>
      <right style="thin">
        <color rgb="FF808080"/>
      </right>
      <top style="medium"/>
      <bottom style="medium"/>
      <diagonal/>
    </border>
    <border diagonalUp="false" diagonalDown="false">
      <left style="thin">
        <color rgb="FF808080"/>
      </left>
      <right style="thin">
        <color rgb="FF808080"/>
      </right>
      <top style="medium">
        <color rgb="FF808080"/>
      </top>
      <bottom style="medium">
        <color rgb="FF808080"/>
      </bottom>
      <diagonal/>
    </border>
    <border diagonalUp="false" diagonalDown="false">
      <left style="thin"/>
      <right/>
      <top style="medium"/>
      <bottom/>
      <diagonal/>
    </border>
    <border diagonalUp="false" diagonalDown="false">
      <left style="thin"/>
      <right/>
      <top style="thin">
        <color rgb="FF969696"/>
      </top>
      <bottom/>
      <diagonal/>
    </border>
    <border diagonalUp="false" diagonalDown="false">
      <left style="thin"/>
      <right/>
      <top style="medium"/>
      <bottom style="medium"/>
      <diagonal/>
    </border>
    <border diagonalUp="false" diagonalDown="false">
      <left style="thin">
        <color rgb="FF808080"/>
      </left>
      <right style="thin">
        <color rgb="FF808080"/>
      </right>
      <top style="medium"/>
      <bottom style="medium"/>
      <diagonal/>
    </border>
    <border diagonalUp="false" diagonalDown="false">
      <left style="thin">
        <color rgb="FF808080"/>
      </left>
      <right style="thin">
        <color rgb="FF808080"/>
      </right>
      <top/>
      <bottom/>
      <diagonal/>
    </border>
    <border diagonalUp="false" diagonalDown="false">
      <left style="thin">
        <color rgb="FF808080"/>
      </left>
      <right/>
      <top style="medium"/>
      <bottom style="medium"/>
      <diagonal/>
    </border>
    <border diagonalUp="false" diagonalDown="false">
      <left/>
      <right/>
      <top style="thin"/>
      <bottom style="thin"/>
      <diagonal/>
    </border>
    <border diagonalUp="false" diagonalDown="false">
      <left style="thick"/>
      <right style="thick"/>
      <top style="thick"/>
      <bottom style="thick"/>
      <diagonal/>
    </border>
    <border diagonalUp="false" diagonalDown="false">
      <left/>
      <right/>
      <top style="thin"/>
      <bottom style="double"/>
      <diagonal/>
    </border>
    <border diagonalUp="false" diagonalDown="false">
      <left style="medium"/>
      <right/>
      <top style="medium"/>
      <bottom style="medium"/>
      <diagonal/>
    </border>
  </borders>
  <cellStyleXfs count="5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177" fontId="0" fillId="0" borderId="0" applyFont="true" applyBorder="false" applyAlignment="false" applyProtection="false"/>
    <xf numFmtId="165" fontId="4" fillId="2" borderId="0" applyFont="true" applyBorder="false" applyAlignment="true" applyProtection="false">
      <alignment horizontal="general" vertical="center" textRotation="0" wrapText="false" indent="0" shrinkToFit="false"/>
    </xf>
    <xf numFmtId="164" fontId="5" fillId="3" borderId="0" applyFont="true" applyBorder="false" applyAlignment="true" applyProtection="true">
      <alignment horizontal="left" vertical="center" textRotation="0" wrapText="false" indent="1" shrinkToFit="false"/>
      <protection locked="true" hidden="false"/>
    </xf>
    <xf numFmtId="164" fontId="6" fillId="0" borderId="0" applyFont="true" applyBorder="false" applyAlignment="false" applyProtection="false"/>
    <xf numFmtId="166" fontId="7" fillId="0" borderId="0" applyFont="true" applyBorder="true" applyAlignment="true" applyProtection="true">
      <alignment horizontal="general" vertical="bottom" textRotation="0" wrapText="false" indent="0" shrinkToFit="false"/>
      <protection locked="true" hidden="false"/>
    </xf>
    <xf numFmtId="167" fontId="7" fillId="0" borderId="0" applyFont="true" applyBorder="true" applyAlignment="true" applyProtection="true">
      <alignment horizontal="general" vertical="bottom" textRotation="0" wrapText="false" indent="0" shrinkToFit="false"/>
      <protection locked="true" hidden="false"/>
    </xf>
    <xf numFmtId="168"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70" fontId="7" fillId="0" borderId="0" applyFont="true" applyBorder="true" applyAlignment="true" applyProtection="true">
      <alignment horizontal="general" vertical="bottom" textRotation="0" wrapText="false" indent="0" shrinkToFit="false"/>
      <protection locked="true" hidden="false"/>
    </xf>
    <xf numFmtId="171" fontId="0" fillId="0" borderId="0" applyFont="true" applyBorder="false" applyAlignment="false" applyProtection="false"/>
    <xf numFmtId="172" fontId="0" fillId="0" borderId="0" applyFont="true" applyBorder="false" applyAlignment="false" applyProtection="false"/>
    <xf numFmtId="164" fontId="0" fillId="0" borderId="0" applyFont="true" applyBorder="false" applyAlignment="false" applyProtection="false"/>
    <xf numFmtId="173" fontId="0" fillId="0" borderId="0" applyFont="true" applyBorder="false" applyAlignment="false" applyProtection="false"/>
    <xf numFmtId="165" fontId="8" fillId="4" borderId="0" applyFont="true" applyBorder="false" applyAlignment="true" applyProtection="true">
      <alignment horizontal="left" vertical="center" textRotation="0" wrapText="false" indent="1" shrinkToFit="false"/>
      <protection locked="true" hidden="false"/>
    </xf>
    <xf numFmtId="165" fontId="9" fillId="0" borderId="1" applyFont="true" applyBorder="true" applyAlignment="true" applyProtection="true">
      <alignment horizontal="general" vertical="center" textRotation="0" wrapText="false" indent="0" shrinkToFit="false"/>
      <protection locked="true" hidden="false"/>
    </xf>
    <xf numFmtId="164" fontId="9" fillId="2" borderId="2" applyFont="true" applyBorder="true" applyAlignment="true" applyProtection="true">
      <alignment horizontal="left" vertical="top" textRotation="0" wrapText="false" indent="1" shrinkToFit="false"/>
      <protection locked="true" hidden="false"/>
    </xf>
    <xf numFmtId="164" fontId="9" fillId="2" borderId="0" applyFont="true" applyBorder="false" applyAlignment="true" applyProtection="true">
      <alignment horizontal="left" vertical="center" textRotation="0" wrapText="false" indent="1" shrinkToFit="false"/>
      <protection locked="true" hidden="false"/>
    </xf>
    <xf numFmtId="164" fontId="9" fillId="0" borderId="2" applyFont="true" applyBorder="true" applyAlignment="true" applyProtection="true">
      <alignment horizontal="center" vertical="top" textRotation="0" wrapText="false" indent="0" shrinkToFit="false"/>
      <protection locked="true" hidden="false"/>
    </xf>
    <xf numFmtId="164" fontId="10" fillId="2" borderId="0" applyFont="true" applyBorder="false" applyAlignment="true" applyProtection="true">
      <alignment horizontal="left" vertical="center" textRotation="0" wrapText="false" indent="1" shrinkToFit="false"/>
      <protection locked="true" hidden="false"/>
    </xf>
    <xf numFmtId="164" fontId="11" fillId="0" borderId="0" applyFont="true" applyBorder="false" applyAlignment="false" applyProtection="false"/>
    <xf numFmtId="167" fontId="12"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false" applyAlignment="true" applyProtection="true">
      <alignment horizontal="center" vertical="bottom" textRotation="0" wrapText="false" indent="0" shrinkToFit="false"/>
      <protection locked="true" hidden="false"/>
    </xf>
    <xf numFmtId="164" fontId="14" fillId="0" borderId="3" applyFont="true" applyBorder="true" applyAlignment="true" applyProtection="true">
      <alignment horizontal="general" vertical="bottom" textRotation="0" wrapText="false" indent="0" shrinkToFit="false"/>
      <protection locked="true" hidden="false"/>
    </xf>
    <xf numFmtId="164" fontId="15" fillId="0" borderId="0" applyFont="true" applyBorder="false" applyAlignment="true" applyProtection="true">
      <alignment horizontal="center" vertical="bottom" textRotation="0" wrapText="false" indent="0" shrinkToFit="false"/>
      <protection locked="true" hidden="false"/>
    </xf>
    <xf numFmtId="164" fontId="16" fillId="5" borderId="0" applyFont="true" applyBorder="true" applyAlignment="true" applyProtection="true">
      <alignment horizontal="left" vertical="bottom" textRotation="0" wrapText="false" indent="1" shrinkToFit="false"/>
      <protection locked="true" hidden="false"/>
    </xf>
    <xf numFmtId="164" fontId="17" fillId="5" borderId="0" applyFont="true" applyBorder="true" applyAlignment="true" applyProtection="true">
      <alignment horizontal="left" vertical="bottom" textRotation="0" wrapText="false" indent="1" shrinkToFit="false"/>
      <protection locked="true" hidden="false"/>
    </xf>
    <xf numFmtId="164" fontId="18" fillId="5" borderId="0" applyFont="true" applyBorder="true" applyAlignment="true" applyProtection="true">
      <alignment horizontal="left" vertical="bottom" textRotation="0" wrapText="true" indent="1" shrinkToFit="false"/>
      <protection locked="true" hidden="false"/>
    </xf>
    <xf numFmtId="164" fontId="5" fillId="5" borderId="0" applyFont="true" applyBorder="true" applyAlignment="true" applyProtection="true">
      <alignment horizontal="left" vertical="bottom" textRotation="0" wrapText="true" indent="1" shrinkToFit="false"/>
      <protection locked="true" hidden="false"/>
    </xf>
    <xf numFmtId="174" fontId="4" fillId="2" borderId="0" applyFont="true" applyBorder="false" applyAlignment="true" applyProtection="true">
      <alignment horizontal="left" vertical="center" textRotation="0" wrapText="false" indent="3"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19" fillId="3" borderId="0" applyFont="true" applyBorder="true" applyAlignment="true" applyProtection="true">
      <alignment horizontal="left" vertical="bottom" textRotation="0" wrapText="false" indent="1" shrinkToFit="false"/>
      <protection locked="true" hidden="false"/>
    </xf>
    <xf numFmtId="164" fontId="20" fillId="3" borderId="0" applyFont="true" applyBorder="false" applyAlignment="true" applyProtection="true">
      <alignment horizontal="left" vertical="center" textRotation="0" wrapText="false" indent="1" shrinkToFit="false"/>
      <protection locked="true" hidden="false"/>
    </xf>
    <xf numFmtId="164" fontId="21" fillId="6" borderId="0" applyFont="true" applyBorder="false" applyAlignment="true" applyProtection="true">
      <alignment horizontal="left" vertical="center" textRotation="0" wrapText="false" indent="1" shrinkToFit="false"/>
      <protection locked="true" hidden="false"/>
    </xf>
    <xf numFmtId="164" fontId="0" fillId="0" borderId="4" applyFont="true" applyBorder="true" applyAlignment="false" applyProtection="false"/>
  </cellStyleXfs>
  <cellXfs count="309">
    <xf numFmtId="164" fontId="0" fillId="0" borderId="0" xfId="0" applyFont="false" applyBorder="false" applyAlignment="false" applyProtection="false">
      <alignment horizontal="general" vertical="bottom" textRotation="0" wrapText="false" indent="0" shrinkToFit="false"/>
      <protection locked="true" hidden="false"/>
    </xf>
    <xf numFmtId="164" fontId="1" fillId="0" borderId="0" xfId="49" applyFont="true" applyBorder="false" applyAlignment="false" applyProtection="false">
      <alignment horizontal="general" vertical="bottom" textRotation="0" wrapText="false" indent="0" shrinkToFit="false"/>
      <protection locked="true" hidden="false"/>
    </xf>
    <xf numFmtId="164" fontId="1" fillId="0" borderId="0" xfId="49" applyFont="false" applyBorder="true" applyAlignment="false" applyProtection="false">
      <alignment horizontal="general" vertical="bottom" textRotation="0" wrapText="false" indent="0" shrinkToFit="false"/>
      <protection locked="true" hidden="false"/>
    </xf>
    <xf numFmtId="175" fontId="1" fillId="0" borderId="0" xfId="49" applyFont="false" applyBorder="true" applyAlignment="false" applyProtection="false">
      <alignment horizontal="general" vertical="bottom" textRotation="0" wrapText="false" indent="0" shrinkToFit="false"/>
      <protection locked="true" hidden="false"/>
    </xf>
    <xf numFmtId="176" fontId="22" fillId="0" borderId="0" xfId="49" applyFont="true" applyBorder="tru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8" fontId="0" fillId="0" borderId="0" xfId="0" applyFont="false" applyBorder="false" applyAlignment="false" applyProtection="false">
      <alignment horizontal="general" vertical="bottom"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true" applyProtection="false">
      <alignment horizontal="general" vertical="bottom" textRotation="0" wrapText="false" indent="0" shrinkToFit="false"/>
      <protection locked="true" hidden="false"/>
    </xf>
    <xf numFmtId="164" fontId="25" fillId="0" borderId="5" xfId="0" applyFont="true" applyBorder="true" applyAlignment="true" applyProtection="false">
      <alignment horizontal="left" vertical="bottom" textRotation="0" wrapText="false" indent="0" shrinkToFit="false"/>
      <protection locked="true" hidden="false"/>
    </xf>
    <xf numFmtId="164" fontId="1" fillId="0" borderId="0" xfId="49" applyFont="false" applyBorder="false" applyAlignment="false" applyProtection="false">
      <alignment horizontal="general" vertical="bottom" textRotation="0" wrapText="false" indent="0" shrinkToFit="false"/>
      <protection locked="true" hidden="false"/>
    </xf>
    <xf numFmtId="164" fontId="26" fillId="5" borderId="7" xfId="49"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0" fillId="0" borderId="0" xfId="49" applyFont="true" applyBorder="false" applyAlignment="false" applyProtection="false">
      <alignment horizontal="general" vertical="bottom" textRotation="0" wrapText="false" indent="0" shrinkToFit="false"/>
      <protection locked="true" hidden="false"/>
    </xf>
    <xf numFmtId="164" fontId="27" fillId="0" borderId="0" xfId="49" applyFont="true" applyBorder="false" applyAlignment="true" applyProtection="false">
      <alignment horizontal="center" vertical="bottom" textRotation="0" wrapText="false" indent="0" shrinkToFit="false"/>
      <protection locked="true" hidden="false"/>
    </xf>
    <xf numFmtId="164" fontId="28" fillId="0" borderId="0" xfId="49" applyFont="true" applyBorder="false" applyAlignment="true" applyProtection="false">
      <alignment horizontal="center"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7" fontId="0" fillId="0" borderId="0" xfId="15" applyFont="false" applyBorder="true" applyAlignment="true" applyProtection="true">
      <alignment horizontal="general" vertical="bottom" textRotation="0" wrapText="false" indent="0" shrinkToFit="false"/>
      <protection locked="true" hidden="false"/>
    </xf>
    <xf numFmtId="164" fontId="30" fillId="0" borderId="0" xfId="49" applyFont="true" applyBorder="false" applyAlignment="false" applyProtection="false">
      <alignment horizontal="general" vertical="bottom" textRotation="0" wrapText="false" indent="0" shrinkToFit="false"/>
      <protection locked="true" hidden="false"/>
    </xf>
    <xf numFmtId="164" fontId="31" fillId="0" borderId="0" xfId="49" applyFont="true" applyBorder="false" applyAlignment="false" applyProtection="false">
      <alignment horizontal="general" vertical="bottom" textRotation="0" wrapText="false" indent="0" shrinkToFit="false"/>
      <protection locked="true" hidden="false"/>
    </xf>
    <xf numFmtId="164" fontId="27" fillId="0" borderId="0" xfId="49" applyFont="true" applyBorder="false" applyAlignment="true" applyProtection="false">
      <alignment horizontal="center" vertical="bottom" textRotation="0" wrapText="true" indent="0" shrinkToFit="false"/>
      <protection locked="true" hidden="false"/>
    </xf>
    <xf numFmtId="176" fontId="30" fillId="0" borderId="0" xfId="26" applyFont="true" applyBorder="true" applyAlignment="true" applyProtection="true">
      <alignment horizontal="general" vertical="bottom" textRotation="0" wrapText="false" indent="0" shrinkToFit="false"/>
      <protection locked="true" hidden="false"/>
    </xf>
    <xf numFmtId="170" fontId="30" fillId="0" borderId="0" xfId="15"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28" fillId="0" borderId="0" xfId="49" applyFont="true" applyBorder="false" applyAlignment="false" applyProtection="false">
      <alignment horizontal="general" vertical="bottom" textRotation="0" wrapText="false" indent="0" shrinkToFit="false"/>
      <protection locked="true" hidden="false"/>
    </xf>
    <xf numFmtId="179" fontId="0" fillId="0" borderId="0" xfId="17" applyFont="true" applyBorder="true" applyAlignment="true" applyProtection="true">
      <alignment horizontal="general" vertical="bottom" textRotation="0" wrapText="false" indent="0" shrinkToFit="false"/>
      <protection locked="true" hidden="false"/>
    </xf>
    <xf numFmtId="180" fontId="0" fillId="0" borderId="0" xfId="17" applyFont="true" applyBorder="true" applyAlignment="true" applyProtection="true">
      <alignment horizontal="general" vertical="bottom" textRotation="0" wrapText="false" indent="0" shrinkToFit="false"/>
      <protection locked="true" hidden="false"/>
    </xf>
    <xf numFmtId="181" fontId="0" fillId="0" borderId="0" xfId="19" applyFont="true" applyBorder="true" applyAlignment="true" applyProtection="tru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64" fontId="0" fillId="0" borderId="8" xfId="49" applyFont="true" applyBorder="true" applyAlignment="false" applyProtection="false">
      <alignment horizontal="general" vertical="bottom" textRotation="0" wrapText="false" indent="0" shrinkToFit="false"/>
      <protection locked="true" hidden="false"/>
    </xf>
    <xf numFmtId="176" fontId="0" fillId="0" borderId="8" xfId="26" applyFont="true" applyBorder="true" applyAlignment="true" applyProtection="true">
      <alignment horizontal="general" vertical="bottom" textRotation="0" wrapText="false" indent="0" shrinkToFit="false"/>
      <protection locked="true" hidden="false"/>
    </xf>
    <xf numFmtId="176" fontId="0" fillId="0" borderId="8" xfId="15" applyFont="true" applyBorder="true" applyAlignment="true" applyProtection="true">
      <alignment horizontal="general" vertical="bottom" textRotation="0" wrapText="false" indent="0" shrinkToFit="false"/>
      <protection locked="true" hidden="false"/>
    </xf>
    <xf numFmtId="167" fontId="0" fillId="0" borderId="8" xfId="15" applyFont="false" applyBorder="true" applyAlignment="true" applyProtection="true">
      <alignment horizontal="general" vertical="bottom" textRotation="0" wrapText="false" indent="0" shrinkToFit="false"/>
      <protection locked="true" hidden="false"/>
    </xf>
    <xf numFmtId="181" fontId="0" fillId="0" borderId="8" xfId="19" applyFont="true" applyBorder="true" applyAlignment="true" applyProtection="true">
      <alignment horizontal="general" vertical="bottom" textRotation="0" wrapText="false" indent="0" shrinkToFit="false"/>
      <protection locked="true" hidden="false"/>
    </xf>
    <xf numFmtId="179" fontId="30" fillId="0" borderId="0" xfId="17" applyFont="true" applyBorder="true" applyAlignment="true" applyProtection="true">
      <alignment horizontal="general" vertical="bottom" textRotation="0" wrapText="false" indent="0" shrinkToFit="false"/>
      <protection locked="true" hidden="false"/>
    </xf>
    <xf numFmtId="179" fontId="1" fillId="0" borderId="0" xfId="17" applyFont="true" applyBorder="true" applyAlignment="true" applyProtection="true">
      <alignment horizontal="general" vertical="bottom" textRotation="0" wrapText="false" indent="0" shrinkToFit="false"/>
      <protection locked="true" hidden="false"/>
    </xf>
    <xf numFmtId="167" fontId="31" fillId="0" borderId="0" xfId="15" applyFont="true" applyBorder="true" applyAlignment="true" applyProtection="true">
      <alignment horizontal="general" vertical="bottom" textRotation="0" wrapText="false" indent="0" shrinkToFit="false"/>
      <protection locked="true" hidden="false"/>
    </xf>
    <xf numFmtId="182" fontId="0" fillId="0" borderId="0" xfId="49" applyFont="true" applyBorder="false" applyAlignment="false" applyProtection="false">
      <alignment horizontal="general" vertical="bottom" textRotation="0" wrapText="false" indent="0" shrinkToFit="false"/>
      <protection locked="true" hidden="false"/>
    </xf>
    <xf numFmtId="181" fontId="30" fillId="0" borderId="0" xfId="19" applyFont="true" applyBorder="true" applyAlignment="true" applyProtection="true">
      <alignment horizontal="general" vertical="bottom" textRotation="0" wrapText="false" indent="0" shrinkToFit="false"/>
      <protection locked="true" hidden="false"/>
    </xf>
    <xf numFmtId="176" fontId="0" fillId="0" borderId="0" xfId="15" applyFont="false" applyBorder="true" applyAlignment="true" applyProtection="true">
      <alignment horizontal="general" vertical="bottom" textRotation="0" wrapText="false" indent="0" shrinkToFit="false"/>
      <protection locked="true" hidden="false"/>
    </xf>
    <xf numFmtId="176" fontId="0" fillId="0" borderId="8" xfId="15" applyFont="false" applyBorder="true" applyAlignment="true" applyProtection="true">
      <alignment horizontal="general" vertical="bottom" textRotation="0" wrapText="false" indent="0" shrinkToFit="false"/>
      <protection locked="true" hidden="false"/>
    </xf>
    <xf numFmtId="166" fontId="30" fillId="0" borderId="0" xfId="17" applyFont="true" applyBorder="true" applyAlignment="true" applyProtection="true">
      <alignment horizontal="general" vertical="bottom" textRotation="0" wrapText="false" indent="0" shrinkToFit="false"/>
      <protection locked="true" hidden="false"/>
    </xf>
    <xf numFmtId="164" fontId="30" fillId="0" borderId="1" xfId="49" applyFont="true" applyBorder="true" applyAlignment="false" applyProtection="false">
      <alignment horizontal="general" vertical="bottom" textRotation="0" wrapText="false" indent="0" shrinkToFit="false"/>
      <protection locked="true" hidden="false"/>
    </xf>
    <xf numFmtId="182" fontId="30" fillId="0" borderId="1" xfId="49" applyFont="true" applyBorder="true" applyAlignment="false" applyProtection="false">
      <alignment horizontal="general" vertical="bottom" textRotation="0" wrapText="false" indent="0" shrinkToFit="false"/>
      <protection locked="true" hidden="false"/>
    </xf>
    <xf numFmtId="179" fontId="30" fillId="0" borderId="1" xfId="17" applyFont="true" applyBorder="true" applyAlignment="true" applyProtection="true">
      <alignment horizontal="general" vertical="bottom" textRotation="0" wrapText="false" indent="0" shrinkToFit="false"/>
      <protection locked="true" hidden="false"/>
    </xf>
    <xf numFmtId="180" fontId="30" fillId="0" borderId="1" xfId="17" applyFont="true" applyBorder="true" applyAlignment="true" applyProtection="true">
      <alignment horizontal="general" vertical="bottom" textRotation="0" wrapText="false" indent="0" shrinkToFit="false"/>
      <protection locked="true" hidden="false"/>
    </xf>
    <xf numFmtId="183" fontId="30" fillId="0" borderId="1" xfId="19" applyFont="true" applyBorder="true" applyAlignment="true" applyProtection="true">
      <alignment horizontal="general" vertical="bottom" textRotation="0" wrapText="false" indent="0" shrinkToFit="false"/>
      <protection locked="true" hidden="false"/>
    </xf>
    <xf numFmtId="180" fontId="0" fillId="0" borderId="0" xfId="49" applyFont="true" applyBorder="false" applyAlignment="false" applyProtection="false">
      <alignment horizontal="general" vertical="bottom" textRotation="0" wrapText="false" indent="0" shrinkToFit="false"/>
      <protection locked="true" hidden="false"/>
    </xf>
    <xf numFmtId="180" fontId="30" fillId="0" borderId="0" xfId="17" applyFont="true" applyBorder="true" applyAlignment="true" applyProtection="true">
      <alignment horizontal="general" vertical="bottom" textRotation="0" wrapText="false" indent="0" shrinkToFit="false"/>
      <protection locked="true" hidden="false"/>
    </xf>
    <xf numFmtId="179" fontId="30" fillId="0" borderId="0" xfId="49" applyFont="true" applyBorder="false" applyAlignment="false" applyProtection="false">
      <alignment horizontal="general" vertical="bottom" textRotation="0" wrapText="false" indent="0" shrinkToFit="false"/>
      <protection locked="true" hidden="false"/>
    </xf>
    <xf numFmtId="177" fontId="0" fillId="0" borderId="0" xfId="19" applyFont="true" applyBorder="true" applyAlignment="true" applyProtection="true">
      <alignment horizontal="general" vertical="bottom" textRotation="0" wrapText="false" indent="0" shrinkToFit="false"/>
      <protection locked="true" hidden="false"/>
    </xf>
    <xf numFmtId="164" fontId="30" fillId="5" borderId="0" xfId="49" applyFont="true" applyBorder="true" applyAlignment="true" applyProtection="false">
      <alignment horizontal="center" vertical="bottom" textRotation="0" wrapText="false" indent="0" shrinkToFit="false"/>
      <protection locked="true" hidden="false"/>
    </xf>
    <xf numFmtId="179" fontId="28" fillId="0" borderId="0" xfId="17" applyFont="true" applyBorder="true" applyAlignment="true" applyProtection="true">
      <alignment horizontal="center" vertical="bottom" textRotation="0" wrapText="false" indent="0" shrinkToFit="false"/>
      <protection locked="true" hidden="false"/>
    </xf>
    <xf numFmtId="166" fontId="1" fillId="0" borderId="0" xfId="17" applyFont="true" applyBorder="true" applyAlignment="true" applyProtection="true">
      <alignment horizontal="general" vertical="bottom" textRotation="0" wrapText="false" indent="0" shrinkToFit="false"/>
      <protection locked="true" hidden="false"/>
    </xf>
    <xf numFmtId="170" fontId="0" fillId="0" borderId="0" xfId="15" applyFont="false" applyBorder="true" applyAlignment="true" applyProtection="true">
      <alignment horizontal="general" vertical="bottom" textRotation="0" wrapText="false" indent="0" shrinkToFit="false"/>
      <protection locked="true" hidden="false"/>
    </xf>
    <xf numFmtId="164" fontId="27" fillId="0" borderId="0" xfId="49" applyFont="true" applyBorder="false" applyAlignment="false" applyProtection="false">
      <alignment horizontal="general" vertical="bottom" textRotation="0" wrapText="false" indent="0" shrinkToFit="false"/>
      <protection locked="true" hidden="false"/>
    </xf>
    <xf numFmtId="164" fontId="22" fillId="0" borderId="0" xfId="49" applyFont="true" applyBorder="false" applyAlignment="false" applyProtection="false">
      <alignment horizontal="general" vertical="bottom" textRotation="0" wrapText="false" indent="0" shrinkToFit="false"/>
      <protection locked="true" hidden="false"/>
    </xf>
    <xf numFmtId="164" fontId="1" fillId="0" borderId="0" xfId="49" applyFont="true" applyBorder="false" applyAlignment="true" applyProtection="false">
      <alignment horizontal="left" vertical="bottom" textRotation="0" wrapText="false" indent="3" shrinkToFit="false"/>
      <protection locked="true" hidden="false"/>
    </xf>
    <xf numFmtId="164" fontId="0" fillId="0" borderId="0" xfId="49" applyFont="true" applyBorder="false" applyAlignment="true" applyProtection="false">
      <alignment horizontal="left" vertical="bottom" textRotation="0" wrapText="false" indent="3" shrinkToFit="false"/>
      <protection locked="true" hidden="false"/>
    </xf>
    <xf numFmtId="184"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49"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81" fontId="1" fillId="0" borderId="0" xfId="49" applyFont="false" applyBorder="false" applyAlignment="false" applyProtection="false">
      <alignment horizontal="general" vertical="bottom" textRotation="0" wrapText="false" indent="0" shrinkToFit="false"/>
      <protection locked="true" hidden="false"/>
    </xf>
    <xf numFmtId="164" fontId="35" fillId="0" borderId="0" xfId="50" applyFont="true" applyBorder="false" applyAlignment="false" applyProtection="false">
      <alignment horizontal="general" vertical="bottom" textRotation="0" wrapText="false" indent="0" shrinkToFit="false"/>
      <protection locked="true" hidden="false"/>
    </xf>
    <xf numFmtId="164" fontId="35" fillId="2" borderId="0" xfId="50" applyFont="true" applyBorder="false" applyAlignment="false" applyProtection="false">
      <alignment horizontal="general" vertical="bottom" textRotation="0" wrapText="false" indent="0" shrinkToFit="false"/>
      <protection locked="true" hidden="false"/>
    </xf>
    <xf numFmtId="164" fontId="36" fillId="3" borderId="0" xfId="53" applyFont="true" applyBorder="false" applyAlignment="false" applyProtection="false">
      <alignment horizontal="left" vertical="bottom" textRotation="0" wrapText="false" indent="1" shrinkToFit="false"/>
      <protection locked="true" hidden="false"/>
    </xf>
    <xf numFmtId="164" fontId="37" fillId="3" borderId="0" xfId="50" applyFont="true" applyBorder="false" applyAlignment="false" applyProtection="false">
      <alignment horizontal="general" vertical="bottom" textRotation="0" wrapText="false" indent="0" shrinkToFit="false"/>
      <protection locked="true" hidden="false"/>
    </xf>
    <xf numFmtId="164" fontId="38" fillId="3" borderId="0" xfId="53" applyFont="true" applyBorder="false" applyAlignment="false" applyProtection="false">
      <alignment horizontal="left" vertical="bottom" textRotation="0" wrapText="false" indent="1" shrinkToFit="false"/>
      <protection locked="true" hidden="false"/>
    </xf>
    <xf numFmtId="164" fontId="39" fillId="5" borderId="0" xfId="44" applyFont="true" applyBorder="false" applyAlignment="false" applyProtection="false">
      <alignment horizontal="left" vertical="bottom" textRotation="0" wrapText="false" indent="1" shrinkToFit="false"/>
      <protection locked="true" hidden="false"/>
    </xf>
    <xf numFmtId="164" fontId="35" fillId="5" borderId="0" xfId="50" applyFont="true" applyBorder="false" applyAlignment="false" applyProtection="false">
      <alignment horizontal="general" vertical="bottom" textRotation="0" wrapText="false" indent="0" shrinkToFit="false"/>
      <protection locked="true" hidden="false"/>
    </xf>
    <xf numFmtId="164" fontId="40" fillId="5" borderId="0" xfId="45" applyFont="true" applyBorder="false" applyAlignment="false" applyProtection="false">
      <alignment horizontal="left" vertical="bottom" textRotation="0" wrapText="false" indent="1" shrinkToFit="false"/>
      <protection locked="true" hidden="false"/>
    </xf>
    <xf numFmtId="164" fontId="35" fillId="5" borderId="9" xfId="50" applyFont="true" applyBorder="true" applyAlignment="false" applyProtection="false">
      <alignment horizontal="general" vertical="bottom" textRotation="0" wrapText="false" indent="0" shrinkToFit="false"/>
      <protection locked="true" hidden="false"/>
    </xf>
    <xf numFmtId="164" fontId="35" fillId="5" borderId="10" xfId="50" applyFont="true" applyBorder="true" applyAlignment="false" applyProtection="false">
      <alignment horizontal="general" vertical="bottom" textRotation="0" wrapText="false" indent="0" shrinkToFit="false"/>
      <protection locked="true" hidden="false"/>
    </xf>
    <xf numFmtId="164" fontId="39" fillId="5" borderId="0" xfId="46" applyFont="true" applyBorder="true" applyAlignment="true" applyProtection="false">
      <alignment horizontal="left" vertical="bottom" textRotation="0" wrapText="true" indent="1" shrinkToFit="false"/>
      <protection locked="true" hidden="false"/>
    </xf>
    <xf numFmtId="164" fontId="39" fillId="5" borderId="0" xfId="46" applyFont="true" applyBorder="false" applyAlignment="true" applyProtection="false">
      <alignment horizontal="left" vertical="bottom" textRotation="0" wrapText="true" indent="1" shrinkToFit="false"/>
      <protection locked="true" hidden="false"/>
    </xf>
    <xf numFmtId="164" fontId="41" fillId="5" borderId="0" xfId="47" applyFont="true" applyBorder="true" applyAlignment="true" applyProtection="false">
      <alignment horizontal="left" vertical="bottom" textRotation="0" wrapText="true" indent="1" shrinkToFit="false"/>
      <protection locked="true" hidden="false"/>
    </xf>
    <xf numFmtId="164" fontId="41" fillId="5" borderId="0" xfId="47" applyFont="true" applyBorder="false" applyAlignment="true" applyProtection="false">
      <alignment horizontal="left" vertical="bottom" textRotation="0" wrapText="true" indent="1" shrinkToFit="false"/>
      <protection locked="true" hidden="false"/>
    </xf>
    <xf numFmtId="164" fontId="41" fillId="5" borderId="0" xfId="21" applyFont="true" applyBorder="true" applyAlignment="true" applyProtection="false">
      <alignment horizontal="left" vertical="center" textRotation="0" wrapText="false" indent="1" shrinkToFit="false"/>
      <protection locked="true" hidden="false"/>
    </xf>
    <xf numFmtId="164" fontId="42" fillId="5" borderId="0" xfId="47" applyFont="true" applyBorder="false" applyAlignment="true" applyProtection="false">
      <alignment horizontal="left" vertical="bottom" textRotation="0" wrapText="true" indent="1" shrinkToFit="false"/>
      <protection locked="true" hidden="false"/>
    </xf>
    <xf numFmtId="164" fontId="35" fillId="0" borderId="0" xfId="50" applyFont="true" applyBorder="false" applyAlignment="true" applyProtection="false">
      <alignment horizontal="left" vertical="bottom" textRotation="0" wrapText="true" indent="1" shrinkToFit="false"/>
      <protection locked="true" hidden="false"/>
    </xf>
    <xf numFmtId="167" fontId="0" fillId="2" borderId="0" xfId="15" applyFont="true" applyBorder="true" applyAlignment="true" applyProtection="true">
      <alignment horizontal="general" vertical="bottom" textRotation="0" wrapText="false" indent="0" shrinkToFit="false"/>
      <protection locked="true" hidden="false"/>
    </xf>
    <xf numFmtId="167" fontId="0" fillId="5" borderId="0" xfId="15" applyFont="true" applyBorder="true" applyAlignment="true" applyProtection="true">
      <alignment horizontal="left" vertical="center" textRotation="0" wrapText="false" indent="1" shrinkToFit="false"/>
      <protection locked="true" hidden="false"/>
    </xf>
    <xf numFmtId="164" fontId="41" fillId="5" borderId="0" xfId="21" applyFont="true" applyBorder="true" applyAlignment="false" applyProtection="false">
      <alignment horizontal="left" vertical="center" textRotation="0" wrapText="false" indent="1" shrinkToFit="false"/>
      <protection locked="true" hidden="false"/>
    </xf>
    <xf numFmtId="164" fontId="43" fillId="5" borderId="0" xfId="21" applyFont="true" applyBorder="true" applyAlignment="true" applyProtection="false">
      <alignment horizontal="right" vertical="center" textRotation="0" wrapText="false" indent="0" shrinkToFit="false"/>
      <protection locked="true" hidden="false"/>
    </xf>
    <xf numFmtId="167" fontId="44" fillId="4" borderId="8" xfId="15" applyFont="true" applyBorder="true" applyAlignment="true" applyProtection="true">
      <alignment horizontal="left" vertical="center" textRotation="0" wrapText="false" indent="1" shrinkToFit="false"/>
      <protection locked="true" hidden="false"/>
    </xf>
    <xf numFmtId="167" fontId="0" fillId="4" borderId="0" xfId="15" applyFont="true" applyBorder="true" applyAlignment="true" applyProtection="true">
      <alignment horizontal="general" vertical="bottom" textRotation="0" wrapText="false" indent="0" shrinkToFit="false"/>
      <protection locked="true" hidden="false"/>
    </xf>
    <xf numFmtId="164" fontId="45" fillId="4" borderId="0" xfId="50" applyFont="true" applyBorder="false" applyAlignment="false" applyProtection="false">
      <alignment horizontal="general" vertical="bottom" textRotation="0" wrapText="false" indent="0" shrinkToFit="false"/>
      <protection locked="true" hidden="false"/>
    </xf>
    <xf numFmtId="164" fontId="45" fillId="4" borderId="0" xfId="50" applyFont="true" applyBorder="true" applyAlignment="false" applyProtection="false">
      <alignment horizontal="general" vertical="bottom" textRotation="0" wrapText="false" indent="0" shrinkToFit="false"/>
      <protection locked="true" hidden="false"/>
    </xf>
    <xf numFmtId="164" fontId="45" fillId="4" borderId="11" xfId="50" applyFont="true" applyBorder="true" applyAlignment="false" applyProtection="false">
      <alignment horizontal="general" vertical="bottom" textRotation="0" wrapText="false" indent="0" shrinkToFit="false"/>
      <protection locked="true" hidden="false"/>
    </xf>
    <xf numFmtId="167" fontId="0" fillId="4" borderId="8" xfId="15" applyFont="true" applyBorder="true" applyAlignment="true" applyProtection="true">
      <alignment horizontal="left" vertical="center" textRotation="0" wrapText="false" indent="1" shrinkToFit="false"/>
      <protection locked="true" hidden="false"/>
    </xf>
    <xf numFmtId="165" fontId="46" fillId="4" borderId="8" xfId="33" applyFont="true" applyBorder="true" applyAlignment="false" applyProtection="false">
      <alignment horizontal="left" vertical="center" textRotation="0" wrapText="false" indent="1" shrinkToFit="false"/>
      <protection locked="true" hidden="false"/>
    </xf>
    <xf numFmtId="165" fontId="46" fillId="4" borderId="12" xfId="33" applyFont="true" applyBorder="true" applyAlignment="false" applyProtection="false">
      <alignment horizontal="left" vertical="center" textRotation="0" wrapText="false" indent="1" shrinkToFit="false"/>
      <protection locked="true" hidden="false"/>
    </xf>
    <xf numFmtId="167" fontId="0" fillId="0" borderId="13" xfId="15" applyFont="true" applyBorder="true" applyAlignment="true" applyProtection="true">
      <alignment horizontal="general" vertical="bottom" textRotation="0" wrapText="false" indent="0" shrinkToFit="false"/>
      <protection locked="true" hidden="false"/>
    </xf>
    <xf numFmtId="167" fontId="0" fillId="2" borderId="14" xfId="15" applyFont="true" applyBorder="true" applyAlignment="true" applyProtection="true">
      <alignment horizontal="center" vertical="bottom" textRotation="0" wrapText="false" indent="0" shrinkToFit="false"/>
      <protection locked="true" hidden="false"/>
    </xf>
    <xf numFmtId="167" fontId="0" fillId="0" borderId="14" xfId="15" applyFont="true" applyBorder="true" applyAlignment="true" applyProtection="true">
      <alignment horizontal="general" vertical="bottom" textRotation="0" wrapText="false" indent="0" shrinkToFit="false"/>
      <protection locked="true" hidden="false"/>
    </xf>
    <xf numFmtId="167" fontId="0" fillId="2" borderId="14" xfId="15" applyFont="true" applyBorder="true" applyAlignment="true" applyProtection="true">
      <alignment horizontal="general" vertical="bottom" textRotation="0" wrapText="false" indent="0" shrinkToFit="false"/>
      <protection locked="true" hidden="false"/>
    </xf>
    <xf numFmtId="167" fontId="0" fillId="2" borderId="15" xfId="15" applyFont="true" applyBorder="true" applyAlignment="true" applyProtection="true">
      <alignment horizontal="general" vertical="bottom" textRotation="0" wrapText="false" indent="0" shrinkToFit="false"/>
      <protection locked="true" hidden="false"/>
    </xf>
    <xf numFmtId="167" fontId="0" fillId="2" borderId="16" xfId="15" applyFont="true" applyBorder="true" applyAlignment="true" applyProtection="true">
      <alignment horizontal="general" vertical="bottom" textRotation="0" wrapText="false" indent="0" shrinkToFit="false"/>
      <protection locked="true" hidden="false"/>
    </xf>
    <xf numFmtId="164" fontId="45" fillId="2" borderId="16" xfId="50" applyFont="true" applyBorder="true" applyAlignment="true" applyProtection="false">
      <alignment horizontal="general" vertical="bottom" textRotation="0" wrapText="false" indent="0" shrinkToFit="false"/>
      <protection locked="true" hidden="false"/>
    </xf>
    <xf numFmtId="164" fontId="45" fillId="2" borderId="15" xfId="50" applyFont="true" applyBorder="true" applyAlignment="true" applyProtection="false">
      <alignment horizontal="general" vertical="bottom" textRotation="0" wrapText="false" indent="0" shrinkToFit="false"/>
      <protection locked="true" hidden="false"/>
    </xf>
    <xf numFmtId="167" fontId="30" fillId="2" borderId="17" xfId="15" applyFont="true" applyBorder="true" applyAlignment="true" applyProtection="true">
      <alignment horizontal="left" vertical="top" textRotation="0" wrapText="false" indent="1" shrinkToFit="false"/>
      <protection locked="true" hidden="false"/>
    </xf>
    <xf numFmtId="185" fontId="47" fillId="2" borderId="18" xfId="15" applyFont="true" applyBorder="true" applyAlignment="true" applyProtection="true">
      <alignment horizontal="center" vertical="top" textRotation="0" wrapText="false" indent="0" shrinkToFit="false"/>
      <protection locked="true" hidden="false"/>
    </xf>
    <xf numFmtId="185" fontId="47" fillId="2" borderId="19" xfId="15" applyFont="true" applyBorder="true" applyAlignment="true" applyProtection="true">
      <alignment horizontal="center" vertical="top" textRotation="0" wrapText="false" indent="0" shrinkToFit="false"/>
      <protection locked="true" hidden="false"/>
    </xf>
    <xf numFmtId="185" fontId="47" fillId="2" borderId="20" xfId="15" applyFont="true" applyBorder="true" applyAlignment="true" applyProtection="true">
      <alignment horizontal="center" vertical="top" textRotation="0" wrapText="false" indent="0" shrinkToFit="false"/>
      <protection locked="true" hidden="false"/>
    </xf>
    <xf numFmtId="164" fontId="48" fillId="2" borderId="20" xfId="37" applyFont="true" applyBorder="true" applyAlignment="false" applyProtection="false">
      <alignment horizontal="center" vertical="top" textRotation="0" wrapText="false" indent="0" shrinkToFit="false"/>
      <protection locked="true" hidden="false"/>
    </xf>
    <xf numFmtId="164" fontId="48" fillId="2" borderId="19" xfId="37" applyFont="true" applyBorder="true" applyAlignment="false" applyProtection="false">
      <alignment horizontal="center" vertical="top" textRotation="0" wrapText="false" indent="0" shrinkToFit="false"/>
      <protection locked="true" hidden="false"/>
    </xf>
    <xf numFmtId="167" fontId="0" fillId="2" borderId="13" xfId="15" applyFont="true" applyBorder="true" applyAlignment="true" applyProtection="true">
      <alignment horizontal="left" vertical="top" textRotation="0" wrapText="false" indent="1" shrinkToFit="false"/>
      <protection locked="true" hidden="false"/>
    </xf>
    <xf numFmtId="186" fontId="30" fillId="2" borderId="18" xfId="15" applyFont="true" applyBorder="true" applyAlignment="true" applyProtection="true">
      <alignment horizontal="center" vertical="top" textRotation="0" wrapText="false" indent="0" shrinkToFit="false"/>
      <protection locked="true" hidden="false"/>
    </xf>
    <xf numFmtId="186" fontId="30" fillId="2" borderId="19" xfId="15" applyFont="true" applyBorder="true" applyAlignment="true" applyProtection="true">
      <alignment horizontal="center" vertical="top" textRotation="0" wrapText="false" indent="0" shrinkToFit="false"/>
      <protection locked="true" hidden="false"/>
    </xf>
    <xf numFmtId="186" fontId="30" fillId="2" borderId="20" xfId="15" applyFont="true" applyBorder="true" applyAlignment="true" applyProtection="true">
      <alignment horizontal="center" vertical="top" textRotation="0" wrapText="false" indent="0" shrinkToFit="false"/>
      <protection locked="true" hidden="false"/>
    </xf>
    <xf numFmtId="186" fontId="0" fillId="2" borderId="18" xfId="15" applyFont="true" applyBorder="true" applyAlignment="true" applyProtection="true">
      <alignment horizontal="left" vertical="top" textRotation="0" wrapText="false" indent="0" shrinkToFit="false"/>
      <protection locked="true" hidden="false"/>
    </xf>
    <xf numFmtId="164" fontId="35" fillId="0" borderId="0" xfId="50" applyFont="true" applyBorder="true" applyAlignment="false" applyProtection="false">
      <alignment horizontal="general" vertical="bottom" textRotation="0" wrapText="false" indent="0" shrinkToFit="false"/>
      <protection locked="true" hidden="false"/>
    </xf>
    <xf numFmtId="167" fontId="30" fillId="2" borderId="13" xfId="15" applyFont="true" applyBorder="true" applyAlignment="true" applyProtection="true">
      <alignment horizontal="left" vertical="center" textRotation="0" wrapText="false" indent="1" shrinkToFit="false"/>
      <protection locked="true" hidden="false"/>
    </xf>
    <xf numFmtId="167" fontId="0" fillId="0" borderId="21" xfId="15" applyFont="true" applyBorder="true" applyAlignment="true" applyProtection="true">
      <alignment horizontal="general" vertical="bottom" textRotation="0" wrapText="false" indent="0" shrinkToFit="false"/>
      <protection locked="true" hidden="false"/>
    </xf>
    <xf numFmtId="167" fontId="0" fillId="0" borderId="22" xfId="15" applyFont="true" applyBorder="true" applyAlignment="true" applyProtection="true">
      <alignment horizontal="general" vertical="bottom" textRotation="0" wrapText="false" indent="0" shrinkToFit="false"/>
      <protection locked="true" hidden="false"/>
    </xf>
    <xf numFmtId="167" fontId="0" fillId="0" borderId="23" xfId="15" applyFont="true" applyBorder="true" applyAlignment="true" applyProtection="true">
      <alignment horizontal="general" vertical="bottom" textRotation="0" wrapText="false" indent="0" shrinkToFit="false"/>
      <protection locked="true" hidden="false"/>
    </xf>
    <xf numFmtId="167" fontId="0" fillId="2" borderId="24" xfId="15" applyFont="true" applyBorder="true" applyAlignment="true" applyProtection="true">
      <alignment horizontal="left" vertical="center" textRotation="0" wrapText="false" indent="1" shrinkToFit="false"/>
      <protection locked="true" hidden="false"/>
    </xf>
    <xf numFmtId="167" fontId="0" fillId="7" borderId="25" xfId="15" applyFont="true" applyBorder="true" applyAlignment="true" applyProtection="true">
      <alignment horizontal="general" vertical="bottom" textRotation="0" wrapText="false" indent="0" shrinkToFit="false"/>
      <protection locked="true" hidden="false"/>
    </xf>
    <xf numFmtId="167" fontId="0" fillId="0" borderId="25" xfId="15" applyFont="true" applyBorder="true" applyAlignment="true" applyProtection="true">
      <alignment horizontal="general" vertical="bottom" textRotation="0" wrapText="false" indent="0" shrinkToFit="false"/>
      <protection locked="true" hidden="false"/>
    </xf>
    <xf numFmtId="170" fontId="0" fillId="0" borderId="25" xfId="15" applyFont="true" applyBorder="true" applyAlignment="true" applyProtection="true">
      <alignment horizontal="general" vertical="center" textRotation="0" wrapText="false" indent="0" shrinkToFit="false"/>
      <protection locked="true" hidden="false"/>
    </xf>
    <xf numFmtId="170" fontId="0" fillId="2" borderId="25" xfId="15" applyFont="true" applyBorder="true" applyAlignment="true" applyProtection="true">
      <alignment horizontal="general" vertical="center" textRotation="0" wrapText="false" indent="0" shrinkToFit="false"/>
      <protection locked="true" hidden="false"/>
    </xf>
    <xf numFmtId="164" fontId="45" fillId="0" borderId="25" xfId="50" applyFont="true" applyBorder="true" applyAlignment="false" applyProtection="false">
      <alignment horizontal="general" vertical="bottom" textRotation="0" wrapText="false" indent="0" shrinkToFit="false"/>
      <protection locked="true" hidden="false"/>
    </xf>
    <xf numFmtId="170" fontId="0" fillId="0" borderId="25" xfId="15" applyFont="true" applyBorder="true" applyAlignment="true" applyProtection="true">
      <alignment horizontal="general" vertical="bottom" textRotation="0" wrapText="false" indent="0" shrinkToFit="false"/>
      <protection locked="true" hidden="false"/>
    </xf>
    <xf numFmtId="170" fontId="0" fillId="8" borderId="25" xfId="15" applyFont="true" applyBorder="true" applyAlignment="true" applyProtection="true">
      <alignment horizontal="general" vertical="bottom" textRotation="0" wrapText="false" indent="0" shrinkToFit="false"/>
      <protection locked="true" hidden="false"/>
    </xf>
    <xf numFmtId="170" fontId="45" fillId="0" borderId="25" xfId="50" applyFont="true" applyBorder="true" applyAlignment="false" applyProtection="false">
      <alignment horizontal="general" vertical="bottom" textRotation="0" wrapText="false" indent="0" shrinkToFit="false"/>
      <protection locked="true" hidden="false"/>
    </xf>
    <xf numFmtId="170" fontId="0" fillId="9" borderId="25" xfId="15" applyFont="true" applyBorder="true" applyAlignment="true" applyProtection="true">
      <alignment horizontal="general" vertical="bottom" textRotation="0" wrapText="false" indent="0" shrinkToFit="false"/>
      <protection locked="true" hidden="false"/>
    </xf>
    <xf numFmtId="167" fontId="0" fillId="0" borderId="26" xfId="15" applyFont="true" applyBorder="true" applyAlignment="true" applyProtection="true">
      <alignment horizontal="left" vertical="bottom" textRotation="0" wrapText="false" indent="4" shrinkToFit="false"/>
      <protection locked="true" hidden="false"/>
    </xf>
    <xf numFmtId="170" fontId="0" fillId="5" borderId="25" xfId="15" applyFont="true" applyBorder="true" applyAlignment="true" applyProtection="true">
      <alignment horizontal="general" vertical="center" textRotation="0" wrapText="false" indent="0" shrinkToFit="false"/>
      <protection locked="true" hidden="false"/>
    </xf>
    <xf numFmtId="167" fontId="0" fillId="2" borderId="27" xfId="15" applyFont="true" applyBorder="true" applyAlignment="true" applyProtection="true">
      <alignment horizontal="left" vertical="center" textRotation="0" wrapText="false" indent="4" shrinkToFit="false"/>
      <protection locked="true" hidden="false"/>
    </xf>
    <xf numFmtId="170" fontId="0" fillId="10" borderId="25" xfId="15" applyFont="true" applyBorder="true" applyAlignment="true" applyProtection="true">
      <alignment horizontal="general" vertical="center" textRotation="0" wrapText="false" indent="0" shrinkToFit="false"/>
      <protection locked="true" hidden="false"/>
    </xf>
    <xf numFmtId="167" fontId="0" fillId="2" borderId="28" xfId="15" applyFont="true" applyBorder="true" applyAlignment="true" applyProtection="true">
      <alignment horizontal="left" vertical="center" textRotation="0" wrapText="false" indent="1" shrinkToFit="false"/>
      <protection locked="true" hidden="false"/>
    </xf>
    <xf numFmtId="167" fontId="30" fillId="2" borderId="28" xfId="15" applyFont="true" applyBorder="true" applyAlignment="true" applyProtection="true">
      <alignment horizontal="left" vertical="center" textRotation="0" wrapText="false" indent="1" shrinkToFit="false"/>
      <protection locked="true" hidden="false"/>
    </xf>
    <xf numFmtId="181" fontId="0" fillId="0" borderId="25" xfId="19" applyFont="true" applyBorder="true" applyAlignment="true" applyProtection="true">
      <alignment horizontal="general" vertical="center" textRotation="0" wrapText="false" indent="0" shrinkToFit="false"/>
      <protection locked="true" hidden="false"/>
    </xf>
    <xf numFmtId="167" fontId="28" fillId="2" borderId="27" xfId="15" applyFont="true" applyBorder="true" applyAlignment="true" applyProtection="true">
      <alignment horizontal="left" vertical="center" textRotation="0" wrapText="false" indent="1" shrinkToFit="false"/>
      <protection locked="true" hidden="false"/>
    </xf>
    <xf numFmtId="167" fontId="0" fillId="2" borderId="29" xfId="15" applyFont="true" applyBorder="true" applyAlignment="true" applyProtection="true">
      <alignment horizontal="left" vertical="center" textRotation="0" wrapText="false" indent="4" shrinkToFit="false"/>
      <protection locked="true" hidden="false"/>
    </xf>
    <xf numFmtId="170" fontId="0" fillId="2" borderId="30" xfId="15" applyFont="true" applyBorder="true" applyAlignment="true" applyProtection="true">
      <alignment horizontal="general" vertical="center" textRotation="0" wrapText="false" indent="0" shrinkToFit="false"/>
      <protection locked="true" hidden="false"/>
    </xf>
    <xf numFmtId="170" fontId="0" fillId="0" borderId="30" xfId="15" applyFont="true" applyBorder="true" applyAlignment="true" applyProtection="true">
      <alignment horizontal="general" vertical="center" textRotation="0" wrapText="false" indent="0" shrinkToFit="false"/>
      <protection locked="true" hidden="false"/>
    </xf>
    <xf numFmtId="181" fontId="0" fillId="0" borderId="30" xfId="19" applyFont="true" applyBorder="true" applyAlignment="true" applyProtection="true">
      <alignment horizontal="general" vertical="center" textRotation="0" wrapText="false" indent="0" shrinkToFit="false"/>
      <protection locked="true" hidden="false"/>
    </xf>
    <xf numFmtId="167" fontId="0" fillId="2" borderId="31" xfId="15" applyFont="true" applyBorder="true" applyAlignment="true" applyProtection="true">
      <alignment horizontal="left" vertical="center" textRotation="0" wrapText="false" indent="4" shrinkToFit="false"/>
      <protection locked="true" hidden="false"/>
    </xf>
    <xf numFmtId="170" fontId="0" fillId="2" borderId="32" xfId="15" applyFont="true" applyBorder="true" applyAlignment="true" applyProtection="true">
      <alignment horizontal="general" vertical="center" textRotation="0" wrapText="false" indent="0" shrinkToFit="false"/>
      <protection locked="true" hidden="false"/>
    </xf>
    <xf numFmtId="181" fontId="0" fillId="2" borderId="32" xfId="19" applyFont="true" applyBorder="true" applyAlignment="true" applyProtection="true">
      <alignment horizontal="general" vertical="center" textRotation="0" wrapText="false" indent="0" shrinkToFit="false"/>
      <protection locked="true" hidden="false"/>
    </xf>
    <xf numFmtId="167" fontId="0" fillId="2" borderId="33" xfId="15" applyFont="true" applyBorder="true" applyAlignment="true" applyProtection="true">
      <alignment horizontal="left" vertical="center" textRotation="0" wrapText="false" indent="4" shrinkToFit="false"/>
      <protection locked="true" hidden="false"/>
    </xf>
    <xf numFmtId="167" fontId="0" fillId="2" borderId="27" xfId="15" applyFont="true" applyBorder="true" applyAlignment="true" applyProtection="true">
      <alignment horizontal="left" vertical="center" textRotation="0" wrapText="false" indent="3" shrinkToFit="false"/>
      <protection locked="true" hidden="false"/>
    </xf>
    <xf numFmtId="170" fontId="0" fillId="2" borderId="34" xfId="15" applyFont="true" applyBorder="true" applyAlignment="true" applyProtection="true">
      <alignment horizontal="general" vertical="center" textRotation="0" wrapText="false" indent="0" shrinkToFit="false"/>
      <protection locked="true" hidden="false"/>
    </xf>
    <xf numFmtId="170" fontId="0" fillId="0" borderId="34" xfId="15" applyFont="true" applyBorder="true" applyAlignment="true" applyProtection="true">
      <alignment horizontal="general" vertical="center" textRotation="0" wrapText="false" indent="0" shrinkToFit="false"/>
      <protection locked="true" hidden="false"/>
    </xf>
    <xf numFmtId="181" fontId="0" fillId="0" borderId="34" xfId="19" applyFont="true" applyBorder="true" applyAlignment="true" applyProtection="true">
      <alignment horizontal="general" vertical="center" textRotation="0" wrapText="false" indent="0" shrinkToFit="false"/>
      <protection locked="true" hidden="false"/>
    </xf>
    <xf numFmtId="167" fontId="30" fillId="2" borderId="35" xfId="15" applyFont="true" applyBorder="true" applyAlignment="true" applyProtection="true">
      <alignment horizontal="left" vertical="top" textRotation="0" wrapText="false" indent="1" shrinkToFit="false"/>
      <protection locked="true" hidden="false"/>
    </xf>
    <xf numFmtId="170" fontId="30" fillId="0" borderId="36" xfId="15" applyFont="true" applyBorder="true" applyAlignment="true" applyProtection="true">
      <alignment horizontal="general" vertical="center" textRotation="0" wrapText="false" indent="0" shrinkToFit="false"/>
      <protection locked="true" hidden="false"/>
    </xf>
    <xf numFmtId="181" fontId="30" fillId="0" borderId="36" xfId="19" applyFont="true" applyBorder="true" applyAlignment="true" applyProtection="true">
      <alignment horizontal="general" vertical="center" textRotation="0" wrapText="false" indent="0" shrinkToFit="false"/>
      <protection locked="true" hidden="false"/>
    </xf>
    <xf numFmtId="167" fontId="0" fillId="0" borderId="37" xfId="15" applyFont="true" applyBorder="true" applyAlignment="true" applyProtection="true">
      <alignment horizontal="general" vertical="bottom" textRotation="0" wrapText="false" indent="0" shrinkToFit="false"/>
      <protection locked="true" hidden="false"/>
    </xf>
    <xf numFmtId="170" fontId="0" fillId="0" borderId="32" xfId="15" applyFont="true" applyBorder="true" applyAlignment="true" applyProtection="true">
      <alignment horizontal="general" vertical="bottom" textRotation="0" wrapText="false" indent="0" shrinkToFit="false"/>
      <protection locked="true" hidden="false"/>
    </xf>
    <xf numFmtId="181" fontId="0" fillId="2" borderId="25" xfId="19" applyFont="true" applyBorder="true" applyAlignment="true" applyProtection="true">
      <alignment horizontal="general" vertical="center" textRotation="0" wrapText="false" indent="0" shrinkToFit="false"/>
      <protection locked="true" hidden="false"/>
    </xf>
    <xf numFmtId="164" fontId="35" fillId="0" borderId="25" xfId="50" applyFont="true" applyBorder="true" applyAlignment="false" applyProtection="false">
      <alignment horizontal="general" vertical="bottom" textRotation="0" wrapText="false" indent="0" shrinkToFit="false"/>
      <protection locked="true" hidden="false"/>
    </xf>
    <xf numFmtId="170" fontId="35" fillId="0" borderId="0" xfId="50" applyFont="true" applyBorder="false" applyAlignment="false" applyProtection="false">
      <alignment horizontal="general" vertical="bottom" textRotation="0" wrapText="false" indent="0" shrinkToFit="false"/>
      <protection locked="true" hidden="false"/>
    </xf>
    <xf numFmtId="187" fontId="35" fillId="0" borderId="0" xfId="50" applyFont="true" applyBorder="false" applyAlignment="false" applyProtection="false">
      <alignment horizontal="general" vertical="bottom" textRotation="0" wrapText="false" indent="0" shrinkToFit="false"/>
      <protection locked="true" hidden="false"/>
    </xf>
    <xf numFmtId="167" fontId="49" fillId="2" borderId="27" xfId="15" applyFont="true" applyBorder="true" applyAlignment="true" applyProtection="true">
      <alignment horizontal="left" vertical="center" textRotation="0" wrapText="false" indent="3" shrinkToFit="false"/>
      <protection locked="true" hidden="false"/>
    </xf>
    <xf numFmtId="164" fontId="35" fillId="0" borderId="25" xfId="50" applyFont="true" applyBorder="true" applyAlignment="true" applyProtection="false">
      <alignment horizontal="left" vertical="bottom" textRotation="0" wrapText="false" indent="4" shrinkToFit="false"/>
      <protection locked="true" hidden="false"/>
    </xf>
    <xf numFmtId="164" fontId="35" fillId="0" borderId="0" xfId="50" applyFont="true" applyBorder="false" applyAlignment="true" applyProtection="false">
      <alignment horizontal="left" vertical="bottom" textRotation="0" wrapText="false" indent="4" shrinkToFit="false"/>
      <protection locked="true" hidden="false"/>
    </xf>
    <xf numFmtId="167" fontId="0" fillId="2" borderId="38" xfId="15" applyFont="true" applyBorder="true" applyAlignment="true" applyProtection="true">
      <alignment horizontal="left" vertical="center" textRotation="0" wrapText="false" indent="3" shrinkToFit="false"/>
      <protection locked="true" hidden="false"/>
    </xf>
    <xf numFmtId="167" fontId="30" fillId="2" borderId="39" xfId="15" applyFont="true" applyBorder="true" applyAlignment="true" applyProtection="true">
      <alignment horizontal="left" vertical="top" textRotation="0" wrapText="false" indent="1" shrinkToFit="false"/>
      <protection locked="true" hidden="false"/>
    </xf>
    <xf numFmtId="170" fontId="30" fillId="0" borderId="40" xfId="15" applyFont="true" applyBorder="true" applyAlignment="true" applyProtection="true">
      <alignment horizontal="general" vertical="center" textRotation="0" wrapText="false" indent="0" shrinkToFit="false"/>
      <protection locked="true" hidden="false"/>
    </xf>
    <xf numFmtId="181" fontId="30" fillId="0" borderId="40" xfId="19" applyFont="true" applyBorder="true" applyAlignment="true" applyProtection="true">
      <alignment horizontal="general" vertical="center" textRotation="0" wrapText="false" indent="0" shrinkToFit="false"/>
      <protection locked="true" hidden="false"/>
    </xf>
    <xf numFmtId="170" fontId="0" fillId="2" borderId="41" xfId="15" applyFont="true" applyBorder="true" applyAlignment="true" applyProtection="true">
      <alignment horizontal="general" vertical="center" textRotation="0" wrapText="false" indent="0" shrinkToFit="false"/>
      <protection locked="true" hidden="false"/>
    </xf>
    <xf numFmtId="181" fontId="0" fillId="2" borderId="41" xfId="19" applyFont="true" applyBorder="true" applyAlignment="true" applyProtection="true">
      <alignment horizontal="general" vertical="center" textRotation="0" wrapText="false" indent="0" shrinkToFit="false"/>
      <protection locked="true" hidden="false"/>
    </xf>
    <xf numFmtId="167" fontId="30" fillId="0" borderId="39" xfId="15" applyFont="true" applyBorder="true" applyAlignment="true" applyProtection="true">
      <alignment horizontal="left" vertical="top" textRotation="0" wrapText="false" indent="1" shrinkToFit="false"/>
      <protection locked="true" hidden="false"/>
    </xf>
    <xf numFmtId="170" fontId="30" fillId="0" borderId="42" xfId="15" applyFont="true" applyBorder="true" applyAlignment="true" applyProtection="true">
      <alignment horizontal="general" vertical="center" textRotation="0" wrapText="false" indent="0" shrinkToFit="false"/>
      <protection locked="true" hidden="false"/>
    </xf>
    <xf numFmtId="181" fontId="0" fillId="0" borderId="35" xfId="19" applyFont="true" applyBorder="true" applyAlignment="true" applyProtection="true">
      <alignment horizontal="general" vertical="center"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35" fillId="0" borderId="0" xfId="50" applyFont="true" applyBorder="false" applyAlignment="false" applyProtection="false">
      <alignment horizontal="general" vertical="bottom" textRotation="0" wrapText="false" indent="0" shrinkToFit="false"/>
      <protection locked="true" hidden="false"/>
    </xf>
    <xf numFmtId="170" fontId="30" fillId="0" borderId="35" xfId="15" applyFont="true" applyBorder="true" applyAlignment="true" applyProtection="true">
      <alignment horizontal="general" vertical="center" textRotation="0" wrapText="false" indent="0" shrinkToFit="false"/>
      <protection locked="true" hidden="false"/>
    </xf>
    <xf numFmtId="181" fontId="0" fillId="2" borderId="35" xfId="19" applyFont="true" applyBorder="true" applyAlignment="true" applyProtection="true">
      <alignment horizontal="general" vertical="center" textRotation="0" wrapText="false" indent="0" shrinkToFit="false"/>
      <protection locked="true" hidden="false"/>
    </xf>
    <xf numFmtId="167" fontId="0" fillId="0" borderId="38" xfId="15"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left" vertical="top" textRotation="0" wrapText="false" indent="1" shrinkToFit="false"/>
      <protection locked="true" hidden="false"/>
    </xf>
    <xf numFmtId="170" fontId="0" fillId="0" borderId="0" xfId="15" applyFont="true" applyBorder="true" applyAlignment="true" applyProtection="true">
      <alignment horizontal="general" vertical="center" textRotation="0" wrapText="false" indent="0" shrinkToFit="false"/>
      <protection locked="true" hidden="false"/>
    </xf>
    <xf numFmtId="181" fontId="0" fillId="0" borderId="0" xfId="19" applyFont="true" applyBorder="true" applyAlignment="true" applyProtection="true">
      <alignment horizontal="general" vertical="center" textRotation="0" wrapText="false" indent="0" shrinkToFit="false"/>
      <protection locked="true" hidden="false"/>
    </xf>
    <xf numFmtId="167" fontId="47" fillId="0" borderId="0" xfId="15" applyFont="true" applyBorder="true" applyAlignment="true" applyProtection="true">
      <alignment horizontal="left" vertical="top" textRotation="0" wrapText="false" indent="1" shrinkToFit="false"/>
      <protection locked="true" hidden="false"/>
    </xf>
    <xf numFmtId="181" fontId="47" fillId="0" borderId="0" xfId="19" applyFont="true" applyBorder="true" applyAlignment="true" applyProtection="true">
      <alignment horizontal="left" vertical="top" textRotation="0" wrapText="false" indent="1" shrinkToFit="false"/>
      <protection locked="true" hidden="false"/>
    </xf>
    <xf numFmtId="166" fontId="0" fillId="0" borderId="0" xfId="15" applyFont="tru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28" fillId="0" borderId="0" xfId="49" applyFont="true" applyBorder="false" applyAlignment="true" applyProtection="false">
      <alignment horizontal="center" vertical="bottom" textRotation="0" wrapText="true" indent="0" shrinkToFit="false"/>
      <protection locked="true" hidden="false"/>
    </xf>
    <xf numFmtId="164" fontId="0" fillId="11" borderId="0" xfId="49" applyFont="true" applyBorder="false" applyAlignment="false" applyProtection="false">
      <alignment horizontal="general" vertical="bottom" textRotation="0" wrapText="false" indent="0" shrinkToFit="false"/>
      <protection locked="true" hidden="false"/>
    </xf>
    <xf numFmtId="176" fontId="0" fillId="11" borderId="0" xfId="26" applyFont="true" applyBorder="true" applyAlignment="true" applyProtection="true">
      <alignment horizontal="general" vertical="bottom" textRotation="0" wrapText="false" indent="0" shrinkToFit="false"/>
      <protection locked="true" hidden="false"/>
    </xf>
    <xf numFmtId="179" fontId="0" fillId="11" borderId="0" xfId="17" applyFont="true" applyBorder="true" applyAlignment="true" applyProtection="true">
      <alignment horizontal="general" vertical="bottom" textRotation="0" wrapText="false" indent="0" shrinkToFit="false"/>
      <protection locked="true" hidden="false"/>
    </xf>
    <xf numFmtId="169" fontId="0" fillId="11" borderId="0" xfId="49" applyFont="true" applyBorder="false" applyAlignment="false" applyProtection="false">
      <alignment horizontal="general" vertical="bottom" textRotation="0" wrapText="false" indent="0" shrinkToFit="false"/>
      <protection locked="true" hidden="false"/>
    </xf>
    <xf numFmtId="164" fontId="0" fillId="0" borderId="0" xfId="49" applyFont="true" applyBorder="false" applyAlignment="true" applyProtection="false">
      <alignment horizontal="center" vertical="bottom" textRotation="0" wrapText="false" indent="0" shrinkToFit="false"/>
      <protection locked="true" hidden="false"/>
    </xf>
    <xf numFmtId="176" fontId="0" fillId="0" borderId="0" xfId="26" applyFont="true" applyBorder="true" applyAlignment="true" applyProtection="true">
      <alignment horizontal="general" vertical="bottom" textRotation="0" wrapText="false" indent="0" shrinkToFit="false"/>
      <protection locked="true" hidden="false"/>
    </xf>
    <xf numFmtId="169" fontId="0" fillId="0" borderId="0" xfId="49" applyFont="true" applyBorder="false" applyAlignment="false" applyProtection="false">
      <alignment horizontal="general" vertical="bottom" textRotation="0" wrapText="false" indent="0" shrinkToFit="false"/>
      <protection locked="true" hidden="false"/>
    </xf>
    <xf numFmtId="176"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49" applyFont="true" applyBorder="false" applyAlignment="true" applyProtection="false">
      <alignment horizontal="center" vertical="bottom" textRotation="0" wrapText="false" indent="0" shrinkToFit="false"/>
      <protection locked="true" hidden="false"/>
    </xf>
    <xf numFmtId="180" fontId="0" fillId="11" borderId="0" xfId="17" applyFont="true" applyBorder="true" applyAlignment="true" applyProtection="true">
      <alignment horizontal="general" vertical="bottom" textRotation="0" wrapText="false" indent="0" shrinkToFit="false"/>
      <protection locked="true" hidden="false"/>
    </xf>
    <xf numFmtId="167" fontId="30" fillId="0" borderId="1" xfId="15" applyFont="true" applyBorder="true" applyAlignment="true" applyProtection="true">
      <alignment horizontal="general" vertical="bottom" textRotation="0" wrapText="false" indent="0" shrinkToFit="false"/>
      <protection locked="true" hidden="false"/>
    </xf>
    <xf numFmtId="182" fontId="30" fillId="0" borderId="1" xfId="17" applyFont="true" applyBorder="true" applyAlignment="true" applyProtection="true">
      <alignment horizontal="general" vertical="bottom" textRotation="0" wrapText="false" indent="0" shrinkToFit="false"/>
      <protection locked="true" hidden="false"/>
    </xf>
    <xf numFmtId="181" fontId="30" fillId="0" borderId="1" xfId="19"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51" fillId="0" borderId="0" xfId="49" applyFont="true" applyBorder="false" applyAlignment="true" applyProtection="false">
      <alignment horizontal="general" vertical="bottom" textRotation="0" wrapText="false" indent="0" shrinkToFit="false"/>
      <protection locked="true" hidden="false"/>
    </xf>
    <xf numFmtId="164" fontId="26" fillId="5" borderId="1" xfId="49" applyFont="true" applyBorder="true" applyAlignment="true" applyProtection="false">
      <alignment horizontal="left" vertical="bottom" textRotation="0" wrapText="false" indent="0" shrinkToFit="false"/>
      <protection locked="true" hidden="false"/>
    </xf>
    <xf numFmtId="164" fontId="52" fillId="0" borderId="0" xfId="49" applyFont="true" applyBorder="true" applyAlignment="true" applyProtection="false">
      <alignment horizontal="general" vertical="bottom" textRotation="0" wrapText="false" indent="0" shrinkToFit="false"/>
      <protection locked="true" hidden="false"/>
    </xf>
    <xf numFmtId="173" fontId="52" fillId="0" borderId="0" xfId="49" applyFont="true" applyBorder="true" applyAlignment="true" applyProtection="false">
      <alignment horizontal="general" vertical="bottom" textRotation="0" wrapText="false" indent="0" shrinkToFit="false"/>
      <protection locked="true" hidden="false"/>
    </xf>
    <xf numFmtId="164" fontId="51" fillId="0" borderId="0" xfId="49" applyFont="true" applyBorder="true" applyAlignment="true" applyProtection="false">
      <alignment horizontal="general" vertical="bottom" textRotation="0" wrapText="false" indent="0" shrinkToFit="false"/>
      <protection locked="true" hidden="false"/>
    </xf>
    <xf numFmtId="164" fontId="52" fillId="0" borderId="0" xfId="49" applyFont="true" applyBorder="false" applyAlignment="true" applyProtection="false">
      <alignment horizontal="general" vertical="bottom" textRotation="0" wrapText="false" indent="0" shrinkToFit="false"/>
      <protection locked="true" hidden="false"/>
    </xf>
    <xf numFmtId="164" fontId="53" fillId="0" borderId="0" xfId="49" applyFont="true" applyBorder="false" applyAlignment="true" applyProtection="false">
      <alignment horizontal="center" vertical="bottom" textRotation="0" wrapText="false" indent="0" shrinkToFit="false"/>
      <protection locked="true" hidden="false"/>
    </xf>
    <xf numFmtId="164" fontId="53" fillId="0" borderId="0" xfId="49" applyFont="true" applyBorder="false" applyAlignment="true" applyProtection="false">
      <alignment horizontal="general" vertical="bottom" textRotation="0" wrapText="false" indent="0" shrinkToFit="false"/>
      <protection locked="true" hidden="false"/>
    </xf>
    <xf numFmtId="164" fontId="51" fillId="0" borderId="0" xfId="51" applyFont="true" applyBorder="false" applyAlignment="true" applyProtection="false">
      <alignment horizontal="general" vertical="bottom" textRotation="0" wrapText="false" indent="0" shrinkToFit="false"/>
      <protection locked="true" hidden="false"/>
    </xf>
    <xf numFmtId="176" fontId="51" fillId="0" borderId="0" xfId="27" applyFont="true" applyBorder="true" applyAlignment="true" applyProtection="true">
      <alignment horizontal="general" vertical="bottom" textRotation="0" wrapText="false" indent="0" shrinkToFit="false"/>
      <protection locked="true" hidden="false"/>
    </xf>
    <xf numFmtId="169" fontId="51" fillId="0" borderId="0" xfId="27" applyFont="true" applyBorder="true" applyAlignment="true" applyProtection="true">
      <alignment horizontal="general" vertical="bottom" textRotation="0" wrapText="false" indent="0" shrinkToFit="false"/>
      <protection locked="true" hidden="false"/>
    </xf>
    <xf numFmtId="178" fontId="54" fillId="0" borderId="0" xfId="15" applyFont="true" applyBorder="true" applyAlignment="true" applyProtection="true">
      <alignment horizontal="general" vertical="bottom" textRotation="0" wrapText="false" indent="0" shrinkToFit="false"/>
      <protection locked="true" hidden="false"/>
    </xf>
    <xf numFmtId="179" fontId="51" fillId="0" borderId="0" xfId="17" applyFont="true" applyBorder="true" applyAlignment="true" applyProtection="true">
      <alignment horizontal="general" vertical="bottom" textRotation="0" wrapText="false" indent="0" shrinkToFit="false"/>
      <protection locked="true" hidden="false"/>
    </xf>
    <xf numFmtId="164" fontId="54" fillId="0" borderId="0" xfId="0" applyFont="true" applyBorder="false" applyAlignment="true" applyProtection="false">
      <alignment horizontal="general" vertical="bottom" textRotation="0" wrapText="false" indent="0" shrinkToFit="false"/>
      <protection locked="true" hidden="false"/>
    </xf>
    <xf numFmtId="164" fontId="51" fillId="0" borderId="0" xfId="49" applyFont="true" applyBorder="true" applyAlignment="true" applyProtection="false">
      <alignment horizontal="general" vertical="bottom" textRotation="0" wrapText="false" indent="0" shrinkToFit="false"/>
      <protection locked="true" hidden="false"/>
    </xf>
    <xf numFmtId="170" fontId="54" fillId="0" borderId="0" xfId="15" applyFont="true" applyBorder="true" applyAlignment="true" applyProtection="true">
      <alignment horizontal="general" vertical="bottom" textRotation="0" wrapText="false" indent="0" shrinkToFit="false"/>
      <protection locked="true" hidden="false"/>
    </xf>
    <xf numFmtId="164" fontId="51" fillId="0" borderId="8" xfId="49" applyFont="true" applyBorder="true" applyAlignment="true" applyProtection="false">
      <alignment horizontal="general" vertical="bottom" textRotation="0" wrapText="false" indent="0" shrinkToFit="false"/>
      <protection locked="true" hidden="false"/>
    </xf>
    <xf numFmtId="188" fontId="54" fillId="0" borderId="8" xfId="15" applyFont="true" applyBorder="true" applyAlignment="true" applyProtection="true">
      <alignment horizontal="general" vertical="bottom" textRotation="0" wrapText="false" indent="0" shrinkToFit="false"/>
      <protection locked="true" hidden="false"/>
    </xf>
    <xf numFmtId="170" fontId="54" fillId="0" borderId="8" xfId="15" applyFont="true" applyBorder="true" applyAlignment="true" applyProtection="true">
      <alignment horizontal="general" vertical="bottom" textRotation="0" wrapText="false" indent="0" shrinkToFit="false"/>
      <protection locked="true" hidden="false"/>
    </xf>
    <xf numFmtId="188" fontId="54" fillId="0" borderId="0" xfId="15" applyFont="true" applyBorder="true" applyAlignment="true" applyProtection="true">
      <alignment horizontal="general" vertical="bottom" textRotation="0" wrapText="false" indent="0" shrinkToFit="false"/>
      <protection locked="true" hidden="false"/>
    </xf>
    <xf numFmtId="179" fontId="52" fillId="0" borderId="0" xfId="17" applyFont="true" applyBorder="true" applyAlignment="true" applyProtection="true">
      <alignment horizontal="general" vertical="bottom" textRotation="0" wrapText="false" indent="0" shrinkToFit="false"/>
      <protection locked="true" hidden="false"/>
    </xf>
    <xf numFmtId="176" fontId="51" fillId="0" borderId="0" xfId="49" applyFont="true" applyBorder="false" applyAlignment="true" applyProtection="false">
      <alignment horizontal="general" vertical="bottom" textRotation="0" wrapText="false" indent="0" shrinkToFit="false"/>
      <protection locked="true" hidden="false"/>
    </xf>
    <xf numFmtId="179" fontId="51" fillId="0" borderId="0" xfId="49" applyFont="true" applyBorder="false" applyAlignment="true" applyProtection="false">
      <alignment horizontal="general" vertical="bottom" textRotation="0" wrapText="false" indent="0" shrinkToFit="false"/>
      <protection locked="true" hidden="false"/>
    </xf>
    <xf numFmtId="167" fontId="54" fillId="0" borderId="0" xfId="15" applyFont="true" applyBorder="true" applyAlignment="true" applyProtection="true">
      <alignment horizontal="general" vertical="bottom" textRotation="0" wrapText="false" indent="0" shrinkToFit="false"/>
      <protection locked="true" hidden="false"/>
    </xf>
    <xf numFmtId="167" fontId="54" fillId="0" borderId="8" xfId="15" applyFont="true" applyBorder="true" applyAlignment="true" applyProtection="true">
      <alignment horizontal="general" vertical="bottom" textRotation="0" wrapText="false" indent="0" shrinkToFit="false"/>
      <protection locked="true" hidden="false"/>
    </xf>
    <xf numFmtId="164" fontId="52" fillId="0" borderId="0" xfId="51" applyFont="true" applyBorder="false" applyAlignment="true" applyProtection="false">
      <alignment horizontal="general" vertical="bottom" textRotation="0" wrapText="false" indent="0" shrinkToFit="false"/>
      <protection locked="true" hidden="false"/>
    </xf>
    <xf numFmtId="164" fontId="53" fillId="0" borderId="0" xfId="51" applyFont="true" applyBorder="false" applyAlignment="true" applyProtection="false">
      <alignment horizontal="general" vertical="bottom" textRotation="0" wrapText="false" indent="0" shrinkToFit="false"/>
      <protection locked="true" hidden="false"/>
    </xf>
    <xf numFmtId="179" fontId="51" fillId="0" borderId="0" xfId="51" applyFont="true" applyBorder="false" applyAlignment="true" applyProtection="false">
      <alignment horizontal="general" vertical="bottom" textRotation="0" wrapText="false" indent="0" shrinkToFit="false"/>
      <protection locked="true" hidden="false"/>
    </xf>
    <xf numFmtId="164" fontId="51" fillId="0" borderId="8" xfId="51" applyFont="true" applyBorder="true" applyAlignment="true" applyProtection="false">
      <alignment horizontal="general" vertical="bottom" textRotation="0" wrapText="false" indent="0" shrinkToFit="false"/>
      <protection locked="true" hidden="false"/>
    </xf>
    <xf numFmtId="176" fontId="51" fillId="0" borderId="8" xfId="27" applyFont="true" applyBorder="true" applyAlignment="true" applyProtection="true">
      <alignment horizontal="general" vertical="bottom" textRotation="0" wrapText="false" indent="0" shrinkToFit="false"/>
      <protection locked="true" hidden="false"/>
    </xf>
    <xf numFmtId="166" fontId="52" fillId="0" borderId="0" xfId="17" applyFont="true" applyBorder="true" applyAlignment="true" applyProtection="true">
      <alignment horizontal="general" vertical="bottom" textRotation="0" wrapText="false" indent="0" shrinkToFit="false"/>
      <protection locked="true" hidden="false"/>
    </xf>
    <xf numFmtId="179" fontId="54" fillId="0" borderId="0" xfId="30" applyFont="true" applyBorder="true" applyAlignment="true" applyProtection="true">
      <alignment horizontal="general" vertical="bottom" textRotation="0" wrapText="false" indent="0" shrinkToFit="false"/>
      <protection locked="true" hidden="false"/>
    </xf>
    <xf numFmtId="179" fontId="51" fillId="0" borderId="0" xfId="27" applyFont="true" applyBorder="true" applyAlignment="true" applyProtection="true">
      <alignment horizontal="general" vertical="bottom" textRotation="0" wrapText="false" indent="0" shrinkToFit="false"/>
      <protection locked="true" hidden="false"/>
    </xf>
    <xf numFmtId="164" fontId="51" fillId="0" borderId="8" xfId="51" applyFont="true" applyBorder="true" applyAlignment="true" applyProtection="false">
      <alignment horizontal="general" vertical="bottom" textRotation="0" wrapText="true" indent="0" shrinkToFit="false"/>
      <protection locked="true" hidden="false"/>
    </xf>
    <xf numFmtId="179" fontId="52" fillId="0" borderId="0" xfId="30" applyFont="true" applyBorder="true" applyAlignment="true" applyProtection="true">
      <alignment horizontal="general" vertical="bottom" textRotation="0" wrapText="false" indent="0" shrinkToFit="false"/>
      <protection locked="true" hidden="false"/>
    </xf>
    <xf numFmtId="164" fontId="54" fillId="0" borderId="0" xfId="51" applyFont="true" applyBorder="false" applyAlignment="true" applyProtection="false">
      <alignment horizontal="general" vertical="bottom" textRotation="0" wrapText="false" indent="0" shrinkToFit="false"/>
      <protection locked="true" hidden="false"/>
    </xf>
    <xf numFmtId="164" fontId="0" fillId="0" borderId="0" xfId="51" applyFont="true" applyBorder="true" applyAlignment="true" applyProtection="false">
      <alignment horizontal="general" vertical="bottom" textRotation="0" wrapText="false" indent="0" shrinkToFit="false"/>
      <protection locked="true" hidden="false"/>
    </xf>
    <xf numFmtId="176" fontId="0" fillId="0" borderId="0" xfId="27" applyFont="true" applyBorder="true" applyAlignment="true" applyProtection="true">
      <alignment horizontal="general" vertical="bottom" textRotation="0" wrapText="false" indent="0" shrinkToFit="false"/>
      <protection locked="true" hidden="false"/>
    </xf>
    <xf numFmtId="164" fontId="0" fillId="0" borderId="0" xfId="49" applyFont="true" applyBorder="true" applyAlignment="tru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51" fillId="0" borderId="0" xfId="51" applyFont="true" applyBorder="false" applyAlignment="true" applyProtection="false">
      <alignment horizontal="general" vertical="bottom" textRotation="0" wrapText="false" indent="0" shrinkToFit="false"/>
      <protection locked="true" hidden="false"/>
    </xf>
    <xf numFmtId="176" fontId="51" fillId="0" borderId="0" xfId="26" applyFont="true" applyBorder="true" applyAlignment="true" applyProtection="true">
      <alignment horizontal="general" vertical="bottom" textRotation="0" wrapText="false" indent="0" shrinkToFit="false"/>
      <protection locked="true" hidden="false"/>
    </xf>
    <xf numFmtId="176" fontId="51" fillId="0" borderId="8" xfId="26" applyFont="true" applyBorder="true" applyAlignment="true" applyProtection="true">
      <alignment horizontal="general" vertical="bottom" textRotation="0" wrapText="false" indent="0" shrinkToFit="false"/>
      <protection locked="true" hidden="false"/>
    </xf>
    <xf numFmtId="176" fontId="52" fillId="0" borderId="0" xfId="27" applyFont="true" applyBorder="true" applyAlignment="true" applyProtection="true">
      <alignment horizontal="general" vertical="bottom" textRotation="0" wrapText="false" indent="0" shrinkToFit="false"/>
      <protection locked="true" hidden="false"/>
    </xf>
    <xf numFmtId="170" fontId="51" fillId="0" borderId="0" xfId="49" applyFont="true" applyBorder="false" applyAlignment="true" applyProtection="false">
      <alignment horizontal="general" vertical="bottom" textRotation="0" wrapText="false" indent="0" shrinkToFit="false"/>
      <protection locked="true" hidden="false"/>
    </xf>
    <xf numFmtId="164" fontId="52" fillId="0" borderId="0" xfId="51" applyFont="true" applyBorder="false" applyAlignment="true" applyProtection="false">
      <alignment horizontal="general" vertical="bottom" textRotation="0" wrapText="true" indent="0" shrinkToFit="false"/>
      <protection locked="true" hidden="false"/>
    </xf>
    <xf numFmtId="172" fontId="51" fillId="0" borderId="0" xfId="30" applyFont="true" applyBorder="true" applyAlignment="true" applyProtection="true">
      <alignment horizontal="general" vertical="bottom" textRotation="0" wrapText="false" indent="0" shrinkToFit="false"/>
      <protection locked="true" hidden="false"/>
    </xf>
    <xf numFmtId="164" fontId="51" fillId="0" borderId="0" xfId="51" applyFont="true" applyBorder="true" applyAlignment="true" applyProtection="false">
      <alignment horizontal="general" vertical="bottom" textRotation="0" wrapText="false" indent="0" shrinkToFit="false"/>
      <protection locked="true" hidden="false"/>
    </xf>
    <xf numFmtId="164" fontId="52" fillId="0" borderId="8" xfId="49" applyFont="true" applyBorder="true" applyAlignment="true" applyProtection="false">
      <alignment horizontal="general" vertical="bottom" textRotation="0" wrapText="false" indent="0" shrinkToFit="false"/>
      <protection locked="true" hidden="false"/>
    </xf>
    <xf numFmtId="179" fontId="52" fillId="0" borderId="8" xfId="17" applyFont="true" applyBorder="true" applyAlignment="true" applyProtection="true">
      <alignment horizontal="general" vertical="bottom" textRotation="0" wrapText="false" indent="0" shrinkToFit="false"/>
      <protection locked="true" hidden="false"/>
    </xf>
    <xf numFmtId="164" fontId="52" fillId="0" borderId="43" xfId="49" applyFont="true" applyBorder="true" applyAlignment="true" applyProtection="false">
      <alignment horizontal="general" vertical="bottom" textRotation="0" wrapText="false" indent="0" shrinkToFit="false"/>
      <protection locked="true" hidden="false"/>
    </xf>
    <xf numFmtId="164" fontId="51" fillId="0" borderId="43" xfId="49" applyFont="true" applyBorder="true" applyAlignment="true" applyProtection="false">
      <alignment horizontal="general" vertical="bottom" textRotation="0" wrapText="false" indent="0" shrinkToFit="false"/>
      <protection locked="true" hidden="false"/>
    </xf>
    <xf numFmtId="188" fontId="54" fillId="0" borderId="43" xfId="15" applyFont="true" applyBorder="true" applyAlignment="true" applyProtection="true">
      <alignment horizontal="general" vertical="bottom" textRotation="0" wrapText="false" indent="0" shrinkToFit="false"/>
      <protection locked="true" hidden="false"/>
    </xf>
    <xf numFmtId="179" fontId="52" fillId="0" borderId="43" xfId="17" applyFont="true" applyBorder="true" applyAlignment="true" applyProtection="true">
      <alignment horizontal="general" vertical="bottom" textRotation="0" wrapText="false" indent="0" shrinkToFit="false"/>
      <protection locked="true" hidden="false"/>
    </xf>
    <xf numFmtId="164" fontId="52" fillId="0" borderId="2" xfId="49" applyFont="true" applyBorder="true" applyAlignment="true" applyProtection="false">
      <alignment horizontal="general" vertical="bottom" textRotation="0" wrapText="false" indent="0" shrinkToFit="false"/>
      <protection locked="true" hidden="false"/>
    </xf>
    <xf numFmtId="164" fontId="51" fillId="0" borderId="2" xfId="49" applyFont="true" applyBorder="true" applyAlignment="true" applyProtection="false">
      <alignment horizontal="general" vertical="bottom" textRotation="0" wrapText="false" indent="0" shrinkToFit="false"/>
      <protection locked="true" hidden="false"/>
    </xf>
    <xf numFmtId="179" fontId="52" fillId="0" borderId="2" xfId="17" applyFont="true" applyBorder="true" applyAlignment="true" applyProtection="true">
      <alignment horizontal="general" vertical="bottom" textRotation="0" wrapText="false" indent="0" shrinkToFit="false"/>
      <protection locked="true" hidden="false"/>
    </xf>
    <xf numFmtId="164" fontId="52" fillId="0" borderId="0" xfId="49" applyFont="true" applyBorder="true" applyAlignment="true" applyProtection="false">
      <alignment horizontal="general" vertical="bottom" textRotation="0" wrapText="false" indent="0" shrinkToFit="false"/>
      <protection locked="true" hidden="false"/>
    </xf>
    <xf numFmtId="164" fontId="53" fillId="0" borderId="0" xfId="49" applyFont="true" applyBorder="true" applyAlignment="true" applyProtection="false">
      <alignment horizontal="center" vertical="bottom" textRotation="0" wrapText="false" indent="0" shrinkToFit="false"/>
      <protection locked="true" hidden="false"/>
    </xf>
    <xf numFmtId="164" fontId="54" fillId="0" borderId="0" xfId="51" applyFont="true" applyBorder="false" applyAlignment="true" applyProtection="false">
      <alignment horizontal="left" vertical="bottom" textRotation="0" wrapText="false" indent="1" shrinkToFit="false"/>
      <protection locked="true" hidden="false"/>
    </xf>
    <xf numFmtId="173" fontId="51" fillId="0" borderId="0" xfId="51" applyFont="true" applyBorder="false" applyAlignment="true" applyProtection="false">
      <alignment horizontal="general" vertical="bottom" textRotation="0" wrapText="false" indent="0" shrinkToFit="false"/>
      <protection locked="true" hidden="false"/>
    </xf>
    <xf numFmtId="164" fontId="54" fillId="0" borderId="0" xfId="51" applyFont="true" applyBorder="false" applyAlignment="true" applyProtection="false">
      <alignment horizontal="left" vertical="bottom" textRotation="0" wrapText="false" indent="3" shrinkToFit="false"/>
      <protection locked="true" hidden="false"/>
    </xf>
    <xf numFmtId="164" fontId="52" fillId="10" borderId="44" xfId="49" applyFont="true" applyBorder="true" applyAlignment="true" applyProtection="false">
      <alignment horizontal="center" vertical="bottom" textRotation="0" wrapText="true" indent="0" shrinkToFit="false"/>
      <protection locked="true" hidden="false"/>
    </xf>
    <xf numFmtId="164" fontId="53" fillId="0" borderId="0" xfId="51" applyFont="true" applyBorder="false" applyAlignment="true" applyProtection="false">
      <alignment horizontal="center" vertical="bottom" textRotation="0" wrapText="false" indent="0" shrinkToFit="false"/>
      <protection locked="true" hidden="false"/>
    </xf>
    <xf numFmtId="169" fontId="51" fillId="0" borderId="8" xfId="27" applyFont="true" applyBorder="true" applyAlignment="true" applyProtection="true">
      <alignment horizontal="general" vertical="bottom" textRotation="0" wrapText="false" indent="0" shrinkToFit="false"/>
      <protection locked="true" hidden="false"/>
    </xf>
    <xf numFmtId="172" fontId="52" fillId="0" borderId="0" xfId="30" applyFont="true" applyBorder="true" applyAlignment="true" applyProtection="true">
      <alignment horizontal="general" vertical="bottom" textRotation="0" wrapText="false" indent="0" shrinkToFit="false"/>
      <protection locked="true" hidden="false"/>
    </xf>
    <xf numFmtId="169" fontId="52" fillId="0" borderId="0" xfId="27" applyFont="true" applyBorder="true" applyAlignment="true" applyProtection="true">
      <alignment horizontal="general" vertical="bottom" textRotation="0" wrapText="false" indent="0" shrinkToFit="false"/>
      <protection locked="true" hidden="false"/>
    </xf>
    <xf numFmtId="176" fontId="52" fillId="0" borderId="0" xfId="51" applyFont="true" applyBorder="false" applyAlignment="true" applyProtection="false">
      <alignment horizontal="general" vertical="bottom" textRotation="0" wrapText="false" indent="0" shrinkToFit="false"/>
      <protection locked="true" hidden="false"/>
    </xf>
    <xf numFmtId="169" fontId="52" fillId="0" borderId="0" xfId="51" applyFont="true" applyBorder="false" applyAlignment="true" applyProtection="false">
      <alignment horizontal="general" vertical="bottom" textRotation="0" wrapText="false" indent="0" shrinkToFit="false"/>
      <protection locked="true" hidden="false"/>
    </xf>
    <xf numFmtId="164" fontId="52" fillId="0" borderId="45" xfId="51" applyFont="true" applyBorder="true" applyAlignment="true" applyProtection="false">
      <alignment horizontal="general" vertical="bottom" textRotation="0" wrapText="false" indent="0" shrinkToFit="false"/>
      <protection locked="true" hidden="false"/>
    </xf>
    <xf numFmtId="164" fontId="51" fillId="0" borderId="45" xfId="51" applyFont="true" applyBorder="true" applyAlignment="true" applyProtection="false">
      <alignment horizontal="general" vertical="bottom" textRotation="0" wrapText="false" indent="0" shrinkToFit="false"/>
      <protection locked="true" hidden="false"/>
    </xf>
    <xf numFmtId="176" fontId="51" fillId="0" borderId="45" xfId="27" applyFont="true" applyBorder="true" applyAlignment="true" applyProtection="true">
      <alignment horizontal="general" vertical="bottom" textRotation="0" wrapText="false" indent="0" shrinkToFit="false"/>
      <protection locked="true" hidden="false"/>
    </xf>
    <xf numFmtId="179" fontId="52" fillId="0" borderId="45" xfId="30" applyFont="true" applyBorder="true" applyAlignment="true" applyProtection="true">
      <alignment horizontal="general" vertical="bottom" textRotation="0" wrapText="false" indent="0" shrinkToFit="false"/>
      <protection locked="true" hidden="false"/>
    </xf>
    <xf numFmtId="172" fontId="52" fillId="0" borderId="45" xfId="30" applyFont="true" applyBorder="true" applyAlignment="true" applyProtection="true">
      <alignment horizontal="general" vertical="bottom" textRotation="0" wrapText="false" indent="0" shrinkToFit="false"/>
      <protection locked="true" hidden="false"/>
    </xf>
    <xf numFmtId="164" fontId="30" fillId="5" borderId="46" xfId="49" applyFont="true" applyBorder="true" applyAlignment="true" applyProtection="false">
      <alignment horizontal="center" vertical="bottom" textRotation="0" wrapText="true" indent="0" shrinkToFit="false"/>
      <protection locked="true" hidden="false"/>
    </xf>
    <xf numFmtId="164" fontId="35" fillId="0" borderId="0" xfId="49" applyFont="true" applyBorder="false" applyAlignment="false" applyProtection="false">
      <alignment horizontal="general" vertical="bottom" textRotation="0" wrapText="false" indent="0" shrinkToFit="false"/>
      <protection locked="true" hidden="false"/>
    </xf>
    <xf numFmtId="164" fontId="56" fillId="0" borderId="0" xfId="52" applyFont="true" applyBorder="false" applyAlignment="true" applyProtection="false">
      <alignment horizontal="center" vertical="bottom" textRotation="0" wrapText="true" indent="0" shrinkToFit="false"/>
      <protection locked="true" hidden="false"/>
    </xf>
    <xf numFmtId="164" fontId="57" fillId="0" borderId="0" xfId="52" applyFont="true" applyBorder="false" applyAlignment="true" applyProtection="false">
      <alignment horizontal="center" vertical="bottom" textRotation="0" wrapText="true" indent="0" shrinkToFit="false"/>
      <protection locked="true" hidden="false"/>
    </xf>
    <xf numFmtId="164" fontId="56" fillId="0" borderId="0" xfId="52" applyFont="true" applyBorder="false" applyAlignment="false" applyProtection="false">
      <alignment horizontal="general" vertical="bottom" textRotation="0" wrapText="false" indent="0" shrinkToFit="false"/>
      <protection locked="true" hidden="false"/>
    </xf>
    <xf numFmtId="164" fontId="7" fillId="0" borderId="0" xfId="52" applyFont="false" applyBorder="false" applyAlignment="false" applyProtection="false">
      <alignment horizontal="general" vertical="bottom" textRotation="0" wrapText="false" indent="0" shrinkToFit="false"/>
      <protection locked="true" hidden="false"/>
    </xf>
    <xf numFmtId="164" fontId="7" fillId="0" borderId="8" xfId="52" applyFont="true" applyBorder="true" applyAlignment="false" applyProtection="false">
      <alignment horizontal="general" vertical="bottom" textRotation="0" wrapText="false" indent="0" shrinkToFit="false"/>
      <protection locked="true" hidden="false"/>
    </xf>
    <xf numFmtId="164" fontId="7" fillId="0" borderId="0" xfId="52" applyFont="true" applyBorder="false" applyAlignment="true" applyProtection="false">
      <alignment horizontal="left" vertical="bottom" textRotation="0" wrapText="false" indent="1" shrinkToFit="false"/>
      <protection locked="true" hidden="false"/>
    </xf>
    <xf numFmtId="164" fontId="7" fillId="0" borderId="43" xfId="52" applyFont="true" applyBorder="true" applyAlignment="false" applyProtection="false">
      <alignment horizontal="general" vertical="bottom" textRotation="0" wrapText="false" indent="0" shrinkToFit="false"/>
      <protection locked="true" hidden="false"/>
    </xf>
    <xf numFmtId="164" fontId="58" fillId="0" borderId="43" xfId="52" applyFont="true" applyBorder="true" applyAlignment="false" applyProtection="false">
      <alignment horizontal="general" vertical="bottom" textRotation="0" wrapText="false" indent="0" shrinkToFit="false"/>
      <protection locked="true" hidden="false"/>
    </xf>
    <xf numFmtId="170" fontId="7" fillId="0" borderId="0" xfId="28" applyFont="false" applyBorder="false" applyAlignment="false" applyProtection="false">
      <alignment horizontal="general" vertical="bottom" textRotation="0" wrapText="fals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67" fontId="7" fillId="0" borderId="0" xfId="24" applyFont="false" applyBorder="false" applyAlignment="false" applyProtection="false">
      <alignment horizontal="general" vertical="bottom" textRotation="0" wrapText="false" indent="0" shrinkToFit="false"/>
      <protection locked="true" hidden="false"/>
    </xf>
    <xf numFmtId="167" fontId="7" fillId="0" borderId="0" xfId="24" applyFont="true" applyBorder="false" applyAlignment="false" applyProtection="false">
      <alignment horizontal="general" vertical="bottom" textRotation="0" wrapText="false" indent="0" shrinkToFit="false"/>
      <protection locked="true" hidden="false"/>
    </xf>
    <xf numFmtId="164" fontId="58" fillId="0" borderId="45" xfId="52" applyFont="true" applyBorder="true" applyAlignment="false" applyProtection="false">
      <alignment horizontal="general" vertical="bottom" textRotation="0" wrapText="false" indent="0" shrinkToFit="false"/>
      <protection locked="true" hidden="false"/>
    </xf>
    <xf numFmtId="166" fontId="7" fillId="0" borderId="45" xfId="23" applyFont="false" applyBorder="true" applyAlignment="false" applyProtection="false">
      <alignment horizontal="general" vertical="bottom" textRotation="0" wrapText="false" indent="0" shrinkToFit="false"/>
      <protection locked="true" hidden="false"/>
    </xf>
    <xf numFmtId="189" fontId="7" fillId="0" borderId="45" xfId="23" applyFont="false" applyBorder="true" applyAlignment="false" applyProtection="false">
      <alignment horizontal="general" vertical="bottom" textRotation="0" wrapText="false" indent="0" shrinkToFit="false"/>
      <protection locked="true" hidden="false"/>
    </xf>
    <xf numFmtId="169" fontId="35" fillId="0" borderId="0" xfId="26" applyFont="true" applyBorder="true" applyAlignment="true" applyProtection="true">
      <alignment horizontal="general" vertical="bottom" textRotation="0" wrapText="false" indent="0" shrinkToFit="false"/>
      <protection locked="true" hidden="false"/>
    </xf>
    <xf numFmtId="164" fontId="30" fillId="0" borderId="0" xfId="49" applyFont="true" applyBorder="true" applyAlignment="false" applyProtection="false">
      <alignment horizontal="general" vertical="bottom" textRotation="0" wrapText="false" indent="0" shrinkToFit="false"/>
      <protection locked="true" hidden="false"/>
    </xf>
    <xf numFmtId="164" fontId="35" fillId="0" borderId="0" xfId="49" applyFont="true" applyBorder="true" applyAlignment="false" applyProtection="false">
      <alignment horizontal="general" vertical="bottom" textRotation="0" wrapText="false" indent="0" shrinkToFit="false"/>
      <protection locked="true" hidden="false"/>
    </xf>
    <xf numFmtId="164" fontId="59" fillId="0" borderId="0" xfId="49" applyFont="true" applyBorder="false" applyAlignment="false" applyProtection="false">
      <alignment horizontal="general" vertical="bottom" textRotation="0" wrapText="false" indent="0" shrinkToFit="false"/>
      <protection locked="true" hidden="false"/>
    </xf>
    <xf numFmtId="190" fontId="1" fillId="0" borderId="0" xfId="49" applyFont="false" applyBorder="false" applyAlignment="false" applyProtection="false">
      <alignment horizontal="general" vertical="bottom" textRotation="0" wrapText="false" indent="0" shrinkToFit="false"/>
      <protection locked="true" hidden="false"/>
    </xf>
    <xf numFmtId="170" fontId="7" fillId="0" borderId="0" xfId="15" applyFont="true" applyBorder="true" applyAlignment="true" applyProtection="true">
      <alignment horizontal="general" vertical="bottom" textRotation="0" wrapText="false" indent="0" shrinkToFit="false"/>
      <protection locked="true" hidden="false"/>
    </xf>
    <xf numFmtId="170" fontId="7" fillId="0" borderId="8" xfId="15" applyFont="true" applyBorder="true" applyAlignment="true" applyProtection="true">
      <alignment horizontal="general" vertical="bottom" textRotation="0" wrapText="false" indent="0" shrinkToFit="false"/>
      <protection locked="true" hidden="false"/>
    </xf>
    <xf numFmtId="170" fontId="7" fillId="0" borderId="43" xfId="15" applyFont="true" applyBorder="true" applyAlignment="true" applyProtection="true">
      <alignment horizontal="general" vertical="bottom" textRotation="0" wrapText="false" indent="0" shrinkToFit="false"/>
      <protection locked="true" hidden="false"/>
    </xf>
    <xf numFmtId="170" fontId="58" fillId="0" borderId="43" xfId="52" applyFont="true" applyBorder="true" applyAlignment="false" applyProtection="false">
      <alignment horizontal="general" vertical="bottom" textRotation="0" wrapText="false" indent="0" shrinkToFit="false"/>
      <protection locked="true" hidden="false"/>
    </xf>
    <xf numFmtId="170" fontId="7" fillId="0" borderId="0" xfId="52" applyFont="false" applyBorder="false" applyAlignment="false" applyProtection="false">
      <alignment horizontal="general" vertical="bottom" textRotation="0" wrapText="false" indent="0" shrinkToFit="false"/>
      <protection locked="true" hidden="false"/>
    </xf>
    <xf numFmtId="175" fontId="7" fillId="0" borderId="0" xfId="52" applyFont="false" applyBorder="false" applyAlignment="false" applyProtection="false">
      <alignment horizontal="general" vertical="bottom" textRotation="0" wrapText="false" indent="0" shrinkToFit="false"/>
      <protection locked="true" hidden="false"/>
    </xf>
    <xf numFmtId="164" fontId="60" fillId="0" borderId="0" xfId="49" applyFont="true" applyBorder="false" applyAlignment="true" applyProtection="false">
      <alignment horizontal="center" vertical="bottom" textRotation="0" wrapText="true" indent="0" shrinkToFit="false"/>
      <protection locked="true" hidden="false"/>
    </xf>
    <xf numFmtId="169" fontId="1" fillId="0" borderId="0" xfId="49" applyFont="false" applyBorder="false" applyAlignment="false" applyProtection="false">
      <alignment horizontal="general" vertical="bottom" textRotation="0" wrapText="false" indent="0" shrinkToFit="false"/>
      <protection locked="true" hidden="false"/>
    </xf>
    <xf numFmtId="175" fontId="1" fillId="0" borderId="0" xfId="49" applyFont="false" applyBorder="false" applyAlignment="false" applyProtection="false">
      <alignment horizontal="general" vertical="bottom" textRotation="0" wrapText="false" indent="0" shrinkToFit="false"/>
      <protection locked="true" hidden="false"/>
    </xf>
    <xf numFmtId="164" fontId="27" fillId="0" borderId="0" xfId="49" applyFont="true" applyBorder="true" applyAlignment="true" applyProtection="false">
      <alignment horizontal="center" vertical="bottom" textRotation="0" wrapText="false" indent="0" shrinkToFit="false"/>
      <protection locked="true" hidden="false"/>
    </xf>
    <xf numFmtId="169" fontId="1" fillId="0" borderId="0" xfId="26" applyFont="true" applyBorder="true" applyAlignment="true" applyProtection="true">
      <alignment horizontal="general" vertical="bottom" textRotation="0" wrapText="false" indent="0" shrinkToFit="false"/>
      <protection locked="true" hidden="false"/>
    </xf>
    <xf numFmtId="191" fontId="1" fillId="0" borderId="0" xfId="49" applyFont="false" applyBorder="false" applyAlignment="false" applyProtection="false">
      <alignment horizontal="general" vertical="bottom" textRotation="0" wrapText="false" indent="0" shrinkToFit="false"/>
      <protection locked="true" hidden="false"/>
    </xf>
  </cellXfs>
  <cellStyles count="43">
    <cellStyle name="Normal" xfId="0" builtinId="0"/>
    <cellStyle name="Comma" xfId="15" builtinId="3"/>
    <cellStyle name="Comma [0]" xfId="16" builtinId="6"/>
    <cellStyle name="Currency" xfId="17" builtinId="4"/>
    <cellStyle name="Currency [0]" xfId="18" builtinId="7"/>
    <cellStyle name="Percent" xfId="19" builtinId="5"/>
    <cellStyle name="amount" xfId="20"/>
    <cellStyle name="Body text" xfId="21"/>
    <cellStyle name="Column Headings" xfId="22"/>
    <cellStyle name="Comma [0],Westgate" xfId="23"/>
    <cellStyle name="Comma, Westgate" xfId="24"/>
    <cellStyle name="Comma0" xfId="25"/>
    <cellStyle name="Comma_CB Macmora Condos" xfId="26"/>
    <cellStyle name="Comma_Lot Cost Estimate" xfId="27"/>
    <cellStyle name="Comma_westgate" xfId="28"/>
    <cellStyle name="Currency0" xfId="29"/>
    <cellStyle name="Currency_Lot Cost Estimate" xfId="30"/>
    <cellStyle name="Date" xfId="31"/>
    <cellStyle name="Fixed" xfId="32"/>
    <cellStyle name="header" xfId="33"/>
    <cellStyle name="Header Total" xfId="34"/>
    <cellStyle name="Header1" xfId="35"/>
    <cellStyle name="Header2" xfId="36"/>
    <cellStyle name="Header3" xfId="37"/>
    <cellStyle name="Header4" xfId="38"/>
    <cellStyle name="Heading 1 1" xfId="39"/>
    <cellStyle name="Heading 2 1" xfId="40"/>
    <cellStyle name="HEADING 3" xfId="41"/>
    <cellStyle name="HEADING2" xfId="42"/>
    <cellStyle name="HEADING_FAB Draw #8 Data Sheet" xfId="43"/>
    <cellStyle name="NonPrint_Heading" xfId="44"/>
    <cellStyle name="NonPrint_Hyperlink" xfId="45"/>
    <cellStyle name="NonPrint_TemTitle" xfId="46"/>
    <cellStyle name="NonPrint_Text" xfId="47"/>
    <cellStyle name="Normal 2" xfId="48"/>
    <cellStyle name="Normal_CB Macmora Condos" xfId="49"/>
    <cellStyle name="Normal_FAB Cash Flow-Frog Pond" xfId="50"/>
    <cellStyle name="Normal_Lot Cost Estimate" xfId="51"/>
    <cellStyle name="Normal_Westgate_Proforma.xls" xfId="52"/>
    <cellStyle name="Product Title" xfId="53"/>
    <cellStyle name="Text 1" xfId="54"/>
    <cellStyle name="Title" xfId="55"/>
    <cellStyle name="Total" xfId="56"/>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externalLink" Target="externalLinks/externalLink1.xml"/><Relationship Id="rId1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My%20Documents/CREEKSIDE/Macmora%20Condos/CB%20Macmora%20Condo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roject Summary"/>
      <sheetName val="A&amp;D Costs"/>
      <sheetName val="Unit Summary"/>
      <sheetName val="Unit Cost A"/>
      <sheetName val="Unit Cost B"/>
      <sheetName val="Unit Cost  C"/>
      <sheetName val="Unit Cost D"/>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2.xml.rels><?xml version="1.0" encoding="UTF-8"?>
<Relationships xmlns="http://schemas.openxmlformats.org/package/2006/relationships"><Relationship Id="rId1" Type="http://schemas.openxmlformats.org/officeDocument/2006/relationships/comments" Target="../comments12.xml"/><Relationship Id="rId2" Type="http://schemas.openxmlformats.org/officeDocument/2006/relationships/vmlDrawing" Target="../drawings/vmlDrawing3.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msbp://-r:276DB11B/" TargetMode="External"/><Relationship Id="rId3"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4:AO6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5234375" defaultRowHeight="12" customHeight="true" zeroHeight="false" outlineLevelRow="0" outlineLevelCol="0"/>
  <cols>
    <col collapsed="false" customWidth="true" hidden="false" outlineLevel="0" max="1" min="1" style="0" width="35.7"/>
    <col collapsed="false" customWidth="true" hidden="false" outlineLevel="0" max="2" min="2" style="0" width="17.7"/>
  </cols>
  <sheetData>
    <row r="4" customFormat="false" ht="12.75" hidden="false" customHeight="false" outlineLevel="0" collapsed="false">
      <c r="A4" s="0" t="s">
        <v>0</v>
      </c>
      <c r="B4" s="1" t="s">
        <v>1</v>
      </c>
      <c r="C4" s="2" t="n">
        <v>1.2</v>
      </c>
    </row>
    <row r="5" customFormat="false" ht="12.75" hidden="false" customHeight="false" outlineLevel="0" collapsed="false">
      <c r="A5" s="0" t="s">
        <v>2</v>
      </c>
      <c r="B5" s="0" t="s">
        <v>3</v>
      </c>
      <c r="C5" s="2" t="n">
        <v>6</v>
      </c>
      <c r="D5" s="0" t="s">
        <v>4</v>
      </c>
    </row>
    <row r="6" customFormat="false" ht="12.75" hidden="false" customHeight="false" outlineLevel="0" collapsed="false">
      <c r="A6" s="0" t="s">
        <v>5</v>
      </c>
      <c r="B6" s="0" t="s">
        <v>6</v>
      </c>
      <c r="C6" s="3" t="n">
        <f aca="false">+'1463 IntCt-1Sty'!J15/'1463 IntCt-1Sty'!J14</f>
        <v>10.5660377358491</v>
      </c>
      <c r="D6" s="0" t="s">
        <v>7</v>
      </c>
    </row>
    <row r="7" customFormat="false" ht="12.75" hidden="false" customHeight="false" outlineLevel="0" collapsed="false">
      <c r="A7" s="0" t="s">
        <v>8</v>
      </c>
      <c r="B7" s="0" t="s">
        <v>9</v>
      </c>
      <c r="C7" s="4" t="n">
        <f aca="false">+'Unit Summary'!F14</f>
        <v>96</v>
      </c>
    </row>
    <row r="8" customFormat="false" ht="12" hidden="false" customHeight="false" outlineLevel="0" collapsed="false">
      <c r="A8" s="5" t="s">
        <v>10</v>
      </c>
    </row>
    <row r="9" customFormat="false" ht="12" hidden="false" customHeight="false" outlineLevel="0" collapsed="false">
      <c r="A9" s="6" t="s">
        <v>11</v>
      </c>
      <c r="B9" s="0" t="s">
        <v>12</v>
      </c>
      <c r="C9" s="0" t="n">
        <v>0.01</v>
      </c>
    </row>
    <row r="10" customFormat="false" ht="12" hidden="false" customHeight="false" outlineLevel="0" collapsed="false">
      <c r="A10" s="6" t="s">
        <v>13</v>
      </c>
      <c r="B10" s="0" t="s">
        <v>14</v>
      </c>
      <c r="C10" s="0" t="n">
        <f aca="false">0.11/12</f>
        <v>0.00916666666666667</v>
      </c>
      <c r="D10" s="0" t="s">
        <v>15</v>
      </c>
    </row>
    <row r="11" customFormat="false" ht="12" hidden="false" customHeight="false" outlineLevel="0" collapsed="false">
      <c r="A11" s="6" t="s">
        <v>16</v>
      </c>
      <c r="B11" s="0" t="s">
        <v>17</v>
      </c>
      <c r="C11" s="0" t="n">
        <v>0.7</v>
      </c>
    </row>
    <row r="12" customFormat="false" ht="12" hidden="false" customHeight="false" outlineLevel="0" collapsed="false">
      <c r="A12" s="6" t="s">
        <v>18</v>
      </c>
      <c r="B12" s="0" t="s">
        <v>19</v>
      </c>
    </row>
    <row r="13" customFormat="false" ht="12" hidden="false" customHeight="false" outlineLevel="0" collapsed="false">
      <c r="A13" s="6" t="s">
        <v>20</v>
      </c>
      <c r="B13" s="0" t="s">
        <v>21</v>
      </c>
      <c r="C13" s="0" t="n">
        <v>0.8</v>
      </c>
      <c r="E13" s="7"/>
    </row>
    <row r="14" customFormat="false" ht="12" hidden="false" customHeight="false" outlineLevel="0" collapsed="false">
      <c r="A14" s="6" t="s">
        <v>22</v>
      </c>
      <c r="B14" s="0" t="s">
        <v>23</v>
      </c>
      <c r="C14" s="0" t="n">
        <v>0.7</v>
      </c>
    </row>
    <row r="15" customFormat="false" ht="12" hidden="false" customHeight="false" outlineLevel="0" collapsed="false">
      <c r="A15" s="6"/>
    </row>
    <row r="16" customFormat="false" ht="12" hidden="false" customHeight="false" outlineLevel="0" collapsed="false">
      <c r="A16" s="6" t="s">
        <v>24</v>
      </c>
      <c r="B16" s="0" t="s">
        <v>25</v>
      </c>
      <c r="C16" s="8" t="n">
        <f aca="false">+'A&amp;D Costs'!D9</f>
        <v>680000</v>
      </c>
    </row>
    <row r="17" customFormat="false" ht="12" hidden="false" customHeight="false" outlineLevel="0" collapsed="false">
      <c r="A17" s="5" t="s">
        <v>26</v>
      </c>
    </row>
    <row r="18" customFormat="false" ht="12" hidden="false" customHeight="false" outlineLevel="0" collapsed="false">
      <c r="A18" s="0" t="s">
        <v>27</v>
      </c>
      <c r="B18" s="0" t="s">
        <v>28</v>
      </c>
      <c r="C18" s="9" t="n">
        <f aca="false">+'Unit Summary'!M$14</f>
        <v>127290</v>
      </c>
    </row>
    <row r="19" customFormat="false" ht="12" hidden="false" customHeight="false" outlineLevel="0" collapsed="false">
      <c r="A19" s="0" t="s">
        <v>29</v>
      </c>
      <c r="B19" s="0" t="s">
        <v>30</v>
      </c>
      <c r="C19" s="9" t="n">
        <f aca="false">+'Unit Summary'!N$14</f>
        <v>172373.15</v>
      </c>
    </row>
    <row r="20" customFormat="false" ht="12" hidden="false" customHeight="false" outlineLevel="0" collapsed="false">
      <c r="A20" s="0" t="s">
        <v>31</v>
      </c>
      <c r="B20" s="0" t="s">
        <v>32</v>
      </c>
      <c r="C20" s="9" t="n">
        <v>33</v>
      </c>
    </row>
    <row r="21" customFormat="false" ht="12" hidden="false" customHeight="false" outlineLevel="0" collapsed="false">
      <c r="C21" s="9"/>
    </row>
    <row r="22" customFormat="false" ht="12" hidden="false" customHeight="false" outlineLevel="0" collapsed="false">
      <c r="C22" s="9"/>
    </row>
    <row r="23" customFormat="false" ht="12" hidden="false" customHeight="false" outlineLevel="0" collapsed="false">
      <c r="C23" s="9"/>
    </row>
    <row r="24" customFormat="false" ht="12" hidden="false" customHeight="false" outlineLevel="0" collapsed="false">
      <c r="P24" s="0" t="n">
        <v>4</v>
      </c>
      <c r="Q24" s="0" t="n">
        <v>4</v>
      </c>
    </row>
    <row r="25" customFormat="false" ht="12" hidden="false" customHeight="false" outlineLevel="0" collapsed="false">
      <c r="A25" s="0" t="s">
        <v>33</v>
      </c>
      <c r="B25" s="0" t="s">
        <v>34</v>
      </c>
      <c r="C25" s="0" t="n">
        <v>0.5</v>
      </c>
    </row>
    <row r="26" customFormat="false" ht="12" hidden="false" customHeight="false" outlineLevel="0" collapsed="false">
      <c r="A26" s="0" t="s">
        <v>35</v>
      </c>
      <c r="B26" s="0" t="s">
        <v>36</v>
      </c>
      <c r="C26" s="0" t="n">
        <v>0.05</v>
      </c>
    </row>
    <row r="27" customFormat="false" ht="12" hidden="false" customHeight="false" outlineLevel="0" collapsed="false">
      <c r="A27" s="0" t="s">
        <v>37</v>
      </c>
      <c r="B27" s="0" t="s">
        <v>38</v>
      </c>
      <c r="C27" s="0" t="n">
        <v>0.0125</v>
      </c>
    </row>
    <row r="61" customFormat="false" ht="12.75" hidden="false" customHeight="false" outlineLevel="0" collapsed="false"/>
    <row r="62" customFormat="false" ht="12.75" hidden="false" customHeight="false" outlineLevel="0" collapsed="false">
      <c r="B62" s="10"/>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customFormat="false" ht="12" hidden="false" customHeight="false" outlineLevel="0" collapsed="false">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row>
    <row r="64" customFormat="false" ht="12" hidden="false" customHeight="false" outlineLevel="0" collapsed="false">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row>
    <row r="65" customFormat="false" ht="12.75" hidden="false" customHeight="false" outlineLevel="0" collapsed="false">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row>
    <row r="66" customFormat="false" ht="12.75" hidden="false" customHeight="false" outlineLevel="0" collapsed="false">
      <c r="B66" s="13"/>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42"/>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F47" activeCellId="1" sqref="B36 F47:F50"/>
    </sheetView>
  </sheetViews>
  <sheetFormatPr defaultColWidth="10.5625" defaultRowHeight="12.75" customHeight="true" zeroHeight="false" outlineLevelRow="0" outlineLevelCol="0"/>
  <cols>
    <col collapsed="false" customWidth="true" hidden="false" outlineLevel="0" max="1" min="1" style="14" width="16.56"/>
    <col collapsed="false" customWidth="true" hidden="false" outlineLevel="0" max="2" min="2" style="14" width="10.42"/>
    <col collapsed="false" customWidth="true" hidden="false" outlineLevel="0" max="3" min="3" style="14" width="5.85"/>
    <col collapsed="false" customWidth="true" hidden="false" outlineLevel="0" max="4" min="4" style="14" width="10.42"/>
    <col collapsed="false" customWidth="true" hidden="false" outlineLevel="0" max="6" min="5" style="14" width="7.99"/>
    <col collapsed="false" customWidth="true" hidden="false" outlineLevel="0" max="8" min="7" style="14" width="10.42"/>
    <col collapsed="false" customWidth="true" hidden="false" outlineLevel="0" max="9" min="9" style="14" width="20.85"/>
    <col collapsed="false" customWidth="false" hidden="false" outlineLevel="0" max="257" min="10" style="14" width="10.56"/>
  </cols>
  <sheetData>
    <row r="1" customFormat="false" ht="13.5" hidden="false" customHeight="true" outlineLevel="0" collapsed="false">
      <c r="A1" s="275" t="s">
        <v>424</v>
      </c>
      <c r="B1" s="275"/>
      <c r="C1" s="275"/>
      <c r="D1" s="275"/>
      <c r="E1" s="275"/>
      <c r="F1" s="275"/>
      <c r="G1" s="275"/>
      <c r="H1" s="275"/>
    </row>
    <row r="3" customFormat="false" ht="25.5" hidden="false" customHeight="false" outlineLevel="0" collapsed="false">
      <c r="A3" s="278" t="s">
        <v>306</v>
      </c>
      <c r="B3" s="278" t="s">
        <v>148</v>
      </c>
      <c r="C3" s="278" t="s">
        <v>307</v>
      </c>
      <c r="D3" s="278" t="s">
        <v>146</v>
      </c>
      <c r="E3" s="278" t="s">
        <v>308</v>
      </c>
      <c r="F3" s="278" t="s">
        <v>42</v>
      </c>
      <c r="G3" s="278" t="s">
        <v>417</v>
      </c>
      <c r="H3" s="278" t="s">
        <v>42</v>
      </c>
      <c r="I3" s="278" t="s">
        <v>176</v>
      </c>
    </row>
    <row r="4" customFormat="false" ht="12.75" hidden="false" customHeight="false" outlineLevel="0" collapsed="false">
      <c r="A4" s="18"/>
      <c r="B4" s="18"/>
      <c r="C4" s="18"/>
      <c r="D4" s="24"/>
      <c r="E4" s="303"/>
      <c r="F4" s="303"/>
      <c r="G4" s="24"/>
      <c r="H4" s="24"/>
    </row>
    <row r="5" customFormat="false" ht="12.75" hidden="false" customHeight="false" outlineLevel="0" collapsed="false">
      <c r="A5" s="279" t="s">
        <v>310</v>
      </c>
      <c r="B5" s="280"/>
      <c r="C5" s="280"/>
      <c r="E5" s="280" t="s">
        <v>311</v>
      </c>
      <c r="F5" s="280"/>
      <c r="G5" s="280" t="n">
        <f aca="false">35*9</f>
        <v>315</v>
      </c>
      <c r="H5" s="280" t="s">
        <v>258</v>
      </c>
    </row>
    <row r="6" customFormat="false" ht="12.75" hidden="false" customHeight="false" outlineLevel="0" collapsed="false">
      <c r="A6" s="279" t="s">
        <v>312</v>
      </c>
      <c r="B6" s="280"/>
      <c r="C6" s="280"/>
      <c r="E6" s="280" t="s">
        <v>313</v>
      </c>
      <c r="F6" s="280"/>
      <c r="G6" s="280" t="n">
        <f aca="false">B7+B14</f>
        <v>1924</v>
      </c>
      <c r="H6" s="280" t="s">
        <v>258</v>
      </c>
    </row>
    <row r="7" customFormat="false" ht="12.75" hidden="false" customHeight="false" outlineLevel="0" collapsed="false">
      <c r="A7" s="280" t="s">
        <v>314</v>
      </c>
      <c r="B7" s="297" t="n">
        <v>1463</v>
      </c>
      <c r="C7" s="280" t="s">
        <v>258</v>
      </c>
      <c r="E7" s="279" t="s">
        <v>315</v>
      </c>
      <c r="F7" s="280"/>
      <c r="G7" s="280" t="n">
        <f aca="false">+G8+G9+G10</f>
        <v>178.5</v>
      </c>
      <c r="H7" s="280"/>
    </row>
    <row r="8" customFormat="false" ht="12.75" hidden="false" customHeight="false" outlineLevel="0" collapsed="false">
      <c r="A8" s="281" t="s">
        <v>316</v>
      </c>
      <c r="B8" s="298" t="n">
        <v>0</v>
      </c>
      <c r="C8" s="281" t="s">
        <v>258</v>
      </c>
      <c r="E8" s="282" t="s">
        <v>317</v>
      </c>
      <c r="F8" s="280"/>
      <c r="G8" s="280" t="n">
        <f aca="false">8*7</f>
        <v>56</v>
      </c>
      <c r="H8" s="280" t="s">
        <v>258</v>
      </c>
    </row>
    <row r="9" customFormat="false" ht="12.75" hidden="false" customHeight="false" outlineLevel="0" collapsed="false">
      <c r="A9" s="280" t="s">
        <v>318</v>
      </c>
      <c r="B9" s="297" t="n">
        <f aca="false">+B8+B7</f>
        <v>1463</v>
      </c>
      <c r="C9" s="280" t="s">
        <v>258</v>
      </c>
      <c r="E9" s="282" t="s">
        <v>319</v>
      </c>
      <c r="F9" s="280"/>
      <c r="G9" s="280" t="n">
        <v>0</v>
      </c>
      <c r="H9" s="280"/>
    </row>
    <row r="10" customFormat="false" ht="12.75" hidden="false" customHeight="false" outlineLevel="0" collapsed="false">
      <c r="A10" s="280"/>
      <c r="B10" s="297"/>
      <c r="C10" s="280"/>
      <c r="E10" s="282" t="s">
        <v>320</v>
      </c>
      <c r="F10" s="280"/>
      <c r="G10" s="280" t="n">
        <f aca="false">3.5*(25+10)</f>
        <v>122.5</v>
      </c>
      <c r="H10" s="280"/>
    </row>
    <row r="11" customFormat="false" ht="12.75" hidden="false" customHeight="false" outlineLevel="0" collapsed="false">
      <c r="A11" s="279" t="s">
        <v>321</v>
      </c>
      <c r="B11" s="297"/>
      <c r="C11" s="280"/>
      <c r="E11" s="280" t="s">
        <v>322</v>
      </c>
      <c r="F11" s="280"/>
      <c r="G11" s="280" t="n">
        <f aca="false">25*18</f>
        <v>450</v>
      </c>
      <c r="H11" s="280"/>
    </row>
    <row r="12" customFormat="false" ht="12.75" hidden="false" customHeight="false" outlineLevel="0" collapsed="false">
      <c r="A12" s="280" t="s">
        <v>323</v>
      </c>
      <c r="B12" s="297" t="n">
        <v>411</v>
      </c>
      <c r="C12" s="280" t="s">
        <v>258</v>
      </c>
      <c r="E12" s="280" t="s">
        <v>324</v>
      </c>
      <c r="F12" s="280"/>
      <c r="G12" s="280" t="n">
        <v>9</v>
      </c>
      <c r="H12" s="280"/>
    </row>
    <row r="13" customFormat="false" ht="12.75" hidden="false" customHeight="false" outlineLevel="0" collapsed="false">
      <c r="A13" s="280" t="s">
        <v>325</v>
      </c>
      <c r="B13" s="297" t="n">
        <f aca="false">10*5</f>
        <v>50</v>
      </c>
      <c r="C13" s="280" t="s">
        <v>258</v>
      </c>
      <c r="E13" s="280" t="s">
        <v>326</v>
      </c>
      <c r="F13" s="280"/>
      <c r="G13" s="280" t="n">
        <v>6</v>
      </c>
      <c r="H13" s="280"/>
    </row>
    <row r="14" customFormat="false" ht="12.75" hidden="false" customHeight="false" outlineLevel="0" collapsed="false">
      <c r="A14" s="283" t="s">
        <v>327</v>
      </c>
      <c r="B14" s="299" t="n">
        <f aca="false">+B13+B12</f>
        <v>461</v>
      </c>
      <c r="C14" s="283" t="s">
        <v>258</v>
      </c>
      <c r="E14" s="280" t="s">
        <v>328</v>
      </c>
      <c r="F14" s="280"/>
      <c r="G14" s="280" t="n">
        <v>9</v>
      </c>
      <c r="H14" s="280"/>
      <c r="J14" s="14" t="n">
        <f aca="false">3+5/16</f>
        <v>3.3125</v>
      </c>
      <c r="K14" s="14" t="n">
        <f aca="false">1+7/8</f>
        <v>1.875</v>
      </c>
      <c r="L14" s="14" t="n">
        <v>2</v>
      </c>
      <c r="M14" s="14" t="n">
        <v>1</v>
      </c>
    </row>
    <row r="15" customFormat="false" ht="12.75" hidden="false" customHeight="false" outlineLevel="0" collapsed="false">
      <c r="A15" s="284" t="s">
        <v>329</v>
      </c>
      <c r="B15" s="300" t="n">
        <f aca="false">+B14+B9</f>
        <v>1924</v>
      </c>
      <c r="C15" s="284" t="s">
        <v>258</v>
      </c>
      <c r="E15" s="280" t="s">
        <v>330</v>
      </c>
      <c r="F15" s="280"/>
      <c r="G15" s="280" t="n">
        <f aca="false">ConstTime</f>
        <v>6</v>
      </c>
      <c r="H15" s="280" t="s">
        <v>4</v>
      </c>
      <c r="J15" s="14" t="n">
        <v>35</v>
      </c>
      <c r="K15" s="14" t="n">
        <f aca="false">+K14*Assumptions!C6</f>
        <v>19.811320754717</v>
      </c>
      <c r="L15" s="14" t="n">
        <f aca="false">+L14*Assumptions!$C6</f>
        <v>21.1320754716981</v>
      </c>
      <c r="M15" s="14" t="n">
        <f aca="false">+M14*Assumptions!$C6</f>
        <v>10.5660377358491</v>
      </c>
    </row>
    <row r="16" customFormat="false" ht="12.75" hidden="false" customHeight="false" outlineLevel="0" collapsed="false">
      <c r="A16" s="280"/>
      <c r="B16" s="280"/>
      <c r="C16" s="280"/>
      <c r="D16" s="280"/>
      <c r="E16" s="280"/>
      <c r="F16" s="280"/>
      <c r="G16" s="280"/>
      <c r="H16" s="280"/>
    </row>
    <row r="17" customFormat="false" ht="12.75" hidden="false" customHeight="false" outlineLevel="0" collapsed="false">
      <c r="A17" s="279" t="s">
        <v>184</v>
      </c>
      <c r="B17" s="280"/>
      <c r="C17" s="280"/>
      <c r="D17" s="280"/>
      <c r="E17" s="280"/>
      <c r="F17" s="280"/>
      <c r="G17" s="280"/>
      <c r="H17" s="280"/>
      <c r="K17" s="14" t="n">
        <f aca="false">+Assumptions!C6*J14</f>
        <v>35</v>
      </c>
    </row>
    <row r="18" customFormat="false" ht="12.75" hidden="false" customHeight="false" outlineLevel="0" collapsed="false">
      <c r="A18" s="280" t="s">
        <v>331</v>
      </c>
      <c r="B18" s="297" t="n">
        <v>0</v>
      </c>
      <c r="C18" s="280" t="s">
        <v>179</v>
      </c>
      <c r="D18" s="285" t="n">
        <v>350</v>
      </c>
      <c r="E18" s="286" t="n">
        <f aca="false">D18*B18</f>
        <v>0</v>
      </c>
      <c r="F18" s="287" t="n">
        <f aca="false">+E18/$B$9</f>
        <v>0</v>
      </c>
      <c r="G18" s="286" t="n">
        <f aca="false">+E18*AdjRate</f>
        <v>0</v>
      </c>
      <c r="H18" s="287" t="n">
        <f aca="false">+G18/$B$9</f>
        <v>0</v>
      </c>
    </row>
    <row r="19" customFormat="false" ht="12.75" hidden="false" customHeight="false" outlineLevel="0" collapsed="false">
      <c r="A19" s="280" t="s">
        <v>332</v>
      </c>
      <c r="B19" s="297" t="n">
        <f aca="false">+$G$6</f>
        <v>1924</v>
      </c>
      <c r="C19" s="280" t="s">
        <v>258</v>
      </c>
      <c r="D19" s="285" t="n">
        <v>0.15</v>
      </c>
      <c r="E19" s="286" t="n">
        <f aca="false">D19*B19</f>
        <v>288.6</v>
      </c>
      <c r="F19" s="287" t="n">
        <f aca="false">+E19/$B$9</f>
        <v>0.197265892002734</v>
      </c>
      <c r="G19" s="286" t="n">
        <f aca="false">+E19*AdjRate</f>
        <v>346.32</v>
      </c>
      <c r="H19" s="287" t="n">
        <f aca="false">+G19/$B$9</f>
        <v>0.236719070403281</v>
      </c>
    </row>
    <row r="20" customFormat="false" ht="12.75" hidden="false" customHeight="false" outlineLevel="0" collapsed="false">
      <c r="A20" s="280" t="s">
        <v>333</v>
      </c>
      <c r="B20" s="297" t="n">
        <v>0</v>
      </c>
      <c r="C20" s="280" t="s">
        <v>179</v>
      </c>
      <c r="D20" s="285" t="n">
        <v>350</v>
      </c>
      <c r="E20" s="286" t="n">
        <f aca="false">D20*B20</f>
        <v>0</v>
      </c>
      <c r="F20" s="287" t="n">
        <f aca="false">+E20/$B$9</f>
        <v>0</v>
      </c>
      <c r="G20" s="286" t="n">
        <f aca="false">+E20*AdjRate</f>
        <v>0</v>
      </c>
      <c r="H20" s="287" t="n">
        <f aca="false">+G20/$B$9</f>
        <v>0</v>
      </c>
    </row>
    <row r="21" customFormat="false" ht="12.75" hidden="false" customHeight="false" outlineLevel="0" collapsed="false">
      <c r="A21" s="280" t="s">
        <v>334</v>
      </c>
      <c r="B21" s="297" t="n">
        <v>1</v>
      </c>
      <c r="C21" s="280" t="s">
        <v>179</v>
      </c>
      <c r="D21" s="285" t="n">
        <v>0</v>
      </c>
      <c r="E21" s="286" t="n">
        <f aca="false">D21*B21</f>
        <v>0</v>
      </c>
      <c r="F21" s="287" t="n">
        <f aca="false">+E21/$B$9</f>
        <v>0</v>
      </c>
      <c r="G21" s="286" t="n">
        <f aca="false">+E21*AdjRate</f>
        <v>0</v>
      </c>
      <c r="H21" s="287" t="n">
        <f aca="false">+G21/$B$9</f>
        <v>0</v>
      </c>
    </row>
    <row r="22" customFormat="false" ht="12.75" hidden="false" customHeight="false" outlineLevel="0" collapsed="false">
      <c r="A22" s="280"/>
      <c r="B22" s="297"/>
      <c r="C22" s="280"/>
      <c r="D22" s="285"/>
      <c r="E22" s="286"/>
      <c r="F22" s="287"/>
      <c r="G22" s="286"/>
      <c r="H22" s="287"/>
    </row>
    <row r="23" customFormat="false" ht="12.75" hidden="false" customHeight="false" outlineLevel="0" collapsed="false">
      <c r="A23" s="279" t="s">
        <v>335</v>
      </c>
      <c r="B23" s="297"/>
      <c r="C23" s="280"/>
      <c r="D23" s="285"/>
      <c r="E23" s="286"/>
      <c r="F23" s="287"/>
      <c r="G23" s="286"/>
      <c r="H23" s="287"/>
    </row>
    <row r="24" customFormat="false" ht="12.75" hidden="false" customHeight="false" outlineLevel="0" collapsed="false">
      <c r="A24" s="280" t="s">
        <v>336</v>
      </c>
      <c r="B24" s="297" t="n">
        <v>1</v>
      </c>
      <c r="C24" s="280" t="s">
        <v>179</v>
      </c>
      <c r="D24" s="285" t="n">
        <v>150</v>
      </c>
      <c r="E24" s="286" t="n">
        <f aca="false">D24*B24</f>
        <v>150</v>
      </c>
      <c r="F24" s="287" t="n">
        <f aca="false">+E24/$B$9</f>
        <v>0.102529049897471</v>
      </c>
      <c r="G24" s="286" t="n">
        <f aca="false">+D24*B24*AdjRate</f>
        <v>180</v>
      </c>
      <c r="H24" s="287" t="n">
        <f aca="false">+G24/$B$9</f>
        <v>0.123034859876965</v>
      </c>
    </row>
    <row r="25" customFormat="false" ht="12.75" hidden="false" customHeight="false" outlineLevel="0" collapsed="false">
      <c r="A25" s="280" t="s">
        <v>337</v>
      </c>
      <c r="B25" s="297" t="n">
        <v>1</v>
      </c>
      <c r="C25" s="280" t="s">
        <v>179</v>
      </c>
      <c r="D25" s="285" t="n">
        <v>100</v>
      </c>
      <c r="E25" s="286" t="n">
        <f aca="false">D25*B25</f>
        <v>100</v>
      </c>
      <c r="F25" s="287" t="n">
        <f aca="false">+E25/$B$9</f>
        <v>0.0683526999316473</v>
      </c>
      <c r="G25" s="286" t="n">
        <f aca="false">+D25*B25*AdjRate</f>
        <v>120</v>
      </c>
      <c r="H25" s="287" t="n">
        <f aca="false">+G25/$B$9</f>
        <v>0.0820232399179768</v>
      </c>
    </row>
    <row r="26" customFormat="false" ht="12.75" hidden="false" customHeight="false" outlineLevel="0" collapsed="false">
      <c r="A26" s="280" t="s">
        <v>338</v>
      </c>
      <c r="B26" s="297" t="n">
        <v>1</v>
      </c>
      <c r="C26" s="280" t="s">
        <v>179</v>
      </c>
      <c r="D26" s="285" t="n">
        <v>0</v>
      </c>
      <c r="E26" s="286" t="n">
        <f aca="false">D26*B26</f>
        <v>0</v>
      </c>
      <c r="F26" s="287" t="n">
        <f aca="false">+E26/$B$9</f>
        <v>0</v>
      </c>
      <c r="G26" s="286" t="n">
        <f aca="false">+E26*AdjRate</f>
        <v>0</v>
      </c>
      <c r="H26" s="287" t="n">
        <f aca="false">+G26/$B$9</f>
        <v>0</v>
      </c>
    </row>
    <row r="27" customFormat="false" ht="12.75" hidden="false" customHeight="false" outlineLevel="0" collapsed="false">
      <c r="A27" s="280"/>
      <c r="B27" s="297"/>
      <c r="C27" s="280"/>
      <c r="D27" s="285"/>
      <c r="E27" s="286"/>
      <c r="F27" s="287"/>
      <c r="G27" s="286"/>
      <c r="H27" s="287"/>
    </row>
    <row r="28" customFormat="false" ht="12.75" hidden="false" customHeight="false" outlineLevel="0" collapsed="false">
      <c r="A28" s="279" t="s">
        <v>339</v>
      </c>
      <c r="B28" s="297"/>
      <c r="C28" s="280"/>
      <c r="D28" s="285"/>
      <c r="E28" s="286"/>
      <c r="F28" s="287"/>
      <c r="G28" s="286"/>
      <c r="H28" s="287"/>
    </row>
    <row r="29" customFormat="false" ht="12.75" hidden="false" customHeight="false" outlineLevel="0" collapsed="false">
      <c r="A29" s="280" t="s">
        <v>340</v>
      </c>
      <c r="B29" s="297" t="n">
        <f aca="false">ConstTime</f>
        <v>6</v>
      </c>
      <c r="C29" s="280" t="s">
        <v>274</v>
      </c>
      <c r="D29" s="285" t="n">
        <f aca="false">56</f>
        <v>56</v>
      </c>
      <c r="E29" s="286" t="n">
        <f aca="false">D29*B29</f>
        <v>336</v>
      </c>
      <c r="F29" s="287" t="n">
        <f aca="false">+E29/$B$9</f>
        <v>0.229665071770335</v>
      </c>
      <c r="G29" s="286" t="n">
        <f aca="false">+D29*B29*AdjRate</f>
        <v>403.2</v>
      </c>
      <c r="H29" s="287" t="n">
        <f aca="false">+G29/$B$9</f>
        <v>0.275598086124402</v>
      </c>
    </row>
    <row r="30" customFormat="false" ht="12.75" hidden="false" customHeight="false" outlineLevel="0" collapsed="false">
      <c r="A30" s="280" t="s">
        <v>341</v>
      </c>
      <c r="B30" s="297" t="n">
        <v>1</v>
      </c>
      <c r="C30" s="280" t="s">
        <v>179</v>
      </c>
      <c r="D30" s="285" t="n">
        <v>500</v>
      </c>
      <c r="E30" s="286" t="n">
        <f aca="false">D30*B30</f>
        <v>500</v>
      </c>
      <c r="F30" s="287" t="n">
        <f aca="false">+E30/$B$9</f>
        <v>0.341763499658237</v>
      </c>
      <c r="G30" s="286" t="n">
        <f aca="false">+E30*AdjRate</f>
        <v>600</v>
      </c>
      <c r="H30" s="287" t="n">
        <f aca="false">+G30/$B$9</f>
        <v>0.410116199589884</v>
      </c>
    </row>
    <row r="31" customFormat="false" ht="12.75" hidden="false" customHeight="false" outlineLevel="0" collapsed="false">
      <c r="A31" s="280"/>
      <c r="B31" s="297"/>
      <c r="C31" s="280"/>
      <c r="D31" s="285"/>
      <c r="E31" s="286"/>
      <c r="F31" s="287"/>
      <c r="G31" s="286"/>
      <c r="H31" s="287"/>
    </row>
    <row r="32" customFormat="false" ht="12.75" hidden="false" customHeight="false" outlineLevel="0" collapsed="false">
      <c r="A32" s="279" t="s">
        <v>342</v>
      </c>
      <c r="B32" s="297"/>
      <c r="C32" s="280"/>
      <c r="D32" s="285"/>
      <c r="E32" s="286"/>
      <c r="F32" s="287"/>
      <c r="G32" s="286"/>
      <c r="H32" s="287"/>
    </row>
    <row r="33" customFormat="false" ht="12.75" hidden="false" customHeight="false" outlineLevel="0" collapsed="false">
      <c r="A33" s="280" t="s">
        <v>343</v>
      </c>
      <c r="B33" s="297" t="n">
        <f aca="false">ConstTime</f>
        <v>6</v>
      </c>
      <c r="C33" s="280" t="s">
        <v>274</v>
      </c>
      <c r="D33" s="285" t="n">
        <v>30</v>
      </c>
      <c r="E33" s="286" t="n">
        <f aca="false">D33*B33</f>
        <v>180</v>
      </c>
      <c r="F33" s="287" t="n">
        <f aca="false">+E33/$B$9</f>
        <v>0.123034859876965</v>
      </c>
      <c r="G33" s="286" t="n">
        <f aca="false">+D33*B33*AdjRate</f>
        <v>216</v>
      </c>
      <c r="H33" s="287" t="n">
        <f aca="false">+G33/$B$9</f>
        <v>0.147641831852358</v>
      </c>
      <c r="I33" s="14" t="s">
        <v>425</v>
      </c>
    </row>
    <row r="34" customFormat="false" ht="12.75" hidden="false" customHeight="false" outlineLevel="0" collapsed="false">
      <c r="A34" s="280" t="s">
        <v>344</v>
      </c>
      <c r="B34" s="297" t="n">
        <f aca="false">ConstTime</f>
        <v>6</v>
      </c>
      <c r="C34" s="280" t="s">
        <v>274</v>
      </c>
      <c r="D34" s="285" t="n">
        <v>30</v>
      </c>
      <c r="E34" s="286" t="n">
        <f aca="false">D34*B34</f>
        <v>180</v>
      </c>
      <c r="F34" s="287" t="n">
        <f aca="false">+E34/$B$9</f>
        <v>0.123034859876965</v>
      </c>
      <c r="G34" s="286" t="n">
        <f aca="false">+D34*B34*AdjRate</f>
        <v>216</v>
      </c>
      <c r="H34" s="287" t="n">
        <f aca="false">+G34/$B$9</f>
        <v>0.147641831852358</v>
      </c>
    </row>
    <row r="35" customFormat="false" ht="12.75" hidden="false" customHeight="false" outlineLevel="0" collapsed="false">
      <c r="A35" s="280" t="s">
        <v>345</v>
      </c>
      <c r="B35" s="297" t="n">
        <f aca="false">ConstTime</f>
        <v>6</v>
      </c>
      <c r="C35" s="280" t="s">
        <v>274</v>
      </c>
      <c r="D35" s="285" t="n">
        <f aca="false">85/2</f>
        <v>42.5</v>
      </c>
      <c r="E35" s="286" t="n">
        <f aca="false">D35*B35</f>
        <v>255</v>
      </c>
      <c r="F35" s="287" t="n">
        <f aca="false">+E35/$B$9</f>
        <v>0.174299384825701</v>
      </c>
      <c r="G35" s="286" t="n">
        <f aca="false">+E35*AdjRate</f>
        <v>306</v>
      </c>
      <c r="H35" s="287" t="n">
        <f aca="false">+G35/$B$9</f>
        <v>0.209159261790841</v>
      </c>
    </row>
    <row r="36" customFormat="false" ht="12.75" hidden="false" customHeight="false" outlineLevel="0" collapsed="false">
      <c r="A36" s="280"/>
      <c r="B36" s="297"/>
      <c r="C36" s="280"/>
      <c r="D36" s="285"/>
      <c r="E36" s="286"/>
      <c r="F36" s="287"/>
      <c r="G36" s="286"/>
      <c r="H36" s="287"/>
    </row>
    <row r="37" customFormat="false" ht="12.75" hidden="false" customHeight="false" outlineLevel="0" collapsed="false">
      <c r="A37" s="279" t="s">
        <v>346</v>
      </c>
      <c r="B37" s="297"/>
      <c r="C37" s="280"/>
      <c r="D37" s="285"/>
      <c r="E37" s="286"/>
      <c r="F37" s="287"/>
      <c r="G37" s="286"/>
      <c r="H37" s="287"/>
    </row>
    <row r="38" customFormat="false" ht="12.75" hidden="false" customHeight="false" outlineLevel="0" collapsed="false">
      <c r="A38" s="280" t="s">
        <v>347</v>
      </c>
      <c r="B38" s="297" t="n">
        <v>1</v>
      </c>
      <c r="C38" s="280" t="s">
        <v>179</v>
      </c>
      <c r="D38" s="285" t="n">
        <v>750</v>
      </c>
      <c r="E38" s="286" t="n">
        <f aca="false">D38*B38</f>
        <v>750</v>
      </c>
      <c r="F38" s="287" t="n">
        <f aca="false">+E38/$B$9</f>
        <v>0.512645249487355</v>
      </c>
      <c r="G38" s="286" t="n">
        <f aca="false">+D38*B38*AdjRate</f>
        <v>900</v>
      </c>
      <c r="H38" s="287" t="n">
        <f aca="false">+G38/$B$9</f>
        <v>0.615174299384826</v>
      </c>
    </row>
    <row r="39" customFormat="false" ht="12.75" hidden="false" customHeight="false" outlineLevel="0" collapsed="false">
      <c r="A39" s="280" t="s">
        <v>348</v>
      </c>
      <c r="B39" s="297" t="n">
        <f aca="false">B$9</f>
        <v>1463</v>
      </c>
      <c r="C39" s="280" t="s">
        <v>258</v>
      </c>
      <c r="D39" s="285" t="n">
        <v>0.15</v>
      </c>
      <c r="E39" s="286" t="n">
        <f aca="false">D39*B39</f>
        <v>219.45</v>
      </c>
      <c r="F39" s="287" t="n">
        <f aca="false">+E39/$B$9</f>
        <v>0.15</v>
      </c>
      <c r="G39" s="286" t="n">
        <f aca="false">+E39*AdjRate</f>
        <v>263.34</v>
      </c>
      <c r="H39" s="287" t="n">
        <f aca="false">+G39/$B$9</f>
        <v>0.18</v>
      </c>
    </row>
    <row r="40" customFormat="false" ht="12.75" hidden="false" customHeight="false" outlineLevel="0" collapsed="false">
      <c r="A40" s="280"/>
      <c r="B40" s="297"/>
      <c r="C40" s="280"/>
      <c r="D40" s="285"/>
      <c r="E40" s="286"/>
      <c r="F40" s="287"/>
      <c r="G40" s="286"/>
      <c r="H40" s="287"/>
    </row>
    <row r="41" customFormat="false" ht="12.75" hidden="false" customHeight="false" outlineLevel="0" collapsed="false">
      <c r="A41" s="279" t="s">
        <v>349</v>
      </c>
      <c r="B41" s="297"/>
      <c r="C41" s="280"/>
      <c r="D41" s="285"/>
      <c r="E41" s="286"/>
      <c r="F41" s="287"/>
      <c r="G41" s="286"/>
      <c r="H41" s="287"/>
    </row>
    <row r="42" customFormat="false" ht="12.75" hidden="false" customHeight="false" outlineLevel="0" collapsed="false">
      <c r="A42" s="280" t="s">
        <v>350</v>
      </c>
      <c r="B42" s="297" t="n">
        <v>0</v>
      </c>
      <c r="C42" s="280" t="s">
        <v>179</v>
      </c>
      <c r="D42" s="285" t="n">
        <v>0</v>
      </c>
      <c r="E42" s="286" t="n">
        <f aca="false">D42*B42</f>
        <v>0</v>
      </c>
      <c r="F42" s="287" t="n">
        <f aca="false">+E42/$B$9</f>
        <v>0</v>
      </c>
      <c r="G42" s="286" t="n">
        <f aca="false">+E42*AdjRate</f>
        <v>0</v>
      </c>
      <c r="H42" s="287" t="n">
        <f aca="false">+G42/$B$9</f>
        <v>0</v>
      </c>
    </row>
    <row r="43" customFormat="false" ht="12.75" hidden="false" customHeight="false" outlineLevel="0" collapsed="false">
      <c r="A43" s="280" t="s">
        <v>351</v>
      </c>
      <c r="B43" s="297" t="n">
        <v>1</v>
      </c>
      <c r="C43" s="280" t="s">
        <v>195</v>
      </c>
      <c r="D43" s="285" t="n">
        <v>150</v>
      </c>
      <c r="E43" s="286" t="n">
        <f aca="false">D43*B43</f>
        <v>150</v>
      </c>
      <c r="F43" s="287" t="n">
        <f aca="false">+E43/$B$9</f>
        <v>0.102529049897471</v>
      </c>
      <c r="G43" s="286" t="n">
        <f aca="false">+E43*AdjRate</f>
        <v>180</v>
      </c>
      <c r="H43" s="287" t="n">
        <f aca="false">+G43/$B$9</f>
        <v>0.123034859876965</v>
      </c>
    </row>
    <row r="44" customFormat="false" ht="12.75" hidden="false" customHeight="false" outlineLevel="0" collapsed="false">
      <c r="A44" s="280" t="s">
        <v>352</v>
      </c>
      <c r="B44" s="297" t="n">
        <v>1</v>
      </c>
      <c r="C44" s="280" t="s">
        <v>179</v>
      </c>
      <c r="D44" s="285" t="n">
        <v>350</v>
      </c>
      <c r="E44" s="286" t="n">
        <f aca="false">D44*B44</f>
        <v>350</v>
      </c>
      <c r="F44" s="287" t="n">
        <f aca="false">+E44/$B$9</f>
        <v>0.239234449760766</v>
      </c>
      <c r="G44" s="286" t="n">
        <f aca="false">+E44*AdjRate</f>
        <v>420</v>
      </c>
      <c r="H44" s="287" t="n">
        <f aca="false">+G44/$B$9</f>
        <v>0.287081339712919</v>
      </c>
    </row>
    <row r="45" customFormat="false" ht="12.75" hidden="false" customHeight="false" outlineLevel="0" collapsed="false">
      <c r="A45" s="280" t="s">
        <v>353</v>
      </c>
      <c r="B45" s="297" t="n">
        <v>1</v>
      </c>
      <c r="C45" s="280" t="s">
        <v>179</v>
      </c>
      <c r="D45" s="285" t="n">
        <v>0</v>
      </c>
      <c r="E45" s="286" t="n">
        <f aca="false">D45*B45</f>
        <v>0</v>
      </c>
      <c r="F45" s="287" t="n">
        <f aca="false">+E45/$B$9</f>
        <v>0</v>
      </c>
      <c r="G45" s="286" t="n">
        <f aca="false">+E45*AdjRate</f>
        <v>0</v>
      </c>
      <c r="H45" s="287" t="n">
        <f aca="false">+G45/$B$9</f>
        <v>0</v>
      </c>
    </row>
    <row r="46" customFormat="false" ht="12.75" hidden="false" customHeight="false" outlineLevel="0" collapsed="false">
      <c r="A46" s="280" t="s">
        <v>267</v>
      </c>
      <c r="B46" s="297" t="n">
        <v>1</v>
      </c>
      <c r="C46" s="280" t="s">
        <v>179</v>
      </c>
      <c r="D46" s="285" t="n">
        <v>0</v>
      </c>
      <c r="E46" s="286" t="n">
        <f aca="false">D46*B46</f>
        <v>0</v>
      </c>
      <c r="F46" s="287" t="n">
        <f aca="false">+E46/$B$9</f>
        <v>0</v>
      </c>
      <c r="G46" s="286" t="n">
        <f aca="false">+D46*B46*AdjRate</f>
        <v>0</v>
      </c>
      <c r="H46" s="287" t="n">
        <f aca="false">+G46/$B$9</f>
        <v>0</v>
      </c>
    </row>
    <row r="47" customFormat="false" ht="12.75" hidden="false" customHeight="false" outlineLevel="0" collapsed="false">
      <c r="A47" s="280" t="s">
        <v>355</v>
      </c>
      <c r="B47" s="297" t="n">
        <f aca="false">(1+3/8)*Assumptions!C$6</f>
        <v>14.5283018867925</v>
      </c>
      <c r="C47" s="280" t="s">
        <v>200</v>
      </c>
      <c r="D47" s="285" t="n">
        <v>15</v>
      </c>
      <c r="E47" s="286" t="n">
        <f aca="false">D47*B47</f>
        <v>217.924528301887</v>
      </c>
      <c r="F47" s="287" t="n">
        <f aca="false">+E47/$B$9</f>
        <v>0.148957298907646</v>
      </c>
      <c r="G47" s="286" t="n">
        <f aca="false">+D47*B47*AdjRate</f>
        <v>261.509433962264</v>
      </c>
      <c r="H47" s="287" t="n">
        <f aca="false">+G47/$B$9</f>
        <v>0.178748758689176</v>
      </c>
    </row>
    <row r="48" customFormat="false" ht="12.75" hidden="false" customHeight="false" outlineLevel="0" collapsed="false">
      <c r="A48" s="280" t="s">
        <v>426</v>
      </c>
      <c r="B48" s="297" t="n">
        <v>1</v>
      </c>
      <c r="C48" s="280" t="s">
        <v>179</v>
      </c>
      <c r="D48" s="285" t="n">
        <v>350</v>
      </c>
      <c r="E48" s="286" t="n">
        <f aca="false">D48*B48</f>
        <v>350</v>
      </c>
      <c r="F48" s="287" t="n">
        <f aca="false">+E48/$B$9</f>
        <v>0.239234449760766</v>
      </c>
      <c r="G48" s="286" t="n">
        <f aca="false">+E48*AdjRate</f>
        <v>420</v>
      </c>
      <c r="H48" s="287" t="n">
        <f aca="false">+G48/$B$9</f>
        <v>0.287081339712919</v>
      </c>
    </row>
    <row r="49" customFormat="false" ht="12.75" hidden="false" customHeight="false" outlineLevel="0" collapsed="false">
      <c r="A49" s="280"/>
      <c r="B49" s="297"/>
      <c r="C49" s="280"/>
      <c r="D49" s="285"/>
      <c r="E49" s="286"/>
      <c r="F49" s="287"/>
      <c r="G49" s="286"/>
      <c r="H49" s="287"/>
      <c r="I49" s="14" t="s">
        <v>425</v>
      </c>
    </row>
    <row r="50" customFormat="false" ht="12.75" hidden="false" customHeight="false" outlineLevel="0" collapsed="false">
      <c r="A50" s="279" t="s">
        <v>357</v>
      </c>
      <c r="B50" s="297"/>
      <c r="C50" s="280"/>
      <c r="D50" s="285"/>
      <c r="E50" s="286"/>
      <c r="F50" s="287"/>
      <c r="G50" s="286"/>
      <c r="H50" s="287"/>
      <c r="I50" s="14" t="s">
        <v>427</v>
      </c>
    </row>
    <row r="51" customFormat="false" ht="12.75" hidden="false" customHeight="false" outlineLevel="0" collapsed="false">
      <c r="A51" s="280" t="s">
        <v>313</v>
      </c>
      <c r="B51" s="297" t="n">
        <f aca="false">G$6</f>
        <v>1924</v>
      </c>
      <c r="C51" s="280" t="s">
        <v>258</v>
      </c>
      <c r="D51" s="285" t="n">
        <v>5.75</v>
      </c>
      <c r="E51" s="286" t="n">
        <f aca="false">D51*B51</f>
        <v>11063</v>
      </c>
      <c r="F51" s="287" t="n">
        <f aca="false">+E51/$B$9</f>
        <v>7.56185919343814</v>
      </c>
      <c r="G51" s="286" t="n">
        <f aca="false">+E51*AdjRate</f>
        <v>13275.6</v>
      </c>
      <c r="H51" s="287" t="n">
        <f aca="false">+G51/$B$9</f>
        <v>9.07423103212577</v>
      </c>
      <c r="I51" s="14" t="s">
        <v>425</v>
      </c>
    </row>
    <row r="52" customFormat="false" ht="12.75" hidden="false" customHeight="false" outlineLevel="0" collapsed="false">
      <c r="A52" s="280" t="s">
        <v>358</v>
      </c>
      <c r="B52" s="297" t="n">
        <v>1</v>
      </c>
      <c r="C52" s="280" t="s">
        <v>179</v>
      </c>
      <c r="D52" s="285" t="n">
        <v>300</v>
      </c>
      <c r="E52" s="286" t="n">
        <f aca="false">D52*B52</f>
        <v>300</v>
      </c>
      <c r="F52" s="287" t="n">
        <f aca="false">+E52/$B$9</f>
        <v>0.205058099794942</v>
      </c>
      <c r="G52" s="286" t="n">
        <f aca="false">+D52*B52*AdjRate</f>
        <v>360</v>
      </c>
      <c r="H52" s="287" t="n">
        <f aca="false">+G52/$B$9</f>
        <v>0.24606971975393</v>
      </c>
      <c r="I52" s="14" t="s">
        <v>425</v>
      </c>
    </row>
    <row r="53" customFormat="false" ht="12.75" hidden="false" customHeight="false" outlineLevel="0" collapsed="false">
      <c r="A53" s="280" t="s">
        <v>315</v>
      </c>
      <c r="B53" s="297" t="n">
        <f aca="false">G$7</f>
        <v>178.5</v>
      </c>
      <c r="C53" s="280" t="s">
        <v>258</v>
      </c>
      <c r="D53" s="285" t="n">
        <v>2.25</v>
      </c>
      <c r="E53" s="286" t="n">
        <f aca="false">D53*B53</f>
        <v>401.625</v>
      </c>
      <c r="F53" s="287" t="n">
        <f aca="false">+E53/$B$9</f>
        <v>0.274521531100478</v>
      </c>
      <c r="G53" s="286" t="n">
        <f aca="false">+D53*B53*AdjRate</f>
        <v>481.95</v>
      </c>
      <c r="H53" s="287" t="n">
        <f aca="false">+G53/$B$9</f>
        <v>0.329425837320574</v>
      </c>
      <c r="I53" s="14" t="s">
        <v>425</v>
      </c>
    </row>
    <row r="54" customFormat="false" ht="12.75" hidden="false" customHeight="false" outlineLevel="0" collapsed="false">
      <c r="A54" s="280" t="s">
        <v>359</v>
      </c>
      <c r="B54" s="297" t="n">
        <f aca="false">G$11</f>
        <v>450</v>
      </c>
      <c r="C54" s="280" t="s">
        <v>258</v>
      </c>
      <c r="D54" s="285" t="n">
        <v>2.25</v>
      </c>
      <c r="E54" s="286" t="n">
        <f aca="false">D54*B54</f>
        <v>1012.5</v>
      </c>
      <c r="F54" s="287" t="n">
        <f aca="false">+E54/$B$9</f>
        <v>0.692071086807929</v>
      </c>
      <c r="G54" s="286" t="n">
        <f aca="false">+E54*AdjRate</f>
        <v>1215</v>
      </c>
      <c r="H54" s="287" t="n">
        <f aca="false">+G54/$B$9</f>
        <v>0.830485304169515</v>
      </c>
      <c r="I54" s="1" t="s">
        <v>127</v>
      </c>
    </row>
    <row r="55" customFormat="false" ht="12.75" hidden="false" customHeight="false" outlineLevel="0" collapsed="false">
      <c r="A55" s="280"/>
      <c r="B55" s="297"/>
      <c r="C55" s="280"/>
      <c r="D55" s="285"/>
      <c r="E55" s="286" t="n">
        <f aca="false">D55*B55</f>
        <v>0</v>
      </c>
      <c r="F55" s="287"/>
      <c r="G55" s="286" t="n">
        <f aca="false">+E55*AdjRate</f>
        <v>0</v>
      </c>
      <c r="H55" s="287"/>
      <c r="I55" s="1" t="s">
        <v>127</v>
      </c>
    </row>
    <row r="56" customFormat="false" ht="12.75" hidden="false" customHeight="false" outlineLevel="0" collapsed="false">
      <c r="A56" s="279" t="s">
        <v>360</v>
      </c>
      <c r="B56" s="297"/>
      <c r="C56" s="280"/>
      <c r="D56" s="285"/>
      <c r="E56" s="286" t="n">
        <f aca="false">D56*B56</f>
        <v>0</v>
      </c>
      <c r="F56" s="287"/>
      <c r="G56" s="286" t="n">
        <f aca="false">+E56*AdjRate</f>
        <v>0</v>
      </c>
      <c r="H56" s="287"/>
    </row>
    <row r="57" customFormat="false" ht="12.75" hidden="false" customHeight="false" outlineLevel="0" collapsed="false">
      <c r="A57" s="280" t="s">
        <v>361</v>
      </c>
      <c r="B57" s="297" t="n">
        <f aca="false">+TCSF</f>
        <v>1924</v>
      </c>
      <c r="C57" s="280" t="s">
        <v>258</v>
      </c>
      <c r="D57" s="285" t="n">
        <v>2.5</v>
      </c>
      <c r="E57" s="286" t="n">
        <f aca="false">D57*B57</f>
        <v>4810</v>
      </c>
      <c r="F57" s="287" t="n">
        <f aca="false">+E57/$B$9</f>
        <v>3.28776486671224</v>
      </c>
      <c r="G57" s="286" t="n">
        <f aca="false">+E57*AdjRate</f>
        <v>5772</v>
      </c>
      <c r="H57" s="287" t="n">
        <f aca="false">+G57/$B$9</f>
        <v>3.94531784005468</v>
      </c>
    </row>
    <row r="58" customFormat="false" ht="12.75" hidden="false" customHeight="false" outlineLevel="0" collapsed="false">
      <c r="A58" s="280" t="s">
        <v>362</v>
      </c>
      <c r="B58" s="297" t="n">
        <f aca="false">+B8</f>
        <v>0</v>
      </c>
      <c r="C58" s="280" t="s">
        <v>258</v>
      </c>
      <c r="D58" s="285" t="n">
        <v>1.9</v>
      </c>
      <c r="E58" s="286" t="n">
        <f aca="false">D58*B58</f>
        <v>0</v>
      </c>
      <c r="F58" s="287" t="n">
        <f aca="false">+E58/$B$9</f>
        <v>0</v>
      </c>
      <c r="G58" s="286" t="n">
        <f aca="false">+E58*AdjRate</f>
        <v>0</v>
      </c>
      <c r="H58" s="287" t="n">
        <f aca="false">+G58/$B$9</f>
        <v>0</v>
      </c>
    </row>
    <row r="59" customFormat="false" ht="12.75" hidden="false" customHeight="false" outlineLevel="0" collapsed="false">
      <c r="A59" s="280" t="s">
        <v>363</v>
      </c>
      <c r="B59" s="297" t="n">
        <f aca="false">G$6</f>
        <v>1924</v>
      </c>
      <c r="C59" s="280" t="s">
        <v>258</v>
      </c>
      <c r="D59" s="285" t="n">
        <v>1.2</v>
      </c>
      <c r="E59" s="286" t="n">
        <f aca="false">D59*B59</f>
        <v>2308.8</v>
      </c>
      <c r="F59" s="287" t="n">
        <f aca="false">+E59/$B$9</f>
        <v>1.57812713602187</v>
      </c>
      <c r="G59" s="286" t="n">
        <f aca="false">+E59*AdjRate</f>
        <v>2770.56</v>
      </c>
      <c r="H59" s="287" t="n">
        <f aca="false">+G59/$B$9</f>
        <v>1.89375256322625</v>
      </c>
    </row>
    <row r="60" customFormat="false" ht="12.75" hidden="false" customHeight="false" outlineLevel="0" collapsed="false">
      <c r="A60" s="280" t="s">
        <v>364</v>
      </c>
      <c r="B60" s="297" t="n">
        <f aca="false">+TCSF</f>
        <v>1924</v>
      </c>
      <c r="C60" s="280" t="s">
        <v>258</v>
      </c>
      <c r="D60" s="285" t="n">
        <v>3.5</v>
      </c>
      <c r="E60" s="286" t="n">
        <f aca="false">D60*B60</f>
        <v>6734</v>
      </c>
      <c r="F60" s="287" t="n">
        <f aca="false">+E60/$B$9</f>
        <v>4.60287081339713</v>
      </c>
      <c r="G60" s="286" t="n">
        <f aca="false">+E60*AdjRate</f>
        <v>8080.8</v>
      </c>
      <c r="H60" s="287" t="n">
        <f aca="false">+G60/$B$9</f>
        <v>5.52344497607655</v>
      </c>
    </row>
    <row r="61" customFormat="false" ht="12.75" hidden="false" customHeight="false" outlineLevel="0" collapsed="false">
      <c r="A61" s="280" t="s">
        <v>365</v>
      </c>
      <c r="B61" s="297" t="n">
        <v>1</v>
      </c>
      <c r="C61" s="280" t="s">
        <v>179</v>
      </c>
      <c r="D61" s="285" t="n">
        <v>500</v>
      </c>
      <c r="E61" s="286" t="n">
        <f aca="false">D61*B61</f>
        <v>500</v>
      </c>
      <c r="F61" s="287" t="n">
        <f aca="false">+E61/$B$9</f>
        <v>0.341763499658237</v>
      </c>
      <c r="G61" s="286" t="n">
        <f aca="false">+E61*AdjRate</f>
        <v>600</v>
      </c>
      <c r="H61" s="287" t="n">
        <f aca="false">+G61/$B$9</f>
        <v>0.410116199589884</v>
      </c>
    </row>
    <row r="62" customFormat="false" ht="12.75" hidden="false" customHeight="false" outlineLevel="0" collapsed="false">
      <c r="A62" s="280" t="s">
        <v>366</v>
      </c>
      <c r="B62" s="297" t="n">
        <f aca="false">G13</f>
        <v>6</v>
      </c>
      <c r="C62" s="280" t="s">
        <v>367</v>
      </c>
      <c r="D62" s="285" t="n">
        <v>285</v>
      </c>
      <c r="E62" s="286" t="n">
        <f aca="false">D62*B62</f>
        <v>1710</v>
      </c>
      <c r="F62" s="287" t="n">
        <f aca="false">+E62/$B$9</f>
        <v>1.16883116883117</v>
      </c>
      <c r="G62" s="286" t="n">
        <f aca="false">+E62*AdjRate</f>
        <v>2052</v>
      </c>
      <c r="H62" s="287" t="n">
        <f aca="false">+G62/$B$9</f>
        <v>1.4025974025974</v>
      </c>
    </row>
    <row r="63" customFormat="false" ht="12.75" hidden="false" customHeight="false" outlineLevel="0" collapsed="false">
      <c r="A63" s="280" t="s">
        <v>368</v>
      </c>
      <c r="B63" s="297" t="n">
        <f aca="false">B$9</f>
        <v>1463</v>
      </c>
      <c r="C63" s="280" t="s">
        <v>258</v>
      </c>
      <c r="D63" s="285" t="n">
        <v>1</v>
      </c>
      <c r="E63" s="286" t="n">
        <f aca="false">D63*B63</f>
        <v>1463</v>
      </c>
      <c r="F63" s="287" t="n">
        <f aca="false">+E63/$B$9</f>
        <v>1</v>
      </c>
      <c r="G63" s="286" t="n">
        <f aca="false">+E63*AdjRate</f>
        <v>1755.6</v>
      </c>
      <c r="H63" s="287" t="n">
        <f aca="false">+G63/$B$9</f>
        <v>1.2</v>
      </c>
    </row>
    <row r="64" customFormat="false" ht="12.75" hidden="false" customHeight="false" outlineLevel="0" collapsed="false">
      <c r="A64" s="280" t="s">
        <v>328</v>
      </c>
      <c r="B64" s="297" t="n">
        <f aca="false">G14</f>
        <v>9</v>
      </c>
      <c r="C64" s="280" t="s">
        <v>369</v>
      </c>
      <c r="D64" s="285" t="n">
        <v>85</v>
      </c>
      <c r="E64" s="286" t="n">
        <f aca="false">D64*B64</f>
        <v>765</v>
      </c>
      <c r="F64" s="287" t="n">
        <f aca="false">+E64/$B$9</f>
        <v>0.522898154477102</v>
      </c>
      <c r="G64" s="286" t="n">
        <f aca="false">+E64*AdjRate</f>
        <v>918</v>
      </c>
      <c r="H64" s="287" t="n">
        <f aca="false">+G64/$B$9</f>
        <v>0.627477785372522</v>
      </c>
    </row>
    <row r="65" customFormat="false" ht="12.75" hidden="false" customHeight="false" outlineLevel="0" collapsed="false">
      <c r="A65" s="280" t="s">
        <v>370</v>
      </c>
      <c r="B65" s="297" t="n">
        <f aca="false">B$9</f>
        <v>1463</v>
      </c>
      <c r="C65" s="280" t="s">
        <v>258</v>
      </c>
      <c r="D65" s="285" t="n">
        <v>1</v>
      </c>
      <c r="E65" s="286" t="n">
        <f aca="false">D65*B65</f>
        <v>1463</v>
      </c>
      <c r="F65" s="287" t="n">
        <f aca="false">+E65/$B$9</f>
        <v>1</v>
      </c>
      <c r="G65" s="286" t="n">
        <f aca="false">+D65*B65*AdjRate</f>
        <v>1755.6</v>
      </c>
      <c r="H65" s="287" t="n">
        <f aca="false">+G65/$B$9</f>
        <v>1.2</v>
      </c>
    </row>
    <row r="66" customFormat="false" ht="12.75" hidden="false" customHeight="false" outlineLevel="0" collapsed="false">
      <c r="A66" s="280" t="s">
        <v>371</v>
      </c>
      <c r="B66" s="297" t="n">
        <v>33</v>
      </c>
      <c r="C66" s="280" t="s">
        <v>200</v>
      </c>
      <c r="D66" s="285" t="n">
        <v>75</v>
      </c>
      <c r="E66" s="286" t="n">
        <f aca="false">D66*B66</f>
        <v>2475</v>
      </c>
      <c r="F66" s="287" t="n">
        <f aca="false">+E66/$B$9</f>
        <v>1.69172932330827</v>
      </c>
      <c r="G66" s="286" t="n">
        <f aca="false">+D66*B66*AdjRate</f>
        <v>2970</v>
      </c>
      <c r="H66" s="287" t="n">
        <f aca="false">+G66/$B$9</f>
        <v>2.03007518796993</v>
      </c>
      <c r="I66" s="304"/>
    </row>
    <row r="67" customFormat="false" ht="12.75" hidden="false" customHeight="false" outlineLevel="0" collapsed="false">
      <c r="A67" s="280" t="s">
        <v>372</v>
      </c>
      <c r="B67" s="297" t="n">
        <v>16</v>
      </c>
      <c r="C67" s="280" t="s">
        <v>200</v>
      </c>
      <c r="D67" s="285" t="n">
        <v>45</v>
      </c>
      <c r="E67" s="286" t="n">
        <f aca="false">D67*B67</f>
        <v>720</v>
      </c>
      <c r="F67" s="287" t="n">
        <f aca="false">+E67/$B$9</f>
        <v>0.492139439507861</v>
      </c>
      <c r="G67" s="286" t="n">
        <f aca="false">+E67*AdjRate</f>
        <v>864</v>
      </c>
      <c r="H67" s="287" t="n">
        <f aca="false">+G67/$B$9</f>
        <v>0.590567327409433</v>
      </c>
      <c r="I67" s="304"/>
    </row>
    <row r="68" customFormat="false" ht="12.75" hidden="false" customHeight="false" outlineLevel="0" collapsed="false">
      <c r="A68" s="280"/>
      <c r="B68" s="297"/>
      <c r="C68" s="280"/>
      <c r="D68" s="285"/>
      <c r="E68" s="286"/>
      <c r="F68" s="287"/>
      <c r="G68" s="286"/>
      <c r="H68" s="287"/>
    </row>
    <row r="69" customFormat="false" ht="12.75" hidden="false" customHeight="false" outlineLevel="0" collapsed="false">
      <c r="A69" s="279" t="s">
        <v>373</v>
      </c>
      <c r="B69" s="297"/>
      <c r="C69" s="280"/>
      <c r="D69" s="285"/>
      <c r="E69" s="286"/>
      <c r="F69" s="287"/>
      <c r="G69" s="286"/>
      <c r="H69" s="287"/>
    </row>
    <row r="70" customFormat="false" ht="12.75" hidden="false" customHeight="false" outlineLevel="0" collapsed="false">
      <c r="A70" s="280" t="s">
        <v>324</v>
      </c>
      <c r="B70" s="297" t="n">
        <f aca="false">G12</f>
        <v>9</v>
      </c>
      <c r="C70" s="280" t="s">
        <v>374</v>
      </c>
      <c r="D70" s="285" t="n">
        <v>85</v>
      </c>
      <c r="E70" s="286" t="n">
        <f aca="false">D70*B70</f>
        <v>765</v>
      </c>
      <c r="F70" s="287" t="n">
        <f aca="false">+E70/$B$9</f>
        <v>0.522898154477102</v>
      </c>
      <c r="G70" s="286" t="n">
        <f aca="false">+D70*B70*AdjRate</f>
        <v>918</v>
      </c>
      <c r="H70" s="287" t="n">
        <f aca="false">+G70/$B$9</f>
        <v>0.627477785372522</v>
      </c>
    </row>
    <row r="71" customFormat="false" ht="12.75" hidden="false" customHeight="false" outlineLevel="0" collapsed="false">
      <c r="A71" s="280" t="s">
        <v>375</v>
      </c>
      <c r="B71" s="297" t="n">
        <v>1</v>
      </c>
      <c r="C71" s="280" t="s">
        <v>179</v>
      </c>
      <c r="D71" s="285" t="n">
        <v>480</v>
      </c>
      <c r="E71" s="286" t="n">
        <f aca="false">D71*B71</f>
        <v>480</v>
      </c>
      <c r="F71" s="287" t="n">
        <f aca="false">+E71/$B$9</f>
        <v>0.328092959671907</v>
      </c>
      <c r="G71" s="286" t="n">
        <f aca="false">+D71*B71*AdjRate</f>
        <v>576</v>
      </c>
      <c r="H71" s="287" t="n">
        <f aca="false">+G71/$B$9</f>
        <v>0.393711551606288</v>
      </c>
    </row>
    <row r="72" customFormat="false" ht="12.75" hidden="false" customHeight="false" outlineLevel="0" collapsed="false">
      <c r="A72" s="280" t="s">
        <v>376</v>
      </c>
      <c r="B72" s="297" t="n">
        <v>36</v>
      </c>
      <c r="C72" s="280" t="s">
        <v>258</v>
      </c>
      <c r="D72" s="285" t="n">
        <v>7.5</v>
      </c>
      <c r="E72" s="286" t="n">
        <f aca="false">D72*B72</f>
        <v>270</v>
      </c>
      <c r="F72" s="287" t="n">
        <f aca="false">+E72/$B$9</f>
        <v>0.184552289815448</v>
      </c>
      <c r="G72" s="286" t="n">
        <f aca="false">+E72*AdjRate</f>
        <v>324</v>
      </c>
      <c r="H72" s="287" t="n">
        <f aca="false">+G72/$B$9</f>
        <v>0.221462747778537</v>
      </c>
    </row>
    <row r="73" customFormat="false" ht="12.75" hidden="false" customHeight="false" outlineLevel="0" collapsed="false">
      <c r="A73" s="280"/>
      <c r="B73" s="297"/>
      <c r="C73" s="280"/>
      <c r="D73" s="285"/>
      <c r="E73" s="286"/>
      <c r="F73" s="287"/>
      <c r="G73" s="286"/>
      <c r="H73" s="287"/>
    </row>
    <row r="74" customFormat="false" ht="12.75" hidden="false" customHeight="false" outlineLevel="0" collapsed="false">
      <c r="A74" s="279" t="s">
        <v>377</v>
      </c>
      <c r="B74" s="297"/>
      <c r="C74" s="280"/>
      <c r="D74" s="285"/>
      <c r="E74" s="286"/>
      <c r="F74" s="287"/>
      <c r="G74" s="286"/>
      <c r="H74" s="287"/>
    </row>
    <row r="75" customFormat="false" ht="12.75" hidden="false" customHeight="false" outlineLevel="0" collapsed="false">
      <c r="A75" s="280" t="s">
        <v>378</v>
      </c>
      <c r="B75" s="297" t="n">
        <f aca="false">1.3*1164/100</f>
        <v>15.132</v>
      </c>
      <c r="C75" s="280" t="s">
        <v>379</v>
      </c>
      <c r="D75" s="285" t="n">
        <v>52</v>
      </c>
      <c r="E75" s="286" t="n">
        <f aca="false">D75*B75</f>
        <v>786.864</v>
      </c>
      <c r="F75" s="287" t="n">
        <f aca="false">+E75/$B$9</f>
        <v>0.537842788790157</v>
      </c>
      <c r="G75" s="286" t="n">
        <f aca="false">+E75*AdjRate</f>
        <v>944.2368</v>
      </c>
      <c r="H75" s="287" t="n">
        <f aca="false">+G75/$B$9</f>
        <v>0.645411346548189</v>
      </c>
    </row>
    <row r="76" customFormat="false" ht="12.75" hidden="false" customHeight="false" outlineLevel="0" collapsed="false">
      <c r="A76" s="280" t="s">
        <v>380</v>
      </c>
      <c r="B76" s="297" t="n">
        <v>1</v>
      </c>
      <c r="C76" s="280" t="s">
        <v>179</v>
      </c>
      <c r="D76" s="285" t="n">
        <v>200</v>
      </c>
      <c r="E76" s="286" t="n">
        <f aca="false">D76*B76</f>
        <v>200</v>
      </c>
      <c r="F76" s="287" t="n">
        <f aca="false">+E76/$B$9</f>
        <v>0.136705399863295</v>
      </c>
      <c r="G76" s="286" t="n">
        <f aca="false">+D76*B76*AdjRate</f>
        <v>240</v>
      </c>
      <c r="H76" s="287" t="n">
        <f aca="false">+G76/$B$9</f>
        <v>0.164046479835954</v>
      </c>
    </row>
    <row r="77" customFormat="false" ht="12.75" hidden="false" customHeight="false" outlineLevel="0" collapsed="false">
      <c r="A77" s="280" t="s">
        <v>381</v>
      </c>
      <c r="B77" s="297" t="n">
        <f aca="false">B$9</f>
        <v>1463</v>
      </c>
      <c r="C77" s="280" t="s">
        <v>258</v>
      </c>
      <c r="D77" s="285" t="n">
        <v>0.75</v>
      </c>
      <c r="E77" s="286" t="n">
        <f aca="false">D77*B77</f>
        <v>1097.25</v>
      </c>
      <c r="F77" s="287" t="n">
        <f aca="false">+E77/$B$9</f>
        <v>0.75</v>
      </c>
      <c r="G77" s="286" t="n">
        <f aca="false">+D77*B77*AdjRate</f>
        <v>1316.7</v>
      </c>
      <c r="H77" s="287" t="n">
        <f aca="false">+G77/$B$9</f>
        <v>0.9</v>
      </c>
    </row>
    <row r="78" customFormat="false" ht="12.75" hidden="false" customHeight="false" outlineLevel="0" collapsed="false">
      <c r="A78" s="280" t="s">
        <v>382</v>
      </c>
      <c r="B78" s="297" t="n">
        <f aca="false">B$9</f>
        <v>1463</v>
      </c>
      <c r="C78" s="280" t="s">
        <v>258</v>
      </c>
      <c r="D78" s="285" t="n">
        <v>3</v>
      </c>
      <c r="E78" s="286" t="n">
        <f aca="false">D78*B78</f>
        <v>4389</v>
      </c>
      <c r="F78" s="287" t="n">
        <f aca="false">+E78/$B$9</f>
        <v>3</v>
      </c>
      <c r="G78" s="286" t="n">
        <f aca="false">+E78*AdjRate</f>
        <v>5266.8</v>
      </c>
      <c r="H78" s="287" t="n">
        <f aca="false">+G78/$B$9</f>
        <v>3.6</v>
      </c>
    </row>
    <row r="79" customFormat="false" ht="12.75" hidden="false" customHeight="false" outlineLevel="0" collapsed="false">
      <c r="A79" s="280"/>
      <c r="B79" s="297"/>
      <c r="C79" s="280"/>
      <c r="D79" s="285"/>
      <c r="E79" s="286"/>
      <c r="F79" s="287"/>
      <c r="G79" s="286"/>
      <c r="H79" s="287"/>
    </row>
    <row r="80" customFormat="false" ht="12.75" hidden="false" customHeight="false" outlineLevel="0" collapsed="false">
      <c r="A80" s="279" t="s">
        <v>311</v>
      </c>
      <c r="B80" s="297"/>
      <c r="C80" s="280"/>
      <c r="D80" s="285"/>
      <c r="E80" s="286"/>
      <c r="F80" s="287"/>
      <c r="G80" s="286"/>
      <c r="H80" s="287"/>
    </row>
    <row r="81" customFormat="false" ht="12.75" hidden="false" customHeight="false" outlineLevel="0" collapsed="false">
      <c r="A81" s="280" t="s">
        <v>383</v>
      </c>
      <c r="B81" s="297" t="n">
        <f aca="false">+G5</f>
        <v>315</v>
      </c>
      <c r="C81" s="280" t="s">
        <v>258</v>
      </c>
      <c r="D81" s="285" t="n">
        <v>5.5</v>
      </c>
      <c r="E81" s="286" t="n">
        <f aca="false">D81*B81</f>
        <v>1732.5</v>
      </c>
      <c r="F81" s="287" t="n">
        <f aca="false">+E81/$B$9</f>
        <v>1.18421052631579</v>
      </c>
      <c r="G81" s="286" t="n">
        <f aca="false">+E81*AdjRate</f>
        <v>2079</v>
      </c>
      <c r="H81" s="287" t="n">
        <f aca="false">+G81/$B$9</f>
        <v>1.42105263157895</v>
      </c>
    </row>
    <row r="82" customFormat="false" ht="12.75" hidden="false" customHeight="false" outlineLevel="0" collapsed="false">
      <c r="A82" s="280" t="s">
        <v>384</v>
      </c>
      <c r="B82" s="297" t="n">
        <v>0</v>
      </c>
      <c r="C82" s="280" t="s">
        <v>258</v>
      </c>
      <c r="D82" s="285" t="n">
        <v>2</v>
      </c>
      <c r="E82" s="286" t="n">
        <f aca="false">D82*B82</f>
        <v>0</v>
      </c>
      <c r="F82" s="287" t="n">
        <f aca="false">+E82/$B$9</f>
        <v>0</v>
      </c>
      <c r="G82" s="286" t="n">
        <f aca="false">+E82*AdjRate</f>
        <v>0</v>
      </c>
      <c r="H82" s="287" t="n">
        <f aca="false">+G82/$B$9</f>
        <v>0</v>
      </c>
    </row>
    <row r="83" customFormat="false" ht="12.75" hidden="false" customHeight="false" outlineLevel="0" collapsed="false">
      <c r="A83" s="280" t="s">
        <v>385</v>
      </c>
      <c r="B83" s="297" t="n">
        <f aca="false">+TCSF</f>
        <v>1924</v>
      </c>
      <c r="C83" s="280" t="s">
        <v>258</v>
      </c>
      <c r="D83" s="285" t="n">
        <v>2.1</v>
      </c>
      <c r="E83" s="286" t="n">
        <f aca="false">D83*B83</f>
        <v>4040.4</v>
      </c>
      <c r="F83" s="287" t="n">
        <f aca="false">+E83/$B$9</f>
        <v>2.76172248803828</v>
      </c>
      <c r="G83" s="286" t="n">
        <f aca="false">+E83*AdjRate</f>
        <v>4848.48</v>
      </c>
      <c r="H83" s="287" t="n">
        <f aca="false">+G83/$B$9</f>
        <v>3.31406698564593</v>
      </c>
    </row>
    <row r="84" customFormat="false" ht="12.75" hidden="false" customHeight="false" outlineLevel="0" collapsed="false">
      <c r="A84" s="280" t="s">
        <v>428</v>
      </c>
      <c r="B84" s="297" t="n">
        <v>48</v>
      </c>
      <c r="C84" s="280" t="s">
        <v>258</v>
      </c>
      <c r="D84" s="285" t="n">
        <v>5.5</v>
      </c>
      <c r="E84" s="286" t="n">
        <f aca="false">D84*B84</f>
        <v>264</v>
      </c>
      <c r="F84" s="287" t="n">
        <f aca="false">+E84/$B$9</f>
        <v>0.180451127819549</v>
      </c>
      <c r="G84" s="286" t="n">
        <f aca="false">+E84*AdjRate</f>
        <v>316.8</v>
      </c>
      <c r="H84" s="287" t="n">
        <f aca="false">+G84/$B$9</f>
        <v>0.216541353383459</v>
      </c>
    </row>
    <row r="85" customFormat="false" ht="12.75" hidden="false" customHeight="false" outlineLevel="0" collapsed="false">
      <c r="A85" s="280" t="s">
        <v>387</v>
      </c>
      <c r="B85" s="297" t="n">
        <f aca="false">(B9-35-150-150-100)/9</f>
        <v>114.222222222222</v>
      </c>
      <c r="C85" s="280" t="s">
        <v>388</v>
      </c>
      <c r="D85" s="285" t="n">
        <v>15</v>
      </c>
      <c r="E85" s="286" t="n">
        <f aca="false">D85*B85</f>
        <v>1713.33333333333</v>
      </c>
      <c r="F85" s="287" t="n">
        <f aca="false">+E85/$B$9</f>
        <v>1.17110959216222</v>
      </c>
      <c r="G85" s="286" t="n">
        <f aca="false">+E85*AdjRate</f>
        <v>2056</v>
      </c>
      <c r="H85" s="287" t="n">
        <f aca="false">+G85/$B$9</f>
        <v>1.40533151059467</v>
      </c>
    </row>
    <row r="86" customFormat="false" ht="12.75" hidden="false" customHeight="false" outlineLevel="0" collapsed="false">
      <c r="A86" s="280" t="s">
        <v>389</v>
      </c>
      <c r="B86" s="297" t="n">
        <v>27</v>
      </c>
      <c r="C86" s="280" t="s">
        <v>200</v>
      </c>
      <c r="D86" s="285" t="n">
        <v>24</v>
      </c>
      <c r="E86" s="286" t="n">
        <f aca="false">D86*B86</f>
        <v>648</v>
      </c>
      <c r="F86" s="287" t="n">
        <f aca="false">+E86/$B$9</f>
        <v>0.442925495557075</v>
      </c>
      <c r="G86" s="286" t="n">
        <f aca="false">+E86*AdjRate</f>
        <v>777.6</v>
      </c>
      <c r="H86" s="287" t="n">
        <f aca="false">+G86/$B$9</f>
        <v>0.531510594668489</v>
      </c>
    </row>
    <row r="87" customFormat="false" ht="12.75" hidden="false" customHeight="false" outlineLevel="0" collapsed="false">
      <c r="A87" s="280" t="s">
        <v>429</v>
      </c>
      <c r="B87" s="297" t="n">
        <v>9</v>
      </c>
      <c r="C87" s="280" t="s">
        <v>200</v>
      </c>
      <c r="D87" s="285" t="n">
        <v>24</v>
      </c>
      <c r="E87" s="286" t="n">
        <f aca="false">D87*B87</f>
        <v>216</v>
      </c>
      <c r="F87" s="287" t="n">
        <f aca="false">+E87/$B$9</f>
        <v>0.147641831852358</v>
      </c>
      <c r="G87" s="286" t="n">
        <f aca="false">+E87*AdjRate</f>
        <v>259.2</v>
      </c>
      <c r="H87" s="287" t="n">
        <f aca="false">+G87/$B$9</f>
        <v>0.17717019822283</v>
      </c>
    </row>
    <row r="88" customFormat="false" ht="12.75" hidden="false" customHeight="false" outlineLevel="0" collapsed="false">
      <c r="A88" s="280" t="s">
        <v>391</v>
      </c>
      <c r="B88" s="297" t="n">
        <v>2</v>
      </c>
      <c r="C88" s="280" t="s">
        <v>392</v>
      </c>
      <c r="D88" s="285" t="n">
        <v>40</v>
      </c>
      <c r="E88" s="286" t="n">
        <f aca="false">D88*B88</f>
        <v>80</v>
      </c>
      <c r="F88" s="287" t="n">
        <f aca="false">+E88/$B$9</f>
        <v>0.0546821599453178</v>
      </c>
      <c r="G88" s="286" t="n">
        <f aca="false">+E88*AdjRate</f>
        <v>96</v>
      </c>
      <c r="H88" s="287" t="n">
        <f aca="false">+G88/$B$9</f>
        <v>0.0656185919343814</v>
      </c>
    </row>
    <row r="89" customFormat="false" ht="12.75" hidden="false" customHeight="false" outlineLevel="0" collapsed="false">
      <c r="A89" s="280" t="s">
        <v>393</v>
      </c>
      <c r="B89" s="297" t="n">
        <v>0</v>
      </c>
      <c r="C89" s="280" t="s">
        <v>394</v>
      </c>
      <c r="D89" s="285" t="n">
        <v>750</v>
      </c>
      <c r="E89" s="286" t="n">
        <f aca="false">D89*B89</f>
        <v>0</v>
      </c>
      <c r="F89" s="287" t="n">
        <f aca="false">+E89/$B$9</f>
        <v>0</v>
      </c>
      <c r="G89" s="286" t="n">
        <f aca="false">+E89*AdjRate</f>
        <v>0</v>
      </c>
      <c r="H89" s="287" t="n">
        <f aca="false">+G89/$B$9</f>
        <v>0</v>
      </c>
    </row>
    <row r="90" customFormat="false" ht="12.75" hidden="false" customHeight="false" outlineLevel="0" collapsed="false">
      <c r="A90" s="280" t="s">
        <v>430</v>
      </c>
      <c r="B90" s="297" t="n">
        <v>1</v>
      </c>
      <c r="C90" s="280" t="s">
        <v>394</v>
      </c>
      <c r="D90" s="285" t="n">
        <v>300</v>
      </c>
      <c r="E90" s="286" t="n">
        <f aca="false">D90*B90</f>
        <v>300</v>
      </c>
      <c r="F90" s="287" t="n">
        <f aca="false">+E90/$B$9</f>
        <v>0.205058099794942</v>
      </c>
      <c r="G90" s="286" t="n">
        <f aca="false">+D90*B90*AdjRate</f>
        <v>360</v>
      </c>
      <c r="H90" s="287" t="n">
        <f aca="false">+G90/$B$9</f>
        <v>0.24606971975393</v>
      </c>
      <c r="I90" s="304"/>
    </row>
    <row r="91" customFormat="false" ht="12.75" hidden="false" customHeight="false" outlineLevel="0" collapsed="false">
      <c r="A91" s="280" t="s">
        <v>396</v>
      </c>
      <c r="B91" s="297" t="n">
        <f aca="false">G12</f>
        <v>9</v>
      </c>
      <c r="C91" s="280" t="s">
        <v>397</v>
      </c>
      <c r="D91" s="285" t="n">
        <v>35</v>
      </c>
      <c r="E91" s="286" t="n">
        <f aca="false">D91*B91</f>
        <v>315</v>
      </c>
      <c r="F91" s="287" t="n">
        <f aca="false">+E91/$B$9</f>
        <v>0.215311004784689</v>
      </c>
      <c r="G91" s="286" t="n">
        <f aca="false">+D91*B91*AdjRate</f>
        <v>378</v>
      </c>
      <c r="H91" s="287" t="n">
        <f aca="false">+G91/$B$9</f>
        <v>0.258373205741627</v>
      </c>
    </row>
    <row r="92" customFormat="false" ht="12.75" hidden="false" customHeight="false" outlineLevel="0" collapsed="false">
      <c r="A92" s="280" t="s">
        <v>398</v>
      </c>
      <c r="B92" s="297" t="n">
        <v>0</v>
      </c>
      <c r="C92" s="280" t="s">
        <v>179</v>
      </c>
      <c r="D92" s="285" t="n">
        <v>0</v>
      </c>
      <c r="E92" s="286" t="n">
        <f aca="false">D92*B92</f>
        <v>0</v>
      </c>
      <c r="F92" s="287" t="n">
        <f aca="false">+E92/$B$9</f>
        <v>0</v>
      </c>
      <c r="G92" s="286" t="n">
        <f aca="false">+E92*AdjRate</f>
        <v>0</v>
      </c>
      <c r="H92" s="287" t="n">
        <f aca="false">+G92/$B$9</f>
        <v>0</v>
      </c>
    </row>
    <row r="93" customFormat="false" ht="12.75" hidden="false" customHeight="false" outlineLevel="0" collapsed="false">
      <c r="A93" s="280"/>
      <c r="B93" s="297"/>
      <c r="C93" s="280"/>
      <c r="D93" s="285"/>
      <c r="E93" s="286"/>
      <c r="F93" s="287"/>
      <c r="G93" s="286"/>
      <c r="H93" s="287"/>
    </row>
    <row r="94" customFormat="false" ht="12.75" hidden="false" customHeight="false" outlineLevel="0" collapsed="false">
      <c r="A94" s="279" t="s">
        <v>399</v>
      </c>
      <c r="B94" s="297"/>
      <c r="C94" s="280"/>
      <c r="D94" s="285"/>
      <c r="E94" s="286"/>
      <c r="F94" s="287"/>
      <c r="G94" s="286"/>
      <c r="H94" s="287"/>
    </row>
    <row r="95" customFormat="false" ht="12.75" hidden="false" customHeight="false" outlineLevel="0" collapsed="false">
      <c r="A95" s="280" t="s">
        <v>400</v>
      </c>
      <c r="B95" s="297" t="n">
        <v>1</v>
      </c>
      <c r="C95" s="280" t="s">
        <v>179</v>
      </c>
      <c r="D95" s="285" t="n">
        <v>550</v>
      </c>
      <c r="E95" s="286" t="n">
        <f aca="false">D95*B95</f>
        <v>550</v>
      </c>
      <c r="F95" s="287" t="n">
        <f aca="false">+E95/$B$9</f>
        <v>0.37593984962406</v>
      </c>
      <c r="G95" s="286" t="n">
        <f aca="false">+D95*B95*AdjRate</f>
        <v>660</v>
      </c>
      <c r="H95" s="287" t="n">
        <f aca="false">+G95/$B$9</f>
        <v>0.451127819548872</v>
      </c>
    </row>
    <row r="96" customFormat="false" ht="12.75" hidden="false" customHeight="false" outlineLevel="0" collapsed="false">
      <c r="A96" s="280" t="s">
        <v>401</v>
      </c>
      <c r="B96" s="297" t="n">
        <v>0</v>
      </c>
      <c r="C96" s="280" t="s">
        <v>402</v>
      </c>
      <c r="D96" s="285" t="n">
        <v>650</v>
      </c>
      <c r="E96" s="286" t="n">
        <f aca="false">D96*B96</f>
        <v>0</v>
      </c>
      <c r="F96" s="287" t="n">
        <f aca="false">+E96/$B$9</f>
        <v>0</v>
      </c>
      <c r="G96" s="286" t="n">
        <f aca="false">+D96*B96*AdjRate</f>
        <v>0</v>
      </c>
      <c r="H96" s="287" t="n">
        <f aca="false">+G96/$B$9</f>
        <v>0</v>
      </c>
    </row>
    <row r="97" customFormat="false" ht="12.75" hidden="false" customHeight="false" outlineLevel="0" collapsed="false">
      <c r="A97" s="280" t="s">
        <v>403</v>
      </c>
      <c r="B97" s="297" t="n">
        <v>1</v>
      </c>
      <c r="C97" s="280" t="s">
        <v>404</v>
      </c>
      <c r="D97" s="285" t="n">
        <v>650</v>
      </c>
      <c r="E97" s="286" t="n">
        <f aca="false">D97*B97</f>
        <v>650</v>
      </c>
      <c r="F97" s="287" t="n">
        <f aca="false">+E97/$B$9</f>
        <v>0.444292549555707</v>
      </c>
      <c r="G97" s="286" t="n">
        <f aca="false">+E97*AdjRate</f>
        <v>780</v>
      </c>
      <c r="H97" s="287" t="n">
        <f aca="false">+G97/$B$9</f>
        <v>0.533151059466849</v>
      </c>
    </row>
    <row r="98" customFormat="false" ht="12.75" hidden="false" customHeight="false" outlineLevel="0" collapsed="false">
      <c r="A98" s="280"/>
      <c r="B98" s="297"/>
      <c r="C98" s="280"/>
      <c r="D98" s="285"/>
      <c r="E98" s="286"/>
      <c r="F98" s="287"/>
      <c r="G98" s="286"/>
      <c r="H98" s="287"/>
    </row>
    <row r="99" customFormat="false" ht="12.75" hidden="false" customHeight="false" outlineLevel="0" collapsed="false">
      <c r="A99" s="279" t="s">
        <v>405</v>
      </c>
      <c r="B99" s="297"/>
      <c r="C99" s="280"/>
      <c r="D99" s="285"/>
      <c r="E99" s="286"/>
      <c r="F99" s="287"/>
      <c r="G99" s="286"/>
      <c r="H99" s="287"/>
    </row>
    <row r="100" customFormat="false" ht="12.75" hidden="false" customHeight="false" outlineLevel="0" collapsed="false">
      <c r="A100" s="280" t="s">
        <v>406</v>
      </c>
      <c r="B100" s="297" t="n">
        <f aca="false">TCSF</f>
        <v>1924</v>
      </c>
      <c r="C100" s="280" t="s">
        <v>258</v>
      </c>
      <c r="D100" s="285" t="n">
        <v>2.2</v>
      </c>
      <c r="E100" s="286" t="n">
        <f aca="false">D100*B100</f>
        <v>4232.8</v>
      </c>
      <c r="F100" s="287" t="n">
        <f aca="false">+E100/$B$9</f>
        <v>2.89323308270677</v>
      </c>
      <c r="G100" s="286" t="n">
        <f aca="false">+D100*B100*AdjRate</f>
        <v>5079.36</v>
      </c>
      <c r="H100" s="287" t="n">
        <f aca="false">+G100/$B$9</f>
        <v>3.47187969924812</v>
      </c>
    </row>
    <row r="101" customFormat="false" ht="12.75" hidden="false" customHeight="false" outlineLevel="0" collapsed="false">
      <c r="A101" s="280" t="s">
        <v>407</v>
      </c>
      <c r="B101" s="297" t="n">
        <v>1</v>
      </c>
      <c r="C101" s="280" t="s">
        <v>179</v>
      </c>
      <c r="D101" s="285" t="n">
        <v>700</v>
      </c>
      <c r="E101" s="286" t="n">
        <f aca="false">D101*B101</f>
        <v>700</v>
      </c>
      <c r="F101" s="287" t="n">
        <f aca="false">+E101/$B$9</f>
        <v>0.478468899521531</v>
      </c>
      <c r="G101" s="286" t="n">
        <f aca="false">+D101*B101*AdjRate</f>
        <v>840</v>
      </c>
      <c r="H101" s="287" t="n">
        <f aca="false">+G101/$B$9</f>
        <v>0.574162679425837</v>
      </c>
    </row>
    <row r="102" customFormat="false" ht="12.75" hidden="false" customHeight="false" outlineLevel="0" collapsed="false">
      <c r="A102" s="280" t="s">
        <v>408</v>
      </c>
      <c r="B102" s="297" t="n">
        <v>1</v>
      </c>
      <c r="C102" s="280" t="s">
        <v>179</v>
      </c>
      <c r="D102" s="285" t="n">
        <v>450</v>
      </c>
      <c r="E102" s="286" t="n">
        <f aca="false">D102*B102</f>
        <v>450</v>
      </c>
      <c r="F102" s="287" t="n">
        <f aca="false">+E102/$B$9</f>
        <v>0.307587149692413</v>
      </c>
      <c r="G102" s="286" t="n">
        <f aca="false">+E102*AdjRate</f>
        <v>540</v>
      </c>
      <c r="H102" s="287" t="n">
        <f aca="false">+G102/$B$9</f>
        <v>0.369104579630895</v>
      </c>
    </row>
    <row r="103" customFormat="false" ht="12.75" hidden="false" customHeight="false" outlineLevel="0" collapsed="false">
      <c r="A103" s="280"/>
      <c r="B103" s="297"/>
      <c r="C103" s="280"/>
      <c r="D103" s="285"/>
      <c r="E103" s="286"/>
      <c r="F103" s="287"/>
      <c r="G103" s="286"/>
      <c r="H103" s="287"/>
    </row>
    <row r="104" customFormat="false" ht="12.75" hidden="false" customHeight="false" outlineLevel="0" collapsed="false">
      <c r="A104" s="279" t="s">
        <v>409</v>
      </c>
      <c r="B104" s="297"/>
      <c r="C104" s="280"/>
      <c r="D104" s="285"/>
      <c r="E104" s="286"/>
      <c r="F104" s="287"/>
      <c r="G104" s="286"/>
      <c r="H104" s="287"/>
    </row>
    <row r="105" customFormat="false" ht="12.75" hidden="false" customHeight="false" outlineLevel="0" collapsed="false">
      <c r="A105" s="280" t="s">
        <v>410</v>
      </c>
      <c r="B105" s="297" t="n">
        <v>1</v>
      </c>
      <c r="C105" s="280" t="s">
        <v>179</v>
      </c>
      <c r="D105" s="285" t="n">
        <v>4200</v>
      </c>
      <c r="E105" s="286" t="n">
        <f aca="false">D105*B105</f>
        <v>4200</v>
      </c>
      <c r="F105" s="287" t="n">
        <f aca="false">+E105/$B$9</f>
        <v>2.87081339712919</v>
      </c>
      <c r="G105" s="286" t="n">
        <f aca="false">+E105*AdjRate</f>
        <v>5040</v>
      </c>
      <c r="H105" s="287" t="n">
        <f aca="false">+G105/$B$9</f>
        <v>3.44497607655502</v>
      </c>
    </row>
    <row r="106" customFormat="false" ht="12.75" hidden="false" customHeight="false" outlineLevel="0" collapsed="false">
      <c r="A106" s="280" t="s">
        <v>411</v>
      </c>
      <c r="B106" s="297" t="n">
        <v>25</v>
      </c>
      <c r="C106" s="280" t="s">
        <v>200</v>
      </c>
      <c r="D106" s="285" t="n">
        <v>15</v>
      </c>
      <c r="E106" s="286" t="n">
        <f aca="false">D106*B106</f>
        <v>375</v>
      </c>
      <c r="F106" s="287" t="n">
        <f aca="false">+E106/$B$9</f>
        <v>0.256322624743677</v>
      </c>
      <c r="G106" s="286" t="n">
        <f aca="false">+E106*AdjRate</f>
        <v>450</v>
      </c>
      <c r="H106" s="287" t="n">
        <f aca="false">+G106/$B$9</f>
        <v>0.307587149692413</v>
      </c>
    </row>
    <row r="107" customFormat="false" ht="12.75" hidden="false" customHeight="false" outlineLevel="0" collapsed="false">
      <c r="A107" s="280" t="s">
        <v>412</v>
      </c>
      <c r="B107" s="297" t="n">
        <v>1</v>
      </c>
      <c r="C107" s="280" t="s">
        <v>179</v>
      </c>
      <c r="D107" s="285" t="n">
        <v>2000</v>
      </c>
      <c r="E107" s="286" t="n">
        <f aca="false">D107*B107</f>
        <v>2000</v>
      </c>
      <c r="F107" s="287" t="n">
        <f aca="false">+E107/$B$9</f>
        <v>1.36705399863295</v>
      </c>
      <c r="G107" s="286" t="n">
        <f aca="false">+E107*AdjRate</f>
        <v>2400</v>
      </c>
      <c r="H107" s="287" t="n">
        <f aca="false">+G107/$B$9</f>
        <v>1.64046479835954</v>
      </c>
    </row>
    <row r="108" customFormat="false" ht="12.75" hidden="false" customHeight="false" outlineLevel="0" collapsed="false">
      <c r="A108" s="280" t="s">
        <v>413</v>
      </c>
      <c r="B108" s="297" t="n">
        <v>1</v>
      </c>
      <c r="C108" s="280" t="s">
        <v>179</v>
      </c>
      <c r="D108" s="285" t="n">
        <v>990</v>
      </c>
      <c r="E108" s="286" t="n">
        <f aca="false">D108*B108</f>
        <v>990</v>
      </c>
      <c r="F108" s="287" t="n">
        <f aca="false">+E108/$B$9</f>
        <v>0.676691729323308</v>
      </c>
      <c r="G108" s="286" t="n">
        <f aca="false">+D108*B108*AdjRate</f>
        <v>1188</v>
      </c>
      <c r="H108" s="287" t="n">
        <f aca="false">+G108/$B$9</f>
        <v>0.81203007518797</v>
      </c>
    </row>
    <row r="109" customFormat="false" ht="12.75" hidden="false" customHeight="false" outlineLevel="0" collapsed="false">
      <c r="A109" s="280" t="s">
        <v>414</v>
      </c>
      <c r="B109" s="297" t="n">
        <f aca="false">B9</f>
        <v>1463</v>
      </c>
      <c r="C109" s="280" t="s">
        <v>258</v>
      </c>
      <c r="D109" s="285" t="n">
        <v>2.85</v>
      </c>
      <c r="E109" s="286" t="n">
        <f aca="false">D109*B109</f>
        <v>4169.55</v>
      </c>
      <c r="F109" s="287" t="n">
        <f aca="false">+E109/$B$9</f>
        <v>2.85</v>
      </c>
      <c r="G109" s="286" t="n">
        <f aca="false">+D109*B109*AdjRate</f>
        <v>5003.46</v>
      </c>
      <c r="H109" s="287" t="n">
        <f aca="false">+G109/$B$9</f>
        <v>3.42</v>
      </c>
    </row>
    <row r="110" customFormat="false" ht="12.75" hidden="false" customHeight="false" outlineLevel="0" collapsed="false">
      <c r="A110" s="280" t="s">
        <v>273</v>
      </c>
      <c r="B110" s="297" t="n">
        <f aca="false">ConstTime</f>
        <v>6</v>
      </c>
      <c r="C110" s="280" t="s">
        <v>274</v>
      </c>
      <c r="D110" s="285" t="n">
        <f aca="false">((1000*52)/12+250+100)/4</f>
        <v>1170.83333333333</v>
      </c>
      <c r="E110" s="286" t="n">
        <f aca="false">D110*B110</f>
        <v>7025</v>
      </c>
      <c r="F110" s="287" t="n">
        <f aca="false">+E110/$B$9</f>
        <v>4.80177717019822</v>
      </c>
      <c r="G110" s="286" t="n">
        <f aca="false">+(D110*B110)*AdjRate</f>
        <v>8430</v>
      </c>
      <c r="H110" s="287" t="n">
        <f aca="false">+G110/$B$9</f>
        <v>5.76213260423787</v>
      </c>
    </row>
    <row r="111" customFormat="false" ht="13.5" hidden="false" customHeight="false" outlineLevel="0" collapsed="false">
      <c r="A111" s="289" t="s">
        <v>415</v>
      </c>
      <c r="B111" s="289"/>
      <c r="C111" s="289"/>
      <c r="D111" s="289"/>
      <c r="E111" s="290" t="n">
        <f aca="false">SUM(E18:E110)</f>
        <v>82392.5968616352</v>
      </c>
      <c r="F111" s="291" t="n">
        <f aca="false">SUM(F18:F110)</f>
        <v>56.3175644987254</v>
      </c>
      <c r="G111" s="290" t="n">
        <f aca="false">SUM(G18:G110)</f>
        <v>98871.1162339623</v>
      </c>
      <c r="H111" s="291" t="n">
        <f aca="false">SUM(H18:H110)</f>
        <v>67.5810773984704</v>
      </c>
    </row>
    <row r="112" customFormat="false" ht="13.5" hidden="false" customHeight="false" outlineLevel="0" collapsed="false">
      <c r="A112" s="280"/>
      <c r="B112" s="280"/>
      <c r="C112" s="280"/>
      <c r="D112" s="280"/>
      <c r="E112" s="286" t="n">
        <f aca="false">+G111-E111</f>
        <v>16478.5193723271</v>
      </c>
      <c r="F112" s="286"/>
      <c r="G112" s="280"/>
      <c r="H112" s="280"/>
    </row>
    <row r="113" customFormat="false" ht="12.75" hidden="false" customHeight="false" outlineLevel="0" collapsed="false">
      <c r="D113" s="57"/>
      <c r="E113" s="57"/>
      <c r="F113" s="57"/>
    </row>
    <row r="114" customFormat="false" ht="12.75" hidden="false" customHeight="false" outlineLevel="0" collapsed="false">
      <c r="D114" s="57"/>
      <c r="E114" s="57"/>
      <c r="F114" s="57"/>
    </row>
    <row r="115" customFormat="false" ht="12.75" hidden="false" customHeight="false" outlineLevel="0" collapsed="false">
      <c r="D115" s="57"/>
      <c r="E115" s="57"/>
      <c r="F115" s="57"/>
    </row>
    <row r="116" customFormat="false" ht="12.75" hidden="false" customHeight="false" outlineLevel="0" collapsed="false">
      <c r="D116" s="57"/>
      <c r="E116" s="57"/>
      <c r="F116" s="57"/>
    </row>
    <row r="117" customFormat="false" ht="12.75" hidden="false" customHeight="false" outlineLevel="0" collapsed="false">
      <c r="D117" s="57"/>
      <c r="E117" s="57"/>
      <c r="F117" s="57"/>
    </row>
    <row r="118" customFormat="false" ht="12.75" hidden="false" customHeight="false" outlineLevel="0" collapsed="false">
      <c r="D118" s="57"/>
      <c r="E118" s="57"/>
      <c r="F118" s="57"/>
    </row>
    <row r="119" customFormat="false" ht="12.75" hidden="false" customHeight="false" outlineLevel="0" collapsed="false">
      <c r="D119" s="57"/>
      <c r="E119" s="57"/>
      <c r="F119" s="57"/>
    </row>
    <row r="120" customFormat="false" ht="12.75" hidden="false" customHeight="false" outlineLevel="0" collapsed="false">
      <c r="D120" s="57"/>
      <c r="E120" s="57"/>
      <c r="F120" s="57"/>
    </row>
    <row r="121" customFormat="false" ht="12.75" hidden="false" customHeight="false" outlineLevel="0" collapsed="false">
      <c r="D121" s="57"/>
      <c r="E121" s="57"/>
      <c r="F121" s="57"/>
    </row>
    <row r="122" customFormat="false" ht="12.75" hidden="false" customHeight="false" outlineLevel="0" collapsed="false">
      <c r="D122" s="57"/>
      <c r="E122" s="57"/>
      <c r="F122" s="57"/>
    </row>
    <row r="123" customFormat="false" ht="12.75" hidden="false" customHeight="false" outlineLevel="0" collapsed="false">
      <c r="D123" s="57"/>
      <c r="E123" s="57"/>
      <c r="F123" s="57"/>
    </row>
    <row r="124" customFormat="false" ht="12.75" hidden="false" customHeight="false" outlineLevel="0" collapsed="false">
      <c r="D124" s="57"/>
      <c r="E124" s="57"/>
      <c r="F124" s="57"/>
    </row>
    <row r="125" customFormat="false" ht="12.75" hidden="false" customHeight="false" outlineLevel="0" collapsed="false">
      <c r="D125" s="57"/>
      <c r="E125" s="57"/>
      <c r="F125" s="57"/>
    </row>
    <row r="126" customFormat="false" ht="12.75" hidden="false" customHeight="false" outlineLevel="0" collapsed="false">
      <c r="D126" s="57"/>
      <c r="E126" s="57"/>
      <c r="F126" s="57"/>
    </row>
    <row r="127" customFormat="false" ht="12.75" hidden="false" customHeight="false" outlineLevel="0" collapsed="false">
      <c r="D127" s="57"/>
      <c r="E127" s="57"/>
      <c r="F127" s="57"/>
    </row>
    <row r="128" customFormat="false" ht="12.75" hidden="false" customHeight="false" outlineLevel="0" collapsed="false">
      <c r="D128" s="57"/>
      <c r="E128" s="57"/>
      <c r="F128" s="57"/>
    </row>
    <row r="129" customFormat="false" ht="12.75" hidden="false" customHeight="false" outlineLevel="0" collapsed="false">
      <c r="D129" s="57"/>
      <c r="E129" s="57"/>
      <c r="F129" s="57"/>
    </row>
    <row r="130" customFormat="false" ht="12.75" hidden="false" customHeight="false" outlineLevel="0" collapsed="false">
      <c r="D130" s="57"/>
      <c r="E130" s="57"/>
      <c r="F130" s="57"/>
    </row>
    <row r="131" customFormat="false" ht="12.75" hidden="false" customHeight="false" outlineLevel="0" collapsed="false">
      <c r="D131" s="57"/>
      <c r="E131" s="57"/>
      <c r="F131" s="57"/>
    </row>
    <row r="132" customFormat="false" ht="12.75" hidden="false" customHeight="false" outlineLevel="0" collapsed="false">
      <c r="D132" s="57"/>
      <c r="E132" s="57"/>
      <c r="F132" s="57"/>
    </row>
    <row r="133" customFormat="false" ht="12.75" hidden="false" customHeight="false" outlineLevel="0" collapsed="false">
      <c r="D133" s="57"/>
      <c r="E133" s="57"/>
      <c r="F133" s="57"/>
    </row>
    <row r="134" customFormat="false" ht="12.75" hidden="false" customHeight="false" outlineLevel="0" collapsed="false">
      <c r="D134" s="57"/>
      <c r="E134" s="57"/>
      <c r="F134" s="57"/>
    </row>
    <row r="135" customFormat="false" ht="12.75" hidden="false" customHeight="false" outlineLevel="0" collapsed="false">
      <c r="D135" s="57"/>
      <c r="E135" s="57"/>
      <c r="F135" s="57"/>
    </row>
    <row r="136" customFormat="false" ht="12.75" hidden="false" customHeight="false" outlineLevel="0" collapsed="false">
      <c r="D136" s="57"/>
      <c r="E136" s="57"/>
      <c r="F136" s="57"/>
    </row>
    <row r="137" customFormat="false" ht="12.75" hidden="false" customHeight="false" outlineLevel="0" collapsed="false">
      <c r="D137" s="57"/>
      <c r="E137" s="57"/>
      <c r="F137" s="57"/>
    </row>
    <row r="138" customFormat="false" ht="12.75" hidden="false" customHeight="false" outlineLevel="0" collapsed="false">
      <c r="D138" s="57"/>
      <c r="E138" s="57"/>
      <c r="F138" s="57"/>
    </row>
    <row r="139" customFormat="false" ht="12.75" hidden="false" customHeight="false" outlineLevel="0" collapsed="false">
      <c r="D139" s="57"/>
      <c r="E139" s="57"/>
      <c r="F139" s="57"/>
    </row>
    <row r="140" customFormat="false" ht="12.75" hidden="false" customHeight="false" outlineLevel="0" collapsed="false">
      <c r="D140" s="57"/>
      <c r="E140" s="57"/>
      <c r="F140" s="57"/>
    </row>
    <row r="141" customFormat="false" ht="12.75" hidden="false" customHeight="false" outlineLevel="0" collapsed="false">
      <c r="D141" s="57"/>
      <c r="E141" s="57"/>
      <c r="F141" s="57"/>
    </row>
    <row r="142" customFormat="false" ht="12.75" hidden="false" customHeight="false" outlineLevel="0" collapsed="false">
      <c r="D142" s="57"/>
      <c r="E142" s="57"/>
      <c r="F142" s="57"/>
    </row>
  </sheetData>
  <mergeCells count="1">
    <mergeCell ref="A1:H1"/>
  </mergeCells>
  <printOptions headings="false" gridLines="false" gridLinesSet="true" horizontalCentered="true" verticalCentered="false"/>
  <pageMargins left="0.25" right="0.25" top="0.984027777777778" bottom="0.984027777777778" header="0.5" footer="0.5"/>
  <pageSetup paperSize="1" scale="100" fitToWidth="1" fitToHeight="2" pageOrder="downThenOver" orientation="portrait" blackAndWhite="false" draft="false" cellComments="none" horizontalDpi="300" verticalDpi="300" copies="1"/>
  <headerFooter differentFirst="false" differentOddEven="false">
    <oddHeader>&amp;C&amp;"Garamond,Bold"&amp;12WESTGATE &amp;&amp; CAMERON LOOP
96 CONDOMINIUMS</oddHeader>
    <oddFooter>&amp;L&amp;"Garamond,Regular"&amp;8&amp;F&amp;C&amp;"Garamond,Regular"&amp;8&amp;P Of &amp;N&amp;R&amp;"Garamond,Regular"&amp;8&amp;D</oddFooter>
  </headerFooter>
  <colBreaks count="1" manualBreakCount="1">
    <brk id="9" man="true" max="65535" min="0"/>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47" activeCellId="1" sqref="B36 F47:F50"/>
    </sheetView>
  </sheetViews>
  <sheetFormatPr defaultColWidth="9.1328125" defaultRowHeight="12.75" customHeight="true" zeroHeight="false" outlineLevelRow="0" outlineLevelCol="0"/>
  <cols>
    <col collapsed="false" customWidth="true" hidden="false" outlineLevel="0" max="1" min="1" style="14" width="16.56"/>
    <col collapsed="false" customWidth="true" hidden="false" outlineLevel="0" max="2" min="2" style="14" width="10.42"/>
    <col collapsed="false" customWidth="true" hidden="false" outlineLevel="0" max="3" min="3" style="14" width="5.85"/>
    <col collapsed="false" customWidth="true" hidden="false" outlineLevel="0" max="4" min="4" style="14" width="10.42"/>
    <col collapsed="false" customWidth="true" hidden="false" outlineLevel="0" max="6" min="5" style="14" width="7.99"/>
    <col collapsed="false" customWidth="true" hidden="false" outlineLevel="0" max="8" min="7" style="14" width="10.42"/>
    <col collapsed="false" customWidth="true" hidden="false" outlineLevel="0" max="9" min="9" style="14" width="20.85"/>
    <col collapsed="false" customWidth="false" hidden="false" outlineLevel="0" max="257" min="10" style="14" width="9.13"/>
  </cols>
  <sheetData>
    <row r="1" customFormat="false" ht="13.5" hidden="false" customHeight="true" outlineLevel="0" collapsed="false">
      <c r="A1" s="275" t="s">
        <v>431</v>
      </c>
      <c r="B1" s="275"/>
      <c r="C1" s="275"/>
      <c r="D1" s="275"/>
      <c r="E1" s="275"/>
      <c r="F1" s="275"/>
      <c r="G1" s="275"/>
      <c r="H1" s="275"/>
    </row>
    <row r="3" customFormat="false" ht="25.5" hidden="false" customHeight="false" outlineLevel="0" collapsed="false">
      <c r="A3" s="278" t="s">
        <v>306</v>
      </c>
      <c r="B3" s="278" t="s">
        <v>148</v>
      </c>
      <c r="C3" s="278" t="s">
        <v>307</v>
      </c>
      <c r="D3" s="278" t="s">
        <v>146</v>
      </c>
      <c r="E3" s="278" t="s">
        <v>308</v>
      </c>
      <c r="F3" s="278" t="s">
        <v>432</v>
      </c>
      <c r="G3" s="278" t="s">
        <v>417</v>
      </c>
      <c r="H3" s="278" t="s">
        <v>432</v>
      </c>
      <c r="I3" s="278" t="s">
        <v>176</v>
      </c>
    </row>
    <row r="4" customFormat="false" ht="12.75" hidden="false" customHeight="false" outlineLevel="0" collapsed="false">
      <c r="A4" s="18"/>
      <c r="B4" s="18"/>
      <c r="C4" s="18"/>
      <c r="D4" s="24"/>
      <c r="E4" s="303"/>
      <c r="F4" s="303"/>
      <c r="G4" s="24"/>
      <c r="H4" s="24"/>
    </row>
    <row r="5" customFormat="false" ht="12.75" hidden="false" customHeight="false" outlineLevel="0" collapsed="false">
      <c r="A5" s="279" t="s">
        <v>310</v>
      </c>
      <c r="B5" s="280"/>
      <c r="C5" s="280"/>
      <c r="E5" s="280" t="s">
        <v>311</v>
      </c>
      <c r="F5" s="280"/>
      <c r="G5" s="280" t="n">
        <f aca="false">35*9</f>
        <v>315</v>
      </c>
      <c r="H5" s="280" t="s">
        <v>258</v>
      </c>
    </row>
    <row r="6" customFormat="false" ht="12.75" hidden="false" customHeight="false" outlineLevel="0" collapsed="false">
      <c r="A6" s="279" t="s">
        <v>312</v>
      </c>
      <c r="B6" s="280"/>
      <c r="C6" s="280"/>
      <c r="E6" s="280" t="s">
        <v>313</v>
      </c>
      <c r="F6" s="280"/>
      <c r="G6" s="280" t="n">
        <f aca="false">B7+B14</f>
        <v>1960</v>
      </c>
      <c r="H6" s="280" t="s">
        <v>258</v>
      </c>
    </row>
    <row r="7" customFormat="false" ht="12.75" hidden="false" customHeight="false" outlineLevel="0" collapsed="false">
      <c r="A7" s="280" t="s">
        <v>314</v>
      </c>
      <c r="B7" s="297" t="n">
        <v>1335</v>
      </c>
      <c r="C7" s="280" t="s">
        <v>258</v>
      </c>
      <c r="E7" s="279" t="s">
        <v>315</v>
      </c>
      <c r="F7" s="280"/>
      <c r="G7" s="280" t="n">
        <f aca="false">+G8+G9+G10</f>
        <v>178.5</v>
      </c>
      <c r="H7" s="280"/>
    </row>
    <row r="8" customFormat="false" ht="12.75" hidden="false" customHeight="false" outlineLevel="0" collapsed="false">
      <c r="A8" s="281" t="s">
        <v>316</v>
      </c>
      <c r="B8" s="298" t="n">
        <v>0</v>
      </c>
      <c r="C8" s="281" t="s">
        <v>258</v>
      </c>
      <c r="E8" s="282" t="s">
        <v>317</v>
      </c>
      <c r="F8" s="280"/>
      <c r="G8" s="280" t="n">
        <f aca="false">8*7</f>
        <v>56</v>
      </c>
      <c r="H8" s="280" t="s">
        <v>258</v>
      </c>
    </row>
    <row r="9" customFormat="false" ht="12.75" hidden="false" customHeight="false" outlineLevel="0" collapsed="false">
      <c r="A9" s="280" t="s">
        <v>318</v>
      </c>
      <c r="B9" s="297" t="n">
        <f aca="false">+B8+B7</f>
        <v>1335</v>
      </c>
      <c r="C9" s="280" t="s">
        <v>258</v>
      </c>
      <c r="E9" s="282" t="s">
        <v>319</v>
      </c>
      <c r="F9" s="280"/>
      <c r="G9" s="280" t="n">
        <v>0</v>
      </c>
      <c r="H9" s="280"/>
    </row>
    <row r="10" customFormat="false" ht="12.75" hidden="false" customHeight="false" outlineLevel="0" collapsed="false">
      <c r="A10" s="280"/>
      <c r="B10" s="297"/>
      <c r="C10" s="280"/>
      <c r="E10" s="282" t="s">
        <v>320</v>
      </c>
      <c r="F10" s="280"/>
      <c r="G10" s="280" t="n">
        <f aca="false">3.5*(25+10)</f>
        <v>122.5</v>
      </c>
      <c r="H10" s="280"/>
    </row>
    <row r="11" customFormat="false" ht="12.75" hidden="false" customHeight="false" outlineLevel="0" collapsed="false">
      <c r="A11" s="279" t="s">
        <v>321</v>
      </c>
      <c r="B11" s="297"/>
      <c r="C11" s="280"/>
      <c r="E11" s="280" t="s">
        <v>322</v>
      </c>
      <c r="F11" s="280"/>
      <c r="G11" s="280" t="n">
        <f aca="false">25*18</f>
        <v>450</v>
      </c>
      <c r="H11" s="280"/>
    </row>
    <row r="12" customFormat="false" ht="12.75" hidden="false" customHeight="false" outlineLevel="0" collapsed="false">
      <c r="A12" s="280" t="s">
        <v>323</v>
      </c>
      <c r="B12" s="297" t="n">
        <v>411</v>
      </c>
      <c r="C12" s="280" t="s">
        <v>258</v>
      </c>
      <c r="E12" s="280" t="s">
        <v>324</v>
      </c>
      <c r="F12" s="280"/>
      <c r="G12" s="280" t="n">
        <v>9</v>
      </c>
      <c r="H12" s="280"/>
    </row>
    <row r="13" customFormat="false" ht="12.75" hidden="false" customHeight="false" outlineLevel="0" collapsed="false">
      <c r="A13" s="280" t="s">
        <v>325</v>
      </c>
      <c r="B13" s="297" t="n">
        <v>214</v>
      </c>
      <c r="C13" s="280" t="s">
        <v>258</v>
      </c>
      <c r="E13" s="280" t="s">
        <v>326</v>
      </c>
      <c r="F13" s="280"/>
      <c r="G13" s="280" t="n">
        <v>4</v>
      </c>
      <c r="H13" s="280"/>
    </row>
    <row r="14" customFormat="false" ht="12.75" hidden="false" customHeight="false" outlineLevel="0" collapsed="false">
      <c r="A14" s="283" t="s">
        <v>327</v>
      </c>
      <c r="B14" s="299" t="n">
        <f aca="false">+B13+B12</f>
        <v>625</v>
      </c>
      <c r="C14" s="283" t="s">
        <v>258</v>
      </c>
      <c r="E14" s="280" t="s">
        <v>328</v>
      </c>
      <c r="F14" s="280"/>
      <c r="G14" s="280" t="n">
        <v>10</v>
      </c>
      <c r="H14" s="280"/>
    </row>
    <row r="15" customFormat="false" ht="12.75" hidden="false" customHeight="false" outlineLevel="0" collapsed="false">
      <c r="A15" s="284" t="s">
        <v>329</v>
      </c>
      <c r="B15" s="300" t="n">
        <f aca="false">+B14+B9</f>
        <v>1960</v>
      </c>
      <c r="C15" s="284" t="s">
        <v>258</v>
      </c>
      <c r="E15" s="280" t="s">
        <v>330</v>
      </c>
      <c r="F15" s="280"/>
      <c r="G15" s="280" t="n">
        <f aca="false">ConstTime</f>
        <v>6</v>
      </c>
      <c r="H15" s="280" t="s">
        <v>4</v>
      </c>
    </row>
    <row r="16" customFormat="false" ht="12.75" hidden="false" customHeight="false" outlineLevel="0" collapsed="false">
      <c r="A16" s="280"/>
      <c r="B16" s="280"/>
      <c r="C16" s="280"/>
      <c r="D16" s="280"/>
      <c r="E16" s="280"/>
      <c r="F16" s="280"/>
      <c r="G16" s="280"/>
      <c r="H16" s="280"/>
    </row>
    <row r="17" customFormat="false" ht="12.75" hidden="false" customHeight="false" outlineLevel="0" collapsed="false">
      <c r="A17" s="279" t="s">
        <v>184</v>
      </c>
      <c r="B17" s="280"/>
      <c r="C17" s="280"/>
      <c r="D17" s="280"/>
      <c r="E17" s="280"/>
      <c r="F17" s="280"/>
      <c r="G17" s="280"/>
      <c r="H17" s="280"/>
    </row>
    <row r="18" customFormat="false" ht="12.75" hidden="false" customHeight="false" outlineLevel="0" collapsed="false">
      <c r="A18" s="280" t="s">
        <v>331</v>
      </c>
      <c r="B18" s="280" t="n">
        <v>0</v>
      </c>
      <c r="C18" s="280" t="s">
        <v>179</v>
      </c>
      <c r="D18" s="285" t="n">
        <v>350</v>
      </c>
      <c r="E18" s="286" t="n">
        <f aca="false">D18*B18</f>
        <v>0</v>
      </c>
      <c r="F18" s="287" t="n">
        <f aca="false">+E18/$B$9</f>
        <v>0</v>
      </c>
      <c r="G18" s="286" t="n">
        <f aca="false">+E18*AdjRate</f>
        <v>0</v>
      </c>
      <c r="H18" s="287" t="n">
        <f aca="false">+G18/$B$9</f>
        <v>0</v>
      </c>
    </row>
    <row r="19" customFormat="false" ht="12.75" hidden="false" customHeight="false" outlineLevel="0" collapsed="false">
      <c r="A19" s="280" t="s">
        <v>332</v>
      </c>
      <c r="B19" s="301" t="n">
        <f aca="false">+$G$6</f>
        <v>1960</v>
      </c>
      <c r="C19" s="280" t="s">
        <v>258</v>
      </c>
      <c r="D19" s="285" t="n">
        <v>0.15</v>
      </c>
      <c r="E19" s="286" t="n">
        <f aca="false">D19*B19</f>
        <v>294</v>
      </c>
      <c r="F19" s="287" t="n">
        <f aca="false">+E19/$B$9</f>
        <v>0.220224719101124</v>
      </c>
      <c r="G19" s="286" t="n">
        <f aca="false">+E19*AdjRate</f>
        <v>352.8</v>
      </c>
      <c r="H19" s="287" t="n">
        <f aca="false">+G19/$B$9</f>
        <v>0.264269662921348</v>
      </c>
    </row>
    <row r="20" customFormat="false" ht="12.75" hidden="false" customHeight="false" outlineLevel="0" collapsed="false">
      <c r="A20" s="280" t="s">
        <v>333</v>
      </c>
      <c r="B20" s="280" t="n">
        <v>0</v>
      </c>
      <c r="C20" s="280" t="s">
        <v>179</v>
      </c>
      <c r="D20" s="285" t="n">
        <v>350</v>
      </c>
      <c r="E20" s="286" t="n">
        <f aca="false">D20*B20</f>
        <v>0</v>
      </c>
      <c r="F20" s="287" t="n">
        <f aca="false">+E20/$B$9</f>
        <v>0</v>
      </c>
      <c r="G20" s="286" t="n">
        <f aca="false">+E20*AdjRate</f>
        <v>0</v>
      </c>
      <c r="H20" s="287" t="n">
        <f aca="false">+G20/$B$9</f>
        <v>0</v>
      </c>
    </row>
    <row r="21" customFormat="false" ht="12.75" hidden="false" customHeight="false" outlineLevel="0" collapsed="false">
      <c r="A21" s="280" t="s">
        <v>334</v>
      </c>
      <c r="B21" s="280" t="n">
        <v>1</v>
      </c>
      <c r="C21" s="280" t="s">
        <v>179</v>
      </c>
      <c r="D21" s="285" t="n">
        <v>0</v>
      </c>
      <c r="E21" s="286" t="n">
        <f aca="false">D21*B21</f>
        <v>0</v>
      </c>
      <c r="F21" s="287" t="n">
        <f aca="false">+E21/$B$9</f>
        <v>0</v>
      </c>
      <c r="G21" s="286" t="n">
        <f aca="false">+E21*AdjRate</f>
        <v>0</v>
      </c>
      <c r="H21" s="287" t="n">
        <f aca="false">+G21/$B$9</f>
        <v>0</v>
      </c>
    </row>
    <row r="22" customFormat="false" ht="12.75" hidden="false" customHeight="false" outlineLevel="0" collapsed="false">
      <c r="A22" s="280"/>
      <c r="B22" s="280"/>
      <c r="C22" s="280"/>
      <c r="D22" s="285"/>
      <c r="E22" s="286"/>
      <c r="F22" s="287"/>
      <c r="G22" s="286"/>
      <c r="H22" s="287"/>
    </row>
    <row r="23" customFormat="false" ht="12.75" hidden="false" customHeight="false" outlineLevel="0" collapsed="false">
      <c r="A23" s="279" t="s">
        <v>335</v>
      </c>
      <c r="B23" s="280"/>
      <c r="C23" s="280"/>
      <c r="D23" s="285"/>
      <c r="E23" s="286"/>
      <c r="F23" s="287"/>
      <c r="G23" s="286"/>
      <c r="H23" s="287"/>
    </row>
    <row r="24" customFormat="false" ht="12.75" hidden="false" customHeight="false" outlineLevel="0" collapsed="false">
      <c r="A24" s="280" t="s">
        <v>336</v>
      </c>
      <c r="B24" s="280" t="n">
        <v>1</v>
      </c>
      <c r="C24" s="280" t="s">
        <v>179</v>
      </c>
      <c r="D24" s="285" t="n">
        <v>150</v>
      </c>
      <c r="E24" s="286" t="n">
        <f aca="false">D24*B24</f>
        <v>150</v>
      </c>
      <c r="F24" s="287" t="n">
        <f aca="false">+E24/$B$9</f>
        <v>0.112359550561798</v>
      </c>
      <c r="G24" s="286" t="n">
        <f aca="false">+D24*B24*AdjRate</f>
        <v>180</v>
      </c>
      <c r="H24" s="287" t="n">
        <f aca="false">+G24/$B$9</f>
        <v>0.134831460674157</v>
      </c>
    </row>
    <row r="25" customFormat="false" ht="12.75" hidden="false" customHeight="false" outlineLevel="0" collapsed="false">
      <c r="A25" s="280" t="s">
        <v>337</v>
      </c>
      <c r="B25" s="280" t="n">
        <v>1</v>
      </c>
      <c r="C25" s="280" t="s">
        <v>179</v>
      </c>
      <c r="D25" s="285" t="n">
        <v>100</v>
      </c>
      <c r="E25" s="286" t="n">
        <f aca="false">D25*B25</f>
        <v>100</v>
      </c>
      <c r="F25" s="287" t="n">
        <f aca="false">+E25/$B$9</f>
        <v>0.0749063670411985</v>
      </c>
      <c r="G25" s="286" t="n">
        <f aca="false">+D25*B25*AdjRate</f>
        <v>120</v>
      </c>
      <c r="H25" s="287" t="n">
        <f aca="false">+G25/$B$9</f>
        <v>0.0898876404494382</v>
      </c>
    </row>
    <row r="26" customFormat="false" ht="12.75" hidden="false" customHeight="false" outlineLevel="0" collapsed="false">
      <c r="A26" s="280" t="s">
        <v>338</v>
      </c>
      <c r="B26" s="280" t="n">
        <v>1</v>
      </c>
      <c r="C26" s="280" t="s">
        <v>179</v>
      </c>
      <c r="D26" s="285" t="n">
        <v>0</v>
      </c>
      <c r="E26" s="286" t="n">
        <f aca="false">D26*B26</f>
        <v>0</v>
      </c>
      <c r="F26" s="287" t="n">
        <f aca="false">+E26/$B$9</f>
        <v>0</v>
      </c>
      <c r="G26" s="286" t="n">
        <f aca="false">+E26*AdjRate</f>
        <v>0</v>
      </c>
      <c r="H26" s="287" t="n">
        <f aca="false">+G26/$B$9</f>
        <v>0</v>
      </c>
    </row>
    <row r="27" customFormat="false" ht="12.75" hidden="false" customHeight="false" outlineLevel="0" collapsed="false">
      <c r="A27" s="280"/>
      <c r="B27" s="280"/>
      <c r="C27" s="280"/>
      <c r="D27" s="285"/>
      <c r="E27" s="286"/>
      <c r="F27" s="287"/>
      <c r="G27" s="286"/>
      <c r="H27" s="287"/>
    </row>
    <row r="28" customFormat="false" ht="12.75" hidden="false" customHeight="false" outlineLevel="0" collapsed="false">
      <c r="A28" s="279" t="s">
        <v>339</v>
      </c>
      <c r="B28" s="280"/>
      <c r="C28" s="280"/>
      <c r="D28" s="285"/>
      <c r="E28" s="286"/>
      <c r="F28" s="287"/>
      <c r="G28" s="286"/>
      <c r="H28" s="287"/>
    </row>
    <row r="29" customFormat="false" ht="12.75" hidden="false" customHeight="false" outlineLevel="0" collapsed="false">
      <c r="A29" s="280" t="s">
        <v>340</v>
      </c>
      <c r="B29" s="280" t="n">
        <f aca="false">ConstTime</f>
        <v>6</v>
      </c>
      <c r="C29" s="280" t="s">
        <v>274</v>
      </c>
      <c r="D29" s="285" t="n">
        <f aca="false">56</f>
        <v>56</v>
      </c>
      <c r="E29" s="286" t="n">
        <f aca="false">D29*B29</f>
        <v>336</v>
      </c>
      <c r="F29" s="287" t="n">
        <f aca="false">+E29/$B$9</f>
        <v>0.251685393258427</v>
      </c>
      <c r="G29" s="286" t="n">
        <f aca="false">+D29*B29*AdjRate</f>
        <v>403.2</v>
      </c>
      <c r="H29" s="287" t="n">
        <f aca="false">+G29/$B$9</f>
        <v>0.302022471910112</v>
      </c>
    </row>
    <row r="30" customFormat="false" ht="12.75" hidden="false" customHeight="false" outlineLevel="0" collapsed="false">
      <c r="A30" s="280" t="s">
        <v>341</v>
      </c>
      <c r="B30" s="280" t="n">
        <v>1</v>
      </c>
      <c r="C30" s="280" t="s">
        <v>179</v>
      </c>
      <c r="D30" s="285" t="n">
        <v>500</v>
      </c>
      <c r="E30" s="286" t="n">
        <f aca="false">D30*B30</f>
        <v>500</v>
      </c>
      <c r="F30" s="287" t="n">
        <f aca="false">+E30/$B$9</f>
        <v>0.374531835205993</v>
      </c>
      <c r="G30" s="286" t="n">
        <f aca="false">+E30*AdjRate</f>
        <v>600</v>
      </c>
      <c r="H30" s="287" t="n">
        <f aca="false">+G30/$B$9</f>
        <v>0.449438202247191</v>
      </c>
    </row>
    <row r="31" customFormat="false" ht="12.75" hidden="false" customHeight="false" outlineLevel="0" collapsed="false">
      <c r="A31" s="280"/>
      <c r="B31" s="280"/>
      <c r="C31" s="280"/>
      <c r="D31" s="285"/>
      <c r="E31" s="286"/>
      <c r="F31" s="287"/>
      <c r="G31" s="286"/>
      <c r="H31" s="287"/>
    </row>
    <row r="32" customFormat="false" ht="12.75" hidden="false" customHeight="false" outlineLevel="0" collapsed="false">
      <c r="A32" s="279" t="s">
        <v>342</v>
      </c>
      <c r="B32" s="280"/>
      <c r="C32" s="280"/>
      <c r="D32" s="285"/>
      <c r="E32" s="286"/>
      <c r="F32" s="287"/>
      <c r="G32" s="286"/>
      <c r="H32" s="287"/>
    </row>
    <row r="33" customFormat="false" ht="12.75" hidden="false" customHeight="false" outlineLevel="0" collapsed="false">
      <c r="A33" s="280" t="s">
        <v>343</v>
      </c>
      <c r="B33" s="280" t="n">
        <f aca="false">ConstTime</f>
        <v>6</v>
      </c>
      <c r="C33" s="280" t="s">
        <v>274</v>
      </c>
      <c r="D33" s="285" t="n">
        <v>30</v>
      </c>
      <c r="E33" s="286" t="n">
        <f aca="false">D33*B33</f>
        <v>180</v>
      </c>
      <c r="F33" s="287" t="n">
        <f aca="false">+E33/$B$9</f>
        <v>0.134831460674157</v>
      </c>
      <c r="G33" s="286" t="n">
        <f aca="false">+D33*B33*AdjRate</f>
        <v>216</v>
      </c>
      <c r="H33" s="287" t="n">
        <f aca="false">+G33/$B$9</f>
        <v>0.161797752808989</v>
      </c>
      <c r="I33" s="14" t="s">
        <v>425</v>
      </c>
    </row>
    <row r="34" customFormat="false" ht="12.75" hidden="false" customHeight="false" outlineLevel="0" collapsed="false">
      <c r="A34" s="280" t="s">
        <v>344</v>
      </c>
      <c r="B34" s="280" t="n">
        <f aca="false">ConstTime</f>
        <v>6</v>
      </c>
      <c r="C34" s="280" t="s">
        <v>274</v>
      </c>
      <c r="D34" s="285" t="n">
        <v>30</v>
      </c>
      <c r="E34" s="286" t="n">
        <f aca="false">D34*B34</f>
        <v>180</v>
      </c>
      <c r="F34" s="287" t="n">
        <f aca="false">+E34/$B$9</f>
        <v>0.134831460674157</v>
      </c>
      <c r="G34" s="286" t="n">
        <f aca="false">+D34*B34*AdjRate</f>
        <v>216</v>
      </c>
      <c r="H34" s="287" t="n">
        <f aca="false">+G34/$B$9</f>
        <v>0.161797752808989</v>
      </c>
    </row>
    <row r="35" customFormat="false" ht="12.75" hidden="false" customHeight="false" outlineLevel="0" collapsed="false">
      <c r="A35" s="280" t="s">
        <v>345</v>
      </c>
      <c r="B35" s="280" t="n">
        <f aca="false">ConstTime</f>
        <v>6</v>
      </c>
      <c r="C35" s="280" t="s">
        <v>274</v>
      </c>
      <c r="D35" s="285" t="n">
        <f aca="false">85/2</f>
        <v>42.5</v>
      </c>
      <c r="E35" s="286" t="n">
        <f aca="false">D35*B35</f>
        <v>255</v>
      </c>
      <c r="F35" s="287" t="n">
        <f aca="false">+E35/$B$9</f>
        <v>0.191011235955056</v>
      </c>
      <c r="G35" s="286" t="n">
        <f aca="false">+E35*AdjRate</f>
        <v>306</v>
      </c>
      <c r="H35" s="287" t="n">
        <f aca="false">+G35/$B$9</f>
        <v>0.229213483146067</v>
      </c>
    </row>
    <row r="36" customFormat="false" ht="12.75" hidden="false" customHeight="false" outlineLevel="0" collapsed="false">
      <c r="A36" s="280"/>
      <c r="B36" s="280"/>
      <c r="C36" s="280"/>
      <c r="D36" s="285"/>
      <c r="E36" s="286"/>
      <c r="F36" s="287"/>
      <c r="G36" s="286"/>
      <c r="H36" s="287"/>
    </row>
    <row r="37" customFormat="false" ht="12.75" hidden="false" customHeight="false" outlineLevel="0" collapsed="false">
      <c r="A37" s="279" t="s">
        <v>346</v>
      </c>
      <c r="B37" s="280"/>
      <c r="C37" s="280"/>
      <c r="D37" s="285"/>
      <c r="E37" s="286"/>
      <c r="F37" s="287"/>
      <c r="G37" s="286"/>
      <c r="H37" s="287"/>
    </row>
    <row r="38" customFormat="false" ht="12.75" hidden="false" customHeight="false" outlineLevel="0" collapsed="false">
      <c r="A38" s="280" t="s">
        <v>347</v>
      </c>
      <c r="B38" s="280" t="n">
        <v>1</v>
      </c>
      <c r="C38" s="280" t="s">
        <v>179</v>
      </c>
      <c r="D38" s="285" t="n">
        <v>750</v>
      </c>
      <c r="E38" s="286" t="n">
        <f aca="false">D38*B38</f>
        <v>750</v>
      </c>
      <c r="F38" s="287" t="n">
        <f aca="false">+E38/$B$9</f>
        <v>0.561797752808989</v>
      </c>
      <c r="G38" s="286" t="n">
        <f aca="false">+D38*B38*AdjRate</f>
        <v>900</v>
      </c>
      <c r="H38" s="287" t="n">
        <f aca="false">+G38/$B$9</f>
        <v>0.674157303370787</v>
      </c>
    </row>
    <row r="39" customFormat="false" ht="12.75" hidden="false" customHeight="false" outlineLevel="0" collapsed="false">
      <c r="A39" s="280" t="s">
        <v>348</v>
      </c>
      <c r="B39" s="280" t="n">
        <f aca="false">+B$9</f>
        <v>1335</v>
      </c>
      <c r="C39" s="280" t="s">
        <v>258</v>
      </c>
      <c r="D39" s="285" t="n">
        <v>0.15</v>
      </c>
      <c r="E39" s="286" t="n">
        <f aca="false">D39*B39</f>
        <v>200.25</v>
      </c>
      <c r="F39" s="287" t="n">
        <f aca="false">+E39/$B$9</f>
        <v>0.15</v>
      </c>
      <c r="G39" s="286" t="n">
        <f aca="false">+E39*AdjRate</f>
        <v>240.3</v>
      </c>
      <c r="H39" s="287" t="n">
        <f aca="false">+G39/$B$9</f>
        <v>0.18</v>
      </c>
    </row>
    <row r="40" customFormat="false" ht="12.75" hidden="false" customHeight="false" outlineLevel="0" collapsed="false">
      <c r="A40" s="280"/>
      <c r="B40" s="280"/>
      <c r="C40" s="280"/>
      <c r="D40" s="285"/>
      <c r="E40" s="286"/>
      <c r="F40" s="287"/>
      <c r="G40" s="286"/>
      <c r="H40" s="287"/>
    </row>
    <row r="41" customFormat="false" ht="12.75" hidden="false" customHeight="false" outlineLevel="0" collapsed="false">
      <c r="A41" s="279" t="s">
        <v>349</v>
      </c>
      <c r="B41" s="280"/>
      <c r="C41" s="280"/>
      <c r="D41" s="285"/>
      <c r="E41" s="286"/>
      <c r="F41" s="287"/>
      <c r="G41" s="286"/>
      <c r="H41" s="287"/>
    </row>
    <row r="42" customFormat="false" ht="12.75" hidden="false" customHeight="false" outlineLevel="0" collapsed="false">
      <c r="A42" s="280" t="s">
        <v>350</v>
      </c>
      <c r="B42" s="280" t="n">
        <v>0</v>
      </c>
      <c r="C42" s="280" t="s">
        <v>179</v>
      </c>
      <c r="D42" s="285" t="n">
        <v>0</v>
      </c>
      <c r="E42" s="286" t="n">
        <f aca="false">D42*B42</f>
        <v>0</v>
      </c>
      <c r="F42" s="287" t="n">
        <f aca="false">+E42/$B$9</f>
        <v>0</v>
      </c>
      <c r="G42" s="286" t="n">
        <f aca="false">+E42*AdjRate</f>
        <v>0</v>
      </c>
      <c r="H42" s="287" t="n">
        <f aca="false">+G42/$B$9</f>
        <v>0</v>
      </c>
    </row>
    <row r="43" customFormat="false" ht="12.75" hidden="false" customHeight="false" outlineLevel="0" collapsed="false">
      <c r="A43" s="280" t="s">
        <v>351</v>
      </c>
      <c r="B43" s="280" t="n">
        <v>1</v>
      </c>
      <c r="C43" s="280" t="s">
        <v>195</v>
      </c>
      <c r="D43" s="285" t="n">
        <v>150</v>
      </c>
      <c r="E43" s="286" t="n">
        <f aca="false">D43*B43</f>
        <v>150</v>
      </c>
      <c r="F43" s="287" t="n">
        <f aca="false">+E43/$B$9</f>
        <v>0.112359550561798</v>
      </c>
      <c r="G43" s="286" t="n">
        <f aca="false">+E43*AdjRate</f>
        <v>180</v>
      </c>
      <c r="H43" s="287" t="n">
        <f aca="false">+G43/$B$9</f>
        <v>0.134831460674157</v>
      </c>
    </row>
    <row r="44" customFormat="false" ht="12.75" hidden="false" customHeight="false" outlineLevel="0" collapsed="false">
      <c r="A44" s="280" t="s">
        <v>352</v>
      </c>
      <c r="B44" s="280" t="n">
        <v>1</v>
      </c>
      <c r="C44" s="280" t="s">
        <v>179</v>
      </c>
      <c r="D44" s="285" t="n">
        <v>350</v>
      </c>
      <c r="E44" s="286" t="n">
        <f aca="false">D44*B44</f>
        <v>350</v>
      </c>
      <c r="F44" s="287" t="n">
        <f aca="false">+E44/$B$9</f>
        <v>0.262172284644195</v>
      </c>
      <c r="G44" s="286" t="n">
        <f aca="false">+E44*AdjRate</f>
        <v>420</v>
      </c>
      <c r="H44" s="287" t="n">
        <f aca="false">+G44/$B$9</f>
        <v>0.314606741573034</v>
      </c>
    </row>
    <row r="45" customFormat="false" ht="12.75" hidden="false" customHeight="false" outlineLevel="0" collapsed="false">
      <c r="A45" s="280" t="s">
        <v>353</v>
      </c>
      <c r="B45" s="280" t="n">
        <v>1</v>
      </c>
      <c r="C45" s="280" t="s">
        <v>179</v>
      </c>
      <c r="D45" s="285" t="n">
        <v>0</v>
      </c>
      <c r="E45" s="286" t="n">
        <f aca="false">D45*B45</f>
        <v>0</v>
      </c>
      <c r="F45" s="287" t="n">
        <f aca="false">+E45/$B$9</f>
        <v>0</v>
      </c>
      <c r="G45" s="286" t="n">
        <f aca="false">+E45*AdjRate</f>
        <v>0</v>
      </c>
      <c r="H45" s="287" t="n">
        <f aca="false">+G45/$B$9</f>
        <v>0</v>
      </c>
    </row>
    <row r="46" customFormat="false" ht="12.75" hidden="false" customHeight="false" outlineLevel="0" collapsed="false">
      <c r="A46" s="280" t="s">
        <v>267</v>
      </c>
      <c r="B46" s="280" t="n">
        <v>1</v>
      </c>
      <c r="C46" s="280" t="s">
        <v>179</v>
      </c>
      <c r="D46" s="285" t="n">
        <v>0</v>
      </c>
      <c r="E46" s="286" t="n">
        <f aca="false">D46*B46</f>
        <v>0</v>
      </c>
      <c r="F46" s="287" t="n">
        <f aca="false">+E46/$B$9</f>
        <v>0</v>
      </c>
      <c r="G46" s="286" t="n">
        <f aca="false">+D46*B46*AdjRate</f>
        <v>0</v>
      </c>
      <c r="H46" s="287" t="n">
        <f aca="false">+G46/$B$9</f>
        <v>0</v>
      </c>
    </row>
    <row r="47" customFormat="false" ht="12.75" hidden="false" customHeight="false" outlineLevel="0" collapsed="false">
      <c r="A47" s="280" t="s">
        <v>355</v>
      </c>
      <c r="B47" s="280" t="n">
        <v>100</v>
      </c>
      <c r="C47" s="280" t="s">
        <v>200</v>
      </c>
      <c r="D47" s="285" t="n">
        <v>15</v>
      </c>
      <c r="E47" s="286" t="n">
        <f aca="false">D47*B47</f>
        <v>1500</v>
      </c>
      <c r="F47" s="287" t="n">
        <f aca="false">+E47/$B$9</f>
        <v>1.12359550561798</v>
      </c>
      <c r="G47" s="286" t="n">
        <f aca="false">+D47*B47*AdjRate</f>
        <v>1800</v>
      </c>
      <c r="H47" s="287" t="n">
        <f aca="false">+G47/$B$9</f>
        <v>1.34831460674157</v>
      </c>
    </row>
    <row r="48" customFormat="false" ht="12.75" hidden="false" customHeight="false" outlineLevel="0" collapsed="false">
      <c r="A48" s="280" t="s">
        <v>426</v>
      </c>
      <c r="B48" s="280" t="n">
        <v>1</v>
      </c>
      <c r="C48" s="280" t="s">
        <v>179</v>
      </c>
      <c r="D48" s="285" t="n">
        <v>350</v>
      </c>
      <c r="E48" s="286" t="n">
        <f aca="false">D48*B48</f>
        <v>350</v>
      </c>
      <c r="F48" s="287" t="n">
        <f aca="false">+E48/$B$9</f>
        <v>0.262172284644195</v>
      </c>
      <c r="G48" s="286" t="n">
        <f aca="false">+E48*AdjRate</f>
        <v>420</v>
      </c>
      <c r="H48" s="287" t="n">
        <f aca="false">+G48/$B$9</f>
        <v>0.314606741573034</v>
      </c>
    </row>
    <row r="49" customFormat="false" ht="12.75" hidden="false" customHeight="false" outlineLevel="0" collapsed="false">
      <c r="A49" s="280"/>
      <c r="B49" s="280"/>
      <c r="C49" s="280"/>
      <c r="D49" s="285"/>
      <c r="E49" s="286"/>
      <c r="F49" s="287"/>
      <c r="G49" s="286"/>
      <c r="H49" s="287"/>
      <c r="I49" s="14" t="s">
        <v>425</v>
      </c>
    </row>
    <row r="50" customFormat="false" ht="12.75" hidden="false" customHeight="false" outlineLevel="0" collapsed="false">
      <c r="A50" s="279" t="s">
        <v>357</v>
      </c>
      <c r="B50" s="280"/>
      <c r="C50" s="280"/>
      <c r="D50" s="285"/>
      <c r="E50" s="286"/>
      <c r="F50" s="287"/>
      <c r="G50" s="286"/>
      <c r="H50" s="287"/>
      <c r="I50" s="14" t="s">
        <v>427</v>
      </c>
    </row>
    <row r="51" customFormat="false" ht="12.75" hidden="false" customHeight="false" outlineLevel="0" collapsed="false">
      <c r="A51" s="280" t="s">
        <v>313</v>
      </c>
      <c r="B51" s="280" t="n">
        <f aca="false">G$6</f>
        <v>1960</v>
      </c>
      <c r="C51" s="280" t="s">
        <v>258</v>
      </c>
      <c r="D51" s="285" t="n">
        <v>5.75</v>
      </c>
      <c r="E51" s="286" t="n">
        <f aca="false">D51*B51</f>
        <v>11270</v>
      </c>
      <c r="F51" s="287" t="n">
        <f aca="false">+E51/$B$9</f>
        <v>8.44194756554307</v>
      </c>
      <c r="G51" s="286" t="n">
        <f aca="false">+E51*AdjRate</f>
        <v>13524</v>
      </c>
      <c r="H51" s="287" t="n">
        <f aca="false">+G51/$B$9</f>
        <v>10.1303370786517</v>
      </c>
      <c r="I51" s="14" t="s">
        <v>425</v>
      </c>
    </row>
    <row r="52" customFormat="false" ht="12.75" hidden="false" customHeight="false" outlineLevel="0" collapsed="false">
      <c r="A52" s="280" t="s">
        <v>358</v>
      </c>
      <c r="B52" s="280" t="n">
        <v>1</v>
      </c>
      <c r="C52" s="280" t="s">
        <v>179</v>
      </c>
      <c r="D52" s="285" t="n">
        <v>300</v>
      </c>
      <c r="E52" s="286" t="n">
        <f aca="false">D52*B52</f>
        <v>300</v>
      </c>
      <c r="F52" s="287" t="n">
        <f aca="false">+E52/$B$9</f>
        <v>0.224719101123596</v>
      </c>
      <c r="G52" s="286" t="n">
        <f aca="false">+D52*B52*AdjRate</f>
        <v>360</v>
      </c>
      <c r="H52" s="287" t="n">
        <f aca="false">+G52/$B$9</f>
        <v>0.269662921348315</v>
      </c>
      <c r="I52" s="14" t="s">
        <v>425</v>
      </c>
    </row>
    <row r="53" customFormat="false" ht="12.75" hidden="false" customHeight="false" outlineLevel="0" collapsed="false">
      <c r="A53" s="280" t="s">
        <v>315</v>
      </c>
      <c r="B53" s="280" t="n">
        <f aca="false">G$7</f>
        <v>178.5</v>
      </c>
      <c r="C53" s="280" t="s">
        <v>258</v>
      </c>
      <c r="D53" s="285" t="n">
        <v>2.25</v>
      </c>
      <c r="E53" s="286" t="n">
        <f aca="false">D53*B53</f>
        <v>401.625</v>
      </c>
      <c r="F53" s="287" t="n">
        <f aca="false">+E53/$B$9</f>
        <v>0.300842696629214</v>
      </c>
      <c r="G53" s="286" t="n">
        <f aca="false">+D53*B53*AdjRate</f>
        <v>481.95</v>
      </c>
      <c r="H53" s="287" t="n">
        <f aca="false">+G53/$B$9</f>
        <v>0.361011235955056</v>
      </c>
      <c r="I53" s="14" t="s">
        <v>425</v>
      </c>
    </row>
    <row r="54" customFormat="false" ht="12.75" hidden="false" customHeight="false" outlineLevel="0" collapsed="false">
      <c r="A54" s="280" t="s">
        <v>359</v>
      </c>
      <c r="B54" s="280" t="n">
        <f aca="false">G$11</f>
        <v>450</v>
      </c>
      <c r="C54" s="280" t="s">
        <v>258</v>
      </c>
      <c r="D54" s="285" t="n">
        <v>2.25</v>
      </c>
      <c r="E54" s="286" t="n">
        <f aca="false">D54*B54</f>
        <v>1012.5</v>
      </c>
      <c r="F54" s="287" t="n">
        <f aca="false">+E54/$B$9</f>
        <v>0.758426966292135</v>
      </c>
      <c r="G54" s="286" t="n">
        <f aca="false">+E54*AdjRate</f>
        <v>1215</v>
      </c>
      <c r="H54" s="287" t="n">
        <f aca="false">+G54/$B$9</f>
        <v>0.910112359550562</v>
      </c>
      <c r="I54" s="1" t="s">
        <v>127</v>
      </c>
    </row>
    <row r="55" customFormat="false" ht="12.75" hidden="false" customHeight="false" outlineLevel="0" collapsed="false">
      <c r="A55" s="280"/>
      <c r="B55" s="280"/>
      <c r="C55" s="280"/>
      <c r="D55" s="285"/>
      <c r="E55" s="286"/>
      <c r="F55" s="287"/>
      <c r="G55" s="286"/>
      <c r="H55" s="287"/>
      <c r="I55" s="1" t="s">
        <v>127</v>
      </c>
    </row>
    <row r="56" customFormat="false" ht="12.75" hidden="false" customHeight="false" outlineLevel="0" collapsed="false">
      <c r="A56" s="279" t="s">
        <v>360</v>
      </c>
      <c r="B56" s="280"/>
      <c r="C56" s="280"/>
      <c r="D56" s="285"/>
      <c r="E56" s="286"/>
      <c r="F56" s="287"/>
      <c r="G56" s="286"/>
      <c r="H56" s="287"/>
    </row>
    <row r="57" customFormat="false" ht="12.75" hidden="false" customHeight="false" outlineLevel="0" collapsed="false">
      <c r="A57" s="280" t="s">
        <v>361</v>
      </c>
      <c r="B57" s="280" t="n">
        <f aca="false">+TCSF</f>
        <v>1960</v>
      </c>
      <c r="C57" s="280" t="s">
        <v>258</v>
      </c>
      <c r="D57" s="285" t="n">
        <v>2.5</v>
      </c>
      <c r="E57" s="286" t="n">
        <f aca="false">D57*B57</f>
        <v>4900</v>
      </c>
      <c r="F57" s="287" t="n">
        <f aca="false">+E57/$B$9</f>
        <v>3.67041198501873</v>
      </c>
      <c r="G57" s="286" t="n">
        <f aca="false">+E57*AdjRate</f>
        <v>5880</v>
      </c>
      <c r="H57" s="287" t="n">
        <f aca="false">+G57/$B$9</f>
        <v>4.40449438202247</v>
      </c>
    </row>
    <row r="58" customFormat="false" ht="12.75" hidden="false" customHeight="false" outlineLevel="0" collapsed="false">
      <c r="A58" s="280" t="s">
        <v>362</v>
      </c>
      <c r="B58" s="280" t="n">
        <f aca="false">+B8</f>
        <v>0</v>
      </c>
      <c r="C58" s="280" t="s">
        <v>258</v>
      </c>
      <c r="D58" s="285" t="n">
        <v>1.9</v>
      </c>
      <c r="E58" s="286" t="n">
        <f aca="false">D58*B58</f>
        <v>0</v>
      </c>
      <c r="F58" s="287" t="n">
        <f aca="false">+E58/$B$9</f>
        <v>0</v>
      </c>
      <c r="G58" s="286" t="n">
        <f aca="false">+E58*AdjRate</f>
        <v>0</v>
      </c>
      <c r="H58" s="287" t="n">
        <f aca="false">+G58/$B$9</f>
        <v>0</v>
      </c>
    </row>
    <row r="59" customFormat="false" ht="12.75" hidden="false" customHeight="false" outlineLevel="0" collapsed="false">
      <c r="A59" s="280" t="s">
        <v>363</v>
      </c>
      <c r="B59" s="280" t="n">
        <f aca="false">G$6</f>
        <v>1960</v>
      </c>
      <c r="C59" s="280" t="s">
        <v>258</v>
      </c>
      <c r="D59" s="285" t="n">
        <v>1.2</v>
      </c>
      <c r="E59" s="286" t="n">
        <f aca="false">D59*B59</f>
        <v>2352</v>
      </c>
      <c r="F59" s="287" t="n">
        <f aca="false">+E59/$B$9</f>
        <v>1.76179775280899</v>
      </c>
      <c r="G59" s="286" t="n">
        <f aca="false">+E59*AdjRate</f>
        <v>2822.4</v>
      </c>
      <c r="H59" s="287" t="n">
        <f aca="false">+G59/$B$9</f>
        <v>2.11415730337079</v>
      </c>
    </row>
    <row r="60" customFormat="false" ht="12.75" hidden="false" customHeight="false" outlineLevel="0" collapsed="false">
      <c r="A60" s="280" t="s">
        <v>364</v>
      </c>
      <c r="B60" s="280" t="n">
        <f aca="false">+TCSF</f>
        <v>1960</v>
      </c>
      <c r="C60" s="280" t="s">
        <v>258</v>
      </c>
      <c r="D60" s="285" t="n">
        <v>3.5</v>
      </c>
      <c r="E60" s="286" t="n">
        <f aca="false">D60*B60</f>
        <v>6860</v>
      </c>
      <c r="F60" s="287" t="n">
        <f aca="false">+E60/$B$9</f>
        <v>5.13857677902622</v>
      </c>
      <c r="G60" s="286" t="n">
        <f aca="false">+E60*AdjRate</f>
        <v>8232</v>
      </c>
      <c r="H60" s="287" t="n">
        <f aca="false">+G60/$B$9</f>
        <v>6.16629213483146</v>
      </c>
    </row>
    <row r="61" customFormat="false" ht="12.75" hidden="false" customHeight="false" outlineLevel="0" collapsed="false">
      <c r="A61" s="280" t="s">
        <v>365</v>
      </c>
      <c r="B61" s="280" t="n">
        <v>1</v>
      </c>
      <c r="C61" s="280" t="s">
        <v>179</v>
      </c>
      <c r="D61" s="285" t="n">
        <v>500</v>
      </c>
      <c r="E61" s="286" t="n">
        <f aca="false">D61*B61</f>
        <v>500</v>
      </c>
      <c r="F61" s="287" t="n">
        <f aca="false">+E61/$B$9</f>
        <v>0.374531835205993</v>
      </c>
      <c r="G61" s="286" t="n">
        <f aca="false">+E61*AdjRate</f>
        <v>600</v>
      </c>
      <c r="H61" s="287" t="n">
        <f aca="false">+G61/$B$9</f>
        <v>0.449438202247191</v>
      </c>
    </row>
    <row r="62" customFormat="false" ht="12.75" hidden="false" customHeight="false" outlineLevel="0" collapsed="false">
      <c r="A62" s="280" t="s">
        <v>366</v>
      </c>
      <c r="B62" s="280" t="n">
        <f aca="false">G13</f>
        <v>4</v>
      </c>
      <c r="C62" s="280" t="s">
        <v>367</v>
      </c>
      <c r="D62" s="285" t="n">
        <v>285</v>
      </c>
      <c r="E62" s="286" t="n">
        <f aca="false">D62*B62</f>
        <v>1140</v>
      </c>
      <c r="F62" s="287" t="n">
        <f aca="false">+E62/$B$9</f>
        <v>0.853932584269663</v>
      </c>
      <c r="G62" s="286" t="n">
        <f aca="false">+E62*AdjRate</f>
        <v>1368</v>
      </c>
      <c r="H62" s="287" t="n">
        <f aca="false">+G62/$B$9</f>
        <v>1.0247191011236</v>
      </c>
    </row>
    <row r="63" customFormat="false" ht="12.75" hidden="false" customHeight="false" outlineLevel="0" collapsed="false">
      <c r="A63" s="280" t="s">
        <v>368</v>
      </c>
      <c r="B63" s="280" t="n">
        <f aca="false">+B$9</f>
        <v>1335</v>
      </c>
      <c r="C63" s="280" t="s">
        <v>258</v>
      </c>
      <c r="D63" s="285" t="n">
        <v>1</v>
      </c>
      <c r="E63" s="286" t="n">
        <f aca="false">D63*B63</f>
        <v>1335</v>
      </c>
      <c r="F63" s="287" t="n">
        <f aca="false">+E63/$B$9</f>
        <v>1</v>
      </c>
      <c r="G63" s="286" t="n">
        <f aca="false">+E63*AdjRate</f>
        <v>1602</v>
      </c>
      <c r="H63" s="287" t="n">
        <f aca="false">+G63/$B$9</f>
        <v>1.2</v>
      </c>
    </row>
    <row r="64" customFormat="false" ht="12.75" hidden="false" customHeight="false" outlineLevel="0" collapsed="false">
      <c r="A64" s="280" t="s">
        <v>328</v>
      </c>
      <c r="B64" s="280" t="n">
        <f aca="false">G14</f>
        <v>10</v>
      </c>
      <c r="C64" s="280" t="s">
        <v>369</v>
      </c>
      <c r="D64" s="285" t="n">
        <v>85</v>
      </c>
      <c r="E64" s="286" t="n">
        <f aca="false">D64*B64</f>
        <v>850</v>
      </c>
      <c r="F64" s="287" t="n">
        <f aca="false">+E64/$B$9</f>
        <v>0.636704119850187</v>
      </c>
      <c r="G64" s="286" t="n">
        <f aca="false">+E64*AdjRate</f>
        <v>1020</v>
      </c>
      <c r="H64" s="287" t="n">
        <f aca="false">+G64/$B$9</f>
        <v>0.764044943820225</v>
      </c>
    </row>
    <row r="65" customFormat="false" ht="12.75" hidden="false" customHeight="false" outlineLevel="0" collapsed="false">
      <c r="A65" s="280" t="s">
        <v>370</v>
      </c>
      <c r="B65" s="280" t="n">
        <f aca="false">+B$9</f>
        <v>1335</v>
      </c>
      <c r="C65" s="280" t="s">
        <v>258</v>
      </c>
      <c r="D65" s="285" t="n">
        <v>1</v>
      </c>
      <c r="E65" s="286"/>
      <c r="F65" s="287" t="n">
        <f aca="false">+E65/$B$9</f>
        <v>0</v>
      </c>
      <c r="G65" s="286" t="n">
        <f aca="false">+D65*B65*AdjRate</f>
        <v>1602</v>
      </c>
      <c r="H65" s="287" t="n">
        <f aca="false">+G65/$B$9</f>
        <v>1.2</v>
      </c>
    </row>
    <row r="66" customFormat="false" ht="12.75" hidden="false" customHeight="false" outlineLevel="0" collapsed="false">
      <c r="A66" s="280" t="s">
        <v>371</v>
      </c>
      <c r="B66" s="280" t="n">
        <v>33</v>
      </c>
      <c r="C66" s="280" t="s">
        <v>200</v>
      </c>
      <c r="D66" s="285" t="n">
        <v>75</v>
      </c>
      <c r="E66" s="286"/>
      <c r="F66" s="287" t="n">
        <f aca="false">+E66/$B$9</f>
        <v>0</v>
      </c>
      <c r="G66" s="286" t="n">
        <f aca="false">+D66*B66*AdjRate</f>
        <v>2970</v>
      </c>
      <c r="H66" s="287" t="n">
        <f aca="false">+G66/$B$9</f>
        <v>2.2247191011236</v>
      </c>
      <c r="I66" s="304"/>
    </row>
    <row r="67" customFormat="false" ht="12.75" hidden="false" customHeight="false" outlineLevel="0" collapsed="false">
      <c r="A67" s="280" t="s">
        <v>372</v>
      </c>
      <c r="B67" s="280" t="n">
        <v>16</v>
      </c>
      <c r="C67" s="280" t="s">
        <v>200</v>
      </c>
      <c r="D67" s="285" t="n">
        <v>45</v>
      </c>
      <c r="E67" s="286" t="n">
        <f aca="false">D67*B67</f>
        <v>720</v>
      </c>
      <c r="F67" s="287" t="n">
        <f aca="false">+E67/$B$9</f>
        <v>0.539325842696629</v>
      </c>
      <c r="G67" s="286" t="n">
        <f aca="false">+E67*AdjRate</f>
        <v>864</v>
      </c>
      <c r="H67" s="287" t="n">
        <f aca="false">+G67/$B$9</f>
        <v>0.647191011235955</v>
      </c>
      <c r="I67" s="304"/>
    </row>
    <row r="68" customFormat="false" ht="12.75" hidden="false" customHeight="false" outlineLevel="0" collapsed="false">
      <c r="A68" s="280"/>
      <c r="B68" s="280"/>
      <c r="C68" s="280"/>
      <c r="D68" s="285"/>
      <c r="E68" s="286"/>
      <c r="F68" s="287"/>
      <c r="G68" s="286"/>
      <c r="H68" s="287"/>
    </row>
    <row r="69" customFormat="false" ht="12.75" hidden="false" customHeight="false" outlineLevel="0" collapsed="false">
      <c r="A69" s="279" t="s">
        <v>373</v>
      </c>
      <c r="B69" s="280"/>
      <c r="C69" s="280"/>
      <c r="D69" s="285"/>
      <c r="E69" s="286"/>
      <c r="F69" s="287"/>
      <c r="G69" s="286"/>
      <c r="H69" s="287"/>
    </row>
    <row r="70" customFormat="false" ht="12.75" hidden="false" customHeight="false" outlineLevel="0" collapsed="false">
      <c r="A70" s="280" t="s">
        <v>324</v>
      </c>
      <c r="B70" s="280" t="n">
        <f aca="false">G12</f>
        <v>9</v>
      </c>
      <c r="C70" s="280" t="s">
        <v>374</v>
      </c>
      <c r="D70" s="285" t="n">
        <v>85</v>
      </c>
      <c r="E70" s="286" t="n">
        <f aca="false">D70*B70</f>
        <v>765</v>
      </c>
      <c r="F70" s="287" t="n">
        <f aca="false">+E70/$B$9</f>
        <v>0.573033707865169</v>
      </c>
      <c r="G70" s="286" t="n">
        <f aca="false">+D70*B70*AdjRate</f>
        <v>918</v>
      </c>
      <c r="H70" s="287" t="n">
        <f aca="false">+G70/$B$9</f>
        <v>0.687640449438202</v>
      </c>
    </row>
    <row r="71" customFormat="false" ht="12.75" hidden="false" customHeight="false" outlineLevel="0" collapsed="false">
      <c r="A71" s="280" t="s">
        <v>375</v>
      </c>
      <c r="B71" s="280" t="n">
        <v>0</v>
      </c>
      <c r="C71" s="280" t="s">
        <v>179</v>
      </c>
      <c r="D71" s="285" t="n">
        <v>480</v>
      </c>
      <c r="E71" s="286" t="n">
        <f aca="false">D71*B71</f>
        <v>0</v>
      </c>
      <c r="F71" s="287" t="n">
        <f aca="false">+E71/$B$9</f>
        <v>0</v>
      </c>
      <c r="G71" s="286" t="n">
        <f aca="false">+D71*B71*AdjRate</f>
        <v>0</v>
      </c>
      <c r="H71" s="287" t="n">
        <f aca="false">+G71/$B$9</f>
        <v>0</v>
      </c>
    </row>
    <row r="72" customFormat="false" ht="12.75" hidden="false" customHeight="false" outlineLevel="0" collapsed="false">
      <c r="A72" s="280" t="s">
        <v>376</v>
      </c>
      <c r="B72" s="280" t="n">
        <v>36</v>
      </c>
      <c r="C72" s="280" t="s">
        <v>258</v>
      </c>
      <c r="D72" s="285" t="n">
        <v>7.5</v>
      </c>
      <c r="E72" s="286" t="n">
        <f aca="false">D72*B72</f>
        <v>270</v>
      </c>
      <c r="F72" s="287" t="n">
        <f aca="false">+E72/$B$9</f>
        <v>0.202247191011236</v>
      </c>
      <c r="G72" s="286" t="n">
        <f aca="false">+E72*AdjRate</f>
        <v>324</v>
      </c>
      <c r="H72" s="287" t="n">
        <f aca="false">+G72/$B$9</f>
        <v>0.242696629213483</v>
      </c>
    </row>
    <row r="73" customFormat="false" ht="12.75" hidden="false" customHeight="false" outlineLevel="0" collapsed="false">
      <c r="A73" s="280"/>
      <c r="B73" s="280"/>
      <c r="C73" s="280"/>
      <c r="D73" s="285"/>
      <c r="E73" s="286"/>
      <c r="F73" s="287"/>
      <c r="G73" s="286"/>
      <c r="H73" s="287"/>
    </row>
    <row r="74" customFormat="false" ht="12.75" hidden="false" customHeight="false" outlineLevel="0" collapsed="false">
      <c r="A74" s="279" t="s">
        <v>377</v>
      </c>
      <c r="B74" s="280"/>
      <c r="C74" s="280"/>
      <c r="D74" s="285"/>
      <c r="E74" s="286"/>
      <c r="F74" s="287"/>
      <c r="G74" s="286"/>
      <c r="H74" s="287"/>
    </row>
    <row r="75" customFormat="false" ht="12.75" hidden="false" customHeight="false" outlineLevel="0" collapsed="false">
      <c r="A75" s="280" t="s">
        <v>378</v>
      </c>
      <c r="B75" s="280" t="n">
        <f aca="false">1.3*1164/100</f>
        <v>15.132</v>
      </c>
      <c r="C75" s="280" t="s">
        <v>379</v>
      </c>
      <c r="D75" s="285" t="n">
        <v>52</v>
      </c>
      <c r="E75" s="286" t="n">
        <f aca="false">D75*B75</f>
        <v>786.864</v>
      </c>
      <c r="F75" s="287" t="n">
        <f aca="false">+E75/$B$9</f>
        <v>0.589411235955056</v>
      </c>
      <c r="G75" s="286" t="n">
        <f aca="false">+E75*AdjRate</f>
        <v>944.2368</v>
      </c>
      <c r="H75" s="287" t="n">
        <f aca="false">+G75/$B$9</f>
        <v>0.707293483146067</v>
      </c>
    </row>
    <row r="76" customFormat="false" ht="12.75" hidden="false" customHeight="false" outlineLevel="0" collapsed="false">
      <c r="A76" s="280" t="s">
        <v>380</v>
      </c>
      <c r="B76" s="280" t="n">
        <v>1</v>
      </c>
      <c r="C76" s="280" t="s">
        <v>179</v>
      </c>
      <c r="D76" s="285" t="n">
        <v>200</v>
      </c>
      <c r="E76" s="286" t="n">
        <f aca="false">D76*B76</f>
        <v>200</v>
      </c>
      <c r="F76" s="287" t="n">
        <f aca="false">+E76/$B$9</f>
        <v>0.149812734082397</v>
      </c>
      <c r="G76" s="286" t="n">
        <f aca="false">+D76*B76*AdjRate</f>
        <v>240</v>
      </c>
      <c r="H76" s="287" t="n">
        <f aca="false">+G76/$B$9</f>
        <v>0.179775280898876</v>
      </c>
    </row>
    <row r="77" customFormat="false" ht="12.75" hidden="false" customHeight="false" outlineLevel="0" collapsed="false">
      <c r="A77" s="280" t="s">
        <v>381</v>
      </c>
      <c r="B77" s="280" t="n">
        <f aca="false">+B$9</f>
        <v>1335</v>
      </c>
      <c r="C77" s="280" t="s">
        <v>258</v>
      </c>
      <c r="D77" s="285" t="n">
        <v>0.75</v>
      </c>
      <c r="E77" s="286" t="n">
        <f aca="false">D77*B77</f>
        <v>1001.25</v>
      </c>
      <c r="F77" s="287" t="n">
        <f aca="false">+E77/$B$9</f>
        <v>0.75</v>
      </c>
      <c r="G77" s="286" t="n">
        <f aca="false">+D77*B77*AdjRate</f>
        <v>1201.5</v>
      </c>
      <c r="H77" s="287" t="n">
        <f aca="false">+G77/$B$9</f>
        <v>0.9</v>
      </c>
    </row>
    <row r="78" customFormat="false" ht="12.75" hidden="false" customHeight="false" outlineLevel="0" collapsed="false">
      <c r="A78" s="280" t="s">
        <v>382</v>
      </c>
      <c r="B78" s="280" t="n">
        <f aca="false">+B$9</f>
        <v>1335</v>
      </c>
      <c r="C78" s="280" t="s">
        <v>258</v>
      </c>
      <c r="D78" s="285" t="n">
        <v>3</v>
      </c>
      <c r="E78" s="286" t="n">
        <f aca="false">D78*B78</f>
        <v>4005</v>
      </c>
      <c r="F78" s="287" t="n">
        <f aca="false">+E78/$B$9</f>
        <v>3</v>
      </c>
      <c r="G78" s="286" t="n">
        <f aca="false">+E78*AdjRate</f>
        <v>4806</v>
      </c>
      <c r="H78" s="287" t="n">
        <f aca="false">+G78/$B$9</f>
        <v>3.6</v>
      </c>
    </row>
    <row r="79" customFormat="false" ht="12.75" hidden="false" customHeight="false" outlineLevel="0" collapsed="false">
      <c r="A79" s="280"/>
      <c r="B79" s="280"/>
      <c r="C79" s="280"/>
      <c r="D79" s="285"/>
      <c r="E79" s="286"/>
      <c r="F79" s="287"/>
      <c r="G79" s="286"/>
      <c r="H79" s="287"/>
    </row>
    <row r="80" customFormat="false" ht="12.75" hidden="false" customHeight="false" outlineLevel="0" collapsed="false">
      <c r="A80" s="279" t="s">
        <v>311</v>
      </c>
      <c r="B80" s="280"/>
      <c r="C80" s="280"/>
      <c r="D80" s="285"/>
      <c r="E80" s="286"/>
      <c r="F80" s="287"/>
      <c r="G80" s="286"/>
      <c r="H80" s="287"/>
    </row>
    <row r="81" customFormat="false" ht="12.75" hidden="false" customHeight="false" outlineLevel="0" collapsed="false">
      <c r="A81" s="280" t="s">
        <v>383</v>
      </c>
      <c r="B81" s="280" t="n">
        <f aca="false">+G5</f>
        <v>315</v>
      </c>
      <c r="C81" s="280" t="s">
        <v>258</v>
      </c>
      <c r="D81" s="285" t="n">
        <v>5.5</v>
      </c>
      <c r="E81" s="286" t="n">
        <f aca="false">D81*B81</f>
        <v>1732.5</v>
      </c>
      <c r="F81" s="287" t="n">
        <f aca="false">+E81/$B$9</f>
        <v>1.29775280898876</v>
      </c>
      <c r="G81" s="286" t="n">
        <f aca="false">+E81*AdjRate</f>
        <v>2079</v>
      </c>
      <c r="H81" s="287" t="n">
        <f aca="false">+G81/$B$9</f>
        <v>1.55730337078652</v>
      </c>
    </row>
    <row r="82" customFormat="false" ht="12.75" hidden="false" customHeight="false" outlineLevel="0" collapsed="false">
      <c r="A82" s="280" t="s">
        <v>384</v>
      </c>
      <c r="B82" s="280" t="n">
        <v>0</v>
      </c>
      <c r="C82" s="280" t="s">
        <v>258</v>
      </c>
      <c r="D82" s="285" t="n">
        <v>2</v>
      </c>
      <c r="E82" s="286" t="n">
        <f aca="false">D82*B82</f>
        <v>0</v>
      </c>
      <c r="F82" s="287" t="n">
        <f aca="false">+E82/$B$9</f>
        <v>0</v>
      </c>
      <c r="G82" s="286" t="n">
        <f aca="false">+E82*AdjRate</f>
        <v>0</v>
      </c>
      <c r="H82" s="287" t="n">
        <f aca="false">+G82/$B$9</f>
        <v>0</v>
      </c>
    </row>
    <row r="83" customFormat="false" ht="12.75" hidden="false" customHeight="false" outlineLevel="0" collapsed="false">
      <c r="A83" s="280" t="s">
        <v>385</v>
      </c>
      <c r="B83" s="280" t="n">
        <f aca="false">+TCSF</f>
        <v>1960</v>
      </c>
      <c r="C83" s="280" t="s">
        <v>258</v>
      </c>
      <c r="D83" s="285" t="n">
        <v>2.1</v>
      </c>
      <c r="E83" s="286" t="n">
        <f aca="false">D83*B83</f>
        <v>4116</v>
      </c>
      <c r="F83" s="287" t="n">
        <f aca="false">+E83/$B$9</f>
        <v>3.08314606741573</v>
      </c>
      <c r="G83" s="286" t="n">
        <f aca="false">+E83*AdjRate</f>
        <v>4939.2</v>
      </c>
      <c r="H83" s="287" t="n">
        <f aca="false">+G83/$B$9</f>
        <v>3.69977528089888</v>
      </c>
    </row>
    <row r="84" customFormat="false" ht="12.75" hidden="false" customHeight="false" outlineLevel="0" collapsed="false">
      <c r="A84" s="280" t="s">
        <v>428</v>
      </c>
      <c r="B84" s="280" t="n">
        <v>48</v>
      </c>
      <c r="C84" s="280" t="s">
        <v>258</v>
      </c>
      <c r="D84" s="285" t="n">
        <v>5.5</v>
      </c>
      <c r="E84" s="286" t="n">
        <f aca="false">D84*B84</f>
        <v>264</v>
      </c>
      <c r="F84" s="287" t="n">
        <f aca="false">+E84/$B$9</f>
        <v>0.197752808988764</v>
      </c>
      <c r="G84" s="286" t="n">
        <f aca="false">+E84*AdjRate</f>
        <v>316.8</v>
      </c>
      <c r="H84" s="287" t="n">
        <f aca="false">+G84/$B$9</f>
        <v>0.237303370786517</v>
      </c>
    </row>
    <row r="85" customFormat="false" ht="12.75" hidden="false" customHeight="false" outlineLevel="0" collapsed="false">
      <c r="A85" s="280" t="s">
        <v>387</v>
      </c>
      <c r="B85" s="280" t="n">
        <f aca="false">(B9-35-150-150-100)/9</f>
        <v>100</v>
      </c>
      <c r="C85" s="280" t="s">
        <v>388</v>
      </c>
      <c r="D85" s="285" t="n">
        <v>15</v>
      </c>
      <c r="E85" s="286" t="n">
        <f aca="false">D85*B85</f>
        <v>1500</v>
      </c>
      <c r="F85" s="287" t="n">
        <f aca="false">+E85/$B$9</f>
        <v>1.12359550561798</v>
      </c>
      <c r="G85" s="286" t="n">
        <f aca="false">+E85*AdjRate</f>
        <v>1800</v>
      </c>
      <c r="H85" s="287" t="n">
        <f aca="false">+G85/$B$9</f>
        <v>1.34831460674157</v>
      </c>
    </row>
    <row r="86" customFormat="false" ht="12.75" hidden="false" customHeight="false" outlineLevel="0" collapsed="false">
      <c r="A86" s="280" t="s">
        <v>389</v>
      </c>
      <c r="B86" s="280" t="n">
        <v>27</v>
      </c>
      <c r="C86" s="280" t="s">
        <v>200</v>
      </c>
      <c r="D86" s="285" t="n">
        <v>24</v>
      </c>
      <c r="E86" s="286" t="n">
        <f aca="false">D86*B86</f>
        <v>648</v>
      </c>
      <c r="F86" s="287" t="n">
        <f aca="false">+E86/$B$9</f>
        <v>0.485393258426966</v>
      </c>
      <c r="G86" s="286" t="n">
        <f aca="false">+E86*AdjRate</f>
        <v>777.6</v>
      </c>
      <c r="H86" s="287" t="n">
        <f aca="false">+G86/$B$9</f>
        <v>0.58247191011236</v>
      </c>
    </row>
    <row r="87" customFormat="false" ht="12.75" hidden="false" customHeight="false" outlineLevel="0" collapsed="false">
      <c r="A87" s="280" t="s">
        <v>429</v>
      </c>
      <c r="B87" s="280" t="n">
        <v>9</v>
      </c>
      <c r="C87" s="280" t="s">
        <v>200</v>
      </c>
      <c r="D87" s="285" t="n">
        <v>24</v>
      </c>
      <c r="E87" s="286" t="n">
        <f aca="false">D87*B87</f>
        <v>216</v>
      </c>
      <c r="F87" s="287" t="n">
        <f aca="false">+E87/$B$9</f>
        <v>0.161797752808989</v>
      </c>
      <c r="G87" s="286" t="n">
        <f aca="false">+E87*AdjRate</f>
        <v>259.2</v>
      </c>
      <c r="H87" s="287" t="n">
        <f aca="false">+G87/$B$9</f>
        <v>0.194157303370787</v>
      </c>
    </row>
    <row r="88" customFormat="false" ht="12.75" hidden="false" customHeight="false" outlineLevel="0" collapsed="false">
      <c r="A88" s="280" t="s">
        <v>391</v>
      </c>
      <c r="B88" s="280" t="n">
        <v>2</v>
      </c>
      <c r="C88" s="280" t="s">
        <v>392</v>
      </c>
      <c r="D88" s="285" t="n">
        <v>40</v>
      </c>
      <c r="E88" s="286" t="n">
        <f aca="false">D88*B88</f>
        <v>80</v>
      </c>
      <c r="F88" s="287" t="n">
        <f aca="false">+E88/$B$9</f>
        <v>0.0599250936329588</v>
      </c>
      <c r="G88" s="286" t="n">
        <f aca="false">+E88*AdjRate</f>
        <v>96</v>
      </c>
      <c r="H88" s="287" t="n">
        <f aca="false">+G88/$B$9</f>
        <v>0.0719101123595506</v>
      </c>
    </row>
    <row r="89" customFormat="false" ht="12.75" hidden="false" customHeight="false" outlineLevel="0" collapsed="false">
      <c r="A89" s="280" t="s">
        <v>393</v>
      </c>
      <c r="B89" s="280" t="n">
        <v>0</v>
      </c>
      <c r="C89" s="280" t="s">
        <v>394</v>
      </c>
      <c r="D89" s="285" t="n">
        <v>750</v>
      </c>
      <c r="E89" s="286" t="n">
        <f aca="false">D89*B89</f>
        <v>0</v>
      </c>
      <c r="F89" s="287" t="n">
        <f aca="false">+E89/$B$9</f>
        <v>0</v>
      </c>
      <c r="G89" s="286" t="n">
        <f aca="false">+E89*AdjRate</f>
        <v>0</v>
      </c>
      <c r="H89" s="287" t="n">
        <f aca="false">+G89/$B$9</f>
        <v>0</v>
      </c>
    </row>
    <row r="90" customFormat="false" ht="12.75" hidden="false" customHeight="false" outlineLevel="0" collapsed="false">
      <c r="A90" s="280" t="s">
        <v>430</v>
      </c>
      <c r="B90" s="280" t="n">
        <v>1</v>
      </c>
      <c r="C90" s="280" t="s">
        <v>394</v>
      </c>
      <c r="D90" s="285" t="n">
        <v>300</v>
      </c>
      <c r="E90" s="286" t="n">
        <f aca="false">D90*B90</f>
        <v>300</v>
      </c>
      <c r="F90" s="287" t="n">
        <f aca="false">+E90/$B$9</f>
        <v>0.224719101123596</v>
      </c>
      <c r="G90" s="286" t="n">
        <f aca="false">+D90*B90*AdjRate</f>
        <v>360</v>
      </c>
      <c r="H90" s="287" t="n">
        <f aca="false">+G90/$B$9</f>
        <v>0.269662921348315</v>
      </c>
      <c r="I90" s="304"/>
    </row>
    <row r="91" customFormat="false" ht="12.75" hidden="false" customHeight="false" outlineLevel="0" collapsed="false">
      <c r="A91" s="280" t="s">
        <v>396</v>
      </c>
      <c r="B91" s="280" t="n">
        <f aca="false">G12</f>
        <v>9</v>
      </c>
      <c r="C91" s="280" t="s">
        <v>397</v>
      </c>
      <c r="D91" s="285" t="n">
        <v>35</v>
      </c>
      <c r="E91" s="286" t="n">
        <f aca="false">D91*B91</f>
        <v>315</v>
      </c>
      <c r="F91" s="287" t="n">
        <f aca="false">+E91/$B$9</f>
        <v>0.235955056179775</v>
      </c>
      <c r="G91" s="286" t="n">
        <f aca="false">+D91*B91*AdjRate</f>
        <v>378</v>
      </c>
      <c r="H91" s="287" t="n">
        <f aca="false">+G91/$B$9</f>
        <v>0.28314606741573</v>
      </c>
    </row>
    <row r="92" customFormat="false" ht="12.75" hidden="false" customHeight="false" outlineLevel="0" collapsed="false">
      <c r="A92" s="280" t="s">
        <v>398</v>
      </c>
      <c r="B92" s="280" t="n">
        <v>0</v>
      </c>
      <c r="C92" s="280" t="s">
        <v>179</v>
      </c>
      <c r="D92" s="285" t="n">
        <v>0</v>
      </c>
      <c r="E92" s="286" t="n">
        <f aca="false">D92*B92</f>
        <v>0</v>
      </c>
      <c r="F92" s="287" t="n">
        <f aca="false">+E92/$B$9</f>
        <v>0</v>
      </c>
      <c r="G92" s="286" t="n">
        <f aca="false">+E92*AdjRate</f>
        <v>0</v>
      </c>
      <c r="H92" s="287" t="n">
        <f aca="false">+G92/$B$9</f>
        <v>0</v>
      </c>
    </row>
    <row r="93" customFormat="false" ht="12.75" hidden="false" customHeight="false" outlineLevel="0" collapsed="false">
      <c r="A93" s="280"/>
      <c r="B93" s="280"/>
      <c r="C93" s="280"/>
      <c r="D93" s="285"/>
      <c r="E93" s="286"/>
      <c r="F93" s="287"/>
      <c r="G93" s="286"/>
      <c r="H93" s="287"/>
    </row>
    <row r="94" customFormat="false" ht="12.75" hidden="false" customHeight="false" outlineLevel="0" collapsed="false">
      <c r="A94" s="279" t="s">
        <v>399</v>
      </c>
      <c r="B94" s="280"/>
      <c r="C94" s="280"/>
      <c r="D94" s="285"/>
      <c r="E94" s="286"/>
      <c r="F94" s="287"/>
      <c r="G94" s="286"/>
      <c r="H94" s="287"/>
    </row>
    <row r="95" customFormat="false" ht="12.75" hidden="false" customHeight="false" outlineLevel="0" collapsed="false">
      <c r="A95" s="280" t="s">
        <v>400</v>
      </c>
      <c r="B95" s="280" t="n">
        <v>1</v>
      </c>
      <c r="C95" s="280" t="s">
        <v>179</v>
      </c>
      <c r="D95" s="285" t="n">
        <v>550</v>
      </c>
      <c r="E95" s="286" t="n">
        <f aca="false">D95*B95</f>
        <v>550</v>
      </c>
      <c r="F95" s="287" t="n">
        <f aca="false">+E95/$B$9</f>
        <v>0.411985018726592</v>
      </c>
      <c r="G95" s="286" t="n">
        <f aca="false">+D95*B95*AdjRate</f>
        <v>660</v>
      </c>
      <c r="H95" s="287" t="n">
        <f aca="false">+G95/$B$9</f>
        <v>0.49438202247191</v>
      </c>
    </row>
    <row r="96" customFormat="false" ht="12.75" hidden="false" customHeight="false" outlineLevel="0" collapsed="false">
      <c r="A96" s="280" t="s">
        <v>401</v>
      </c>
      <c r="B96" s="280" t="n">
        <v>0</v>
      </c>
      <c r="C96" s="280" t="s">
        <v>402</v>
      </c>
      <c r="D96" s="285" t="n">
        <v>650</v>
      </c>
      <c r="E96" s="286" t="n">
        <f aca="false">D96*B96</f>
        <v>0</v>
      </c>
      <c r="F96" s="287" t="n">
        <f aca="false">+E96/$B$9</f>
        <v>0</v>
      </c>
      <c r="G96" s="286" t="n">
        <f aca="false">+D96*B96*AdjRate</f>
        <v>0</v>
      </c>
      <c r="H96" s="287" t="n">
        <f aca="false">+G96/$B$9</f>
        <v>0</v>
      </c>
    </row>
    <row r="97" customFormat="false" ht="12.75" hidden="false" customHeight="false" outlineLevel="0" collapsed="false">
      <c r="A97" s="280" t="s">
        <v>403</v>
      </c>
      <c r="B97" s="280" t="n">
        <v>1</v>
      </c>
      <c r="C97" s="280" t="s">
        <v>404</v>
      </c>
      <c r="D97" s="285" t="n">
        <v>650</v>
      </c>
      <c r="E97" s="286" t="n">
        <f aca="false">D97*B97</f>
        <v>650</v>
      </c>
      <c r="F97" s="287" t="n">
        <f aca="false">+E97/$B$9</f>
        <v>0.48689138576779</v>
      </c>
      <c r="G97" s="286" t="n">
        <f aca="false">+E97*AdjRate</f>
        <v>780</v>
      </c>
      <c r="H97" s="287" t="n">
        <f aca="false">+G97/$B$9</f>
        <v>0.584269662921348</v>
      </c>
    </row>
    <row r="98" customFormat="false" ht="12.75" hidden="false" customHeight="false" outlineLevel="0" collapsed="false">
      <c r="A98" s="280"/>
      <c r="B98" s="280"/>
      <c r="C98" s="280"/>
      <c r="D98" s="285"/>
      <c r="E98" s="286"/>
      <c r="F98" s="287"/>
      <c r="G98" s="286"/>
      <c r="H98" s="287"/>
    </row>
    <row r="99" customFormat="false" ht="12.75" hidden="false" customHeight="false" outlineLevel="0" collapsed="false">
      <c r="A99" s="279" t="s">
        <v>405</v>
      </c>
      <c r="B99" s="280"/>
      <c r="C99" s="280"/>
      <c r="D99" s="285"/>
      <c r="E99" s="286"/>
      <c r="F99" s="287"/>
      <c r="G99" s="286"/>
      <c r="H99" s="287"/>
    </row>
    <row r="100" customFormat="false" ht="12.75" hidden="false" customHeight="false" outlineLevel="0" collapsed="false">
      <c r="A100" s="280" t="s">
        <v>406</v>
      </c>
      <c r="B100" s="280" t="n">
        <f aca="false">TCSF</f>
        <v>1960</v>
      </c>
      <c r="C100" s="280" t="s">
        <v>258</v>
      </c>
      <c r="D100" s="285" t="n">
        <v>2.2</v>
      </c>
      <c r="E100" s="286" t="n">
        <f aca="false">D100*B100</f>
        <v>4312</v>
      </c>
      <c r="F100" s="287" t="n">
        <f aca="false">+E100/$B$9</f>
        <v>3.22996254681648</v>
      </c>
      <c r="G100" s="286" t="n">
        <f aca="false">+D100*B100*AdjRate</f>
        <v>5174.4</v>
      </c>
      <c r="H100" s="287" t="n">
        <f aca="false">+G100/$B$9</f>
        <v>3.87595505617978</v>
      </c>
    </row>
    <row r="101" customFormat="false" ht="12.75" hidden="false" customHeight="false" outlineLevel="0" collapsed="false">
      <c r="A101" s="280" t="s">
        <v>407</v>
      </c>
      <c r="B101" s="280" t="n">
        <v>1</v>
      </c>
      <c r="C101" s="280" t="s">
        <v>179</v>
      </c>
      <c r="D101" s="285" t="n">
        <v>700</v>
      </c>
      <c r="E101" s="286" t="n">
        <f aca="false">D101*B101</f>
        <v>700</v>
      </c>
      <c r="F101" s="287" t="n">
        <f aca="false">+E101/$B$9</f>
        <v>0.52434456928839</v>
      </c>
      <c r="G101" s="286" t="n">
        <f aca="false">+D101*B101*AdjRate</f>
        <v>840</v>
      </c>
      <c r="H101" s="287" t="n">
        <f aca="false">+G101/$B$9</f>
        <v>0.629213483146067</v>
      </c>
    </row>
    <row r="102" customFormat="false" ht="12.75" hidden="false" customHeight="false" outlineLevel="0" collapsed="false">
      <c r="A102" s="280" t="s">
        <v>408</v>
      </c>
      <c r="B102" s="280" t="n">
        <v>1</v>
      </c>
      <c r="C102" s="280" t="s">
        <v>179</v>
      </c>
      <c r="D102" s="285" t="n">
        <v>450</v>
      </c>
      <c r="E102" s="286" t="n">
        <f aca="false">D102*B102</f>
        <v>450</v>
      </c>
      <c r="F102" s="287" t="n">
        <f aca="false">+E102/$B$9</f>
        <v>0.337078651685393</v>
      </c>
      <c r="G102" s="286" t="n">
        <f aca="false">+E102*AdjRate</f>
        <v>540</v>
      </c>
      <c r="H102" s="287" t="n">
        <f aca="false">+G102/$B$9</f>
        <v>0.404494382022472</v>
      </c>
    </row>
    <row r="103" customFormat="false" ht="12.75" hidden="false" customHeight="false" outlineLevel="0" collapsed="false">
      <c r="A103" s="280"/>
      <c r="B103" s="280"/>
      <c r="C103" s="280"/>
      <c r="D103" s="285"/>
      <c r="E103" s="286"/>
      <c r="F103" s="287"/>
      <c r="G103" s="286"/>
      <c r="H103" s="287"/>
    </row>
    <row r="104" customFormat="false" ht="12.75" hidden="false" customHeight="false" outlineLevel="0" collapsed="false">
      <c r="A104" s="279" t="s">
        <v>409</v>
      </c>
      <c r="B104" s="280"/>
      <c r="C104" s="280"/>
      <c r="D104" s="285"/>
      <c r="E104" s="286"/>
      <c r="F104" s="287"/>
      <c r="G104" s="286"/>
      <c r="H104" s="287"/>
    </row>
    <row r="105" customFormat="false" ht="12.75" hidden="false" customHeight="false" outlineLevel="0" collapsed="false">
      <c r="A105" s="280" t="s">
        <v>410</v>
      </c>
      <c r="B105" s="280" t="n">
        <v>1</v>
      </c>
      <c r="C105" s="280" t="s">
        <v>179</v>
      </c>
      <c r="D105" s="285" t="n">
        <v>4200</v>
      </c>
      <c r="E105" s="286" t="n">
        <f aca="false">D105*B105</f>
        <v>4200</v>
      </c>
      <c r="F105" s="287" t="n">
        <f aca="false">+E105/$B$9</f>
        <v>3.14606741573034</v>
      </c>
      <c r="G105" s="286" t="n">
        <f aca="false">+E105*AdjRate</f>
        <v>5040</v>
      </c>
      <c r="H105" s="287" t="n">
        <f aca="false">+G105/$B$9</f>
        <v>3.7752808988764</v>
      </c>
    </row>
    <row r="106" customFormat="false" ht="12.75" hidden="false" customHeight="false" outlineLevel="0" collapsed="false">
      <c r="A106" s="280" t="s">
        <v>411</v>
      </c>
      <c r="B106" s="280" t="n">
        <v>25</v>
      </c>
      <c r="C106" s="280" t="s">
        <v>200</v>
      </c>
      <c r="D106" s="285" t="n">
        <v>15</v>
      </c>
      <c r="E106" s="286" t="n">
        <f aca="false">D106*B106</f>
        <v>375</v>
      </c>
      <c r="F106" s="287" t="n">
        <f aca="false">+E106/$B$9</f>
        <v>0.280898876404494</v>
      </c>
      <c r="G106" s="286" t="n">
        <f aca="false">+E106*AdjRate</f>
        <v>450</v>
      </c>
      <c r="H106" s="287" t="n">
        <f aca="false">+G106/$B$9</f>
        <v>0.337078651685393</v>
      </c>
    </row>
    <row r="107" customFormat="false" ht="12.75" hidden="false" customHeight="false" outlineLevel="0" collapsed="false">
      <c r="A107" s="280" t="s">
        <v>412</v>
      </c>
      <c r="B107" s="280" t="n">
        <v>1</v>
      </c>
      <c r="C107" s="280" t="s">
        <v>179</v>
      </c>
      <c r="D107" s="285" t="n">
        <v>2000</v>
      </c>
      <c r="E107" s="286" t="n">
        <f aca="false">D107*B107</f>
        <v>2000</v>
      </c>
      <c r="F107" s="287" t="n">
        <f aca="false">+E107/$B$9</f>
        <v>1.49812734082397</v>
      </c>
      <c r="G107" s="286" t="n">
        <f aca="false">+E107*AdjRate</f>
        <v>2400</v>
      </c>
      <c r="H107" s="287" t="n">
        <f aca="false">+G107/$B$9</f>
        <v>1.79775280898876</v>
      </c>
    </row>
    <row r="108" customFormat="false" ht="12.75" hidden="false" customHeight="false" outlineLevel="0" collapsed="false">
      <c r="A108" s="280" t="s">
        <v>413</v>
      </c>
      <c r="B108" s="280" t="n">
        <v>1</v>
      </c>
      <c r="C108" s="280" t="s">
        <v>179</v>
      </c>
      <c r="D108" s="285" t="n">
        <v>990</v>
      </c>
      <c r="E108" s="286" t="n">
        <f aca="false">D108*B108</f>
        <v>990</v>
      </c>
      <c r="F108" s="287" t="n">
        <f aca="false">+E108/$B$9</f>
        <v>0.741573033707865</v>
      </c>
      <c r="G108" s="286" t="n">
        <f aca="false">+D108*B108*AdjRate</f>
        <v>1188</v>
      </c>
      <c r="H108" s="287" t="n">
        <f aca="false">+G108/$B$9</f>
        <v>0.889887640449438</v>
      </c>
    </row>
    <row r="109" customFormat="false" ht="12.75" hidden="false" customHeight="false" outlineLevel="0" collapsed="false">
      <c r="A109" s="280" t="s">
        <v>414</v>
      </c>
      <c r="B109" s="280" t="n">
        <f aca="false">B9</f>
        <v>1335</v>
      </c>
      <c r="C109" s="280" t="s">
        <v>258</v>
      </c>
      <c r="D109" s="285" t="n">
        <v>2.85</v>
      </c>
      <c r="E109" s="286" t="n">
        <f aca="false">D109*B109</f>
        <v>3804.75</v>
      </c>
      <c r="F109" s="287" t="n">
        <f aca="false">+E109/$B$9</f>
        <v>2.85</v>
      </c>
      <c r="G109" s="286" t="n">
        <f aca="false">+D109*B109*AdjRate</f>
        <v>4565.7</v>
      </c>
      <c r="H109" s="287" t="n">
        <f aca="false">+G109/$B$9</f>
        <v>3.42</v>
      </c>
    </row>
    <row r="110" customFormat="false" ht="12.75" hidden="false" customHeight="false" outlineLevel="0" collapsed="false">
      <c r="A110" s="280" t="s">
        <v>273</v>
      </c>
      <c r="B110" s="280" t="n">
        <f aca="false">ConstTime</f>
        <v>6</v>
      </c>
      <c r="C110" s="280" t="s">
        <v>274</v>
      </c>
      <c r="D110" s="285" t="n">
        <f aca="false">((1000*52)/12+250+100)/4</f>
        <v>1170.83333333333</v>
      </c>
      <c r="E110" s="286" t="n">
        <f aca="false">D110*B110</f>
        <v>7025</v>
      </c>
      <c r="F110" s="287" t="n">
        <f aca="false">+E110/$B$9</f>
        <v>5.2621722846442</v>
      </c>
      <c r="G110" s="286" t="n">
        <f aca="false">+(D110*B110)*AdjRate</f>
        <v>8430</v>
      </c>
      <c r="H110" s="287" t="n">
        <f aca="false">+G110/$B$9</f>
        <v>6.31460674157303</v>
      </c>
    </row>
    <row r="111" customFormat="false" ht="13.5" hidden="false" customHeight="false" outlineLevel="0" collapsed="false">
      <c r="A111" s="289" t="s">
        <v>415</v>
      </c>
      <c r="B111" s="289"/>
      <c r="C111" s="289"/>
      <c r="D111" s="289"/>
      <c r="E111" s="290" t="n">
        <f aca="false">SUM(E18:E110)</f>
        <v>78192.739</v>
      </c>
      <c r="F111" s="291" t="n">
        <f aca="false">SUM(F18:F110)</f>
        <v>58.5713400749064</v>
      </c>
      <c r="G111" s="290" t="n">
        <f aca="false">SUM(G18:G110)</f>
        <v>98403.2868</v>
      </c>
      <c r="H111" s="291" t="n">
        <f aca="false">SUM(H18:H110)</f>
        <v>73.7103271910112</v>
      </c>
    </row>
    <row r="112" customFormat="false" ht="13.5" hidden="false" customHeight="false" outlineLevel="0" collapsed="false">
      <c r="A112" s="280"/>
      <c r="B112" s="280"/>
      <c r="C112" s="280"/>
      <c r="D112" s="280"/>
      <c r="E112" s="286"/>
      <c r="F112" s="286"/>
      <c r="G112" s="280"/>
      <c r="H112" s="280"/>
    </row>
    <row r="113" customFormat="false" ht="12.75" hidden="false" customHeight="false" outlineLevel="0" collapsed="false">
      <c r="D113" s="57"/>
      <c r="E113" s="57"/>
      <c r="F113" s="57"/>
    </row>
    <row r="114" customFormat="false" ht="12.75" hidden="false" customHeight="false" outlineLevel="0" collapsed="false">
      <c r="D114" s="57"/>
      <c r="E114" s="57"/>
      <c r="F114" s="57"/>
    </row>
    <row r="115" customFormat="false" ht="12.75" hidden="false" customHeight="false" outlineLevel="0" collapsed="false">
      <c r="D115" s="57"/>
      <c r="E115" s="57"/>
      <c r="F115" s="57"/>
    </row>
    <row r="116" customFormat="false" ht="12.75" hidden="false" customHeight="false" outlineLevel="0" collapsed="false">
      <c r="D116" s="57"/>
      <c r="E116" s="57"/>
      <c r="F116" s="57"/>
    </row>
    <row r="117" customFormat="false" ht="12.75" hidden="false" customHeight="false" outlineLevel="0" collapsed="false">
      <c r="D117" s="57"/>
      <c r="E117" s="57"/>
      <c r="F117" s="57"/>
    </row>
    <row r="118" customFormat="false" ht="12.75" hidden="false" customHeight="false" outlineLevel="0" collapsed="false">
      <c r="D118" s="57"/>
      <c r="E118" s="57"/>
      <c r="F118" s="57"/>
    </row>
    <row r="119" customFormat="false" ht="12.75" hidden="false" customHeight="false" outlineLevel="0" collapsed="false">
      <c r="D119" s="57"/>
      <c r="E119" s="57"/>
      <c r="F119" s="57"/>
    </row>
    <row r="120" customFormat="false" ht="12.75" hidden="false" customHeight="false" outlineLevel="0" collapsed="false">
      <c r="D120" s="57"/>
      <c r="E120" s="57"/>
      <c r="F120" s="57"/>
    </row>
    <row r="121" customFormat="false" ht="12.75" hidden="false" customHeight="false" outlineLevel="0" collapsed="false">
      <c r="D121" s="57"/>
      <c r="E121" s="57"/>
      <c r="F121" s="57"/>
    </row>
    <row r="122" customFormat="false" ht="12.75" hidden="false" customHeight="false" outlineLevel="0" collapsed="false">
      <c r="D122" s="57"/>
      <c r="E122" s="57"/>
      <c r="F122" s="57"/>
    </row>
    <row r="123" customFormat="false" ht="12.75" hidden="false" customHeight="false" outlineLevel="0" collapsed="false">
      <c r="D123" s="57"/>
      <c r="E123" s="57"/>
      <c r="F123" s="57"/>
    </row>
    <row r="124" customFormat="false" ht="12.75" hidden="false" customHeight="false" outlineLevel="0" collapsed="false">
      <c r="D124" s="57"/>
      <c r="E124" s="57"/>
      <c r="F124" s="57"/>
    </row>
    <row r="125" customFormat="false" ht="12.75" hidden="false" customHeight="false" outlineLevel="0" collapsed="false">
      <c r="D125" s="57"/>
      <c r="E125" s="57"/>
      <c r="F125" s="57"/>
    </row>
    <row r="126" customFormat="false" ht="12.75" hidden="false" customHeight="false" outlineLevel="0" collapsed="false">
      <c r="D126" s="57"/>
      <c r="E126" s="57"/>
      <c r="F126" s="57"/>
    </row>
    <row r="127" customFormat="false" ht="12.75" hidden="false" customHeight="false" outlineLevel="0" collapsed="false">
      <c r="D127" s="57"/>
      <c r="E127" s="57"/>
      <c r="F127" s="57"/>
    </row>
    <row r="128" customFormat="false" ht="12.75" hidden="false" customHeight="false" outlineLevel="0" collapsed="false">
      <c r="D128" s="57"/>
      <c r="E128" s="57"/>
      <c r="F128" s="57"/>
    </row>
    <row r="129" customFormat="false" ht="12.75" hidden="false" customHeight="false" outlineLevel="0" collapsed="false">
      <c r="D129" s="57"/>
      <c r="E129" s="57"/>
      <c r="F129" s="57"/>
    </row>
    <row r="130" customFormat="false" ht="12.75" hidden="false" customHeight="false" outlineLevel="0" collapsed="false">
      <c r="D130" s="57"/>
      <c r="E130" s="57"/>
      <c r="F130" s="57"/>
    </row>
    <row r="131" customFormat="false" ht="12.75" hidden="false" customHeight="false" outlineLevel="0" collapsed="false">
      <c r="D131" s="57"/>
      <c r="E131" s="57"/>
      <c r="F131" s="57"/>
    </row>
    <row r="132" customFormat="false" ht="12.75" hidden="false" customHeight="false" outlineLevel="0" collapsed="false">
      <c r="D132" s="57"/>
      <c r="E132" s="57"/>
      <c r="F132" s="57"/>
    </row>
    <row r="133" customFormat="false" ht="12.75" hidden="false" customHeight="false" outlineLevel="0" collapsed="false">
      <c r="D133" s="57"/>
      <c r="E133" s="57"/>
      <c r="F133" s="57"/>
    </row>
    <row r="134" customFormat="false" ht="12.75" hidden="false" customHeight="false" outlineLevel="0" collapsed="false">
      <c r="D134" s="57"/>
      <c r="E134" s="57"/>
      <c r="F134" s="57"/>
    </row>
    <row r="135" customFormat="false" ht="12.75" hidden="false" customHeight="false" outlineLevel="0" collapsed="false">
      <c r="D135" s="57"/>
      <c r="E135" s="57"/>
      <c r="F135" s="57"/>
    </row>
    <row r="136" customFormat="false" ht="12.75" hidden="false" customHeight="false" outlineLevel="0" collapsed="false">
      <c r="D136" s="57"/>
      <c r="E136" s="57"/>
      <c r="F136" s="57"/>
    </row>
    <row r="137" customFormat="false" ht="12.75" hidden="false" customHeight="false" outlineLevel="0" collapsed="false">
      <c r="D137" s="57"/>
      <c r="E137" s="57"/>
      <c r="F137" s="57"/>
    </row>
    <row r="138" customFormat="false" ht="12.75" hidden="false" customHeight="false" outlineLevel="0" collapsed="false">
      <c r="D138" s="57"/>
      <c r="E138" s="57"/>
      <c r="F138" s="57"/>
    </row>
    <row r="139" customFormat="false" ht="12.75" hidden="false" customHeight="false" outlineLevel="0" collapsed="false">
      <c r="D139" s="57"/>
      <c r="E139" s="57"/>
      <c r="F139" s="57"/>
    </row>
    <row r="140" customFormat="false" ht="12.75" hidden="false" customHeight="false" outlineLevel="0" collapsed="false">
      <c r="D140" s="57"/>
      <c r="E140" s="57"/>
      <c r="F140" s="57"/>
    </row>
    <row r="141" customFormat="false" ht="12.75" hidden="false" customHeight="false" outlineLevel="0" collapsed="false">
      <c r="D141" s="57"/>
      <c r="E141" s="57"/>
      <c r="F141" s="57"/>
    </row>
    <row r="142" customFormat="false" ht="12.75" hidden="false" customHeight="false" outlineLevel="0" collapsed="false">
      <c r="D142" s="57"/>
      <c r="E142" s="57"/>
      <c r="F142" s="57"/>
    </row>
  </sheetData>
  <mergeCells count="1">
    <mergeCell ref="A1:H1"/>
  </mergeCells>
  <printOptions headings="false" gridLines="false" gridLinesSet="true" horizontalCentered="true" verticalCentered="false"/>
  <pageMargins left="0.25" right="0.25" top="0.984027777777778" bottom="0.984027777777778" header="0.5" footer="0.5"/>
  <pageSetup paperSize="1" scale="100" fitToWidth="1" fitToHeight="2" pageOrder="downThenOver" orientation="portrait" blackAndWhite="false" draft="false" cellComments="none" horizontalDpi="300" verticalDpi="300" copies="1"/>
  <headerFooter differentFirst="false" differentOddEven="false">
    <oddHeader>&amp;C&amp;"Garamond,Bold"&amp;12WESTGATE &amp;&amp; CAMERON LOOP
96 CONDOMINIIUMS</oddHeader>
    <oddFooter>&amp;L&amp;"Garamond,Regular"&amp;8&amp;F&amp;C&amp;"Garamond,Regular"&amp;P Of &amp;N&amp;R&amp;"Garamond,Regular"&amp;8&amp;D</oddFooter>
  </headerFooter>
  <colBreaks count="1" manualBreakCount="1">
    <brk id="9" man="true" max="65535" min="0"/>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1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47" activeCellId="1" sqref="B36 F47:F50"/>
    </sheetView>
  </sheetViews>
  <sheetFormatPr defaultColWidth="9.1328125" defaultRowHeight="12.75" customHeight="true" zeroHeight="false" outlineLevelRow="0" outlineLevelCol="0"/>
  <cols>
    <col collapsed="false" customWidth="true" hidden="false" outlineLevel="0" max="1" min="1" style="14" width="16.56"/>
    <col collapsed="false" customWidth="true" hidden="false" outlineLevel="0" max="2" min="2" style="14" width="10.42"/>
    <col collapsed="false" customWidth="true" hidden="false" outlineLevel="0" max="3" min="3" style="14" width="5.85"/>
    <col collapsed="false" customWidth="true" hidden="false" outlineLevel="0" max="4" min="4" style="14" width="10.42"/>
    <col collapsed="false" customWidth="true" hidden="false" outlineLevel="0" max="6" min="5" style="14" width="8.99"/>
    <col collapsed="false" customWidth="true" hidden="false" outlineLevel="0" max="8" min="7" style="14" width="10.42"/>
    <col collapsed="false" customWidth="true" hidden="false" outlineLevel="0" max="9" min="9" style="14" width="12.85"/>
    <col collapsed="false" customWidth="true" hidden="false" outlineLevel="0" max="10" min="10" style="14" width="20.85"/>
    <col collapsed="false" customWidth="false" hidden="false" outlineLevel="0" max="257" min="11" style="14" width="9.13"/>
  </cols>
  <sheetData>
    <row r="1" customFormat="false" ht="13.5" hidden="false" customHeight="true" outlineLevel="0" collapsed="false">
      <c r="A1" s="275" t="s">
        <v>433</v>
      </c>
      <c r="B1" s="275"/>
      <c r="C1" s="275"/>
      <c r="D1" s="275"/>
      <c r="E1" s="275"/>
      <c r="F1" s="275"/>
      <c r="G1" s="275"/>
      <c r="H1" s="275"/>
    </row>
    <row r="2" customFormat="false" ht="12.75" hidden="false" customHeight="false" outlineLevel="0" collapsed="false">
      <c r="A2" s="0"/>
      <c r="B2" s="0"/>
      <c r="C2" s="0"/>
      <c r="D2" s="0"/>
      <c r="E2" s="0"/>
      <c r="F2" s="0"/>
    </row>
    <row r="3" customFormat="false" ht="25.5" hidden="false" customHeight="false" outlineLevel="0" collapsed="false">
      <c r="A3" s="278" t="s">
        <v>306</v>
      </c>
      <c r="B3" s="278" t="s">
        <v>148</v>
      </c>
      <c r="C3" s="278" t="s">
        <v>307</v>
      </c>
      <c r="D3" s="278" t="s">
        <v>146</v>
      </c>
      <c r="E3" s="278" t="s">
        <v>308</v>
      </c>
      <c r="F3" s="278" t="s">
        <v>434</v>
      </c>
      <c r="G3" s="278" t="s">
        <v>417</v>
      </c>
      <c r="H3" s="278" t="s">
        <v>434</v>
      </c>
      <c r="I3" s="278"/>
    </row>
    <row r="4" customFormat="false" ht="12.75" hidden="false" customHeight="false" outlineLevel="0" collapsed="false">
      <c r="A4" s="18"/>
      <c r="B4" s="18"/>
      <c r="C4" s="18"/>
      <c r="D4" s="24"/>
      <c r="E4" s="303"/>
      <c r="F4" s="303"/>
      <c r="G4" s="24"/>
      <c r="H4" s="24"/>
    </row>
    <row r="5" customFormat="false" ht="12.75" hidden="false" customHeight="false" outlineLevel="0" collapsed="false">
      <c r="A5" s="279" t="s">
        <v>310</v>
      </c>
      <c r="B5" s="280"/>
      <c r="C5" s="280"/>
      <c r="E5" s="280" t="s">
        <v>311</v>
      </c>
      <c r="F5" s="280"/>
      <c r="G5" s="280" t="n">
        <f aca="false">35*9</f>
        <v>315</v>
      </c>
      <c r="H5" s="280" t="s">
        <v>258</v>
      </c>
    </row>
    <row r="6" customFormat="false" ht="12.75" hidden="false" customHeight="false" outlineLevel="0" collapsed="false">
      <c r="A6" s="279" t="s">
        <v>312</v>
      </c>
      <c r="B6" s="280"/>
      <c r="C6" s="280"/>
      <c r="E6" s="280" t="s">
        <v>313</v>
      </c>
      <c r="F6" s="280"/>
      <c r="G6" s="280" t="n">
        <f aca="false">B7+B14</f>
        <v>1960</v>
      </c>
      <c r="H6" s="280" t="s">
        <v>258</v>
      </c>
    </row>
    <row r="7" customFormat="false" ht="12.75" hidden="false" customHeight="false" outlineLevel="0" collapsed="false">
      <c r="A7" s="280" t="s">
        <v>314</v>
      </c>
      <c r="B7" s="297" t="n">
        <v>1335</v>
      </c>
      <c r="C7" s="280" t="s">
        <v>258</v>
      </c>
      <c r="E7" s="279" t="s">
        <v>315</v>
      </c>
      <c r="F7" s="280"/>
      <c r="G7" s="280" t="n">
        <f aca="false">+G8+G9+G10</f>
        <v>178.5</v>
      </c>
      <c r="H7" s="280"/>
    </row>
    <row r="8" customFormat="false" ht="12.75" hidden="false" customHeight="false" outlineLevel="0" collapsed="false">
      <c r="A8" s="281" t="s">
        <v>316</v>
      </c>
      <c r="B8" s="298" t="n">
        <v>0</v>
      </c>
      <c r="C8" s="281" t="s">
        <v>258</v>
      </c>
      <c r="E8" s="282" t="s">
        <v>317</v>
      </c>
      <c r="F8" s="280"/>
      <c r="G8" s="280" t="n">
        <f aca="false">8*7</f>
        <v>56</v>
      </c>
      <c r="H8" s="280" t="s">
        <v>258</v>
      </c>
    </row>
    <row r="9" customFormat="false" ht="12.75" hidden="false" customHeight="false" outlineLevel="0" collapsed="false">
      <c r="A9" s="280" t="s">
        <v>318</v>
      </c>
      <c r="B9" s="297" t="n">
        <f aca="false">+B8+B7</f>
        <v>1335</v>
      </c>
      <c r="C9" s="280" t="s">
        <v>258</v>
      </c>
      <c r="E9" s="282" t="s">
        <v>319</v>
      </c>
      <c r="F9" s="280"/>
      <c r="G9" s="280" t="n">
        <v>0</v>
      </c>
      <c r="H9" s="280"/>
    </row>
    <row r="10" customFormat="false" ht="12.75" hidden="false" customHeight="false" outlineLevel="0" collapsed="false">
      <c r="A10" s="280"/>
      <c r="B10" s="297"/>
      <c r="C10" s="280"/>
      <c r="E10" s="282" t="s">
        <v>320</v>
      </c>
      <c r="F10" s="280"/>
      <c r="G10" s="280" t="n">
        <f aca="false">3.5*(25+10)</f>
        <v>122.5</v>
      </c>
      <c r="H10" s="280"/>
    </row>
    <row r="11" customFormat="false" ht="12.75" hidden="false" customHeight="false" outlineLevel="0" collapsed="false">
      <c r="A11" s="279" t="s">
        <v>321</v>
      </c>
      <c r="B11" s="297"/>
      <c r="C11" s="280"/>
      <c r="E11" s="280" t="s">
        <v>322</v>
      </c>
      <c r="F11" s="280"/>
      <c r="G11" s="280" t="n">
        <f aca="false">25*18</f>
        <v>450</v>
      </c>
      <c r="H11" s="280"/>
    </row>
    <row r="12" customFormat="false" ht="12.75" hidden="false" customHeight="false" outlineLevel="0" collapsed="false">
      <c r="A12" s="280" t="s">
        <v>323</v>
      </c>
      <c r="B12" s="297" t="n">
        <v>411</v>
      </c>
      <c r="C12" s="280" t="s">
        <v>258</v>
      </c>
      <c r="E12" s="280" t="s">
        <v>324</v>
      </c>
      <c r="F12" s="280"/>
      <c r="G12" s="280" t="n">
        <v>9</v>
      </c>
      <c r="H12" s="280"/>
    </row>
    <row r="13" customFormat="false" ht="12.75" hidden="false" customHeight="false" outlineLevel="0" collapsed="false">
      <c r="A13" s="280" t="s">
        <v>325</v>
      </c>
      <c r="B13" s="297" t="n">
        <v>214</v>
      </c>
      <c r="C13" s="280" t="s">
        <v>258</v>
      </c>
      <c r="E13" s="280" t="s">
        <v>326</v>
      </c>
      <c r="F13" s="280"/>
      <c r="G13" s="280" t="n">
        <v>4</v>
      </c>
      <c r="H13" s="280"/>
    </row>
    <row r="14" customFormat="false" ht="12.75" hidden="false" customHeight="false" outlineLevel="0" collapsed="false">
      <c r="A14" s="283" t="s">
        <v>327</v>
      </c>
      <c r="B14" s="299" t="n">
        <f aca="false">+B13+B12</f>
        <v>625</v>
      </c>
      <c r="C14" s="283" t="s">
        <v>258</v>
      </c>
      <c r="E14" s="280" t="s">
        <v>328</v>
      </c>
      <c r="F14" s="280"/>
      <c r="G14" s="280" t="n">
        <v>10</v>
      </c>
      <c r="H14" s="280"/>
    </row>
    <row r="15" customFormat="false" ht="12.75" hidden="false" customHeight="false" outlineLevel="0" collapsed="false">
      <c r="A15" s="284" t="s">
        <v>329</v>
      </c>
      <c r="B15" s="300" t="n">
        <f aca="false">+B14+B9</f>
        <v>1960</v>
      </c>
      <c r="C15" s="284" t="s">
        <v>258</v>
      </c>
      <c r="E15" s="280" t="s">
        <v>330</v>
      </c>
      <c r="F15" s="280"/>
      <c r="G15" s="280" t="n">
        <f aca="false">ConstTime</f>
        <v>6</v>
      </c>
      <c r="H15" s="280" t="s">
        <v>4</v>
      </c>
    </row>
    <row r="16" customFormat="false" ht="12.75" hidden="false" customHeight="false" outlineLevel="0" collapsed="false">
      <c r="A16" s="280"/>
      <c r="B16" s="280"/>
      <c r="C16" s="280"/>
      <c r="D16" s="280"/>
      <c r="E16" s="280"/>
      <c r="F16" s="280"/>
      <c r="G16" s="280"/>
      <c r="H16" s="280"/>
    </row>
    <row r="17" customFormat="false" ht="12.75" hidden="false" customHeight="false" outlineLevel="0" collapsed="false">
      <c r="A17" s="279" t="s">
        <v>184</v>
      </c>
      <c r="B17" s="280"/>
      <c r="C17" s="280"/>
      <c r="D17" s="280"/>
      <c r="E17" s="280"/>
      <c r="F17" s="280"/>
      <c r="G17" s="280"/>
      <c r="H17" s="280"/>
    </row>
    <row r="18" customFormat="false" ht="12.75" hidden="false" customHeight="false" outlineLevel="0" collapsed="false">
      <c r="A18" s="280" t="s">
        <v>331</v>
      </c>
      <c r="B18" s="280" t="n">
        <v>0</v>
      </c>
      <c r="C18" s="280" t="s">
        <v>179</v>
      </c>
      <c r="D18" s="285" t="n">
        <v>350</v>
      </c>
      <c r="E18" s="286" t="n">
        <f aca="false">D18*B18</f>
        <v>0</v>
      </c>
      <c r="F18" s="287" t="n">
        <f aca="false">+E18/$B$9</f>
        <v>0</v>
      </c>
      <c r="G18" s="286" t="n">
        <f aca="false">+E18*AdjRate</f>
        <v>0</v>
      </c>
      <c r="H18" s="287" t="n">
        <f aca="false">+G18/$B$9</f>
        <v>0</v>
      </c>
    </row>
    <row r="19" customFormat="false" ht="12.75" hidden="false" customHeight="false" outlineLevel="0" collapsed="false">
      <c r="A19" s="280" t="s">
        <v>332</v>
      </c>
      <c r="B19" s="301" t="n">
        <f aca="false">+$G$6</f>
        <v>1960</v>
      </c>
      <c r="C19" s="280" t="s">
        <v>258</v>
      </c>
      <c r="D19" s="285" t="n">
        <v>0.15</v>
      </c>
      <c r="E19" s="286" t="n">
        <f aca="false">D19*B19</f>
        <v>294</v>
      </c>
      <c r="F19" s="287" t="n">
        <f aca="false">+E19/$B$9</f>
        <v>0.220224719101124</v>
      </c>
      <c r="G19" s="286" t="n">
        <f aca="false">+E19*AdjRate</f>
        <v>352.8</v>
      </c>
      <c r="H19" s="287" t="n">
        <f aca="false">+G19/$B$9</f>
        <v>0.264269662921348</v>
      </c>
      <c r="I19" s="305"/>
    </row>
    <row r="20" customFormat="false" ht="12.75" hidden="false" customHeight="false" outlineLevel="0" collapsed="false">
      <c r="A20" s="280" t="s">
        <v>333</v>
      </c>
      <c r="B20" s="280" t="n">
        <v>0</v>
      </c>
      <c r="C20" s="280" t="s">
        <v>179</v>
      </c>
      <c r="D20" s="285" t="n">
        <v>350</v>
      </c>
      <c r="E20" s="286" t="n">
        <f aca="false">D20*B20</f>
        <v>0</v>
      </c>
      <c r="F20" s="287" t="n">
        <f aca="false">+E20/$B$9</f>
        <v>0</v>
      </c>
      <c r="G20" s="286" t="n">
        <f aca="false">+E20*AdjRate</f>
        <v>0</v>
      </c>
      <c r="H20" s="287" t="n">
        <f aca="false">+G20/$B$9</f>
        <v>0</v>
      </c>
    </row>
    <row r="21" customFormat="false" ht="12.75" hidden="false" customHeight="false" outlineLevel="0" collapsed="false">
      <c r="A21" s="280" t="s">
        <v>334</v>
      </c>
      <c r="B21" s="280" t="n">
        <v>1</v>
      </c>
      <c r="C21" s="280" t="s">
        <v>179</v>
      </c>
      <c r="D21" s="285" t="n">
        <v>0</v>
      </c>
      <c r="E21" s="286" t="n">
        <f aca="false">D21*B21</f>
        <v>0</v>
      </c>
      <c r="F21" s="287" t="n">
        <f aca="false">+E21/$B$9</f>
        <v>0</v>
      </c>
      <c r="G21" s="286" t="n">
        <f aca="false">+E21*AdjRate</f>
        <v>0</v>
      </c>
      <c r="H21" s="287" t="n">
        <f aca="false">+G21/$B$9</f>
        <v>0</v>
      </c>
    </row>
    <row r="22" customFormat="false" ht="12.75" hidden="false" customHeight="false" outlineLevel="0" collapsed="false">
      <c r="A22" s="280"/>
      <c r="B22" s="280"/>
      <c r="C22" s="280"/>
      <c r="D22" s="285"/>
      <c r="E22" s="286"/>
      <c r="F22" s="287"/>
      <c r="G22" s="286"/>
      <c r="H22" s="287"/>
    </row>
    <row r="23" customFormat="false" ht="12.75" hidden="false" customHeight="false" outlineLevel="0" collapsed="false">
      <c r="A23" s="279" t="s">
        <v>335</v>
      </c>
      <c r="B23" s="280"/>
      <c r="C23" s="280"/>
      <c r="D23" s="285"/>
      <c r="E23" s="286"/>
      <c r="F23" s="287"/>
      <c r="G23" s="286"/>
      <c r="H23" s="287"/>
      <c r="I23" s="306"/>
    </row>
    <row r="24" customFormat="false" ht="12.75" hidden="false" customHeight="false" outlineLevel="0" collapsed="false">
      <c r="A24" s="280" t="s">
        <v>336</v>
      </c>
      <c r="B24" s="280" t="n">
        <v>1</v>
      </c>
      <c r="C24" s="280" t="s">
        <v>179</v>
      </c>
      <c r="D24" s="285" t="n">
        <v>150</v>
      </c>
      <c r="E24" s="286" t="n">
        <f aca="false">D24*B24</f>
        <v>150</v>
      </c>
      <c r="F24" s="287" t="n">
        <f aca="false">+E24/$B$9</f>
        <v>0.112359550561798</v>
      </c>
      <c r="G24" s="286" t="n">
        <f aca="false">+E24*AdjRate</f>
        <v>180</v>
      </c>
      <c r="H24" s="287" t="n">
        <f aca="false">+G24/$B$9</f>
        <v>0.134831460674157</v>
      </c>
    </row>
    <row r="25" customFormat="false" ht="12.75" hidden="false" customHeight="false" outlineLevel="0" collapsed="false">
      <c r="A25" s="280" t="s">
        <v>337</v>
      </c>
      <c r="B25" s="280" t="n">
        <v>1</v>
      </c>
      <c r="C25" s="280" t="s">
        <v>179</v>
      </c>
      <c r="D25" s="285" t="n">
        <v>100</v>
      </c>
      <c r="E25" s="286" t="n">
        <f aca="false">D25*B25</f>
        <v>100</v>
      </c>
      <c r="F25" s="287" t="n">
        <f aca="false">+E25/$B$9</f>
        <v>0.0749063670411985</v>
      </c>
      <c r="G25" s="286" t="n">
        <f aca="false">+E25*AdjRate</f>
        <v>120</v>
      </c>
      <c r="H25" s="287" t="n">
        <f aca="false">+G25/$B$9</f>
        <v>0.0898876404494382</v>
      </c>
      <c r="I25" s="307"/>
    </row>
    <row r="26" customFormat="false" ht="12.75" hidden="false" customHeight="false" outlineLevel="0" collapsed="false">
      <c r="A26" s="280" t="s">
        <v>338</v>
      </c>
      <c r="B26" s="280" t="n">
        <v>1</v>
      </c>
      <c r="C26" s="280" t="s">
        <v>179</v>
      </c>
      <c r="D26" s="285" t="n">
        <v>0</v>
      </c>
      <c r="E26" s="286" t="n">
        <f aca="false">D26*B26</f>
        <v>0</v>
      </c>
      <c r="F26" s="287" t="n">
        <f aca="false">+E26/$B$9</f>
        <v>0</v>
      </c>
      <c r="G26" s="286" t="n">
        <f aca="false">+E26*AdjRate</f>
        <v>0</v>
      </c>
      <c r="H26" s="287" t="n">
        <f aca="false">+G26/$B$9</f>
        <v>0</v>
      </c>
      <c r="I26" s="307"/>
    </row>
    <row r="27" customFormat="false" ht="12.75" hidden="false" customHeight="false" outlineLevel="0" collapsed="false">
      <c r="A27" s="280"/>
      <c r="B27" s="280"/>
      <c r="C27" s="280"/>
      <c r="D27" s="285"/>
      <c r="E27" s="286"/>
      <c r="F27" s="287"/>
      <c r="G27" s="286"/>
      <c r="H27" s="287"/>
      <c r="I27" s="307"/>
    </row>
    <row r="28" customFormat="false" ht="12.75" hidden="false" customHeight="false" outlineLevel="0" collapsed="false">
      <c r="A28" s="279" t="s">
        <v>339</v>
      </c>
      <c r="B28" s="280"/>
      <c r="C28" s="280"/>
      <c r="D28" s="285"/>
      <c r="E28" s="286"/>
      <c r="F28" s="287"/>
      <c r="G28" s="286"/>
      <c r="H28" s="287"/>
      <c r="I28" s="307"/>
    </row>
    <row r="29" customFormat="false" ht="12.75" hidden="false" customHeight="false" outlineLevel="0" collapsed="false">
      <c r="A29" s="280" t="s">
        <v>340</v>
      </c>
      <c r="B29" s="280" t="n">
        <f aca="false">ConstTime</f>
        <v>6</v>
      </c>
      <c r="C29" s="280" t="s">
        <v>274</v>
      </c>
      <c r="D29" s="285" t="n">
        <f aca="false">56</f>
        <v>56</v>
      </c>
      <c r="E29" s="286" t="n">
        <f aca="false">D29*B29</f>
        <v>336</v>
      </c>
      <c r="F29" s="287" t="n">
        <f aca="false">+E29/$B$9</f>
        <v>0.251685393258427</v>
      </c>
      <c r="G29" s="286" t="n">
        <f aca="false">+E29*AdjRate</f>
        <v>403.2</v>
      </c>
      <c r="H29" s="287" t="n">
        <f aca="false">+G29/$B$9</f>
        <v>0.302022471910112</v>
      </c>
      <c r="I29" s="307"/>
    </row>
    <row r="30" customFormat="false" ht="12.75" hidden="false" customHeight="false" outlineLevel="0" collapsed="false">
      <c r="A30" s="280" t="s">
        <v>341</v>
      </c>
      <c r="B30" s="280" t="n">
        <v>1</v>
      </c>
      <c r="C30" s="280" t="s">
        <v>179</v>
      </c>
      <c r="D30" s="285" t="n">
        <v>500</v>
      </c>
      <c r="E30" s="286" t="n">
        <f aca="false">D30*B30</f>
        <v>500</v>
      </c>
      <c r="F30" s="287" t="n">
        <f aca="false">+E30/$B$9</f>
        <v>0.374531835205993</v>
      </c>
      <c r="G30" s="286" t="n">
        <f aca="false">+E30*AdjRate</f>
        <v>600</v>
      </c>
      <c r="H30" s="287" t="n">
        <f aca="false">+G30/$B$9</f>
        <v>0.449438202247191</v>
      </c>
      <c r="I30" s="307"/>
    </row>
    <row r="31" customFormat="false" ht="12.75" hidden="false" customHeight="false" outlineLevel="0" collapsed="false">
      <c r="A31" s="280"/>
      <c r="B31" s="280"/>
      <c r="C31" s="280"/>
      <c r="D31" s="285"/>
      <c r="E31" s="286"/>
      <c r="F31" s="287"/>
      <c r="G31" s="286"/>
      <c r="H31" s="287"/>
      <c r="I31" s="307"/>
    </row>
    <row r="32" customFormat="false" ht="12.75" hidden="false" customHeight="false" outlineLevel="0" collapsed="false">
      <c r="A32" s="279" t="s">
        <v>342</v>
      </c>
      <c r="B32" s="280"/>
      <c r="C32" s="280"/>
      <c r="D32" s="285"/>
      <c r="E32" s="286"/>
      <c r="F32" s="287"/>
      <c r="G32" s="286"/>
      <c r="H32" s="287"/>
      <c r="I32" s="307"/>
    </row>
    <row r="33" customFormat="false" ht="12.75" hidden="false" customHeight="false" outlineLevel="0" collapsed="false">
      <c r="A33" s="280" t="s">
        <v>343</v>
      </c>
      <c r="B33" s="280" t="n">
        <f aca="false">ConstTime</f>
        <v>6</v>
      </c>
      <c r="C33" s="280" t="s">
        <v>274</v>
      </c>
      <c r="D33" s="285" t="n">
        <v>30</v>
      </c>
      <c r="E33" s="286" t="n">
        <f aca="false">D33*B33</f>
        <v>180</v>
      </c>
      <c r="F33" s="287" t="n">
        <f aca="false">+E33/$B$9</f>
        <v>0.134831460674157</v>
      </c>
      <c r="G33" s="286" t="n">
        <f aca="false">+E33*AdjRate</f>
        <v>216</v>
      </c>
      <c r="H33" s="287" t="n">
        <f aca="false">+G33/$B$9</f>
        <v>0.161797752808989</v>
      </c>
      <c r="I33" s="307"/>
      <c r="J33" s="14" t="s">
        <v>425</v>
      </c>
    </row>
    <row r="34" customFormat="false" ht="12.75" hidden="false" customHeight="false" outlineLevel="0" collapsed="false">
      <c r="A34" s="280" t="s">
        <v>344</v>
      </c>
      <c r="B34" s="280" t="n">
        <f aca="false">ConstTime</f>
        <v>6</v>
      </c>
      <c r="C34" s="280" t="s">
        <v>274</v>
      </c>
      <c r="D34" s="285" t="n">
        <v>30</v>
      </c>
      <c r="E34" s="286" t="n">
        <f aca="false">D34*B34</f>
        <v>180</v>
      </c>
      <c r="F34" s="287" t="n">
        <f aca="false">+E34/$B$9</f>
        <v>0.134831460674157</v>
      </c>
      <c r="G34" s="286" t="n">
        <f aca="false">+E34*AdjRate</f>
        <v>216</v>
      </c>
      <c r="H34" s="287" t="n">
        <f aca="false">+G34/$B$9</f>
        <v>0.161797752808989</v>
      </c>
      <c r="I34" s="307"/>
    </row>
    <row r="35" customFormat="false" ht="12.75" hidden="false" customHeight="false" outlineLevel="0" collapsed="false">
      <c r="A35" s="280" t="s">
        <v>345</v>
      </c>
      <c r="B35" s="280" t="n">
        <f aca="false">ConstTime</f>
        <v>6</v>
      </c>
      <c r="C35" s="280" t="s">
        <v>274</v>
      </c>
      <c r="D35" s="285" t="n">
        <f aca="false">85/4</f>
        <v>21.25</v>
      </c>
      <c r="E35" s="286" t="n">
        <f aca="false">D35*B35</f>
        <v>127.5</v>
      </c>
      <c r="F35" s="287" t="n">
        <f aca="false">+E35/$B$9</f>
        <v>0.0955056179775281</v>
      </c>
      <c r="G35" s="286" t="n">
        <f aca="false">+E35*AdjRate</f>
        <v>153</v>
      </c>
      <c r="H35" s="287" t="n">
        <f aca="false">+G35/$B$9</f>
        <v>0.114606741573034</v>
      </c>
      <c r="I35" s="307"/>
    </row>
    <row r="36" customFormat="false" ht="12.75" hidden="false" customHeight="false" outlineLevel="0" collapsed="false">
      <c r="A36" s="280"/>
      <c r="B36" s="280"/>
      <c r="C36" s="280"/>
      <c r="D36" s="285"/>
      <c r="E36" s="286"/>
      <c r="F36" s="287"/>
      <c r="G36" s="286"/>
      <c r="H36" s="287"/>
      <c r="I36" s="307"/>
    </row>
    <row r="37" customFormat="false" ht="12.75" hidden="false" customHeight="false" outlineLevel="0" collapsed="false">
      <c r="A37" s="279" t="s">
        <v>346</v>
      </c>
      <c r="B37" s="280"/>
      <c r="C37" s="280"/>
      <c r="D37" s="285"/>
      <c r="E37" s="286"/>
      <c r="F37" s="287"/>
      <c r="G37" s="286"/>
      <c r="H37" s="287"/>
      <c r="I37" s="307"/>
    </row>
    <row r="38" customFormat="false" ht="12.75" hidden="false" customHeight="false" outlineLevel="0" collapsed="false">
      <c r="A38" s="280" t="s">
        <v>347</v>
      </c>
      <c r="B38" s="280" t="n">
        <v>1</v>
      </c>
      <c r="C38" s="280" t="s">
        <v>179</v>
      </c>
      <c r="D38" s="285" t="n">
        <v>750</v>
      </c>
      <c r="E38" s="286" t="n">
        <f aca="false">D38*B38</f>
        <v>750</v>
      </c>
      <c r="F38" s="287" t="n">
        <f aca="false">+E38/$B$9</f>
        <v>0.561797752808989</v>
      </c>
      <c r="G38" s="286" t="n">
        <f aca="false">+E38*AdjRate</f>
        <v>900</v>
      </c>
      <c r="H38" s="287" t="n">
        <f aca="false">+G38/$B$9</f>
        <v>0.674157303370787</v>
      </c>
      <c r="I38" s="307"/>
    </row>
    <row r="39" customFormat="false" ht="12.75" hidden="false" customHeight="false" outlineLevel="0" collapsed="false">
      <c r="A39" s="280" t="s">
        <v>348</v>
      </c>
      <c r="B39" s="280" t="n">
        <f aca="false">+B$9</f>
        <v>1335</v>
      </c>
      <c r="C39" s="280" t="s">
        <v>258</v>
      </c>
      <c r="D39" s="285" t="n">
        <v>0.15</v>
      </c>
      <c r="E39" s="286" t="n">
        <f aca="false">D39*B39</f>
        <v>200.25</v>
      </c>
      <c r="F39" s="287" t="n">
        <f aca="false">+E39/$B$9</f>
        <v>0.15</v>
      </c>
      <c r="G39" s="286" t="n">
        <f aca="false">+E39*AdjRate</f>
        <v>240.3</v>
      </c>
      <c r="H39" s="287" t="n">
        <f aca="false">+G39/$B$9</f>
        <v>0.18</v>
      </c>
      <c r="I39" s="307"/>
    </row>
    <row r="40" customFormat="false" ht="12.75" hidden="false" customHeight="false" outlineLevel="0" collapsed="false">
      <c r="A40" s="280"/>
      <c r="B40" s="280"/>
      <c r="C40" s="280"/>
      <c r="D40" s="285"/>
      <c r="E40" s="286"/>
      <c r="F40" s="287"/>
      <c r="G40" s="286"/>
      <c r="H40" s="287"/>
      <c r="I40" s="307"/>
    </row>
    <row r="41" customFormat="false" ht="12.75" hidden="false" customHeight="false" outlineLevel="0" collapsed="false">
      <c r="A41" s="279" t="s">
        <v>349</v>
      </c>
      <c r="B41" s="280"/>
      <c r="C41" s="280"/>
      <c r="D41" s="285"/>
      <c r="E41" s="286"/>
      <c r="F41" s="287"/>
      <c r="G41" s="286"/>
      <c r="H41" s="287"/>
      <c r="I41" s="307"/>
    </row>
    <row r="42" customFormat="false" ht="12.75" hidden="false" customHeight="false" outlineLevel="0" collapsed="false">
      <c r="A42" s="280" t="s">
        <v>350</v>
      </c>
      <c r="B42" s="280" t="n">
        <v>0</v>
      </c>
      <c r="C42" s="280" t="s">
        <v>179</v>
      </c>
      <c r="D42" s="285" t="n">
        <v>0</v>
      </c>
      <c r="E42" s="286" t="n">
        <f aca="false">D42*B42</f>
        <v>0</v>
      </c>
      <c r="F42" s="287" t="n">
        <f aca="false">+E42/$B$9</f>
        <v>0</v>
      </c>
      <c r="G42" s="286" t="n">
        <f aca="false">+E42*AdjRate</f>
        <v>0</v>
      </c>
      <c r="H42" s="287" t="n">
        <f aca="false">+G42/$B$9</f>
        <v>0</v>
      </c>
      <c r="I42" s="307"/>
      <c r="J42" s="14" t="s">
        <v>425</v>
      </c>
    </row>
    <row r="43" customFormat="false" ht="12.75" hidden="false" customHeight="false" outlineLevel="0" collapsed="false">
      <c r="A43" s="280" t="s">
        <v>351</v>
      </c>
      <c r="B43" s="280" t="n">
        <v>1</v>
      </c>
      <c r="C43" s="280" t="s">
        <v>195</v>
      </c>
      <c r="D43" s="285" t="n">
        <v>150</v>
      </c>
      <c r="E43" s="286" t="n">
        <f aca="false">D43*B43</f>
        <v>150</v>
      </c>
      <c r="F43" s="287" t="n">
        <f aca="false">+E43/$B$9</f>
        <v>0.112359550561798</v>
      </c>
      <c r="G43" s="286" t="n">
        <f aca="false">+E43*AdjRate</f>
        <v>180</v>
      </c>
      <c r="H43" s="287" t="n">
        <f aca="false">+G43/$B$9</f>
        <v>0.134831460674157</v>
      </c>
      <c r="I43" s="307"/>
    </row>
    <row r="44" customFormat="false" ht="12.75" hidden="false" customHeight="false" outlineLevel="0" collapsed="false">
      <c r="A44" s="280" t="s">
        <v>352</v>
      </c>
      <c r="B44" s="280" t="n">
        <v>1</v>
      </c>
      <c r="C44" s="280" t="s">
        <v>179</v>
      </c>
      <c r="D44" s="285" t="n">
        <v>350</v>
      </c>
      <c r="E44" s="286" t="n">
        <f aca="false">D44*B44</f>
        <v>350</v>
      </c>
      <c r="F44" s="287" t="n">
        <f aca="false">+E44/$B$9</f>
        <v>0.262172284644195</v>
      </c>
      <c r="G44" s="286" t="n">
        <f aca="false">+E44*AdjRate</f>
        <v>420</v>
      </c>
      <c r="H44" s="287" t="n">
        <f aca="false">+G44/$B$9</f>
        <v>0.314606741573034</v>
      </c>
      <c r="I44" s="307"/>
    </row>
    <row r="45" customFormat="false" ht="12.75" hidden="false" customHeight="false" outlineLevel="0" collapsed="false">
      <c r="A45" s="280" t="s">
        <v>353</v>
      </c>
      <c r="B45" s="280" t="n">
        <v>1</v>
      </c>
      <c r="C45" s="280" t="s">
        <v>179</v>
      </c>
      <c r="D45" s="285" t="n">
        <v>0</v>
      </c>
      <c r="E45" s="286" t="n">
        <f aca="false">D45*B45</f>
        <v>0</v>
      </c>
      <c r="F45" s="287" t="n">
        <f aca="false">+E45/$B$9</f>
        <v>0</v>
      </c>
      <c r="G45" s="286" t="n">
        <f aca="false">+E45*AdjRate</f>
        <v>0</v>
      </c>
      <c r="H45" s="287" t="n">
        <f aca="false">+G45/$B$9</f>
        <v>0</v>
      </c>
      <c r="I45" s="307"/>
    </row>
    <row r="46" customFormat="false" ht="12.75" hidden="false" customHeight="false" outlineLevel="0" collapsed="false">
      <c r="A46" s="280" t="s">
        <v>267</v>
      </c>
      <c r="B46" s="280" t="n">
        <v>1</v>
      </c>
      <c r="C46" s="280" t="s">
        <v>179</v>
      </c>
      <c r="D46" s="285" t="n">
        <v>0</v>
      </c>
      <c r="E46" s="286" t="n">
        <f aca="false">D46*B46</f>
        <v>0</v>
      </c>
      <c r="F46" s="287" t="n">
        <f aca="false">+E46/$B$9</f>
        <v>0</v>
      </c>
      <c r="G46" s="286" t="n">
        <f aca="false">+E46*AdjRate</f>
        <v>0</v>
      </c>
      <c r="H46" s="287" t="n">
        <f aca="false">+G46/$B$9</f>
        <v>0</v>
      </c>
      <c r="I46" s="307"/>
    </row>
    <row r="47" customFormat="false" ht="12.75" hidden="false" customHeight="false" outlineLevel="0" collapsed="false">
      <c r="A47" s="280" t="s">
        <v>435</v>
      </c>
      <c r="B47" s="302" t="n">
        <f aca="false">(1+7/8+1.75)*KFScale</f>
        <v>38.3018867924528</v>
      </c>
      <c r="C47" s="280" t="s">
        <v>200</v>
      </c>
      <c r="D47" s="285" t="n">
        <v>15</v>
      </c>
      <c r="E47" s="286" t="n">
        <f aca="false">D47*B47</f>
        <v>574.528301886792</v>
      </c>
      <c r="F47" s="287" t="n">
        <f aca="false">+E47/$B$9</f>
        <v>0.430358278566886</v>
      </c>
      <c r="G47" s="286" t="n">
        <f aca="false">+E47*AdjRate</f>
        <v>689.433962264151</v>
      </c>
      <c r="H47" s="287" t="n">
        <f aca="false">+G47/$B$9</f>
        <v>0.516429934280263</v>
      </c>
      <c r="I47" s="307"/>
    </row>
    <row r="48" customFormat="false" ht="12.75" hidden="false" customHeight="false" outlineLevel="0" collapsed="false">
      <c r="A48" s="280" t="s">
        <v>426</v>
      </c>
      <c r="B48" s="280" t="n">
        <v>1</v>
      </c>
      <c r="C48" s="280" t="s">
        <v>179</v>
      </c>
      <c r="D48" s="285" t="n">
        <v>350</v>
      </c>
      <c r="E48" s="286" t="n">
        <f aca="false">D48*B48</f>
        <v>350</v>
      </c>
      <c r="F48" s="287" t="n">
        <f aca="false">+E48/$B$9</f>
        <v>0.262172284644195</v>
      </c>
      <c r="G48" s="286" t="n">
        <f aca="false">+E48*AdjRate</f>
        <v>420</v>
      </c>
      <c r="H48" s="287" t="n">
        <f aca="false">+G48/$B$9</f>
        <v>0.314606741573034</v>
      </c>
      <c r="I48" s="307"/>
    </row>
    <row r="49" customFormat="false" ht="12.75" hidden="false" customHeight="false" outlineLevel="0" collapsed="false">
      <c r="A49" s="280"/>
      <c r="B49" s="280"/>
      <c r="C49" s="280"/>
      <c r="D49" s="285"/>
      <c r="E49" s="286"/>
      <c r="F49" s="287"/>
      <c r="G49" s="286"/>
      <c r="H49" s="287"/>
      <c r="I49" s="307"/>
      <c r="J49" s="14" t="s">
        <v>425</v>
      </c>
    </row>
    <row r="50" customFormat="false" ht="12.75" hidden="false" customHeight="false" outlineLevel="0" collapsed="false">
      <c r="A50" s="279" t="s">
        <v>357</v>
      </c>
      <c r="B50" s="280"/>
      <c r="C50" s="280"/>
      <c r="D50" s="285"/>
      <c r="E50" s="286"/>
      <c r="F50" s="287"/>
      <c r="G50" s="286"/>
      <c r="H50" s="287"/>
      <c r="I50" s="307"/>
      <c r="J50" s="14" t="s">
        <v>427</v>
      </c>
    </row>
    <row r="51" customFormat="false" ht="12.75" hidden="false" customHeight="false" outlineLevel="0" collapsed="false">
      <c r="A51" s="280" t="s">
        <v>313</v>
      </c>
      <c r="B51" s="280" t="n">
        <f aca="false">G$6</f>
        <v>1960</v>
      </c>
      <c r="C51" s="280" t="s">
        <v>258</v>
      </c>
      <c r="D51" s="285" t="n">
        <v>5.75</v>
      </c>
      <c r="E51" s="286" t="n">
        <f aca="false">D51*B51</f>
        <v>11270</v>
      </c>
      <c r="F51" s="287" t="n">
        <f aca="false">+E51/$B$9</f>
        <v>8.44194756554307</v>
      </c>
      <c r="G51" s="286" t="n">
        <f aca="false">+E51*AdjRate</f>
        <v>13524</v>
      </c>
      <c r="H51" s="287" t="n">
        <f aca="false">+G51/$B$9</f>
        <v>10.1303370786517</v>
      </c>
      <c r="I51" s="307"/>
      <c r="J51" s="14" t="s">
        <v>425</v>
      </c>
    </row>
    <row r="52" customFormat="false" ht="12.75" hidden="false" customHeight="false" outlineLevel="0" collapsed="false">
      <c r="A52" s="280" t="s">
        <v>358</v>
      </c>
      <c r="B52" s="280" t="n">
        <v>1</v>
      </c>
      <c r="C52" s="280" t="s">
        <v>179</v>
      </c>
      <c r="D52" s="285" t="n">
        <v>300</v>
      </c>
      <c r="E52" s="286" t="n">
        <f aca="false">D52*B52</f>
        <v>300</v>
      </c>
      <c r="F52" s="287" t="n">
        <f aca="false">+E52/$B$9</f>
        <v>0.224719101123596</v>
      </c>
      <c r="G52" s="286" t="n">
        <f aca="false">+E52*AdjRate</f>
        <v>360</v>
      </c>
      <c r="H52" s="287" t="n">
        <f aca="false">+G52/$B$9</f>
        <v>0.269662921348315</v>
      </c>
      <c r="I52" s="307"/>
      <c r="J52" s="14" t="s">
        <v>425</v>
      </c>
    </row>
    <row r="53" customFormat="false" ht="12.75" hidden="false" customHeight="false" outlineLevel="0" collapsed="false">
      <c r="A53" s="280" t="s">
        <v>315</v>
      </c>
      <c r="B53" s="280" t="n">
        <f aca="false">G$7</f>
        <v>178.5</v>
      </c>
      <c r="C53" s="280" t="s">
        <v>258</v>
      </c>
      <c r="D53" s="285" t="n">
        <v>2.25</v>
      </c>
      <c r="E53" s="286" t="n">
        <f aca="false">D53*B53</f>
        <v>401.625</v>
      </c>
      <c r="F53" s="287" t="n">
        <f aca="false">+E53/$B$9</f>
        <v>0.300842696629214</v>
      </c>
      <c r="G53" s="286" t="n">
        <f aca="false">+E53*AdjRate</f>
        <v>481.95</v>
      </c>
      <c r="H53" s="287" t="n">
        <f aca="false">+G53/$B$9</f>
        <v>0.361011235955056</v>
      </c>
      <c r="I53" s="307"/>
      <c r="J53" s="14" t="s">
        <v>425</v>
      </c>
    </row>
    <row r="54" customFormat="false" ht="12.75" hidden="false" customHeight="false" outlineLevel="0" collapsed="false">
      <c r="A54" s="280" t="s">
        <v>359</v>
      </c>
      <c r="B54" s="280" t="n">
        <f aca="false">G$11</f>
        <v>450</v>
      </c>
      <c r="C54" s="280" t="s">
        <v>258</v>
      </c>
      <c r="D54" s="285" t="n">
        <v>2.25</v>
      </c>
      <c r="E54" s="286" t="n">
        <f aca="false">D54*B54</f>
        <v>1012.5</v>
      </c>
      <c r="F54" s="287" t="n">
        <f aca="false">+E54/$B$9</f>
        <v>0.758426966292135</v>
      </c>
      <c r="G54" s="286" t="n">
        <f aca="false">+E54*AdjRate</f>
        <v>1215</v>
      </c>
      <c r="H54" s="287" t="n">
        <f aca="false">+G54/$B$9</f>
        <v>0.910112359550562</v>
      </c>
      <c r="I54" s="307"/>
      <c r="J54" s="1" t="s">
        <v>127</v>
      </c>
    </row>
    <row r="55" customFormat="false" ht="12.75" hidden="false" customHeight="false" outlineLevel="0" collapsed="false">
      <c r="A55" s="280"/>
      <c r="B55" s="280"/>
      <c r="C55" s="280"/>
      <c r="D55" s="285"/>
      <c r="E55" s="286"/>
      <c r="F55" s="287"/>
      <c r="G55" s="286"/>
      <c r="H55" s="287"/>
      <c r="I55" s="307"/>
      <c r="J55" s="1" t="s">
        <v>127</v>
      </c>
    </row>
    <row r="56" customFormat="false" ht="12.75" hidden="false" customHeight="false" outlineLevel="0" collapsed="false">
      <c r="A56" s="279" t="s">
        <v>360</v>
      </c>
      <c r="B56" s="280"/>
      <c r="C56" s="280"/>
      <c r="D56" s="285"/>
      <c r="E56" s="286"/>
      <c r="F56" s="287"/>
      <c r="G56" s="286"/>
      <c r="H56" s="287"/>
      <c r="I56" s="307"/>
    </row>
    <row r="57" customFormat="false" ht="12.75" hidden="false" customHeight="false" outlineLevel="0" collapsed="false">
      <c r="A57" s="280" t="s">
        <v>361</v>
      </c>
      <c r="B57" s="280" t="n">
        <f aca="false">B$15</f>
        <v>1960</v>
      </c>
      <c r="C57" s="280" t="s">
        <v>258</v>
      </c>
      <c r="D57" s="285" t="n">
        <v>2.5</v>
      </c>
      <c r="E57" s="286" t="n">
        <f aca="false">D57*B57</f>
        <v>4900</v>
      </c>
      <c r="F57" s="287" t="n">
        <f aca="false">+E57/$B$9</f>
        <v>3.67041198501873</v>
      </c>
      <c r="G57" s="286" t="n">
        <f aca="false">+E57*AdjRate</f>
        <v>5880</v>
      </c>
      <c r="H57" s="287" t="n">
        <f aca="false">+G57/$B$9</f>
        <v>4.40449438202247</v>
      </c>
      <c r="I57" s="307"/>
    </row>
    <row r="58" customFormat="false" ht="12.75" hidden="false" customHeight="false" outlineLevel="0" collapsed="false">
      <c r="A58" s="280" t="s">
        <v>362</v>
      </c>
      <c r="B58" s="280" t="n">
        <f aca="false">+B8</f>
        <v>0</v>
      </c>
      <c r="C58" s="280" t="s">
        <v>258</v>
      </c>
      <c r="D58" s="285" t="n">
        <v>1.9</v>
      </c>
      <c r="E58" s="286" t="n">
        <f aca="false">D58*B58</f>
        <v>0</v>
      </c>
      <c r="F58" s="287" t="n">
        <f aca="false">+E58/$B$9</f>
        <v>0</v>
      </c>
      <c r="G58" s="286" t="n">
        <f aca="false">+E58*AdjRate</f>
        <v>0</v>
      </c>
      <c r="H58" s="287" t="n">
        <f aca="false">+G58/$B$9</f>
        <v>0</v>
      </c>
      <c r="I58" s="307"/>
    </row>
    <row r="59" customFormat="false" ht="12.75" hidden="false" customHeight="false" outlineLevel="0" collapsed="false">
      <c r="A59" s="280" t="s">
        <v>363</v>
      </c>
      <c r="B59" s="280" t="n">
        <f aca="false">G$6</f>
        <v>1960</v>
      </c>
      <c r="C59" s="280" t="s">
        <v>258</v>
      </c>
      <c r="D59" s="285" t="n">
        <v>1.2</v>
      </c>
      <c r="E59" s="286" t="n">
        <f aca="false">D59*B59</f>
        <v>2352</v>
      </c>
      <c r="F59" s="287" t="n">
        <f aca="false">+E59/$B$9</f>
        <v>1.76179775280899</v>
      </c>
      <c r="G59" s="286" t="n">
        <f aca="false">+E59*AdjRate</f>
        <v>2822.4</v>
      </c>
      <c r="H59" s="287" t="n">
        <f aca="false">+G59/$B$9</f>
        <v>2.11415730337079</v>
      </c>
      <c r="I59" s="307"/>
    </row>
    <row r="60" customFormat="false" ht="12.75" hidden="false" customHeight="false" outlineLevel="0" collapsed="false">
      <c r="A60" s="280" t="s">
        <v>364</v>
      </c>
      <c r="B60" s="280" t="n">
        <f aca="false">B$15</f>
        <v>1960</v>
      </c>
      <c r="C60" s="280" t="s">
        <v>258</v>
      </c>
      <c r="D60" s="285" t="n">
        <v>3.5</v>
      </c>
      <c r="E60" s="286" t="n">
        <f aca="false">D60*B60</f>
        <v>6860</v>
      </c>
      <c r="F60" s="287" t="n">
        <f aca="false">+E60/$B$9</f>
        <v>5.13857677902622</v>
      </c>
      <c r="G60" s="286" t="n">
        <f aca="false">+E60*AdjRate</f>
        <v>8232</v>
      </c>
      <c r="H60" s="287" t="n">
        <f aca="false">+G60/$B$9</f>
        <v>6.16629213483146</v>
      </c>
      <c r="I60" s="307"/>
    </row>
    <row r="61" customFormat="false" ht="12.75" hidden="false" customHeight="false" outlineLevel="0" collapsed="false">
      <c r="A61" s="280" t="s">
        <v>365</v>
      </c>
      <c r="B61" s="280" t="n">
        <v>1</v>
      </c>
      <c r="C61" s="280" t="s">
        <v>179</v>
      </c>
      <c r="D61" s="285" t="n">
        <v>500</v>
      </c>
      <c r="E61" s="286" t="n">
        <f aca="false">D61*B61</f>
        <v>500</v>
      </c>
      <c r="F61" s="287" t="n">
        <f aca="false">+E61/$B$9</f>
        <v>0.374531835205993</v>
      </c>
      <c r="G61" s="286" t="n">
        <f aca="false">+E61*AdjRate</f>
        <v>600</v>
      </c>
      <c r="H61" s="287" t="n">
        <f aca="false">+G61/$B$9</f>
        <v>0.449438202247191</v>
      </c>
      <c r="I61" s="307"/>
    </row>
    <row r="62" customFormat="false" ht="12.75" hidden="false" customHeight="false" outlineLevel="0" collapsed="false">
      <c r="A62" s="280" t="s">
        <v>366</v>
      </c>
      <c r="B62" s="280" t="n">
        <f aca="false">G13</f>
        <v>4</v>
      </c>
      <c r="C62" s="280" t="s">
        <v>367</v>
      </c>
      <c r="D62" s="285" t="n">
        <v>145</v>
      </c>
      <c r="E62" s="286" t="n">
        <f aca="false">D62*B62</f>
        <v>580</v>
      </c>
      <c r="F62" s="287" t="n">
        <f aca="false">+E62/$B$9</f>
        <v>0.434456928838951</v>
      </c>
      <c r="G62" s="286" t="n">
        <f aca="false">+E62*AdjRate</f>
        <v>696</v>
      </c>
      <c r="H62" s="287" t="n">
        <f aca="false">+G62/$B$9</f>
        <v>0.521348314606742</v>
      </c>
      <c r="I62" s="307"/>
    </row>
    <row r="63" customFormat="false" ht="12.75" hidden="false" customHeight="false" outlineLevel="0" collapsed="false">
      <c r="A63" s="280" t="s">
        <v>368</v>
      </c>
      <c r="B63" s="280" t="n">
        <f aca="false">+B$9</f>
        <v>1335</v>
      </c>
      <c r="C63" s="280" t="s">
        <v>258</v>
      </c>
      <c r="D63" s="285" t="n">
        <v>1</v>
      </c>
      <c r="E63" s="286" t="n">
        <f aca="false">D63*B63</f>
        <v>1335</v>
      </c>
      <c r="F63" s="287" t="n">
        <f aca="false">+E63/$B$9</f>
        <v>1</v>
      </c>
      <c r="G63" s="286" t="n">
        <f aca="false">+E63*AdjRate</f>
        <v>1602</v>
      </c>
      <c r="H63" s="287" t="n">
        <f aca="false">+G63/$B$9</f>
        <v>1.2</v>
      </c>
      <c r="I63" s="307"/>
    </row>
    <row r="64" customFormat="false" ht="12.75" hidden="false" customHeight="false" outlineLevel="0" collapsed="false">
      <c r="A64" s="280" t="s">
        <v>328</v>
      </c>
      <c r="B64" s="280" t="n">
        <f aca="false">G14</f>
        <v>10</v>
      </c>
      <c r="C64" s="280" t="s">
        <v>369</v>
      </c>
      <c r="D64" s="285" t="n">
        <v>85</v>
      </c>
      <c r="E64" s="286" t="n">
        <f aca="false">D64*B64</f>
        <v>850</v>
      </c>
      <c r="F64" s="287" t="n">
        <f aca="false">+E64/$B$9</f>
        <v>0.636704119850187</v>
      </c>
      <c r="G64" s="286" t="n">
        <f aca="false">+E64*AdjRate</f>
        <v>1020</v>
      </c>
      <c r="H64" s="287" t="n">
        <f aca="false">+G64/$B$9</f>
        <v>0.764044943820225</v>
      </c>
      <c r="I64" s="307"/>
      <c r="L64" s="308" t="n">
        <f aca="false">AdjRate</f>
        <v>1.2</v>
      </c>
    </row>
    <row r="65" customFormat="false" ht="12.75" hidden="false" customHeight="false" outlineLevel="0" collapsed="false">
      <c r="A65" s="280" t="s">
        <v>370</v>
      </c>
      <c r="B65" s="280" t="n">
        <f aca="false">+B$9</f>
        <v>1335</v>
      </c>
      <c r="C65" s="280" t="s">
        <v>258</v>
      </c>
      <c r="D65" s="285" t="n">
        <v>1</v>
      </c>
      <c r="E65" s="286" t="n">
        <f aca="false">D65*B65</f>
        <v>1335</v>
      </c>
      <c r="F65" s="287" t="n">
        <f aca="false">+E65/$B$9</f>
        <v>1</v>
      </c>
      <c r="G65" s="286" t="n">
        <f aca="false">+E65*AdjRate</f>
        <v>1602</v>
      </c>
      <c r="H65" s="287" t="n">
        <f aca="false">+G65/$B$9</f>
        <v>1.2</v>
      </c>
      <c r="I65" s="307"/>
    </row>
    <row r="66" customFormat="false" ht="12.75" hidden="false" customHeight="false" outlineLevel="0" collapsed="false">
      <c r="A66" s="280" t="s">
        <v>371</v>
      </c>
      <c r="B66" s="302" t="n">
        <f aca="false">18/8*KFScale</f>
        <v>23.7735849056604</v>
      </c>
      <c r="C66" s="280" t="s">
        <v>200</v>
      </c>
      <c r="D66" s="285" t="n">
        <v>75</v>
      </c>
      <c r="E66" s="286" t="n">
        <f aca="false">D66*B66</f>
        <v>1783.01886792453</v>
      </c>
      <c r="F66" s="287" t="n">
        <f aca="false">+E66/$B$9</f>
        <v>1.33559465762137</v>
      </c>
      <c r="G66" s="286" t="n">
        <f aca="false">+E66*AdjRate</f>
        <v>2139.62264150943</v>
      </c>
      <c r="H66" s="287" t="n">
        <f aca="false">+G66/$B$9</f>
        <v>1.60271358914564</v>
      </c>
      <c r="I66" s="307"/>
      <c r="J66" s="304"/>
    </row>
    <row r="67" customFormat="false" ht="12.75" hidden="false" customHeight="false" outlineLevel="0" collapsed="false">
      <c r="A67" s="280" t="s">
        <v>372</v>
      </c>
      <c r="B67" s="302" t="n">
        <f aca="false">11.25/8*KFScale</f>
        <v>14.8584905660377</v>
      </c>
      <c r="C67" s="280" t="s">
        <v>200</v>
      </c>
      <c r="D67" s="285" t="n">
        <v>45</v>
      </c>
      <c r="E67" s="286" t="n">
        <f aca="false">D67*B67</f>
        <v>668.632075471698</v>
      </c>
      <c r="F67" s="287" t="n">
        <f aca="false">+E67/$B$9</f>
        <v>0.500847996608014</v>
      </c>
      <c r="G67" s="286" t="n">
        <f aca="false">+E67*AdjRate</f>
        <v>802.358490566038</v>
      </c>
      <c r="H67" s="287" t="n">
        <f aca="false">+G67/$B$9</f>
        <v>0.601017595929616</v>
      </c>
      <c r="I67" s="307"/>
      <c r="J67" s="304"/>
    </row>
    <row r="68" customFormat="false" ht="12.75" hidden="false" customHeight="false" outlineLevel="0" collapsed="false">
      <c r="A68" s="280"/>
      <c r="B68" s="280"/>
      <c r="C68" s="280"/>
      <c r="D68" s="285"/>
      <c r="E68" s="286"/>
      <c r="F68" s="287"/>
      <c r="G68" s="286"/>
      <c r="H68" s="287"/>
      <c r="I68" s="307"/>
    </row>
    <row r="69" customFormat="false" ht="12.75" hidden="false" customHeight="false" outlineLevel="0" collapsed="false">
      <c r="A69" s="279" t="s">
        <v>373</v>
      </c>
      <c r="B69" s="280"/>
      <c r="C69" s="280"/>
      <c r="D69" s="285"/>
      <c r="E69" s="286"/>
      <c r="F69" s="287"/>
      <c r="G69" s="286"/>
      <c r="H69" s="287"/>
      <c r="I69" s="307"/>
    </row>
    <row r="70" customFormat="false" ht="12.75" hidden="false" customHeight="false" outlineLevel="0" collapsed="false">
      <c r="A70" s="280" t="s">
        <v>324</v>
      </c>
      <c r="B70" s="280" t="n">
        <f aca="false">G12</f>
        <v>9</v>
      </c>
      <c r="C70" s="280" t="s">
        <v>374</v>
      </c>
      <c r="D70" s="285" t="n">
        <v>85</v>
      </c>
      <c r="E70" s="286" t="n">
        <f aca="false">D70*B70</f>
        <v>765</v>
      </c>
      <c r="F70" s="287" t="n">
        <f aca="false">+E70/$B$9</f>
        <v>0.573033707865169</v>
      </c>
      <c r="G70" s="286" t="n">
        <f aca="false">+E70*AdjRate</f>
        <v>918</v>
      </c>
      <c r="H70" s="287" t="n">
        <f aca="false">+G70/$B$9</f>
        <v>0.687640449438202</v>
      </c>
      <c r="I70" s="307"/>
    </row>
    <row r="71" customFormat="false" ht="12.75" hidden="false" customHeight="false" outlineLevel="0" collapsed="false">
      <c r="A71" s="280" t="s">
        <v>375</v>
      </c>
      <c r="B71" s="280" t="n">
        <v>0</v>
      </c>
      <c r="C71" s="280" t="s">
        <v>179</v>
      </c>
      <c r="D71" s="285" t="n">
        <v>480</v>
      </c>
      <c r="E71" s="286" t="n">
        <f aca="false">D71*B71</f>
        <v>0</v>
      </c>
      <c r="F71" s="287" t="n">
        <f aca="false">+E71/$B$9</f>
        <v>0</v>
      </c>
      <c r="G71" s="286" t="n">
        <f aca="false">+E71*AdjRate</f>
        <v>0</v>
      </c>
      <c r="H71" s="287" t="n">
        <f aca="false">+G71/$B$9</f>
        <v>0</v>
      </c>
      <c r="I71" s="307"/>
    </row>
    <row r="72" customFormat="false" ht="12.75" hidden="false" customHeight="false" outlineLevel="0" collapsed="false">
      <c r="A72" s="280" t="s">
        <v>376</v>
      </c>
      <c r="B72" s="280" t="n">
        <f aca="false">4*5*2</f>
        <v>40</v>
      </c>
      <c r="C72" s="280" t="s">
        <v>258</v>
      </c>
      <c r="D72" s="285" t="n">
        <v>7.5</v>
      </c>
      <c r="E72" s="286" t="n">
        <f aca="false">D72*B72</f>
        <v>300</v>
      </c>
      <c r="F72" s="287" t="n">
        <f aca="false">+E72/$B$9</f>
        <v>0.224719101123596</v>
      </c>
      <c r="G72" s="286" t="n">
        <f aca="false">+E72*AdjRate</f>
        <v>360</v>
      </c>
      <c r="H72" s="287" t="n">
        <f aca="false">+G72/$B$9</f>
        <v>0.269662921348315</v>
      </c>
      <c r="I72" s="307"/>
    </row>
    <row r="73" customFormat="false" ht="12.75" hidden="false" customHeight="false" outlineLevel="0" collapsed="false">
      <c r="A73" s="280"/>
      <c r="B73" s="280"/>
      <c r="C73" s="280"/>
      <c r="D73" s="285"/>
      <c r="E73" s="286"/>
      <c r="F73" s="287"/>
      <c r="G73" s="286"/>
      <c r="H73" s="287"/>
      <c r="I73" s="307"/>
    </row>
    <row r="74" customFormat="false" ht="12.75" hidden="false" customHeight="false" outlineLevel="0" collapsed="false">
      <c r="A74" s="279" t="s">
        <v>377</v>
      </c>
      <c r="B74" s="280"/>
      <c r="C74" s="280"/>
      <c r="D74" s="285"/>
      <c r="E74" s="286"/>
      <c r="F74" s="287"/>
      <c r="G74" s="286"/>
      <c r="H74" s="287"/>
      <c r="I74" s="307"/>
    </row>
    <row r="75" customFormat="false" ht="12.75" hidden="false" customHeight="false" outlineLevel="0" collapsed="false">
      <c r="A75" s="280" t="s">
        <v>378</v>
      </c>
      <c r="B75" s="302" t="n">
        <f aca="false">(1.3*B$9)/100</f>
        <v>17.355</v>
      </c>
      <c r="C75" s="280" t="s">
        <v>379</v>
      </c>
      <c r="D75" s="285" t="n">
        <v>52</v>
      </c>
      <c r="E75" s="286" t="n">
        <f aca="false">D75*B75</f>
        <v>902.46</v>
      </c>
      <c r="F75" s="287" t="n">
        <f aca="false">+E75/$B$9</f>
        <v>0.676</v>
      </c>
      <c r="G75" s="286" t="n">
        <f aca="false">+E75*AdjRate</f>
        <v>1082.952</v>
      </c>
      <c r="H75" s="287" t="n">
        <f aca="false">+G75/$B$9</f>
        <v>0.8112</v>
      </c>
      <c r="I75" s="307"/>
    </row>
    <row r="76" customFormat="false" ht="12.75" hidden="false" customHeight="false" outlineLevel="0" collapsed="false">
      <c r="A76" s="280" t="s">
        <v>380</v>
      </c>
      <c r="B76" s="280" t="n">
        <v>1</v>
      </c>
      <c r="C76" s="280" t="s">
        <v>179</v>
      </c>
      <c r="D76" s="285" t="n">
        <v>200</v>
      </c>
      <c r="E76" s="286" t="n">
        <f aca="false">D76*B76</f>
        <v>200</v>
      </c>
      <c r="F76" s="287" t="n">
        <f aca="false">+E76/$B$9</f>
        <v>0.149812734082397</v>
      </c>
      <c r="G76" s="286" t="n">
        <f aca="false">+E76*AdjRate</f>
        <v>240</v>
      </c>
      <c r="H76" s="287" t="n">
        <f aca="false">+G76/$B$9</f>
        <v>0.179775280898876</v>
      </c>
      <c r="I76" s="307"/>
    </row>
    <row r="77" customFormat="false" ht="12.75" hidden="false" customHeight="false" outlineLevel="0" collapsed="false">
      <c r="A77" s="280" t="s">
        <v>381</v>
      </c>
      <c r="B77" s="280" t="n">
        <f aca="false">+B$9</f>
        <v>1335</v>
      </c>
      <c r="C77" s="280" t="s">
        <v>258</v>
      </c>
      <c r="D77" s="285" t="n">
        <v>0.75</v>
      </c>
      <c r="E77" s="286" t="n">
        <f aca="false">D77*B77</f>
        <v>1001.25</v>
      </c>
      <c r="F77" s="287" t="n">
        <f aca="false">+E77/$B$9</f>
        <v>0.75</v>
      </c>
      <c r="G77" s="286" t="n">
        <f aca="false">+E77*AdjRate</f>
        <v>1201.5</v>
      </c>
      <c r="H77" s="287" t="n">
        <f aca="false">+G77/$B$9</f>
        <v>0.9</v>
      </c>
      <c r="I77" s="307"/>
    </row>
    <row r="78" customFormat="false" ht="12.75" hidden="false" customHeight="false" outlineLevel="0" collapsed="false">
      <c r="A78" s="280" t="s">
        <v>382</v>
      </c>
      <c r="B78" s="280" t="n">
        <f aca="false">+B$9</f>
        <v>1335</v>
      </c>
      <c r="C78" s="280" t="s">
        <v>258</v>
      </c>
      <c r="D78" s="285" t="n">
        <v>3</v>
      </c>
      <c r="E78" s="286" t="n">
        <f aca="false">D78*B78</f>
        <v>4005</v>
      </c>
      <c r="F78" s="287" t="n">
        <f aca="false">+E78/$B$9</f>
        <v>3</v>
      </c>
      <c r="G78" s="286" t="n">
        <f aca="false">+E78*AdjRate</f>
        <v>4806</v>
      </c>
      <c r="H78" s="287" t="n">
        <f aca="false">+G78/$B$9</f>
        <v>3.6</v>
      </c>
      <c r="I78" s="307"/>
    </row>
    <row r="79" customFormat="false" ht="12.75" hidden="false" customHeight="false" outlineLevel="0" collapsed="false">
      <c r="A79" s="280"/>
      <c r="B79" s="280"/>
      <c r="C79" s="280"/>
      <c r="D79" s="285"/>
      <c r="E79" s="286"/>
      <c r="F79" s="287"/>
      <c r="G79" s="286"/>
      <c r="H79" s="287"/>
      <c r="I79" s="307"/>
      <c r="K79" s="14" t="n">
        <f aca="false">3/8*KFScale</f>
        <v>3.9622641509434</v>
      </c>
    </row>
    <row r="80" customFormat="false" ht="12.75" hidden="false" customHeight="false" outlineLevel="0" collapsed="false">
      <c r="A80" s="279" t="s">
        <v>311</v>
      </c>
      <c r="B80" s="280"/>
      <c r="C80" s="280"/>
      <c r="D80" s="285"/>
      <c r="E80" s="286"/>
      <c r="F80" s="287"/>
      <c r="G80" s="286"/>
      <c r="H80" s="287"/>
      <c r="I80" s="307"/>
      <c r="K80" s="1" t="s">
        <v>127</v>
      </c>
    </row>
    <row r="81" customFormat="false" ht="12.75" hidden="false" customHeight="false" outlineLevel="0" collapsed="false">
      <c r="A81" s="280" t="s">
        <v>383</v>
      </c>
      <c r="B81" s="280" t="n">
        <f aca="false">+G5</f>
        <v>315</v>
      </c>
      <c r="C81" s="280" t="s">
        <v>258</v>
      </c>
      <c r="D81" s="285" t="n">
        <v>5.5</v>
      </c>
      <c r="E81" s="286" t="n">
        <f aca="false">D81*B81</f>
        <v>1732.5</v>
      </c>
      <c r="F81" s="287" t="n">
        <f aca="false">+E81/$B$9</f>
        <v>1.29775280898876</v>
      </c>
      <c r="G81" s="286" t="n">
        <f aca="false">+E81*AdjRate</f>
        <v>2079</v>
      </c>
      <c r="H81" s="287" t="n">
        <f aca="false">+G81/$B$9</f>
        <v>1.55730337078652</v>
      </c>
      <c r="I81" s="307"/>
    </row>
    <row r="82" customFormat="false" ht="12.75" hidden="false" customHeight="false" outlineLevel="0" collapsed="false">
      <c r="A82" s="280" t="s">
        <v>384</v>
      </c>
      <c r="B82" s="280" t="n">
        <v>0</v>
      </c>
      <c r="C82" s="280" t="s">
        <v>258</v>
      </c>
      <c r="D82" s="285" t="n">
        <v>2</v>
      </c>
      <c r="E82" s="286" t="n">
        <f aca="false">D82*B82</f>
        <v>0</v>
      </c>
      <c r="F82" s="287" t="n">
        <f aca="false">+E82/$B$9</f>
        <v>0</v>
      </c>
      <c r="G82" s="286" t="n">
        <f aca="false">+E82*AdjRate</f>
        <v>0</v>
      </c>
      <c r="H82" s="287" t="n">
        <f aca="false">+G82/$B$9</f>
        <v>0</v>
      </c>
      <c r="I82" s="307"/>
    </row>
    <row r="83" customFormat="false" ht="12.75" hidden="false" customHeight="false" outlineLevel="0" collapsed="false">
      <c r="A83" s="280" t="s">
        <v>385</v>
      </c>
      <c r="B83" s="280" t="n">
        <f aca="false">B$15</f>
        <v>1960</v>
      </c>
      <c r="C83" s="280" t="s">
        <v>258</v>
      </c>
      <c r="D83" s="285" t="n">
        <v>2.1</v>
      </c>
      <c r="E83" s="286" t="n">
        <f aca="false">D83*B83</f>
        <v>4116</v>
      </c>
      <c r="F83" s="287" t="n">
        <f aca="false">+E83/$B$9</f>
        <v>3.08314606741573</v>
      </c>
      <c r="G83" s="286" t="n">
        <f aca="false">+E83*AdjRate</f>
        <v>4939.2</v>
      </c>
      <c r="H83" s="287" t="n">
        <f aca="false">+G83/$B$9</f>
        <v>3.69977528089888</v>
      </c>
      <c r="I83" s="307"/>
    </row>
    <row r="84" customFormat="false" ht="12.75" hidden="false" customHeight="false" outlineLevel="0" collapsed="false">
      <c r="A84" s="280" t="s">
        <v>428</v>
      </c>
      <c r="B84" s="302" t="n">
        <f aca="false">(1.75*KFScale)*((1+1/8)*KFScale)+((3/8*KFScale)*(3.5/8*KFScale))</f>
        <v>238.10964756141</v>
      </c>
      <c r="C84" s="280" t="s">
        <v>258</v>
      </c>
      <c r="D84" s="285" t="n">
        <f aca="false">(2.75+1.25)</f>
        <v>4</v>
      </c>
      <c r="E84" s="286" t="n">
        <f aca="false">D84*B84</f>
        <v>952.438590245639</v>
      </c>
      <c r="F84" s="287" t="n">
        <f aca="false">+E84/$B$9</f>
        <v>0.713437146251415</v>
      </c>
      <c r="G84" s="286" t="n">
        <f aca="false">+E84*AdjRate</f>
        <v>1142.92630829477</v>
      </c>
      <c r="H84" s="287" t="n">
        <f aca="false">+G84/$B$9</f>
        <v>0.856124575501698</v>
      </c>
      <c r="I84" s="307"/>
    </row>
    <row r="85" customFormat="false" ht="12.75" hidden="false" customHeight="false" outlineLevel="0" collapsed="false">
      <c r="A85" s="280" t="s">
        <v>387</v>
      </c>
      <c r="B85" s="302" t="n">
        <f aca="false">(B9-35-150-150-100)/9</f>
        <v>100</v>
      </c>
      <c r="C85" s="280" t="s">
        <v>388</v>
      </c>
      <c r="D85" s="285" t="n">
        <v>10</v>
      </c>
      <c r="E85" s="286" t="n">
        <f aca="false">D85*B85</f>
        <v>1000</v>
      </c>
      <c r="F85" s="287" t="n">
        <f aca="false">+E85/$B$9</f>
        <v>0.749063670411985</v>
      </c>
      <c r="G85" s="286" t="n">
        <f aca="false">+E85*AdjRate</f>
        <v>1200</v>
      </c>
      <c r="H85" s="287" t="n">
        <f aca="false">+G85/$B$9</f>
        <v>0.898876404494382</v>
      </c>
      <c r="I85" s="307"/>
    </row>
    <row r="86" customFormat="false" ht="12.75" hidden="false" customHeight="false" outlineLevel="0" collapsed="false">
      <c r="A86" s="280" t="s">
        <v>389</v>
      </c>
      <c r="B86" s="302" t="n">
        <v>0</v>
      </c>
      <c r="C86" s="280" t="s">
        <v>200</v>
      </c>
      <c r="D86" s="285" t="n">
        <v>24</v>
      </c>
      <c r="E86" s="286" t="n">
        <f aca="false">D86*B86</f>
        <v>0</v>
      </c>
      <c r="F86" s="287" t="n">
        <f aca="false">+E86/$B$9</f>
        <v>0</v>
      </c>
      <c r="G86" s="286" t="n">
        <f aca="false">+E86*AdjRate</f>
        <v>0</v>
      </c>
      <c r="H86" s="287" t="n">
        <f aca="false">+G86/$B$9</f>
        <v>0</v>
      </c>
      <c r="I86" s="307"/>
    </row>
    <row r="87" customFormat="false" ht="12.75" hidden="false" customHeight="false" outlineLevel="0" collapsed="false">
      <c r="A87" s="280" t="s">
        <v>429</v>
      </c>
      <c r="B87" s="302" t="n">
        <f aca="false">((1+5/8)*KFScale)*3.5</f>
        <v>60.0943396226415</v>
      </c>
      <c r="C87" s="280" t="s">
        <v>258</v>
      </c>
      <c r="D87" s="285" t="n">
        <f aca="false">(3.25+1.25)</f>
        <v>4.5</v>
      </c>
      <c r="E87" s="286" t="n">
        <f aca="false">D87*B87</f>
        <v>270.424528301887</v>
      </c>
      <c r="F87" s="287" t="n">
        <f aca="false">+E87/$B$9</f>
        <v>0.202565189739241</v>
      </c>
      <c r="G87" s="286" t="n">
        <f aca="false">+E87*AdjRate</f>
        <v>324.509433962264</v>
      </c>
      <c r="H87" s="287" t="n">
        <f aca="false">+G87/$B$9</f>
        <v>0.243078227687089</v>
      </c>
      <c r="I87" s="307"/>
    </row>
    <row r="88" customFormat="false" ht="12.75" hidden="false" customHeight="false" outlineLevel="0" collapsed="false">
      <c r="A88" s="280" t="s">
        <v>391</v>
      </c>
      <c r="B88" s="302" t="n">
        <f aca="false">(9/16+3/8)*KFScale</f>
        <v>9.90566037735849</v>
      </c>
      <c r="C88" s="280" t="s">
        <v>200</v>
      </c>
      <c r="D88" s="285" t="n">
        <v>24</v>
      </c>
      <c r="E88" s="286" t="n">
        <f aca="false">D88*B88</f>
        <v>237.735849056604</v>
      </c>
      <c r="F88" s="287" t="n">
        <f aca="false">+E88/$B$9</f>
        <v>0.178079287682849</v>
      </c>
      <c r="G88" s="286" t="n">
        <f aca="false">+E88*AdjRate</f>
        <v>285.283018867925</v>
      </c>
      <c r="H88" s="287" t="n">
        <f aca="false">+G88/$B$9</f>
        <v>0.213695145219419</v>
      </c>
      <c r="I88" s="307"/>
    </row>
    <row r="89" customFormat="false" ht="12.75" hidden="false" customHeight="false" outlineLevel="0" collapsed="false">
      <c r="A89" s="280" t="s">
        <v>393</v>
      </c>
      <c r="B89" s="302" t="n">
        <v>2</v>
      </c>
      <c r="C89" s="280" t="s">
        <v>394</v>
      </c>
      <c r="D89" s="285" t="n">
        <v>670</v>
      </c>
      <c r="E89" s="286" t="n">
        <f aca="false">D89*B89</f>
        <v>1340</v>
      </c>
      <c r="F89" s="287" t="n">
        <f aca="false">+E89/$B$9</f>
        <v>1.00374531835206</v>
      </c>
      <c r="G89" s="286" t="n">
        <f aca="false">+E89*AdjRate</f>
        <v>1608</v>
      </c>
      <c r="H89" s="287" t="n">
        <f aca="false">+G89/$B$9</f>
        <v>1.20449438202247</v>
      </c>
      <c r="I89" s="307"/>
    </row>
    <row r="90" customFormat="false" ht="12.75" hidden="false" customHeight="false" outlineLevel="0" collapsed="false">
      <c r="A90" s="280" t="s">
        <v>430</v>
      </c>
      <c r="B90" s="302" t="n">
        <f aca="false">((5.5/8)*KFScale)*5</f>
        <v>36.3207547169811</v>
      </c>
      <c r="C90" s="280" t="s">
        <v>394</v>
      </c>
      <c r="D90" s="285" t="n">
        <f aca="false">(1.25+3.75)</f>
        <v>5</v>
      </c>
      <c r="E90" s="286" t="n">
        <f aca="false">D90*B90</f>
        <v>181.603773584906</v>
      </c>
      <c r="F90" s="287" t="n">
        <f aca="false">+E90/$B$9</f>
        <v>0.136032789202177</v>
      </c>
      <c r="G90" s="286" t="n">
        <f aca="false">+E90*AdjRate</f>
        <v>217.924528301887</v>
      </c>
      <c r="H90" s="287" t="n">
        <f aca="false">+G90/$B$9</f>
        <v>0.163239347042612</v>
      </c>
      <c r="I90" s="307"/>
      <c r="J90" s="304"/>
    </row>
    <row r="91" customFormat="false" ht="12.75" hidden="false" customHeight="false" outlineLevel="0" collapsed="false">
      <c r="A91" s="280" t="s">
        <v>396</v>
      </c>
      <c r="B91" s="280" t="n">
        <f aca="false">G12</f>
        <v>9</v>
      </c>
      <c r="C91" s="280" t="s">
        <v>397</v>
      </c>
      <c r="D91" s="285" t="n">
        <v>35</v>
      </c>
      <c r="E91" s="286" t="n">
        <f aca="false">D91*B91</f>
        <v>315</v>
      </c>
      <c r="F91" s="287" t="n">
        <f aca="false">+E91/$B$9</f>
        <v>0.235955056179775</v>
      </c>
      <c r="G91" s="286" t="n">
        <f aca="false">+E91*AdjRate</f>
        <v>378</v>
      </c>
      <c r="H91" s="287" t="n">
        <f aca="false">+G91/$B$9</f>
        <v>0.28314606741573</v>
      </c>
      <c r="I91" s="307"/>
    </row>
    <row r="92" customFormat="false" ht="12.75" hidden="false" customHeight="false" outlineLevel="0" collapsed="false">
      <c r="A92" s="280" t="s">
        <v>436</v>
      </c>
      <c r="B92" s="280" t="n">
        <v>0</v>
      </c>
      <c r="C92" s="280" t="s">
        <v>179</v>
      </c>
      <c r="D92" s="285" t="n">
        <v>0</v>
      </c>
      <c r="E92" s="286" t="n">
        <f aca="false">D92*B92</f>
        <v>0</v>
      </c>
      <c r="F92" s="287" t="n">
        <f aca="false">+E92/$B$9</f>
        <v>0</v>
      </c>
      <c r="G92" s="286" t="n">
        <f aca="false">+E92*AdjRate</f>
        <v>0</v>
      </c>
      <c r="H92" s="287" t="n">
        <f aca="false">+G92/$B$9</f>
        <v>0</v>
      </c>
      <c r="I92" s="307"/>
    </row>
    <row r="93" customFormat="false" ht="12.75" hidden="false" customHeight="false" outlineLevel="0" collapsed="false">
      <c r="A93" s="280"/>
      <c r="B93" s="280"/>
      <c r="C93" s="280"/>
      <c r="D93" s="285"/>
      <c r="E93" s="286"/>
      <c r="F93" s="287"/>
      <c r="G93" s="286"/>
      <c r="H93" s="287"/>
      <c r="I93" s="307"/>
    </row>
    <row r="94" customFormat="false" ht="12.75" hidden="false" customHeight="false" outlineLevel="0" collapsed="false">
      <c r="A94" s="279" t="s">
        <v>399</v>
      </c>
      <c r="B94" s="280"/>
      <c r="C94" s="280"/>
      <c r="D94" s="285"/>
      <c r="E94" s="286"/>
      <c r="F94" s="287"/>
      <c r="G94" s="286"/>
      <c r="H94" s="287"/>
      <c r="I94" s="307"/>
    </row>
    <row r="95" customFormat="false" ht="12.75" hidden="false" customHeight="false" outlineLevel="0" collapsed="false">
      <c r="A95" s="280" t="s">
        <v>400</v>
      </c>
      <c r="B95" s="280" t="n">
        <v>1</v>
      </c>
      <c r="C95" s="280" t="s">
        <v>179</v>
      </c>
      <c r="D95" s="285" t="n">
        <v>550</v>
      </c>
      <c r="E95" s="286" t="n">
        <f aca="false">D95*B95</f>
        <v>550</v>
      </c>
      <c r="F95" s="287" t="n">
        <f aca="false">+E95/$B$9</f>
        <v>0.411985018726592</v>
      </c>
      <c r="G95" s="286" t="n">
        <f aca="false">+E95*AdjRate</f>
        <v>660</v>
      </c>
      <c r="H95" s="287" t="n">
        <f aca="false">+G95/$B$9</f>
        <v>0.49438202247191</v>
      </c>
      <c r="I95" s="307"/>
    </row>
    <row r="96" customFormat="false" ht="12.75" hidden="false" customHeight="false" outlineLevel="0" collapsed="false">
      <c r="A96" s="280" t="s">
        <v>437</v>
      </c>
      <c r="B96" s="280" t="n">
        <v>0</v>
      </c>
      <c r="C96" s="280" t="s">
        <v>402</v>
      </c>
      <c r="D96" s="285" t="n">
        <v>650</v>
      </c>
      <c r="E96" s="286" t="n">
        <f aca="false">D96*B96</f>
        <v>0</v>
      </c>
      <c r="F96" s="287" t="n">
        <f aca="false">+E96/$B$9</f>
        <v>0</v>
      </c>
      <c r="G96" s="286" t="n">
        <f aca="false">+E96*AdjRate</f>
        <v>0</v>
      </c>
      <c r="H96" s="287" t="n">
        <f aca="false">+G96/$B$9</f>
        <v>0</v>
      </c>
      <c r="I96" s="307"/>
    </row>
    <row r="97" customFormat="false" ht="12.75" hidden="false" customHeight="false" outlineLevel="0" collapsed="false">
      <c r="A97" s="280" t="s">
        <v>403</v>
      </c>
      <c r="B97" s="280" t="n">
        <v>1</v>
      </c>
      <c r="C97" s="280" t="s">
        <v>404</v>
      </c>
      <c r="D97" s="285" t="n">
        <v>650</v>
      </c>
      <c r="E97" s="286" t="n">
        <f aca="false">D97*B97</f>
        <v>650</v>
      </c>
      <c r="F97" s="287" t="n">
        <f aca="false">+E97/$B$9</f>
        <v>0.48689138576779</v>
      </c>
      <c r="G97" s="286" t="n">
        <f aca="false">+E97*AdjRate</f>
        <v>780</v>
      </c>
      <c r="H97" s="287" t="n">
        <f aca="false">+G97/$B$9</f>
        <v>0.584269662921348</v>
      </c>
      <c r="I97" s="307"/>
    </row>
    <row r="98" customFormat="false" ht="12.75" hidden="false" customHeight="false" outlineLevel="0" collapsed="false">
      <c r="A98" s="280"/>
      <c r="B98" s="280"/>
      <c r="C98" s="280"/>
      <c r="D98" s="285"/>
      <c r="E98" s="286"/>
      <c r="F98" s="287"/>
      <c r="G98" s="286"/>
      <c r="H98" s="287"/>
      <c r="I98" s="307"/>
    </row>
    <row r="99" customFormat="false" ht="12.75" hidden="false" customHeight="false" outlineLevel="0" collapsed="false">
      <c r="A99" s="279" t="s">
        <v>405</v>
      </c>
      <c r="B99" s="280"/>
      <c r="C99" s="280"/>
      <c r="D99" s="285"/>
      <c r="E99" s="286"/>
      <c r="F99" s="287"/>
      <c r="G99" s="286"/>
      <c r="H99" s="287"/>
      <c r="I99" s="307"/>
    </row>
    <row r="100" customFormat="false" ht="12.75" hidden="false" customHeight="false" outlineLevel="0" collapsed="false">
      <c r="A100" s="280" t="s">
        <v>406</v>
      </c>
      <c r="B100" s="280" t="n">
        <f aca="false">B$15</f>
        <v>1960</v>
      </c>
      <c r="C100" s="280" t="s">
        <v>258</v>
      </c>
      <c r="D100" s="285" t="n">
        <v>2.2</v>
      </c>
      <c r="E100" s="286" t="n">
        <f aca="false">D100*B100</f>
        <v>4312</v>
      </c>
      <c r="F100" s="287" t="n">
        <f aca="false">+E100/$B$9</f>
        <v>3.22996254681648</v>
      </c>
      <c r="G100" s="286" t="n">
        <f aca="false">+E100*AdjRate</f>
        <v>5174.4</v>
      </c>
      <c r="H100" s="287" t="n">
        <f aca="false">+G100/$B$9</f>
        <v>3.87595505617978</v>
      </c>
      <c r="I100" s="307"/>
    </row>
    <row r="101" customFormat="false" ht="12.75" hidden="false" customHeight="false" outlineLevel="0" collapsed="false">
      <c r="A101" s="280" t="s">
        <v>407</v>
      </c>
      <c r="B101" s="280" t="n">
        <v>1</v>
      </c>
      <c r="C101" s="280" t="s">
        <v>179</v>
      </c>
      <c r="D101" s="285" t="n">
        <v>700</v>
      </c>
      <c r="E101" s="286" t="n">
        <f aca="false">D101*B101</f>
        <v>700</v>
      </c>
      <c r="F101" s="287" t="n">
        <f aca="false">+E101/$B$9</f>
        <v>0.52434456928839</v>
      </c>
      <c r="G101" s="286" t="n">
        <f aca="false">+E101*AdjRate</f>
        <v>840</v>
      </c>
      <c r="H101" s="287" t="n">
        <f aca="false">+G101/$B$9</f>
        <v>0.629213483146067</v>
      </c>
      <c r="I101" s="307"/>
    </row>
    <row r="102" customFormat="false" ht="12.75" hidden="false" customHeight="false" outlineLevel="0" collapsed="false">
      <c r="A102" s="280" t="s">
        <v>408</v>
      </c>
      <c r="B102" s="280" t="n">
        <v>1</v>
      </c>
      <c r="C102" s="280" t="s">
        <v>179</v>
      </c>
      <c r="D102" s="285" t="n">
        <v>450</v>
      </c>
      <c r="E102" s="286" t="n">
        <f aca="false">D102*B102</f>
        <v>450</v>
      </c>
      <c r="F102" s="287" t="n">
        <f aca="false">+E102/$B$9</f>
        <v>0.337078651685393</v>
      </c>
      <c r="G102" s="286" t="n">
        <f aca="false">+E102*AdjRate</f>
        <v>540</v>
      </c>
      <c r="H102" s="287" t="n">
        <f aca="false">+G102/$B$9</f>
        <v>0.404494382022472</v>
      </c>
      <c r="I102" s="307"/>
    </row>
    <row r="103" customFormat="false" ht="12.75" hidden="false" customHeight="false" outlineLevel="0" collapsed="false">
      <c r="A103" s="280"/>
      <c r="B103" s="280"/>
      <c r="C103" s="280"/>
      <c r="D103" s="285"/>
      <c r="E103" s="286"/>
      <c r="F103" s="287"/>
      <c r="G103" s="286"/>
      <c r="H103" s="287"/>
      <c r="I103" s="307"/>
    </row>
    <row r="104" customFormat="false" ht="12.75" hidden="false" customHeight="false" outlineLevel="0" collapsed="false">
      <c r="A104" s="279" t="s">
        <v>409</v>
      </c>
      <c r="B104" s="280"/>
      <c r="C104" s="280"/>
      <c r="D104" s="285"/>
      <c r="E104" s="286"/>
      <c r="F104" s="287"/>
      <c r="G104" s="286"/>
      <c r="H104" s="287"/>
      <c r="I104" s="307"/>
    </row>
    <row r="105" customFormat="false" ht="12.75" hidden="false" customHeight="false" outlineLevel="0" collapsed="false">
      <c r="A105" s="280" t="s">
        <v>438</v>
      </c>
      <c r="B105" s="280" t="n">
        <v>1</v>
      </c>
      <c r="C105" s="280" t="s">
        <v>179</v>
      </c>
      <c r="D105" s="285" t="n">
        <v>4200</v>
      </c>
      <c r="E105" s="286" t="n">
        <f aca="false">D105*B105</f>
        <v>4200</v>
      </c>
      <c r="F105" s="287" t="n">
        <f aca="false">+E105/$B$9</f>
        <v>3.14606741573034</v>
      </c>
      <c r="G105" s="286" t="n">
        <f aca="false">+E105*AdjRate</f>
        <v>5040</v>
      </c>
      <c r="H105" s="287" t="n">
        <f aca="false">+G105/$B$9</f>
        <v>3.7752808988764</v>
      </c>
      <c r="I105" s="307"/>
    </row>
    <row r="106" customFormat="false" ht="12.75" hidden="false" customHeight="false" outlineLevel="0" collapsed="false">
      <c r="A106" s="280" t="s">
        <v>411</v>
      </c>
      <c r="B106" s="280" t="n">
        <v>25</v>
      </c>
      <c r="C106" s="280" t="s">
        <v>195</v>
      </c>
      <c r="D106" s="285" t="n">
        <v>15</v>
      </c>
      <c r="E106" s="286" t="n">
        <f aca="false">D106*B106</f>
        <v>375</v>
      </c>
      <c r="F106" s="287" t="n">
        <f aca="false">+E106/$B$9</f>
        <v>0.280898876404494</v>
      </c>
      <c r="G106" s="286" t="n">
        <f aca="false">+E106*AdjRate</f>
        <v>450</v>
      </c>
      <c r="H106" s="287" t="n">
        <f aca="false">+G106/$B$9</f>
        <v>0.337078651685393</v>
      </c>
      <c r="I106" s="307"/>
    </row>
    <row r="107" customFormat="false" ht="12.75" hidden="false" customHeight="false" outlineLevel="0" collapsed="false">
      <c r="A107" s="280" t="s">
        <v>412</v>
      </c>
      <c r="B107" s="280" t="n">
        <v>1</v>
      </c>
      <c r="C107" s="280" t="s">
        <v>179</v>
      </c>
      <c r="D107" s="285" t="n">
        <v>2000</v>
      </c>
      <c r="E107" s="286" t="n">
        <f aca="false">D107*B107</f>
        <v>2000</v>
      </c>
      <c r="F107" s="287" t="n">
        <f aca="false">+E107/$B$9</f>
        <v>1.49812734082397</v>
      </c>
      <c r="G107" s="286" t="n">
        <f aca="false">+E107*AdjRate</f>
        <v>2400</v>
      </c>
      <c r="H107" s="287" t="n">
        <f aca="false">+G107/$B$9</f>
        <v>1.79775280898876</v>
      </c>
      <c r="I107" s="307"/>
      <c r="K107" s="14" t="n">
        <f aca="false">5000/1839</f>
        <v>2.71886895051659</v>
      </c>
    </row>
    <row r="108" customFormat="false" ht="12.75" hidden="false" customHeight="false" outlineLevel="0" collapsed="false">
      <c r="A108" s="280" t="s">
        <v>413</v>
      </c>
      <c r="B108" s="280" t="n">
        <v>1</v>
      </c>
      <c r="C108" s="280" t="s">
        <v>179</v>
      </c>
      <c r="D108" s="285" t="n">
        <v>990</v>
      </c>
      <c r="E108" s="286" t="n">
        <f aca="false">D108*B108</f>
        <v>990</v>
      </c>
      <c r="F108" s="287" t="n">
        <f aca="false">+E108/$B$9</f>
        <v>0.741573033707865</v>
      </c>
      <c r="G108" s="286" t="n">
        <f aca="false">+E108*AdjRate</f>
        <v>1188</v>
      </c>
      <c r="H108" s="287" t="n">
        <f aca="false">+G108/$B$9</f>
        <v>0.889887640449438</v>
      </c>
      <c r="I108" s="307"/>
    </row>
    <row r="109" customFormat="false" ht="12.75" hidden="false" customHeight="false" outlineLevel="0" collapsed="false">
      <c r="A109" s="280" t="s">
        <v>414</v>
      </c>
      <c r="B109" s="280" t="n">
        <f aca="false">B9</f>
        <v>1335</v>
      </c>
      <c r="C109" s="280" t="s">
        <v>258</v>
      </c>
      <c r="D109" s="285" t="n">
        <v>2.85</v>
      </c>
      <c r="E109" s="286" t="n">
        <f aca="false">D109*B109</f>
        <v>3804.75</v>
      </c>
      <c r="F109" s="287" t="n">
        <f aca="false">+E109/$B$9</f>
        <v>2.85</v>
      </c>
      <c r="G109" s="286" t="n">
        <f aca="false">+E109*AdjRate</f>
        <v>4565.7</v>
      </c>
      <c r="H109" s="287" t="n">
        <f aca="false">+G109/$B$9</f>
        <v>3.42</v>
      </c>
      <c r="I109" s="307"/>
    </row>
    <row r="110" customFormat="false" ht="12.75" hidden="false" customHeight="false" outlineLevel="0" collapsed="false">
      <c r="A110" s="280" t="s">
        <v>273</v>
      </c>
      <c r="B110" s="280" t="n">
        <f aca="false">ConstTime</f>
        <v>6</v>
      </c>
      <c r="C110" s="280" t="s">
        <v>274</v>
      </c>
      <c r="D110" s="285" t="n">
        <f aca="false">((1000*52)/12+250+100)/4</f>
        <v>1170.83333333333</v>
      </c>
      <c r="E110" s="286" t="n">
        <f aca="false">D110*B110</f>
        <v>7025</v>
      </c>
      <c r="F110" s="287" t="n">
        <f aca="false">+E110/$B$9</f>
        <v>5.2621722846442</v>
      </c>
      <c r="G110" s="286" t="n">
        <f aca="false">+E110*AdjRate</f>
        <v>8430</v>
      </c>
      <c r="H110" s="287" t="n">
        <f aca="false">+G110/$B$9</f>
        <v>6.31460674157303</v>
      </c>
      <c r="I110" s="307"/>
    </row>
    <row r="111" customFormat="false" ht="13.5" hidden="false" customHeight="false" outlineLevel="0" collapsed="false">
      <c r="A111" s="289" t="s">
        <v>415</v>
      </c>
      <c r="B111" s="289"/>
      <c r="C111" s="289"/>
      <c r="D111" s="289"/>
      <c r="E111" s="290" t="n">
        <f aca="false">SUM(E18:E110)</f>
        <v>80766.2169864721</v>
      </c>
      <c r="F111" s="291" t="n">
        <f aca="false">SUM(F18:F110)</f>
        <v>60.4990389411776</v>
      </c>
      <c r="G111" s="290" t="n">
        <f aca="false">SUM(G18:G110)</f>
        <v>96919.4603837665</v>
      </c>
      <c r="H111" s="291" t="n">
        <f aca="false">SUM(H18:H110)</f>
        <v>72.5988467294131</v>
      </c>
      <c r="I111" s="307"/>
    </row>
    <row r="112" customFormat="false" ht="13.5" hidden="false" customHeight="false" outlineLevel="0" collapsed="false">
      <c r="A112" s="280"/>
      <c r="B112" s="280"/>
      <c r="C112" s="280"/>
      <c r="D112" s="280"/>
      <c r="E112" s="286" t="n">
        <f aca="false">+G111-E111</f>
        <v>16153.2433972944</v>
      </c>
      <c r="F112" s="286"/>
      <c r="G112" s="280"/>
      <c r="H112" s="280"/>
    </row>
    <row r="113" customFormat="false" ht="12.75" hidden="false" customHeight="false" outlineLevel="0" collapsed="false">
      <c r="D113" s="57"/>
      <c r="E113" s="57"/>
      <c r="F113" s="57"/>
    </row>
    <row r="114" customFormat="false" ht="12.75" hidden="false" customHeight="false" outlineLevel="0" collapsed="false">
      <c r="D114" s="57"/>
      <c r="E114" s="57"/>
      <c r="F114" s="57"/>
    </row>
    <row r="115" customFormat="false" ht="12.75" hidden="false" customHeight="false" outlineLevel="0" collapsed="false">
      <c r="D115" s="57"/>
      <c r="E115" s="57"/>
      <c r="F115" s="57"/>
    </row>
    <row r="116" customFormat="false" ht="12.75" hidden="false" customHeight="false" outlineLevel="0" collapsed="false">
      <c r="D116" s="57"/>
      <c r="E116" s="57"/>
      <c r="F116" s="57"/>
    </row>
    <row r="117" customFormat="false" ht="12.75" hidden="false" customHeight="false" outlineLevel="0" collapsed="false">
      <c r="D117" s="57"/>
      <c r="E117" s="57"/>
      <c r="F117" s="57"/>
    </row>
    <row r="118" customFormat="false" ht="12.75" hidden="false" customHeight="false" outlineLevel="0" collapsed="false">
      <c r="D118" s="57"/>
      <c r="E118" s="57"/>
      <c r="F118" s="57"/>
    </row>
    <row r="119" customFormat="false" ht="12.75" hidden="false" customHeight="false" outlineLevel="0" collapsed="false">
      <c r="D119" s="57"/>
      <c r="E119" s="57"/>
      <c r="F119" s="57"/>
    </row>
    <row r="120" customFormat="false" ht="12.75" hidden="false" customHeight="false" outlineLevel="0" collapsed="false">
      <c r="D120" s="57"/>
      <c r="E120" s="57"/>
      <c r="F120" s="57"/>
    </row>
    <row r="121" customFormat="false" ht="12.75" hidden="false" customHeight="false" outlineLevel="0" collapsed="false">
      <c r="D121" s="57"/>
      <c r="E121" s="57"/>
      <c r="F121" s="57"/>
    </row>
    <row r="122" customFormat="false" ht="12.75" hidden="false" customHeight="false" outlineLevel="0" collapsed="false">
      <c r="D122" s="57"/>
      <c r="E122" s="57"/>
      <c r="F122" s="57"/>
    </row>
    <row r="123" customFormat="false" ht="12.75" hidden="false" customHeight="false" outlineLevel="0" collapsed="false">
      <c r="D123" s="57"/>
      <c r="E123" s="57"/>
      <c r="F123" s="57"/>
    </row>
    <row r="124" customFormat="false" ht="12.75" hidden="false" customHeight="false" outlineLevel="0" collapsed="false">
      <c r="D124" s="57"/>
      <c r="E124" s="57"/>
      <c r="F124" s="57"/>
    </row>
    <row r="125" customFormat="false" ht="12.75" hidden="false" customHeight="false" outlineLevel="0" collapsed="false">
      <c r="D125" s="57"/>
      <c r="E125" s="57"/>
      <c r="F125" s="57"/>
    </row>
    <row r="126" customFormat="false" ht="12.75" hidden="false" customHeight="false" outlineLevel="0" collapsed="false">
      <c r="D126" s="57"/>
      <c r="E126" s="57"/>
      <c r="F126" s="57"/>
    </row>
    <row r="127" customFormat="false" ht="12.75" hidden="false" customHeight="false" outlineLevel="0" collapsed="false">
      <c r="D127" s="57"/>
      <c r="E127" s="57"/>
      <c r="F127" s="57"/>
    </row>
    <row r="128" customFormat="false" ht="12.75" hidden="false" customHeight="false" outlineLevel="0" collapsed="false">
      <c r="D128" s="57"/>
      <c r="E128" s="57"/>
      <c r="F128" s="57"/>
    </row>
    <row r="129" customFormat="false" ht="12.75" hidden="false" customHeight="false" outlineLevel="0" collapsed="false">
      <c r="D129" s="57"/>
      <c r="E129" s="57"/>
      <c r="F129" s="57"/>
    </row>
    <row r="130" customFormat="false" ht="12.75" hidden="false" customHeight="false" outlineLevel="0" collapsed="false">
      <c r="D130" s="57"/>
      <c r="E130" s="57"/>
      <c r="F130" s="57"/>
    </row>
    <row r="131" customFormat="false" ht="12.75" hidden="false" customHeight="false" outlineLevel="0" collapsed="false">
      <c r="D131" s="57"/>
      <c r="E131" s="57"/>
      <c r="F131" s="57"/>
    </row>
    <row r="132" customFormat="false" ht="12.75" hidden="false" customHeight="false" outlineLevel="0" collapsed="false">
      <c r="D132" s="57"/>
      <c r="E132" s="57"/>
      <c r="F132" s="57"/>
    </row>
    <row r="133" customFormat="false" ht="12.75" hidden="false" customHeight="false" outlineLevel="0" collapsed="false">
      <c r="D133" s="57"/>
      <c r="E133" s="57"/>
      <c r="F133" s="57"/>
    </row>
    <row r="134" customFormat="false" ht="12.75" hidden="false" customHeight="false" outlineLevel="0" collapsed="false">
      <c r="D134" s="57"/>
      <c r="E134" s="57"/>
      <c r="F134" s="57"/>
    </row>
    <row r="135" customFormat="false" ht="12.75" hidden="false" customHeight="false" outlineLevel="0" collapsed="false">
      <c r="D135" s="57"/>
      <c r="E135" s="57"/>
      <c r="F135" s="57"/>
    </row>
    <row r="136" customFormat="false" ht="12.75" hidden="false" customHeight="false" outlineLevel="0" collapsed="false">
      <c r="D136" s="57"/>
      <c r="E136" s="57"/>
      <c r="F136" s="57"/>
    </row>
    <row r="137" customFormat="false" ht="12.75" hidden="false" customHeight="false" outlineLevel="0" collapsed="false">
      <c r="D137" s="57"/>
      <c r="E137" s="57"/>
      <c r="F137" s="57"/>
    </row>
    <row r="138" customFormat="false" ht="12.75" hidden="false" customHeight="false" outlineLevel="0" collapsed="false">
      <c r="D138" s="57"/>
      <c r="E138" s="57"/>
      <c r="F138" s="57"/>
    </row>
    <row r="139" customFormat="false" ht="12.75" hidden="false" customHeight="false" outlineLevel="0" collapsed="false">
      <c r="D139" s="57"/>
      <c r="E139" s="57"/>
      <c r="F139" s="57"/>
    </row>
    <row r="140" customFormat="false" ht="12.75" hidden="false" customHeight="false" outlineLevel="0" collapsed="false">
      <c r="D140" s="57"/>
      <c r="E140" s="57"/>
      <c r="F140" s="57"/>
    </row>
    <row r="141" customFormat="false" ht="12.75" hidden="false" customHeight="false" outlineLevel="0" collapsed="false">
      <c r="D141" s="57"/>
      <c r="E141" s="57"/>
      <c r="F141" s="57"/>
    </row>
    <row r="142" customFormat="false" ht="12.75" hidden="false" customHeight="false" outlineLevel="0" collapsed="false">
      <c r="D142" s="57"/>
      <c r="E142" s="57"/>
      <c r="F142" s="57"/>
    </row>
  </sheetData>
  <mergeCells count="1">
    <mergeCell ref="A1:H1"/>
  </mergeCells>
  <printOptions headings="false" gridLines="false" gridLinesSet="true" horizontalCentered="true" verticalCentered="false"/>
  <pageMargins left="0.25" right="0.25" top="0.984027777777778" bottom="0.984027777777778" header="0.5" footer="0.5"/>
  <pageSetup paperSize="1" scale="100" fitToWidth="1" fitToHeight="2" pageOrder="downThenOver" orientation="portrait" blackAndWhite="false" draft="false" cellComments="none" horizontalDpi="300" verticalDpi="300" copies="1"/>
  <headerFooter differentFirst="false" differentOddEven="false">
    <oddHeader>&amp;CWESTGATE &amp;&amp; CAMERON LOOP
96 CONDOMINIUMS</oddHeader>
    <oddFooter>&amp;L&amp;"Garamond,Regular"&amp;8&amp;F  Tab &amp;A&amp;C&amp;"Garamond,Regular"&amp;8&amp;P Of &amp;N&amp;R&amp;"Garamond,Regular"&amp;8&amp;D</oddFooter>
  </headerFooter>
  <rowBreaks count="1" manualBreakCount="1">
    <brk id="47" man="true" max="16383" min="0"/>
  </rowBreaks>
  <colBreaks count="1" manualBreakCount="1">
    <brk id="10" man="true" max="65535" min="0"/>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5" activeCellId="0" sqref="B25"/>
    </sheetView>
  </sheetViews>
  <sheetFormatPr defaultColWidth="10.5625" defaultRowHeight="12.75" customHeight="true" zeroHeight="false" outlineLevelRow="0" outlineLevelCol="0"/>
  <cols>
    <col collapsed="false" customWidth="true" hidden="false" outlineLevel="0" max="1" min="1" style="14" width="39.28"/>
    <col collapsed="false" customWidth="true" hidden="false" outlineLevel="0" max="2" min="2" style="14" width="16.85"/>
    <col collapsed="false" customWidth="true" hidden="false" outlineLevel="0" max="3" min="3" style="14" width="11.99"/>
    <col collapsed="false" customWidth="true" hidden="false" outlineLevel="0" max="4" min="4" style="14" width="13.99"/>
    <col collapsed="false" customWidth="true" hidden="false" outlineLevel="0" max="5" min="5" style="14" width="7.28"/>
    <col collapsed="false" customWidth="false" hidden="false" outlineLevel="0" max="6" min="6" style="14" width="10.56"/>
    <col collapsed="false" customWidth="true" hidden="false" outlineLevel="0" max="7" min="7" style="14" width="26.7"/>
    <col collapsed="false" customWidth="true" hidden="false" outlineLevel="0" max="8" min="8" style="14" width="14.56"/>
    <col collapsed="false" customWidth="false" hidden="false" outlineLevel="0" max="9" min="9" style="14" width="10.56"/>
    <col collapsed="false" customWidth="true" hidden="false" outlineLevel="0" max="10" min="10" style="14" width="10.42"/>
    <col collapsed="false" customWidth="true" hidden="false" outlineLevel="0" max="11" min="11" style="14" width="9.85"/>
    <col collapsed="false" customWidth="true" hidden="false" outlineLevel="0" max="12" min="12" style="14" width="5.28"/>
    <col collapsed="false" customWidth="true" hidden="false" outlineLevel="0" max="13" min="13" style="14" width="7.99"/>
    <col collapsed="false" customWidth="true" hidden="false" outlineLevel="0" max="14" min="14" style="14" width="13.28"/>
    <col collapsed="false" customWidth="true" hidden="false" outlineLevel="0" max="15" min="15" style="14" width="9.99"/>
    <col collapsed="false" customWidth="true" hidden="false" outlineLevel="0" max="16" min="16" style="14" width="11.28"/>
    <col collapsed="false" customWidth="true" hidden="false" outlineLevel="0" max="17" min="17" style="14" width="13.28"/>
    <col collapsed="false" customWidth="true" hidden="false" outlineLevel="0" max="19" min="18" style="14" width="11.85"/>
    <col collapsed="false" customWidth="false" hidden="false" outlineLevel="0" max="22" min="20" style="14" width="10.56"/>
    <col collapsed="false" customWidth="true" hidden="false" outlineLevel="0" max="32" min="23" style="14" width="11.56"/>
    <col collapsed="false" customWidth="true" hidden="false" outlineLevel="0" max="33" min="33" style="14" width="12.7"/>
    <col collapsed="false" customWidth="false" hidden="false" outlineLevel="0" max="257" min="34" style="14" width="10.56"/>
  </cols>
  <sheetData>
    <row r="1" customFormat="false" ht="19.5" hidden="false" customHeight="false" outlineLevel="0" collapsed="false">
      <c r="A1" s="15" t="s">
        <v>39</v>
      </c>
      <c r="B1" s="15"/>
      <c r="C1" s="15"/>
      <c r="D1" s="15"/>
      <c r="E1" s="15"/>
      <c r="F1" s="0"/>
      <c r="R1" s="16"/>
      <c r="S1" s="17"/>
      <c r="U1" s="0"/>
      <c r="V1" s="0"/>
      <c r="W1" s="18"/>
      <c r="X1" s="0"/>
      <c r="Y1" s="0"/>
      <c r="Z1" s="0"/>
      <c r="AA1" s="0"/>
      <c r="AB1" s="0"/>
      <c r="AC1" s="0"/>
      <c r="AD1" s="0"/>
      <c r="AE1" s="0"/>
      <c r="AF1" s="0"/>
      <c r="AG1" s="0"/>
    </row>
    <row r="2" customFormat="false" ht="12.75" hidden="false" customHeight="false" outlineLevel="0" collapsed="false">
      <c r="F2" s="0"/>
      <c r="R2" s="16"/>
      <c r="S2" s="17"/>
      <c r="U2" s="0"/>
      <c r="V2" s="0"/>
      <c r="W2" s="0"/>
      <c r="X2" s="0"/>
      <c r="Y2" s="0"/>
      <c r="Z2" s="0"/>
      <c r="AA2" s="0"/>
      <c r="AB2" s="0"/>
      <c r="AC2" s="0"/>
      <c r="AD2" s="0"/>
      <c r="AE2" s="0"/>
      <c r="AF2" s="0"/>
      <c r="AG2" s="0"/>
    </row>
    <row r="3" customFormat="false" ht="12.75" hidden="false" customHeight="false" outlineLevel="0" collapsed="false">
      <c r="A3" s="17"/>
      <c r="B3" s="19" t="s">
        <v>40</v>
      </c>
      <c r="C3" s="19" t="s">
        <v>41</v>
      </c>
      <c r="D3" s="19" t="s">
        <v>42</v>
      </c>
      <c r="E3" s="19" t="s">
        <v>43</v>
      </c>
      <c r="F3" s="20"/>
      <c r="U3" s="0"/>
      <c r="V3" s="0"/>
      <c r="W3" s="21"/>
      <c r="X3" s="21"/>
      <c r="Y3" s="21"/>
      <c r="Z3" s="21"/>
      <c r="AA3" s="21"/>
      <c r="AB3" s="21"/>
      <c r="AC3" s="21"/>
      <c r="AD3" s="21"/>
      <c r="AE3" s="21"/>
      <c r="AF3" s="21"/>
      <c r="AG3" s="21"/>
    </row>
    <row r="4" customFormat="false" ht="12.75" hidden="false" customHeight="false" outlineLevel="0" collapsed="false">
      <c r="A4" s="22" t="s">
        <v>44</v>
      </c>
      <c r="B4" s="22" t="n">
        <f aca="false">+TLU</f>
        <v>96</v>
      </c>
      <c r="C4" s="23"/>
      <c r="D4" s="17"/>
      <c r="E4" s="17"/>
      <c r="F4" s="20"/>
      <c r="T4" s="24"/>
      <c r="U4" s="0"/>
      <c r="V4" s="0"/>
      <c r="W4" s="21"/>
      <c r="X4" s="21"/>
      <c r="Y4" s="21"/>
      <c r="Z4" s="21"/>
      <c r="AA4" s="21"/>
      <c r="AB4" s="21"/>
      <c r="AC4" s="21"/>
      <c r="AD4" s="21"/>
      <c r="AE4" s="21"/>
      <c r="AF4" s="21"/>
      <c r="AG4" s="21"/>
    </row>
    <row r="5" customFormat="false" ht="12.75" hidden="false" customHeight="false" outlineLevel="0" collapsed="false">
      <c r="A5" s="22" t="s">
        <v>45</v>
      </c>
      <c r="B5" s="25" t="n">
        <f aca="false">+'Unit Summary'!M14</f>
        <v>127290</v>
      </c>
      <c r="C5" s="26" t="n">
        <f aca="false">+B5/B4</f>
        <v>1325.9375</v>
      </c>
      <c r="D5" s="17"/>
      <c r="E5" s="17"/>
      <c r="F5" s="20"/>
      <c r="T5" s="0"/>
      <c r="U5" s="27"/>
      <c r="V5" s="0"/>
      <c r="W5" s="21"/>
      <c r="X5" s="21"/>
      <c r="Y5" s="21"/>
      <c r="Z5" s="21"/>
      <c r="AA5" s="21"/>
      <c r="AB5" s="21"/>
      <c r="AC5" s="21"/>
      <c r="AD5" s="21"/>
      <c r="AE5" s="21"/>
      <c r="AF5" s="21"/>
      <c r="AG5" s="21"/>
    </row>
    <row r="6" customFormat="false" ht="12.75" hidden="false" customHeight="false" outlineLevel="0" collapsed="false">
      <c r="A6" s="17"/>
      <c r="F6" s="20"/>
      <c r="T6" s="0"/>
      <c r="U6" s="0"/>
      <c r="V6" s="0"/>
      <c r="W6" s="21"/>
      <c r="X6" s="21"/>
      <c r="Y6" s="21"/>
      <c r="Z6" s="21"/>
      <c r="AA6" s="21"/>
      <c r="AB6" s="21"/>
      <c r="AC6" s="21"/>
      <c r="AD6" s="21"/>
      <c r="AE6" s="21"/>
      <c r="AF6" s="21"/>
      <c r="AG6" s="21"/>
    </row>
    <row r="7" customFormat="false" ht="12.75" hidden="false" customHeight="false" outlineLevel="0" collapsed="false">
      <c r="A7" s="28" t="s">
        <v>46</v>
      </c>
      <c r="B7" s="17"/>
      <c r="C7" s="29"/>
      <c r="D7" s="30"/>
      <c r="E7" s="31"/>
      <c r="F7" s="20"/>
      <c r="T7" s="0"/>
      <c r="U7" s="0"/>
      <c r="V7" s="0"/>
      <c r="W7" s="21"/>
      <c r="X7" s="21"/>
      <c r="Y7" s="21"/>
      <c r="Z7" s="21"/>
      <c r="AA7" s="21"/>
      <c r="AB7" s="21"/>
      <c r="AC7" s="21"/>
      <c r="AD7" s="21"/>
      <c r="AE7" s="21"/>
      <c r="AF7" s="21"/>
      <c r="AG7" s="21"/>
    </row>
    <row r="8" customFormat="false" ht="12.75" hidden="false" customHeight="false" outlineLevel="0" collapsed="false">
      <c r="A8" s="17" t="s">
        <v>47</v>
      </c>
      <c r="B8" s="32" t="n">
        <f aca="false">+'Unit Summary'!K14</f>
        <v>13423236</v>
      </c>
      <c r="C8" s="29" t="n">
        <f aca="false">+$B8/TLU</f>
        <v>139825.375</v>
      </c>
      <c r="D8" s="30" t="n">
        <f aca="false">+B8/$B$5</f>
        <v>105.453971246759</v>
      </c>
      <c r="E8" s="31" t="n">
        <f aca="false">+B8/B$8</f>
        <v>1</v>
      </c>
      <c r="F8" s="20"/>
      <c r="T8" s="0"/>
      <c r="U8" s="0"/>
      <c r="V8" s="0"/>
      <c r="W8" s="21"/>
      <c r="X8" s="21"/>
      <c r="Y8" s="21"/>
      <c r="Z8" s="21"/>
      <c r="AA8" s="21"/>
      <c r="AB8" s="21"/>
      <c r="AC8" s="21"/>
      <c r="AD8" s="21"/>
      <c r="AE8" s="21"/>
      <c r="AF8" s="21"/>
      <c r="AG8" s="21"/>
    </row>
    <row r="9" customFormat="false" ht="12.75" hidden="false" customHeight="false" outlineLevel="0" collapsed="false">
      <c r="A9" s="17"/>
      <c r="B9" s="17"/>
      <c r="C9" s="29"/>
      <c r="D9" s="30"/>
      <c r="E9" s="31"/>
      <c r="F9" s="20"/>
      <c r="T9" s="0"/>
      <c r="U9" s="0"/>
      <c r="V9" s="0"/>
      <c r="W9" s="21"/>
      <c r="X9" s="21"/>
      <c r="Y9" s="21"/>
      <c r="Z9" s="21"/>
      <c r="AA9" s="21"/>
      <c r="AB9" s="21"/>
      <c r="AC9" s="21"/>
      <c r="AD9" s="21"/>
      <c r="AE9" s="21"/>
      <c r="AF9" s="21"/>
      <c r="AG9" s="21"/>
    </row>
    <row r="10" customFormat="false" ht="12.75" hidden="false" customHeight="false" outlineLevel="0" collapsed="false">
      <c r="A10" s="28" t="s">
        <v>48</v>
      </c>
      <c r="B10" s="17"/>
      <c r="C10" s="29"/>
      <c r="D10" s="30"/>
      <c r="E10" s="31"/>
      <c r="F10" s="20"/>
      <c r="T10" s="0"/>
      <c r="U10" s="0"/>
      <c r="V10" s="0"/>
      <c r="W10" s="0"/>
      <c r="X10" s="0"/>
      <c r="Y10" s="0"/>
      <c r="Z10" s="0"/>
      <c r="AA10" s="0"/>
      <c r="AB10" s="0"/>
      <c r="AC10" s="0"/>
      <c r="AD10" s="0"/>
      <c r="AE10" s="0"/>
      <c r="AF10" s="0"/>
      <c r="AG10" s="21"/>
    </row>
    <row r="11" customFormat="false" ht="12.75" hidden="false" customHeight="false" outlineLevel="0" collapsed="false">
      <c r="A11" s="17" t="s">
        <v>49</v>
      </c>
      <c r="B11" s="32" t="n">
        <f aca="false">B$8*Slscomm</f>
        <v>671161.8</v>
      </c>
      <c r="C11" s="29" t="n">
        <f aca="false">+$B11/TLU</f>
        <v>6991.26875</v>
      </c>
      <c r="D11" s="30" t="n">
        <f aca="false">+B11/$B$5</f>
        <v>5.27269856233797</v>
      </c>
      <c r="E11" s="31" t="n">
        <f aca="false">+B11/B$8</f>
        <v>0.05</v>
      </c>
      <c r="F11" s="20"/>
      <c r="U11" s="0"/>
      <c r="V11" s="0"/>
      <c r="W11" s="0"/>
      <c r="X11" s="0"/>
      <c r="Y11" s="0"/>
      <c r="Z11" s="0"/>
      <c r="AA11" s="0"/>
      <c r="AB11" s="0"/>
      <c r="AC11" s="0"/>
      <c r="AD11" s="0"/>
      <c r="AE11" s="0"/>
      <c r="AF11" s="0"/>
      <c r="AG11" s="21"/>
    </row>
    <row r="12" customFormat="false" ht="12.75" hidden="false" customHeight="false" outlineLevel="0" collapsed="false">
      <c r="A12" s="33" t="s">
        <v>37</v>
      </c>
      <c r="B12" s="34" t="n">
        <f aca="false">B$8*Ccost</f>
        <v>167790.45</v>
      </c>
      <c r="C12" s="35" t="n">
        <f aca="false">+$B12/TLU</f>
        <v>1747.8171875</v>
      </c>
      <c r="D12" s="36" t="n">
        <f aca="false">+B12/$B$5</f>
        <v>1.31817464058449</v>
      </c>
      <c r="E12" s="37" t="n">
        <f aca="false">+B12/B$8</f>
        <v>0.0125</v>
      </c>
      <c r="F12" s="20"/>
      <c r="U12" s="0"/>
      <c r="V12" s="0"/>
      <c r="W12" s="0"/>
      <c r="X12" s="0"/>
      <c r="Y12" s="0"/>
      <c r="Z12" s="0"/>
      <c r="AA12" s="0"/>
      <c r="AB12" s="0"/>
      <c r="AC12" s="0"/>
      <c r="AD12" s="0"/>
      <c r="AE12" s="0"/>
      <c r="AF12" s="0"/>
      <c r="AG12" s="21" t="n">
        <f aca="false">SUM(W12:AF12)</f>
        <v>0</v>
      </c>
    </row>
    <row r="13" customFormat="false" ht="12.75" hidden="false" customHeight="false" outlineLevel="0" collapsed="false">
      <c r="A13" s="17" t="s">
        <v>50</v>
      </c>
      <c r="B13" s="32" t="n">
        <f aca="false">+B12+B11</f>
        <v>838952.25</v>
      </c>
      <c r="C13" s="29" t="n">
        <f aca="false">+$B13/TLU</f>
        <v>8739.0859375</v>
      </c>
      <c r="D13" s="30" t="n">
        <f aca="false">+B13/$B$5</f>
        <v>6.59087320292246</v>
      </c>
      <c r="E13" s="31" t="n">
        <f aca="false">+B13/B$8</f>
        <v>0.0625</v>
      </c>
      <c r="F13" s="20"/>
      <c r="U13" s="0"/>
      <c r="V13" s="0"/>
      <c r="W13" s="0"/>
      <c r="X13" s="0"/>
      <c r="Y13" s="0"/>
      <c r="Z13" s="0"/>
      <c r="AA13" s="0"/>
      <c r="AB13" s="0"/>
      <c r="AC13" s="0"/>
      <c r="AD13" s="0"/>
      <c r="AE13" s="0"/>
      <c r="AF13" s="0"/>
      <c r="AG13" s="21" t="n">
        <f aca="false">SUM(W13:AF13)</f>
        <v>0</v>
      </c>
    </row>
    <row r="14" customFormat="false" ht="12.75" hidden="false" customHeight="true" outlineLevel="0" collapsed="false">
      <c r="A14" s="17"/>
      <c r="C14" s="29"/>
      <c r="D14" s="30"/>
      <c r="U14" s="0"/>
      <c r="V14" s="0"/>
      <c r="X14" s="0"/>
      <c r="Y14" s="0"/>
      <c r="Z14" s="0"/>
      <c r="AA14" s="0"/>
      <c r="AB14" s="0"/>
      <c r="AC14" s="0"/>
      <c r="AD14" s="0"/>
      <c r="AE14" s="0"/>
      <c r="AF14" s="0"/>
      <c r="AG14" s="21" t="n">
        <f aca="false">SUM(X14:AF14)</f>
        <v>0</v>
      </c>
    </row>
    <row r="15" customFormat="false" ht="12.75" hidden="false" customHeight="false" outlineLevel="0" collapsed="false">
      <c r="A15" s="22" t="s">
        <v>51</v>
      </c>
      <c r="B15" s="38" t="n">
        <f aca="false">+B8-B13</f>
        <v>12584283.75</v>
      </c>
      <c r="C15" s="38" t="n">
        <f aca="false">+$B15/TLU</f>
        <v>131086.2890625</v>
      </c>
      <c r="D15" s="30" t="n">
        <f aca="false">+B15/$B$5</f>
        <v>98.8630980438369</v>
      </c>
      <c r="E15" s="31" t="n">
        <f aca="false">+B15/B$8</f>
        <v>0.9375</v>
      </c>
      <c r="F15" s="20"/>
      <c r="R15" s="39"/>
      <c r="T15" s="40"/>
      <c r="U15" s="0"/>
      <c r="V15" s="0"/>
      <c r="X15" s="0"/>
      <c r="Y15" s="0"/>
      <c r="Z15" s="0"/>
      <c r="AA15" s="0"/>
      <c r="AB15" s="0"/>
      <c r="AC15" s="0"/>
      <c r="AD15" s="0"/>
      <c r="AE15" s="0"/>
      <c r="AF15" s="0"/>
      <c r="AG15" s="21" t="n">
        <f aca="false">SUM(X15:AF15)</f>
        <v>0</v>
      </c>
    </row>
    <row r="16" customFormat="false" ht="12.75" hidden="false" customHeight="false" outlineLevel="0" collapsed="false">
      <c r="A16" s="17"/>
      <c r="B16" s="41"/>
      <c r="C16" s="29"/>
      <c r="D16" s="30"/>
      <c r="E16" s="42"/>
      <c r="F16" s="20"/>
      <c r="U16" s="0"/>
      <c r="V16" s="0"/>
      <c r="X16" s="0"/>
      <c r="Y16" s="0"/>
      <c r="Z16" s="0"/>
      <c r="AA16" s="0"/>
      <c r="AB16" s="0"/>
      <c r="AC16" s="0"/>
      <c r="AD16" s="0"/>
      <c r="AE16" s="0"/>
      <c r="AF16" s="0"/>
      <c r="AG16" s="21" t="n">
        <f aca="false">SUM(X16:AF16)</f>
        <v>0</v>
      </c>
    </row>
    <row r="17" customFormat="false" ht="12.75" hidden="false" customHeight="false" outlineLevel="0" collapsed="false">
      <c r="A17" s="28" t="s">
        <v>52</v>
      </c>
      <c r="D17" s="30"/>
      <c r="E17" s="17"/>
      <c r="F17" s="20"/>
      <c r="U17" s="0"/>
      <c r="V17" s="0"/>
      <c r="X17" s="0"/>
      <c r="Y17" s="0"/>
      <c r="Z17" s="0"/>
      <c r="AA17" s="0"/>
      <c r="AB17" s="0"/>
      <c r="AC17" s="0"/>
      <c r="AD17" s="0"/>
      <c r="AE17" s="0"/>
      <c r="AF17" s="0"/>
      <c r="AG17" s="21" t="n">
        <f aca="false">SUM(X17:AF17)</f>
        <v>0</v>
      </c>
    </row>
    <row r="18" customFormat="false" ht="12.75" hidden="false" customHeight="false" outlineLevel="0" collapsed="false">
      <c r="A18" s="17" t="s">
        <v>53</v>
      </c>
      <c r="B18" s="32" t="n">
        <f aca="false">+'A&amp;D Costs'!E$12</f>
        <v>764840</v>
      </c>
      <c r="C18" s="29" t="n">
        <f aca="false">+$B18/TLU</f>
        <v>7967.08333333333</v>
      </c>
      <c r="D18" s="30" t="n">
        <f aca="false">+B18/$B$5</f>
        <v>6.00864168434284</v>
      </c>
      <c r="E18" s="31" t="n">
        <f aca="false">+B18/B$8</f>
        <v>0.0569788089846591</v>
      </c>
      <c r="F18" s="20"/>
      <c r="U18" s="0"/>
      <c r="V18" s="0"/>
      <c r="X18" s="0"/>
      <c r="Y18" s="0"/>
      <c r="Z18" s="0"/>
      <c r="AA18" s="0"/>
      <c r="AB18" s="0"/>
      <c r="AC18" s="0"/>
      <c r="AD18" s="0"/>
      <c r="AE18" s="0"/>
      <c r="AF18" s="0"/>
      <c r="AG18" s="21" t="n">
        <f aca="false">SUM(X18:AF18)</f>
        <v>0</v>
      </c>
    </row>
    <row r="19" customFormat="false" ht="12.75" hidden="false" customHeight="false" outlineLevel="0" collapsed="false">
      <c r="A19" s="17" t="s">
        <v>54</v>
      </c>
      <c r="B19" s="43" t="n">
        <f aca="false">+'A&amp;D Costs'!E103</f>
        <v>1129444.83518519</v>
      </c>
      <c r="C19" s="43" t="n">
        <f aca="false">+$B19/TLU</f>
        <v>11765.0503665123</v>
      </c>
      <c r="D19" s="21" t="n">
        <f aca="false">+B19/$B$5</f>
        <v>8.87300522574582</v>
      </c>
      <c r="E19" s="31" t="n">
        <f aca="false">+B19/B$8</f>
        <v>0.0841410249499588</v>
      </c>
      <c r="F19" s="20"/>
      <c r="U19" s="0"/>
      <c r="V19" s="0"/>
      <c r="X19" s="0"/>
      <c r="Y19" s="0"/>
      <c r="Z19" s="0"/>
      <c r="AA19" s="0"/>
      <c r="AB19" s="0"/>
      <c r="AC19" s="0"/>
      <c r="AD19" s="0"/>
      <c r="AE19" s="0"/>
      <c r="AF19" s="0"/>
      <c r="AG19" s="21" t="n">
        <f aca="false">SUM(X19:AF19)</f>
        <v>0</v>
      </c>
    </row>
    <row r="20" customFormat="false" ht="12.75" hidden="false" customHeight="false" outlineLevel="0" collapsed="false">
      <c r="A20" s="33" t="s">
        <v>55</v>
      </c>
      <c r="B20" s="44" t="n">
        <f aca="false">+'Unit Summary'!H14</f>
        <v>8500475.54381652</v>
      </c>
      <c r="C20" s="44" t="n">
        <f aca="false">+$B20/TLU</f>
        <v>88546.6202480887</v>
      </c>
      <c r="D20" s="36" t="n">
        <f aca="false">+B20/$B$5</f>
        <v>66.780387648806</v>
      </c>
      <c r="E20" s="37" t="n">
        <f aca="false">+B20/B$8</f>
        <v>0.633265744848449</v>
      </c>
      <c r="F20" s="20"/>
      <c r="U20" s="0"/>
      <c r="V20" s="0"/>
      <c r="X20" s="0"/>
      <c r="Y20" s="0"/>
      <c r="Z20" s="0"/>
      <c r="AA20" s="0"/>
      <c r="AB20" s="0"/>
      <c r="AC20" s="0"/>
      <c r="AD20" s="0"/>
      <c r="AE20" s="0"/>
      <c r="AF20" s="0"/>
      <c r="AG20" s="21" t="n">
        <f aca="false">SUM(X20:AF20)</f>
        <v>0</v>
      </c>
    </row>
    <row r="21" customFormat="false" ht="12.75" hidden="false" customHeight="false" outlineLevel="0" collapsed="false">
      <c r="A21" s="17" t="s">
        <v>56</v>
      </c>
      <c r="B21" s="32" t="n">
        <f aca="false">SUM(B18:B20)</f>
        <v>10394760.3790017</v>
      </c>
      <c r="C21" s="29" t="n">
        <f aca="false">+$B21/TLU</f>
        <v>108278.753947934</v>
      </c>
      <c r="D21" s="30" t="n">
        <f aca="false">+B21/$B$5</f>
        <v>81.6620345588947</v>
      </c>
      <c r="E21" s="31" t="n">
        <f aca="false">+B21/B$8</f>
        <v>0.774385578783067</v>
      </c>
      <c r="F21" s="20"/>
      <c r="U21" s="0"/>
      <c r="V21" s="0"/>
      <c r="X21" s="0"/>
      <c r="Y21" s="0"/>
      <c r="Z21" s="0"/>
      <c r="AA21" s="0"/>
      <c r="AB21" s="0"/>
      <c r="AC21" s="0"/>
      <c r="AD21" s="0"/>
      <c r="AE21" s="0"/>
      <c r="AF21" s="0"/>
      <c r="AG21" s="21" t="n">
        <f aca="false">SUM(X21:AF21)</f>
        <v>0</v>
      </c>
    </row>
    <row r="22" customFormat="false" ht="12.75" hidden="false" customHeight="false" outlineLevel="0" collapsed="false">
      <c r="A22" s="17"/>
      <c r="B22" s="17"/>
      <c r="C22" s="29"/>
      <c r="D22" s="30"/>
      <c r="E22" s="31"/>
      <c r="F22" s="20"/>
      <c r="U22" s="0"/>
      <c r="V22" s="0"/>
      <c r="X22" s="0"/>
      <c r="Y22" s="0"/>
      <c r="Z22" s="0"/>
      <c r="AA22" s="0"/>
      <c r="AB22" s="0"/>
      <c r="AC22" s="0"/>
      <c r="AD22" s="0"/>
      <c r="AE22" s="0"/>
      <c r="AF22" s="0"/>
      <c r="AG22" s="21" t="n">
        <f aca="false">SUM(X22:AF22)</f>
        <v>0</v>
      </c>
    </row>
    <row r="23" customFormat="false" ht="12.75" hidden="false" customHeight="false" outlineLevel="0" collapsed="false">
      <c r="A23" s="28"/>
      <c r="C23" s="29"/>
      <c r="D23" s="30"/>
      <c r="E23" s="31"/>
      <c r="F23" s="20"/>
      <c r="U23" s="0"/>
      <c r="V23" s="0"/>
      <c r="X23" s="0"/>
      <c r="Y23" s="0"/>
      <c r="Z23" s="0"/>
      <c r="AA23" s="0"/>
      <c r="AB23" s="0"/>
      <c r="AC23" s="0"/>
      <c r="AD23" s="0"/>
      <c r="AE23" s="0"/>
      <c r="AF23" s="0"/>
      <c r="AG23" s="21" t="n">
        <f aca="false">SUM(X23:AF23)</f>
        <v>0</v>
      </c>
    </row>
    <row r="24" customFormat="false" ht="12.75" hidden="false" customHeight="false" outlineLevel="0" collapsed="false">
      <c r="A24" s="17" t="s">
        <v>57</v>
      </c>
      <c r="B24" s="32" t="n">
        <f aca="false">B21*CLPts</f>
        <v>103947.603790017</v>
      </c>
      <c r="C24" s="29" t="n">
        <f aca="false">+$B24/TLU</f>
        <v>1082.78753947934</v>
      </c>
      <c r="D24" s="30" t="n">
        <f aca="false">+B24/$B$5</f>
        <v>0.816620345588947</v>
      </c>
      <c r="E24" s="31" t="n">
        <f aca="false">+B24/B$8</f>
        <v>0.00774385578783067</v>
      </c>
      <c r="F24" s="20"/>
    </row>
    <row r="25" customFormat="false" ht="12.75" hidden="false" customHeight="false" outlineLevel="0" collapsed="false">
      <c r="A25" s="33" t="s">
        <v>58</v>
      </c>
      <c r="B25" s="34" t="n">
        <f aca="false">B$8*LTV*AvgBal*CLIntRt*ConstTime</f>
        <v>413435.6688</v>
      </c>
      <c r="C25" s="35" t="n">
        <f aca="false">+$B25/TLU</f>
        <v>4306.62155</v>
      </c>
      <c r="D25" s="36" t="n">
        <f aca="false">+B25/$B$5</f>
        <v>3.24798231440019</v>
      </c>
      <c r="E25" s="37" t="n">
        <f aca="false">+B25/B$8</f>
        <v>0.0308</v>
      </c>
      <c r="F25" s="20"/>
    </row>
    <row r="26" customFormat="false" ht="12.75" hidden="false" customHeight="false" outlineLevel="0" collapsed="false">
      <c r="A26" s="17" t="s">
        <v>59</v>
      </c>
      <c r="B26" s="32" t="n">
        <f aca="false">+B25+B24</f>
        <v>517383.272590017</v>
      </c>
      <c r="C26" s="29" t="n">
        <f aca="false">+$B26/TLU</f>
        <v>5389.40908947934</v>
      </c>
      <c r="D26" s="30" t="n">
        <f aca="false">+B26/$B$5</f>
        <v>4.06460265998914</v>
      </c>
      <c r="E26" s="31" t="n">
        <f aca="false">+B26/B$8</f>
        <v>0.0385438557878307</v>
      </c>
      <c r="F26" s="20"/>
    </row>
    <row r="27" customFormat="false" ht="12.75" hidden="false" customHeight="false" outlineLevel="0" collapsed="false">
      <c r="A27" s="17"/>
      <c r="B27" s="17"/>
      <c r="C27" s="29"/>
      <c r="D27" s="30"/>
      <c r="E27" s="31"/>
      <c r="F27" s="20"/>
    </row>
    <row r="28" customFormat="false" ht="12.75" hidden="false" customHeight="false" outlineLevel="0" collapsed="false">
      <c r="A28" s="22" t="s">
        <v>60</v>
      </c>
      <c r="B28" s="45" t="n">
        <f aca="false">+B26+B21</f>
        <v>10912143.6515917</v>
      </c>
      <c r="C28" s="38" t="n">
        <f aca="false">+$B28/TLU</f>
        <v>113668.163037414</v>
      </c>
      <c r="D28" s="30" t="n">
        <f aca="false">+B28/$B$5</f>
        <v>85.7266372188838</v>
      </c>
      <c r="E28" s="42" t="n">
        <f aca="false">+B28/B$8</f>
        <v>0.812929434570898</v>
      </c>
      <c r="F28" s="20"/>
    </row>
    <row r="29" customFormat="false" ht="13.5" hidden="false" customHeight="false" outlineLevel="0" collapsed="false">
      <c r="A29" s="17"/>
      <c r="B29" s="17"/>
      <c r="C29" s="29"/>
      <c r="D29" s="30"/>
      <c r="E29" s="31"/>
      <c r="F29" s="20"/>
    </row>
    <row r="30" customFormat="false" ht="13.5" hidden="false" customHeight="false" outlineLevel="0" collapsed="false">
      <c r="A30" s="46" t="s">
        <v>61</v>
      </c>
      <c r="B30" s="47" t="n">
        <f aca="false">+B15-B28</f>
        <v>1672140.09840828</v>
      </c>
      <c r="C30" s="48" t="n">
        <f aca="false">+$B30/TLU</f>
        <v>17418.1260250863</v>
      </c>
      <c r="D30" s="49" t="n">
        <f aca="false">+B30/$B$5</f>
        <v>13.1364608249531</v>
      </c>
      <c r="E30" s="50" t="n">
        <f aca="false">B30/B$8</f>
        <v>0.124570565429102</v>
      </c>
      <c r="F30" s="20"/>
    </row>
    <row r="31" customFormat="false" ht="12.75" hidden="false" customHeight="false" outlineLevel="0" collapsed="false">
      <c r="A31" s="17"/>
      <c r="B31" s="17"/>
      <c r="C31" s="29"/>
      <c r="D31" s="51"/>
      <c r="E31" s="17"/>
      <c r="F31" s="20"/>
    </row>
    <row r="32" customFormat="false" ht="12.75" hidden="false" customHeight="false" outlineLevel="0" collapsed="false">
      <c r="A32" s="22" t="s">
        <v>62</v>
      </c>
      <c r="B32" s="45" t="n">
        <v>700000</v>
      </c>
      <c r="C32" s="38" t="n">
        <f aca="false">+$B32/TLU</f>
        <v>7291.66666666667</v>
      </c>
      <c r="D32" s="52" t="n">
        <f aca="false">+$B32/'Unit Summary'!M$14</f>
        <v>5.49925367271585</v>
      </c>
      <c r="E32" s="42" t="n">
        <f aca="false">+B32/B$8</f>
        <v>0.0521483791240801</v>
      </c>
      <c r="F32" s="20"/>
    </row>
    <row r="33" customFormat="false" ht="12.75" hidden="false" customHeight="false" outlineLevel="0" collapsed="false">
      <c r="A33" s="22" t="s">
        <v>63</v>
      </c>
      <c r="B33" s="53" t="n">
        <f aca="false">0.5*B30</f>
        <v>836070.04920414</v>
      </c>
      <c r="C33" s="38" t="n">
        <f aca="false">+B33/TLU</f>
        <v>8709.06301254313</v>
      </c>
      <c r="D33" s="52" t="n">
        <f aca="false">+$B33/'Unit Summary'!M$14</f>
        <v>6.56823041247655</v>
      </c>
      <c r="E33" s="42" t="n">
        <f aca="false">+B33/B$8</f>
        <v>0.0622852827145511</v>
      </c>
      <c r="F33" s="20"/>
    </row>
    <row r="34" customFormat="false" ht="12.75" hidden="false" customHeight="false" outlineLevel="0" collapsed="false">
      <c r="A34" s="17" t="s">
        <v>64</v>
      </c>
      <c r="B34" s="54" t="n">
        <f aca="false">+B33/B32</f>
        <v>1.19438578457734</v>
      </c>
      <c r="C34" s="29"/>
      <c r="D34" s="51"/>
      <c r="E34" s="17"/>
      <c r="F34" s="20"/>
    </row>
    <row r="35" customFormat="false" ht="12.75" hidden="false" customHeight="false" outlineLevel="0" collapsed="false">
      <c r="A35" s="17" t="s">
        <v>65</v>
      </c>
      <c r="B35" s="54" t="n">
        <f aca="false">B34/36*12</f>
        <v>0.398128594859114</v>
      </c>
      <c r="C35" s="29"/>
      <c r="D35" s="51"/>
      <c r="E35" s="17"/>
      <c r="F35" s="20"/>
    </row>
    <row r="36" customFormat="false" ht="12.75" hidden="false" customHeight="false" outlineLevel="0" collapsed="false">
      <c r="A36" s="17"/>
      <c r="B36" s="17"/>
      <c r="C36" s="29"/>
      <c r="D36" s="51"/>
      <c r="E36" s="17"/>
      <c r="F36" s="20"/>
    </row>
    <row r="37" customFormat="false" ht="12.75" hidden="false" customHeight="false" outlineLevel="0" collapsed="false">
      <c r="A37" s="55" t="s">
        <v>66</v>
      </c>
      <c r="B37" s="55"/>
      <c r="C37" s="55"/>
      <c r="D37" s="55"/>
      <c r="E37" s="17"/>
      <c r="F37" s="20"/>
    </row>
    <row r="38" customFormat="false" ht="12.75" hidden="false" customHeight="false" outlineLevel="0" collapsed="false">
      <c r="A38" s="28"/>
      <c r="B38" s="19" t="s">
        <v>67</v>
      </c>
      <c r="C38" s="56" t="s">
        <v>68</v>
      </c>
      <c r="D38" s="51"/>
      <c r="E38" s="17"/>
      <c r="F38" s="20"/>
    </row>
    <row r="39" customFormat="false" ht="12.75" hidden="false" customHeight="false" outlineLevel="0" collapsed="false">
      <c r="A39" s="28" t="s">
        <v>69</v>
      </c>
      <c r="B39" s="17"/>
      <c r="C39" s="29"/>
      <c r="D39" s="51"/>
      <c r="E39" s="17"/>
      <c r="F39" s="20"/>
    </row>
    <row r="40" customFormat="false" ht="12.75" hidden="false" customHeight="false" outlineLevel="0" collapsed="false">
      <c r="A40" s="57" t="s">
        <v>70</v>
      </c>
      <c r="B40" s="32" t="n">
        <f aca="false">C40*TLU</f>
        <v>1920000</v>
      </c>
      <c r="C40" s="32" t="n">
        <v>20000</v>
      </c>
      <c r="D40" s="54" t="n">
        <f aca="false">+C40/C$40</f>
        <v>1</v>
      </c>
      <c r="E40" s="17"/>
      <c r="F40" s="20"/>
    </row>
    <row r="41" customFormat="false" ht="12.75" hidden="false" customHeight="false" outlineLevel="0" collapsed="false">
      <c r="A41" s="1" t="s">
        <v>71</v>
      </c>
      <c r="B41" s="32" t="n">
        <f aca="false">C41*TLU</f>
        <v>1440000</v>
      </c>
      <c r="C41" s="32" t="n">
        <f aca="false">0.75*C40</f>
        <v>15000</v>
      </c>
      <c r="D41" s="54" t="n">
        <f aca="false">+C41/C$40</f>
        <v>0.75</v>
      </c>
      <c r="E41" s="17"/>
      <c r="F41" s="20"/>
    </row>
    <row r="42" customFormat="false" ht="12.75" hidden="false" customHeight="false" outlineLevel="0" collapsed="false">
      <c r="A42" s="1" t="s">
        <v>72</v>
      </c>
      <c r="B42" s="32" t="n">
        <f aca="false">C42*TLU</f>
        <v>1894284.83518519</v>
      </c>
      <c r="C42" s="32" t="n">
        <f aca="false">+C19+C18</f>
        <v>19732.1336998457</v>
      </c>
      <c r="D42" s="54" t="n">
        <f aca="false">+C42/C$40</f>
        <v>0.986606684992284</v>
      </c>
      <c r="E42" s="17"/>
      <c r="F42" s="20"/>
    </row>
    <row r="43" customFormat="false" ht="12.75" hidden="false" customHeight="false" outlineLevel="0" collapsed="false">
      <c r="A43" s="1" t="s">
        <v>73</v>
      </c>
      <c r="B43" s="32" t="n">
        <f aca="false">C43*TLU</f>
        <v>454284.835185185</v>
      </c>
      <c r="C43" s="32" t="n">
        <f aca="false">+C42-C41</f>
        <v>4732.13369984568</v>
      </c>
      <c r="D43" s="54" t="n">
        <f aca="false">+C43/C$40</f>
        <v>0.236606684992284</v>
      </c>
      <c r="E43" s="17"/>
      <c r="F43" s="20"/>
    </row>
    <row r="44" customFormat="false" ht="12.75" hidden="false" customHeight="false" outlineLevel="0" collapsed="false">
      <c r="A44" s="1" t="s">
        <v>74</v>
      </c>
      <c r="B44" s="32" t="n">
        <f aca="false">C44*TLU</f>
        <v>225888.967037037</v>
      </c>
      <c r="C44" s="32" t="n">
        <f aca="false">0.2*C19</f>
        <v>2353.01007330247</v>
      </c>
      <c r="D44" s="54" t="n">
        <f aca="false">+C44/C$40</f>
        <v>0.117650503665123</v>
      </c>
      <c r="E44" s="17"/>
      <c r="F44" s="20"/>
    </row>
    <row r="45" customFormat="false" ht="12.75" hidden="false" customHeight="false" outlineLevel="0" collapsed="false">
      <c r="A45" s="1" t="s">
        <v>75</v>
      </c>
      <c r="B45" s="32" t="n">
        <f aca="false">C45*TLU</f>
        <v>1728000</v>
      </c>
      <c r="C45" s="32" t="n">
        <f aca="false">$C$41*1.2</f>
        <v>18000</v>
      </c>
      <c r="D45" s="54" t="n">
        <f aca="false">+C45/C$40</f>
        <v>0.9</v>
      </c>
      <c r="E45" s="17"/>
      <c r="F45" s="20"/>
    </row>
    <row r="46" customFormat="false" ht="12.75" hidden="false" customHeight="false" outlineLevel="0" collapsed="false">
      <c r="A46" s="1"/>
      <c r="B46" s="58"/>
      <c r="C46" s="58"/>
      <c r="D46" s="54"/>
      <c r="E46" s="17"/>
      <c r="F46" s="20"/>
    </row>
    <row r="47" customFormat="false" ht="12.75" hidden="false" customHeight="false" outlineLevel="0" collapsed="false">
      <c r="A47" s="59" t="s">
        <v>76</v>
      </c>
      <c r="B47" s="58"/>
      <c r="C47" s="58"/>
      <c r="D47" s="54"/>
      <c r="E47" s="17"/>
      <c r="F47" s="20"/>
    </row>
    <row r="48" customFormat="false" ht="12.75" hidden="false" customHeight="false" outlineLevel="0" collapsed="false">
      <c r="A48" s="59" t="s">
        <v>77</v>
      </c>
      <c r="B48" s="58"/>
      <c r="C48" s="58"/>
      <c r="D48" s="54"/>
      <c r="E48" s="17"/>
      <c r="F48" s="20"/>
    </row>
    <row r="49" customFormat="false" ht="12.75" hidden="false" customHeight="false" outlineLevel="0" collapsed="false">
      <c r="A49" s="60" t="s">
        <v>78</v>
      </c>
      <c r="B49" s="58"/>
      <c r="C49" s="58" t="n">
        <v>10</v>
      </c>
      <c r="D49" s="54"/>
      <c r="E49" s="17"/>
      <c r="F49" s="20"/>
    </row>
    <row r="50" customFormat="false" ht="12.75" hidden="false" customHeight="false" outlineLevel="0" collapsed="false">
      <c r="A50" s="60" t="s">
        <v>79</v>
      </c>
      <c r="B50" s="32" t="n">
        <f aca="false">C50*C$49</f>
        <v>1398253.75</v>
      </c>
      <c r="C50" s="32" t="n">
        <f aca="false">C8</f>
        <v>139825.375</v>
      </c>
      <c r="D50" s="54" t="n">
        <f aca="false">+C50/C$50</f>
        <v>1</v>
      </c>
      <c r="E50" s="17"/>
      <c r="F50" s="20"/>
    </row>
    <row r="51" customFormat="false" ht="12.75" hidden="false" customHeight="false" outlineLevel="0" collapsed="false">
      <c r="A51" s="17" t="s">
        <v>80</v>
      </c>
      <c r="B51" s="32" t="n">
        <f aca="false">C51*C$49</f>
        <v>978777.625</v>
      </c>
      <c r="C51" s="32" t="n">
        <f aca="false">0.7*C50</f>
        <v>97877.7625</v>
      </c>
      <c r="D51" s="54" t="n">
        <f aca="false">+C51/C$50</f>
        <v>0.7</v>
      </c>
      <c r="E51" s="17"/>
      <c r="F51" s="20"/>
    </row>
    <row r="52" customFormat="false" ht="12.75" hidden="false" customHeight="false" outlineLevel="0" collapsed="false">
      <c r="A52" s="61" t="s">
        <v>81</v>
      </c>
      <c r="B52" s="32" t="n">
        <f aca="false">C52*C$49</f>
        <v>-180000</v>
      </c>
      <c r="C52" s="32" t="n">
        <f aca="false">+-LotRel</f>
        <v>-18000</v>
      </c>
      <c r="D52" s="54" t="n">
        <f aca="false">+C52/C$50</f>
        <v>-0.128731998752015</v>
      </c>
      <c r="E52" s="17"/>
      <c r="F52" s="20"/>
    </row>
    <row r="53" customFormat="false" ht="12.75" hidden="false" customHeight="false" outlineLevel="0" collapsed="false">
      <c r="A53" s="62" t="str">
        <f aca="false">+A20</f>
        <v>Building Construction Cost</v>
      </c>
      <c r="B53" s="32" t="n">
        <f aca="false">C53*C$49</f>
        <v>-885466.202480887</v>
      </c>
      <c r="C53" s="32" t="n">
        <f aca="false">-C20</f>
        <v>-88546.6202480887</v>
      </c>
      <c r="D53" s="54" t="n">
        <f aca="false">+C53/C$50</f>
        <v>-0.633265744848449</v>
      </c>
      <c r="E53" s="17"/>
      <c r="F53" s="20"/>
    </row>
    <row r="54" customFormat="false" ht="12.75" hidden="false" customHeight="false" outlineLevel="0" collapsed="false">
      <c r="A54" s="62" t="s">
        <v>82</v>
      </c>
      <c r="B54" s="32" t="n">
        <f aca="false">C54*C$49</f>
        <v>-53894.0908947934</v>
      </c>
      <c r="C54" s="32" t="n">
        <f aca="false">+-C26</f>
        <v>-5389.40908947934</v>
      </c>
      <c r="D54" s="54" t="n">
        <f aca="false">+C54/C$50</f>
        <v>-0.0385438557878307</v>
      </c>
      <c r="E54" s="17"/>
      <c r="F54" s="20"/>
    </row>
    <row r="55" customFormat="false" ht="12.75" hidden="false" customHeight="false" outlineLevel="0" collapsed="false">
      <c r="A55" s="17" t="s">
        <v>83</v>
      </c>
      <c r="B55" s="32" t="n">
        <f aca="false">C55*C$49</f>
        <v>-140582.668375681</v>
      </c>
      <c r="C55" s="32" t="n">
        <f aca="false">SUM(C51:C54)</f>
        <v>-14058.2668375681</v>
      </c>
      <c r="D55" s="54" t="n">
        <f aca="false">+C55/C$50</f>
        <v>-0.100541599388295</v>
      </c>
      <c r="E55" s="17"/>
      <c r="F55" s="20"/>
    </row>
    <row r="56" customFormat="false" ht="12.75" hidden="false" customHeight="false" outlineLevel="0" collapsed="false">
      <c r="A56" s="17"/>
      <c r="B56" s="58"/>
      <c r="C56" s="58"/>
      <c r="D56" s="54"/>
      <c r="E56" s="17"/>
      <c r="F56" s="20"/>
    </row>
    <row r="57" customFormat="false" ht="12.75" hidden="false" customHeight="false" outlineLevel="0" collapsed="false">
      <c r="A57" s="28" t="s">
        <v>84</v>
      </c>
      <c r="B57" s="58"/>
      <c r="C57" s="32"/>
      <c r="D57" s="54"/>
      <c r="E57" s="17"/>
      <c r="F57" s="20"/>
    </row>
    <row r="58" customFormat="false" ht="12.75" hidden="false" customHeight="false" outlineLevel="0" collapsed="false">
      <c r="A58" s="17" t="s">
        <v>85</v>
      </c>
      <c r="B58" s="58"/>
      <c r="C58" s="58" t="n">
        <v>20</v>
      </c>
      <c r="D58" s="54"/>
      <c r="E58" s="17"/>
      <c r="F58" s="20"/>
    </row>
    <row r="59" customFormat="false" ht="12.75" hidden="false" customHeight="false" outlineLevel="0" collapsed="false">
      <c r="A59" s="17" t="s">
        <v>86</v>
      </c>
      <c r="B59" s="32" t="n">
        <f aca="false">C59*C$49</f>
        <v>1118603</v>
      </c>
      <c r="C59" s="32" t="n">
        <f aca="false">0.8*C8</f>
        <v>111860.3</v>
      </c>
      <c r="D59" s="54" t="n">
        <f aca="false">+C59/C$50</f>
        <v>0.8</v>
      </c>
      <c r="E59" s="17"/>
      <c r="F59" s="20"/>
    </row>
    <row r="60" customFormat="false" ht="12.75" hidden="false" customHeight="false" outlineLevel="0" collapsed="false">
      <c r="A60" s="61" t="s">
        <v>81</v>
      </c>
      <c r="B60" s="32" t="n">
        <f aca="false">C60*C$49</f>
        <v>-180000</v>
      </c>
      <c r="C60" s="32" t="n">
        <f aca="false">-LotRel</f>
        <v>-18000</v>
      </c>
      <c r="D60" s="54" t="n">
        <f aca="false">+C60/C$50</f>
        <v>-0.128731998752015</v>
      </c>
      <c r="E60" s="17"/>
      <c r="F60" s="20"/>
    </row>
    <row r="61" customFormat="false" ht="12.75" hidden="false" customHeight="false" outlineLevel="0" collapsed="false">
      <c r="A61" s="62" t="str">
        <f aca="false">+A20</f>
        <v>Building Construction Cost</v>
      </c>
      <c r="B61" s="32" t="n">
        <f aca="false">C61*C$49</f>
        <v>-885466.202480887</v>
      </c>
      <c r="C61" s="32" t="n">
        <f aca="false">-C20</f>
        <v>-88546.6202480887</v>
      </c>
      <c r="D61" s="54" t="n">
        <f aca="false">+C61/C$50</f>
        <v>-0.633265744848449</v>
      </c>
      <c r="E61" s="17"/>
      <c r="F61" s="20"/>
    </row>
    <row r="62" customFormat="false" ht="12.75" hidden="false" customHeight="false" outlineLevel="0" collapsed="false">
      <c r="A62" s="62" t="s">
        <v>82</v>
      </c>
      <c r="B62" s="32" t="n">
        <f aca="false">C62*C$49</f>
        <v>-53894.0908947934</v>
      </c>
      <c r="C62" s="32" t="n">
        <f aca="false">-C26</f>
        <v>-5389.40908947934</v>
      </c>
      <c r="D62" s="54" t="n">
        <f aca="false">+C62/C$50</f>
        <v>-0.0385438557878307</v>
      </c>
      <c r="E62" s="17"/>
      <c r="F62" s="20"/>
    </row>
    <row r="63" customFormat="false" ht="12.75" hidden="false" customHeight="false" outlineLevel="0" collapsed="false">
      <c r="A63" s="17" t="s">
        <v>87</v>
      </c>
      <c r="B63" s="32" t="n">
        <f aca="false">C63*C$49</f>
        <v>0</v>
      </c>
      <c r="C63" s="63" t="n">
        <f aca="false">IF(SUM(C59:C61)&gt;0,0,SUM(C59:C61))</f>
        <v>0</v>
      </c>
      <c r="D63" s="54" t="n">
        <f aca="false">+C63/C$50</f>
        <v>0</v>
      </c>
      <c r="E63" s="17"/>
      <c r="F63" s="20"/>
    </row>
    <row r="64" customFormat="false" ht="12.75" hidden="false" customHeight="false" outlineLevel="0" collapsed="false">
      <c r="A64" s="17"/>
      <c r="B64" s="32"/>
      <c r="C64" s="58"/>
      <c r="D64" s="54"/>
      <c r="E64" s="64"/>
      <c r="F64" s="65"/>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17"/>
      <c r="B65" s="58"/>
      <c r="C65" s="63"/>
      <c r="D65" s="54"/>
      <c r="E65" s="64"/>
      <c r="F65" s="65"/>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B66" s="2"/>
      <c r="C66" s="2"/>
      <c r="D66" s="2"/>
      <c r="E66" s="2"/>
      <c r="F66" s="65"/>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B67" s="2"/>
      <c r="C67" s="2"/>
      <c r="D67" s="2"/>
      <c r="E67" s="2"/>
      <c r="F67" s="65"/>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B68" s="2"/>
      <c r="C68" s="2"/>
      <c r="D68" s="2"/>
      <c r="E68" s="2"/>
      <c r="F68" s="65"/>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F69" s="20"/>
    </row>
    <row r="70" customFormat="false" ht="12.75" hidden="false" customHeight="false" outlineLevel="0" collapsed="false">
      <c r="A70" s="17"/>
      <c r="B70" s="17"/>
      <c r="C70" s="29"/>
      <c r="D70" s="51"/>
      <c r="E70" s="17"/>
      <c r="F70" s="20"/>
    </row>
    <row r="71" customFormat="false" ht="12.75" hidden="false" customHeight="false" outlineLevel="0" collapsed="false">
      <c r="A71" s="17"/>
      <c r="B71" s="17"/>
      <c r="C71" s="29"/>
      <c r="D71" s="51"/>
      <c r="E71" s="17"/>
      <c r="F71" s="20"/>
    </row>
    <row r="122" customFormat="false" ht="12.75" hidden="false" customHeight="false" outlineLevel="0" collapsed="false">
      <c r="B122" s="66" t="n">
        <f aca="false">+E11</f>
        <v>0.05</v>
      </c>
    </row>
  </sheetData>
  <mergeCells count="2">
    <mergeCell ref="A1:E1"/>
    <mergeCell ref="A37:D37"/>
  </mergeCells>
  <printOptions headings="false" gridLines="false" gridLinesSet="true" horizontalCentered="true" verticalCentered="false"/>
  <pageMargins left="0.25" right="0.25" top="1.49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&amp;C&amp;"Garamond,Bold"&amp;12WESTGATE &amp;&amp; CAMERON LOOP
96 CONDOMINIUMS</oddHeader>
    <oddFooter>&amp;L&amp;"Garamond,Regular"&amp;8&amp;F&amp;C&amp;"Garamond,Regular"&amp;8&amp;P Of &amp;N&amp;R&amp;"Garamond,Regular"&amp;8&amp;D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true" showOutlineSymbols="true" defaultGridColor="true" view="normal" topLeftCell="B13" colorId="64" zoomScale="100" zoomScaleNormal="100" zoomScalePageLayoutView="100" workbookViewId="0">
      <pane xSplit="4065" ySplit="1440" topLeftCell="A31" activePane="bottomRight" state="split"/>
      <selection pane="topLeft" activeCell="B13" activeCellId="0" sqref="B13"/>
      <selection pane="topRight" activeCell="A13" activeCellId="0" sqref="A13"/>
      <selection pane="bottomLeft" activeCell="B31" activeCellId="0" sqref="B31"/>
      <selection pane="bottomRight" activeCell="C63" activeCellId="0" sqref="C63"/>
    </sheetView>
  </sheetViews>
  <sheetFormatPr defaultColWidth="10.5625" defaultRowHeight="12" customHeight="true" zeroHeight="false" outlineLevelRow="0" outlineLevelCol="0"/>
  <cols>
    <col collapsed="false" customWidth="true" hidden="false" outlineLevel="0" max="1" min="1" style="67" width="1.42"/>
    <col collapsed="false" customWidth="true" hidden="false" outlineLevel="0" max="2" min="2" style="67" width="33.85"/>
    <col collapsed="false" customWidth="true" hidden="false" outlineLevel="0" max="8" min="3" style="67" width="8.56"/>
    <col collapsed="false" customWidth="true" hidden="false" outlineLevel="0" max="10" min="9" style="67" width="9.42"/>
    <col collapsed="false" customWidth="true" hidden="false" outlineLevel="0" max="11" min="11" style="67" width="10.99"/>
    <col collapsed="false" customWidth="true" hidden="false" outlineLevel="0" max="15" min="12" style="67" width="9.99"/>
    <col collapsed="false" customWidth="true" hidden="false" outlineLevel="0" max="16" min="16" style="67" width="12.42"/>
    <col collapsed="false" customWidth="true" hidden="false" outlineLevel="0" max="38" min="17" style="67" width="10.99"/>
    <col collapsed="false" customWidth="true" hidden="false" outlineLevel="0" max="39" min="39" style="67" width="11.42"/>
    <col collapsed="false" customWidth="true" hidden="false" outlineLevel="0" max="40" min="40" style="67" width="9.42"/>
    <col collapsed="false" customWidth="true" hidden="false" outlineLevel="0" max="41" min="41" style="67" width="10.42"/>
    <col collapsed="false" customWidth="true" hidden="false" outlineLevel="0" max="42" min="42" style="67" width="11.85"/>
    <col collapsed="false" customWidth="true" hidden="false" outlineLevel="0" max="43" min="43" style="67" width="9.42"/>
    <col collapsed="false" customWidth="false" hidden="false" outlineLevel="0" max="257" min="44" style="67" width="10.56"/>
  </cols>
  <sheetData>
    <row r="1" customFormat="false" ht="10.5" hidden="false" customHeight="true" outlineLevel="0" collapsed="false">
      <c r="A1" s="68"/>
      <c r="B1" s="69"/>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row>
    <row r="2" customFormat="false" ht="19.5" hidden="false" customHeight="true" outlineLevel="0" collapsed="false">
      <c r="A2" s="68"/>
      <c r="B2" s="71" t="s">
        <v>88</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row>
    <row r="3" customFormat="false" ht="12" hidden="false" customHeight="false" outlineLevel="0" collapsed="false">
      <c r="A3" s="68"/>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row>
    <row r="4" customFormat="false" ht="12" hidden="false" customHeight="false" outlineLevel="0" collapsed="false">
      <c r="A4" s="68"/>
      <c r="B4" s="72" t="s">
        <v>89</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row>
    <row r="5" customFormat="false" ht="12" hidden="false" customHeight="false" outlineLevel="0" collapsed="false">
      <c r="A5" s="68"/>
      <c r="B5" s="74" t="s">
        <v>90</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row>
    <row r="6" customFormat="false" ht="12" hidden="false" customHeight="false" outlineLevel="0" collapsed="false">
      <c r="A6" s="68"/>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row>
    <row r="7" customFormat="false" ht="12" hidden="false" customHeight="false" outlineLevel="0" collapsed="false">
      <c r="A7" s="68"/>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row>
    <row r="8" customFormat="false" ht="14.25" hidden="false" customHeight="true" outlineLevel="0" collapsed="false">
      <c r="A8" s="68"/>
      <c r="B8" s="77" t="s">
        <v>91</v>
      </c>
      <c r="C8" s="77"/>
      <c r="D8" s="77"/>
      <c r="E8" s="77"/>
      <c r="F8" s="77"/>
      <c r="G8" s="77"/>
      <c r="H8" s="77"/>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row>
    <row r="9" customFormat="false" ht="75" hidden="false" customHeight="true" outlineLevel="0" collapsed="false">
      <c r="A9" s="68"/>
      <c r="B9" s="79" t="s">
        <v>92</v>
      </c>
      <c r="C9" s="79"/>
      <c r="D9" s="79"/>
      <c r="E9" s="79"/>
      <c r="F9" s="79"/>
      <c r="G9" s="79"/>
      <c r="H9" s="79"/>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row>
    <row r="10" customFormat="false" ht="12" hidden="false" customHeight="false" outlineLevel="0" collapsed="false">
      <c r="A10" s="68"/>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row>
    <row r="11" customFormat="false" ht="30" hidden="false" customHeight="true" outlineLevel="0" collapsed="false">
      <c r="A11" s="68"/>
      <c r="B11" s="82" t="s">
        <v>93</v>
      </c>
      <c r="C11" s="83"/>
      <c r="D11" s="83"/>
      <c r="F11" s="83"/>
      <c r="G11" s="83"/>
      <c r="H11" s="83"/>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row>
    <row r="12" customFormat="false" ht="12" hidden="false" customHeight="false" outlineLevel="0" collapsed="false">
      <c r="A12" s="84"/>
      <c r="B12" s="85"/>
      <c r="C12" s="85"/>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row>
    <row r="13" customFormat="false" ht="12" hidden="false" customHeight="false" outlineLevel="0" collapsed="false">
      <c r="A13" s="84"/>
      <c r="B13" s="85"/>
      <c r="C13" s="85"/>
      <c r="D13" s="86"/>
      <c r="E13" s="86"/>
      <c r="F13" s="86"/>
      <c r="G13" s="86"/>
      <c r="H13" s="86"/>
      <c r="I13" s="87" t="s">
        <v>94</v>
      </c>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row>
    <row r="14" customFormat="false" ht="12" hidden="false" customHeight="true" outlineLevel="0" collapsed="false">
      <c r="A14" s="84"/>
      <c r="B14" s="88" t="s">
        <v>95</v>
      </c>
      <c r="C14" s="89"/>
      <c r="D14" s="90"/>
      <c r="E14" s="90"/>
      <c r="F14" s="90"/>
      <c r="G14" s="90"/>
      <c r="H14" s="90"/>
      <c r="I14" s="90"/>
      <c r="J14" s="90"/>
      <c r="K14" s="90"/>
      <c r="L14" s="91"/>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0"/>
      <c r="AQ14" s="0"/>
    </row>
    <row r="15" customFormat="false" ht="12" hidden="false" customHeight="false" outlineLevel="0" collapsed="false">
      <c r="A15" s="84"/>
      <c r="B15" s="88"/>
      <c r="C15" s="93"/>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5"/>
      <c r="AP15" s="0"/>
      <c r="AQ15" s="0"/>
    </row>
    <row r="16" customFormat="false" ht="12" hidden="false" customHeight="false" outlineLevel="0" collapsed="false">
      <c r="A16" s="84"/>
      <c r="B16" s="96"/>
      <c r="C16" s="97"/>
      <c r="D16" s="98"/>
      <c r="E16" s="98"/>
      <c r="F16" s="98"/>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100"/>
      <c r="AI16" s="101"/>
      <c r="AJ16" s="99"/>
      <c r="AK16" s="99"/>
      <c r="AL16" s="99"/>
      <c r="AM16" s="102"/>
      <c r="AN16" s="99"/>
      <c r="AO16" s="103"/>
    </row>
    <row r="17" customFormat="false" ht="12" hidden="false" customHeight="false" outlineLevel="0" collapsed="false">
      <c r="A17" s="84"/>
      <c r="B17" s="104" t="s">
        <v>96</v>
      </c>
      <c r="C17" s="105" t="n">
        <v>1</v>
      </c>
      <c r="D17" s="105" t="n">
        <v>2</v>
      </c>
      <c r="E17" s="105" t="n">
        <v>3</v>
      </c>
      <c r="F17" s="105" t="n">
        <v>4</v>
      </c>
      <c r="G17" s="105" t="n">
        <v>5</v>
      </c>
      <c r="H17" s="105" t="n">
        <v>6</v>
      </c>
      <c r="I17" s="105" t="n">
        <v>7</v>
      </c>
      <c r="J17" s="105" t="n">
        <v>8</v>
      </c>
      <c r="K17" s="105" t="n">
        <v>9</v>
      </c>
      <c r="L17" s="105" t="n">
        <v>10</v>
      </c>
      <c r="M17" s="105" t="n">
        <v>11</v>
      </c>
      <c r="N17" s="105" t="n">
        <v>12</v>
      </c>
      <c r="O17" s="105" t="n">
        <v>13</v>
      </c>
      <c r="P17" s="105" t="n">
        <v>14</v>
      </c>
      <c r="Q17" s="105" t="n">
        <v>15</v>
      </c>
      <c r="R17" s="105" t="n">
        <v>16</v>
      </c>
      <c r="S17" s="105" t="n">
        <v>17</v>
      </c>
      <c r="T17" s="105" t="n">
        <v>18</v>
      </c>
      <c r="U17" s="105" t="n">
        <v>19</v>
      </c>
      <c r="V17" s="105" t="n">
        <v>20</v>
      </c>
      <c r="W17" s="105" t="n">
        <v>21</v>
      </c>
      <c r="X17" s="105" t="n">
        <v>22</v>
      </c>
      <c r="Y17" s="105" t="n">
        <v>23</v>
      </c>
      <c r="Z17" s="105" t="n">
        <v>24</v>
      </c>
      <c r="AA17" s="105" t="n">
        <v>25</v>
      </c>
      <c r="AB17" s="105" t="n">
        <v>26</v>
      </c>
      <c r="AC17" s="105" t="n">
        <v>27</v>
      </c>
      <c r="AD17" s="105" t="n">
        <v>28</v>
      </c>
      <c r="AE17" s="105" t="n">
        <v>29</v>
      </c>
      <c r="AF17" s="105" t="n">
        <v>30</v>
      </c>
      <c r="AG17" s="105" t="n">
        <v>31</v>
      </c>
      <c r="AH17" s="106" t="n">
        <v>32</v>
      </c>
      <c r="AI17" s="107" t="n">
        <v>33</v>
      </c>
      <c r="AJ17" s="105" t="n">
        <v>34</v>
      </c>
      <c r="AK17" s="105" t="n">
        <v>35</v>
      </c>
      <c r="AL17" s="105" t="n">
        <v>36</v>
      </c>
      <c r="AM17" s="108"/>
      <c r="AN17" s="105"/>
      <c r="AO17" s="109"/>
    </row>
    <row r="18" customFormat="false" ht="12" hidden="false" customHeight="false" outlineLevel="0" collapsed="false">
      <c r="A18" s="84"/>
      <c r="B18" s="110"/>
      <c r="C18" s="111" t="n">
        <v>36770</v>
      </c>
      <c r="D18" s="111" t="n">
        <v>36800</v>
      </c>
      <c r="E18" s="111" t="n">
        <v>36831</v>
      </c>
      <c r="F18" s="111" t="n">
        <v>36861</v>
      </c>
      <c r="G18" s="111" t="n">
        <v>36892</v>
      </c>
      <c r="H18" s="111" t="n">
        <v>36923</v>
      </c>
      <c r="I18" s="111" t="n">
        <v>36951</v>
      </c>
      <c r="J18" s="111" t="n">
        <v>36982</v>
      </c>
      <c r="K18" s="111" t="n">
        <v>37012</v>
      </c>
      <c r="L18" s="111" t="n">
        <v>37043</v>
      </c>
      <c r="M18" s="111" t="n">
        <v>37073</v>
      </c>
      <c r="N18" s="111" t="n">
        <v>37104</v>
      </c>
      <c r="O18" s="111" t="n">
        <v>37135</v>
      </c>
      <c r="P18" s="111" t="n">
        <v>37165</v>
      </c>
      <c r="Q18" s="111" t="n">
        <v>37196</v>
      </c>
      <c r="R18" s="111" t="n">
        <v>37226</v>
      </c>
      <c r="S18" s="111" t="n">
        <v>37257</v>
      </c>
      <c r="T18" s="111" t="n">
        <v>37288</v>
      </c>
      <c r="U18" s="111" t="n">
        <v>37316</v>
      </c>
      <c r="V18" s="111" t="n">
        <v>37347</v>
      </c>
      <c r="W18" s="111" t="n">
        <v>37377</v>
      </c>
      <c r="X18" s="111" t="n">
        <v>37408</v>
      </c>
      <c r="Y18" s="111" t="n">
        <v>37438</v>
      </c>
      <c r="Z18" s="111" t="n">
        <v>37469</v>
      </c>
      <c r="AA18" s="111" t="n">
        <v>37500</v>
      </c>
      <c r="AB18" s="111" t="n">
        <v>37530</v>
      </c>
      <c r="AC18" s="111" t="n">
        <v>37561</v>
      </c>
      <c r="AD18" s="111" t="n">
        <v>37591</v>
      </c>
      <c r="AE18" s="111" t="n">
        <v>37622</v>
      </c>
      <c r="AF18" s="111" t="n">
        <v>37653</v>
      </c>
      <c r="AG18" s="111" t="n">
        <v>37681</v>
      </c>
      <c r="AH18" s="112" t="n">
        <v>37712</v>
      </c>
      <c r="AI18" s="113" t="n">
        <v>37742</v>
      </c>
      <c r="AJ18" s="111" t="n">
        <v>37773</v>
      </c>
      <c r="AK18" s="111" t="n">
        <v>37803</v>
      </c>
      <c r="AL18" s="111" t="n">
        <v>37834</v>
      </c>
      <c r="AM18" s="108"/>
      <c r="AN18" s="114"/>
      <c r="AO18" s="109"/>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c r="IJ18" s="115"/>
      <c r="IK18" s="115"/>
      <c r="IL18" s="115"/>
      <c r="IM18" s="115"/>
      <c r="IN18" s="115"/>
      <c r="IO18" s="115"/>
      <c r="IP18" s="115"/>
      <c r="IQ18" s="115"/>
      <c r="IR18" s="115"/>
      <c r="IS18" s="115"/>
      <c r="IT18" s="115"/>
      <c r="IU18" s="115"/>
      <c r="IV18" s="115"/>
      <c r="IW18" s="115"/>
    </row>
    <row r="19" customFormat="false" ht="12" hidden="false" customHeight="false" outlineLevel="0" collapsed="false">
      <c r="A19" s="84"/>
      <c r="B19" s="116" t="s">
        <v>97</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8"/>
      <c r="AI19" s="119"/>
      <c r="AJ19" s="117"/>
      <c r="AK19" s="117"/>
      <c r="AL19" s="117"/>
      <c r="AM19" s="108" t="s">
        <v>67</v>
      </c>
      <c r="AN19" s="105" t="s">
        <v>98</v>
      </c>
      <c r="AO19" s="109" t="s">
        <v>99</v>
      </c>
    </row>
    <row r="20" customFormat="false" ht="12" hidden="false" customHeight="false" outlineLevel="0" collapsed="false">
      <c r="A20" s="84"/>
      <c r="B20" s="120" t="s">
        <v>100</v>
      </c>
      <c r="C20" s="121"/>
      <c r="D20" s="121"/>
      <c r="E20" s="121"/>
      <c r="F20" s="121"/>
      <c r="G20" s="121"/>
      <c r="H20" s="121"/>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3"/>
      <c r="AN20" s="124"/>
      <c r="AO20" s="125"/>
    </row>
    <row r="21" customFormat="false" ht="12" hidden="false" customHeight="false" outlineLevel="0" collapsed="false">
      <c r="A21" s="84"/>
      <c r="B21" s="120" t="s">
        <v>101</v>
      </c>
      <c r="C21" s="126"/>
      <c r="D21" s="126"/>
      <c r="E21" s="126"/>
      <c r="F21" s="126"/>
      <c r="G21" s="126"/>
      <c r="H21" s="126"/>
      <c r="I21" s="127" t="n">
        <v>3</v>
      </c>
      <c r="J21" s="127" t="n">
        <v>3</v>
      </c>
      <c r="K21" s="127" t="n">
        <v>3</v>
      </c>
      <c r="L21" s="127" t="n">
        <v>3</v>
      </c>
      <c r="M21" s="127" t="n">
        <v>4</v>
      </c>
      <c r="N21" s="127" t="n">
        <v>4</v>
      </c>
      <c r="O21" s="127" t="n">
        <v>4</v>
      </c>
      <c r="P21" s="127" t="n">
        <v>4</v>
      </c>
      <c r="Q21" s="127" t="n">
        <v>4</v>
      </c>
      <c r="R21" s="127" t="n">
        <v>4</v>
      </c>
      <c r="S21" s="127" t="n">
        <v>4</v>
      </c>
      <c r="T21" s="127" t="n">
        <v>4</v>
      </c>
      <c r="U21" s="127" t="n">
        <v>4</v>
      </c>
      <c r="V21" s="127" t="n">
        <v>4</v>
      </c>
      <c r="W21" s="127" t="n">
        <v>4</v>
      </c>
      <c r="X21" s="127" t="n">
        <v>4</v>
      </c>
      <c r="Y21" s="127" t="n">
        <v>4</v>
      </c>
      <c r="Z21" s="127" t="n">
        <v>4</v>
      </c>
      <c r="AA21" s="127" t="n">
        <v>4</v>
      </c>
      <c r="AB21" s="127" t="n">
        <v>4</v>
      </c>
      <c r="AC21" s="127" t="n">
        <v>4</v>
      </c>
      <c r="AD21" s="127" t="n">
        <v>4</v>
      </c>
      <c r="AE21" s="127" t="n">
        <v>4</v>
      </c>
      <c r="AF21" s="127" t="n">
        <v>4</v>
      </c>
      <c r="AG21" s="127" t="n">
        <v>4</v>
      </c>
      <c r="AH21" s="126"/>
      <c r="AI21" s="126"/>
      <c r="AJ21" s="126"/>
      <c r="AK21" s="126"/>
      <c r="AL21" s="126"/>
      <c r="AM21" s="123" t="n">
        <f aca="false">SUM(C21:AL21)</f>
        <v>96</v>
      </c>
      <c r="AN21" s="124"/>
      <c r="AO21" s="128"/>
    </row>
    <row r="22" customFormat="false" ht="12" hidden="false" customHeight="false" outlineLevel="0" collapsed="false">
      <c r="A22" s="84"/>
      <c r="B22" s="120" t="s">
        <v>102</v>
      </c>
      <c r="C22" s="126"/>
      <c r="D22" s="126"/>
      <c r="E22" s="126"/>
      <c r="F22" s="126"/>
      <c r="G22" s="126"/>
      <c r="H22" s="126"/>
      <c r="I22" s="129"/>
      <c r="J22" s="129"/>
      <c r="K22" s="129"/>
      <c r="L22" s="129"/>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3"/>
      <c r="AN22" s="124"/>
      <c r="AO22" s="123"/>
    </row>
    <row r="23" customFormat="false" ht="12" hidden="false" customHeight="false" outlineLevel="0" collapsed="false">
      <c r="A23" s="84"/>
      <c r="B23" s="130" t="s">
        <v>103</v>
      </c>
      <c r="C23" s="124"/>
      <c r="D23" s="124"/>
      <c r="E23" s="124"/>
      <c r="F23" s="124"/>
      <c r="G23" s="124"/>
      <c r="H23" s="124"/>
      <c r="I23" s="124"/>
      <c r="J23" s="124"/>
      <c r="K23" s="131" t="n">
        <v>10</v>
      </c>
      <c r="L23" s="131" t="n">
        <v>3</v>
      </c>
      <c r="M23" s="131" t="n">
        <v>3</v>
      </c>
      <c r="N23" s="131" t="n">
        <v>4</v>
      </c>
      <c r="O23" s="131" t="n">
        <v>4</v>
      </c>
      <c r="P23" s="131" t="n">
        <v>4</v>
      </c>
      <c r="Q23" s="131" t="n">
        <v>4</v>
      </c>
      <c r="R23" s="131" t="n">
        <v>4</v>
      </c>
      <c r="S23" s="131" t="n">
        <v>4</v>
      </c>
      <c r="T23" s="131" t="n">
        <v>4</v>
      </c>
      <c r="U23" s="131" t="n">
        <v>4</v>
      </c>
      <c r="V23" s="131" t="n">
        <v>4</v>
      </c>
      <c r="W23" s="131" t="n">
        <v>4</v>
      </c>
      <c r="X23" s="131" t="n">
        <v>4</v>
      </c>
      <c r="Y23" s="131" t="n">
        <v>4</v>
      </c>
      <c r="Z23" s="131" t="n">
        <v>4</v>
      </c>
      <c r="AA23" s="131" t="n">
        <v>4</v>
      </c>
      <c r="AB23" s="131" t="n">
        <v>4</v>
      </c>
      <c r="AC23" s="131" t="n">
        <v>4</v>
      </c>
      <c r="AD23" s="131" t="n">
        <v>4</v>
      </c>
      <c r="AE23" s="131" t="n">
        <v>4</v>
      </c>
      <c r="AF23" s="131" t="n">
        <v>4</v>
      </c>
      <c r="AG23" s="131" t="n">
        <v>4</v>
      </c>
      <c r="AH23" s="123"/>
      <c r="AI23" s="124"/>
      <c r="AJ23" s="124"/>
      <c r="AK23" s="124"/>
      <c r="AL23" s="124"/>
      <c r="AM23" s="123" t="n">
        <f aca="false">SUM(C23:AL23)</f>
        <v>96</v>
      </c>
      <c r="AN23" s="124"/>
      <c r="AO23" s="123"/>
    </row>
    <row r="24" customFormat="false" ht="12" hidden="false" customHeight="false" outlineLevel="0" collapsed="false">
      <c r="A24" s="84"/>
      <c r="B24" s="132" t="s">
        <v>104</v>
      </c>
      <c r="C24" s="124"/>
      <c r="D24" s="124"/>
      <c r="E24" s="124"/>
      <c r="F24" s="124"/>
      <c r="G24" s="124"/>
      <c r="H24" s="124"/>
      <c r="I24" s="124"/>
      <c r="J24" s="124"/>
      <c r="K24" s="124"/>
      <c r="L24" s="124"/>
      <c r="M24" s="124"/>
      <c r="N24" s="124"/>
      <c r="O24" s="124"/>
      <c r="P24" s="133" t="n">
        <f aca="false">+K23</f>
        <v>10</v>
      </c>
      <c r="Q24" s="133" t="n">
        <f aca="false">+L23</f>
        <v>3</v>
      </c>
      <c r="R24" s="133" t="n">
        <f aca="false">+M23</f>
        <v>3</v>
      </c>
      <c r="S24" s="133" t="n">
        <f aca="false">+N23</f>
        <v>4</v>
      </c>
      <c r="T24" s="133" t="n">
        <f aca="false">+O23</f>
        <v>4</v>
      </c>
      <c r="U24" s="133" t="n">
        <f aca="false">+P23</f>
        <v>4</v>
      </c>
      <c r="V24" s="133" t="n">
        <f aca="false">+Q23</f>
        <v>4</v>
      </c>
      <c r="W24" s="133" t="n">
        <f aca="false">+R23</f>
        <v>4</v>
      </c>
      <c r="X24" s="133" t="n">
        <f aca="false">+S23</f>
        <v>4</v>
      </c>
      <c r="Y24" s="133" t="n">
        <f aca="false">+T23</f>
        <v>4</v>
      </c>
      <c r="Z24" s="133" t="n">
        <f aca="false">+U23</f>
        <v>4</v>
      </c>
      <c r="AA24" s="133" t="n">
        <f aca="false">+V23</f>
        <v>4</v>
      </c>
      <c r="AB24" s="133" t="n">
        <f aca="false">+W23</f>
        <v>4</v>
      </c>
      <c r="AC24" s="133" t="n">
        <f aca="false">+X23</f>
        <v>4</v>
      </c>
      <c r="AD24" s="133" t="n">
        <f aca="false">+Y23</f>
        <v>4</v>
      </c>
      <c r="AE24" s="133" t="n">
        <f aca="false">+Z23</f>
        <v>4</v>
      </c>
      <c r="AF24" s="133" t="n">
        <f aca="false">+AA23</f>
        <v>4</v>
      </c>
      <c r="AG24" s="133" t="n">
        <f aca="false">+AB23</f>
        <v>4</v>
      </c>
      <c r="AH24" s="133" t="n">
        <f aca="false">+AC23</f>
        <v>4</v>
      </c>
      <c r="AI24" s="133" t="n">
        <f aca="false">+AD23</f>
        <v>4</v>
      </c>
      <c r="AJ24" s="133" t="n">
        <f aca="false">+AE23</f>
        <v>4</v>
      </c>
      <c r="AK24" s="133" t="n">
        <f aca="false">+AF23</f>
        <v>4</v>
      </c>
      <c r="AL24" s="133" t="n">
        <f aca="false">+AG23</f>
        <v>4</v>
      </c>
      <c r="AM24" s="123" t="n">
        <f aca="false">SUM(C24:AL24)</f>
        <v>96</v>
      </c>
      <c r="AN24" s="124"/>
      <c r="AO24" s="123"/>
    </row>
    <row r="25" customFormat="false" ht="12" hidden="false" customHeight="false" outlineLevel="0" collapsed="false">
      <c r="A25" s="84"/>
      <c r="B25" s="134"/>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3"/>
      <c r="AN25" s="126"/>
      <c r="AO25" s="123"/>
    </row>
    <row r="26" customFormat="false" ht="12" hidden="false" customHeight="false" outlineLevel="0" collapsed="false">
      <c r="A26" s="84"/>
      <c r="B26" s="135" t="s">
        <v>105</v>
      </c>
      <c r="C26" s="126" t="n">
        <f aca="false">Investment</f>
        <v>700000</v>
      </c>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3" t="n">
        <f aca="false">SUM(C26:AL26)</f>
        <v>700000</v>
      </c>
      <c r="AN26" s="126" t="n">
        <f aca="false">+AM26/TLU</f>
        <v>7291.66666666667</v>
      </c>
      <c r="AO26" s="136" t="n">
        <f aca="false">+AM26/AM$32</f>
        <v>0.0521483791240801</v>
      </c>
    </row>
    <row r="27" customFormat="false" ht="12" hidden="false" customHeight="false" outlineLevel="0" collapsed="false">
      <c r="A27" s="84"/>
      <c r="B27" s="137" t="s">
        <v>106</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3"/>
      <c r="AN27" s="124"/>
      <c r="AO27" s="136"/>
    </row>
    <row r="28" customFormat="false" ht="12" hidden="false" customHeight="false" outlineLevel="0" collapsed="false">
      <c r="A28" s="84"/>
      <c r="B28" s="132" t="s">
        <v>107</v>
      </c>
      <c r="C28" s="124"/>
      <c r="D28" s="124"/>
      <c r="E28" s="124"/>
      <c r="F28" s="124"/>
      <c r="G28" s="124"/>
      <c r="H28" s="124"/>
      <c r="I28" s="124" t="n">
        <f aca="false">(LotIMPLN)</f>
        <v>1440000</v>
      </c>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3" t="n">
        <f aca="false">SUM(C28:AL28)</f>
        <v>1440000</v>
      </c>
      <c r="AN28" s="124" t="n">
        <f aca="false">+AM28/TLU</f>
        <v>15000</v>
      </c>
      <c r="AO28" s="136" t="n">
        <f aca="false">+AM28/AM$32</f>
        <v>0.107276665626679</v>
      </c>
    </row>
    <row r="29" customFormat="false" ht="12.75" hidden="false" customHeight="false" outlineLevel="0" collapsed="false">
      <c r="A29" s="84"/>
      <c r="B29" s="138" t="s">
        <v>108</v>
      </c>
      <c r="C29" s="139"/>
      <c r="D29" s="139"/>
      <c r="E29" s="139"/>
      <c r="F29" s="139"/>
      <c r="G29" s="139"/>
      <c r="H29" s="139"/>
      <c r="I29" s="139"/>
      <c r="J29" s="139"/>
      <c r="K29" s="139" t="n">
        <f aca="false">+K$23*SpecLoan75</f>
        <v>978777.625</v>
      </c>
      <c r="L29" s="139"/>
      <c r="M29" s="139" t="n">
        <f aca="false">+M23*PreSldLn80</f>
        <v>335580.9</v>
      </c>
      <c r="N29" s="139" t="n">
        <f aca="false">+N23*PreSldLn80</f>
        <v>447441.2</v>
      </c>
      <c r="O29" s="139" t="n">
        <f aca="false">+O23*PreSldLn80</f>
        <v>447441.2</v>
      </c>
      <c r="P29" s="139" t="n">
        <f aca="false">+P23*PreSldLn80</f>
        <v>447441.2</v>
      </c>
      <c r="Q29" s="139" t="n">
        <f aca="false">+Q23*PreSldLn80</f>
        <v>447441.2</v>
      </c>
      <c r="R29" s="139" t="n">
        <f aca="false">+R23*PreSldLn80</f>
        <v>447441.2</v>
      </c>
      <c r="S29" s="139" t="n">
        <f aca="false">+S23*PreSldLn80</f>
        <v>447441.2</v>
      </c>
      <c r="T29" s="139" t="n">
        <f aca="false">+T23*PreSldLn80</f>
        <v>447441.2</v>
      </c>
      <c r="U29" s="139" t="n">
        <f aca="false">+U23*PreSldLn80</f>
        <v>447441.2</v>
      </c>
      <c r="V29" s="139" t="n">
        <f aca="false">+V23*PreSldLn80</f>
        <v>447441.2</v>
      </c>
      <c r="W29" s="139" t="n">
        <f aca="false">+W23*PreSldLn80</f>
        <v>447441.2</v>
      </c>
      <c r="X29" s="139" t="n">
        <f aca="false">+X23*PreSldLn80</f>
        <v>447441.2</v>
      </c>
      <c r="Y29" s="139" t="n">
        <f aca="false">+Y23*PreSldLn80</f>
        <v>447441.2</v>
      </c>
      <c r="Z29" s="139" t="n">
        <f aca="false">+Z23*PreSldLn80</f>
        <v>447441.2</v>
      </c>
      <c r="AA29" s="139" t="n">
        <f aca="false">+AA23*PreSldLn80</f>
        <v>447441.2</v>
      </c>
      <c r="AB29" s="139" t="n">
        <f aca="false">+AB23*PreSldLn80</f>
        <v>447441.2</v>
      </c>
      <c r="AC29" s="139" t="n">
        <f aca="false">+AC23*PreSldLn80</f>
        <v>447441.2</v>
      </c>
      <c r="AD29" s="139" t="n">
        <f aca="false">+AD23*PreSldLn80</f>
        <v>447441.2</v>
      </c>
      <c r="AE29" s="139" t="n">
        <f aca="false">+AE23*PreSldLn80</f>
        <v>447441.2</v>
      </c>
      <c r="AF29" s="139" t="n">
        <f aca="false">+AF23*PreSldLn80</f>
        <v>447441.2</v>
      </c>
      <c r="AG29" s="139" t="n">
        <f aca="false">+AG23*PreSldLn80</f>
        <v>447441.2</v>
      </c>
      <c r="AH29" s="139" t="n">
        <v>0</v>
      </c>
      <c r="AI29" s="139"/>
      <c r="AJ29" s="139"/>
      <c r="AK29" s="139"/>
      <c r="AL29" s="139"/>
      <c r="AM29" s="140" t="n">
        <f aca="false">SUM(C29:AL29)</f>
        <v>10263182.525</v>
      </c>
      <c r="AN29" s="139" t="n">
        <f aca="false">+AM29/TLU</f>
        <v>106908.151302083</v>
      </c>
      <c r="AO29" s="141" t="n">
        <f aca="false">+AM29/AM$32</f>
        <v>0.764583333333333</v>
      </c>
    </row>
    <row r="30" customFormat="false" ht="12" hidden="false" customHeight="false" outlineLevel="0" collapsed="false">
      <c r="A30" s="84"/>
      <c r="B30" s="142" t="s">
        <v>109</v>
      </c>
      <c r="C30" s="143" t="n">
        <f aca="false">SUM(C28:C29)</f>
        <v>0</v>
      </c>
      <c r="D30" s="143" t="n">
        <f aca="false">SUM(D28:D29)</f>
        <v>0</v>
      </c>
      <c r="E30" s="143" t="n">
        <f aca="false">SUM(E28:E29)</f>
        <v>0</v>
      </c>
      <c r="F30" s="143" t="n">
        <f aca="false">SUM(F28:F29)</f>
        <v>0</v>
      </c>
      <c r="G30" s="143" t="n">
        <f aca="false">SUM(G28:G29)</f>
        <v>0</v>
      </c>
      <c r="H30" s="143" t="n">
        <f aca="false">SUM(H28:H29)</f>
        <v>0</v>
      </c>
      <c r="I30" s="143" t="n">
        <f aca="false">SUM(I28:I29)</f>
        <v>1440000</v>
      </c>
      <c r="J30" s="143" t="n">
        <f aca="false">SUM(J28:J29)</f>
        <v>0</v>
      </c>
      <c r="K30" s="143" t="n">
        <f aca="false">SUM(K28:K29)</f>
        <v>978777.625</v>
      </c>
      <c r="L30" s="143" t="n">
        <f aca="false">SUM(L28:L29)</f>
        <v>0</v>
      </c>
      <c r="M30" s="143" t="n">
        <f aca="false">SUM(M28:M29)</f>
        <v>335580.9</v>
      </c>
      <c r="N30" s="143" t="n">
        <f aca="false">SUM(N28:N29)</f>
        <v>447441.2</v>
      </c>
      <c r="O30" s="143" t="n">
        <f aca="false">SUM(O28:O29)</f>
        <v>447441.2</v>
      </c>
      <c r="P30" s="143" t="n">
        <f aca="false">SUM(P28:P29)</f>
        <v>447441.2</v>
      </c>
      <c r="Q30" s="143" t="n">
        <f aca="false">SUM(Q28:Q29)</f>
        <v>447441.2</v>
      </c>
      <c r="R30" s="143" t="n">
        <f aca="false">SUM(R28:R29)</f>
        <v>447441.2</v>
      </c>
      <c r="S30" s="143" t="n">
        <f aca="false">SUM(S28:S29)</f>
        <v>447441.2</v>
      </c>
      <c r="T30" s="143" t="n">
        <f aca="false">SUM(T28:T29)</f>
        <v>447441.2</v>
      </c>
      <c r="U30" s="143" t="n">
        <f aca="false">SUM(U28:U29)</f>
        <v>447441.2</v>
      </c>
      <c r="V30" s="143" t="n">
        <f aca="false">SUM(V28:V29)</f>
        <v>447441.2</v>
      </c>
      <c r="W30" s="143" t="n">
        <f aca="false">SUM(W28:W29)</f>
        <v>447441.2</v>
      </c>
      <c r="X30" s="143" t="n">
        <f aca="false">SUM(X28:X29)</f>
        <v>447441.2</v>
      </c>
      <c r="Y30" s="143" t="n">
        <f aca="false">SUM(Y28:Y29)</f>
        <v>447441.2</v>
      </c>
      <c r="Z30" s="143" t="n">
        <f aca="false">SUM(Z28:Z29)</f>
        <v>447441.2</v>
      </c>
      <c r="AA30" s="143" t="n">
        <f aca="false">SUM(AA28:AA29)</f>
        <v>447441.2</v>
      </c>
      <c r="AB30" s="143" t="n">
        <f aca="false">SUM(AB28:AB29)</f>
        <v>447441.2</v>
      </c>
      <c r="AC30" s="143" t="n">
        <f aca="false">SUM(AC28:AC29)</f>
        <v>447441.2</v>
      </c>
      <c r="AD30" s="143" t="n">
        <f aca="false">SUM(AD28:AD29)</f>
        <v>447441.2</v>
      </c>
      <c r="AE30" s="143" t="n">
        <f aca="false">SUM(AE28:AE29)</f>
        <v>447441.2</v>
      </c>
      <c r="AF30" s="143" t="n">
        <f aca="false">SUM(AF28:AF29)</f>
        <v>447441.2</v>
      </c>
      <c r="AG30" s="143" t="n">
        <f aca="false">SUM(AG28:AG29)</f>
        <v>447441.2</v>
      </c>
      <c r="AH30" s="143" t="n">
        <f aca="false">SUM(AH28:AH29)</f>
        <v>0</v>
      </c>
      <c r="AI30" s="143" t="n">
        <f aca="false">SUM(AI28:AI29)</f>
        <v>0</v>
      </c>
      <c r="AJ30" s="143" t="n">
        <f aca="false">SUM(AJ28:AJ29)</f>
        <v>0</v>
      </c>
      <c r="AK30" s="143" t="n">
        <f aca="false">SUM(AK28:AK29)</f>
        <v>0</v>
      </c>
      <c r="AL30" s="143" t="n">
        <f aca="false">SUM(AL28:AL29)</f>
        <v>0</v>
      </c>
      <c r="AM30" s="143" t="n">
        <f aca="false">SUM(AM28:AM29)</f>
        <v>11703182.525</v>
      </c>
      <c r="AN30" s="143" t="n">
        <f aca="false">+AM30/TLU</f>
        <v>121908.151302083</v>
      </c>
      <c r="AO30" s="144" t="n">
        <f aca="false">+AM30/AM$32</f>
        <v>0.871859998960012</v>
      </c>
    </row>
    <row r="31" customFormat="false" ht="12" hidden="false" customHeight="false" outlineLevel="0" collapsed="false">
      <c r="A31" s="84"/>
      <c r="B31" s="145"/>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3"/>
      <c r="AN31" s="124"/>
      <c r="AO31" s="136"/>
    </row>
    <row r="32" customFormat="false" ht="12" hidden="false" customHeight="false" outlineLevel="0" collapsed="false">
      <c r="A32" s="84"/>
      <c r="B32" s="135" t="s">
        <v>110</v>
      </c>
      <c r="C32" s="124"/>
      <c r="D32" s="124"/>
      <c r="E32" s="124"/>
      <c r="F32" s="124"/>
      <c r="G32" s="124"/>
      <c r="H32" s="124"/>
      <c r="I32" s="124"/>
      <c r="J32" s="124"/>
      <c r="K32" s="124"/>
      <c r="L32" s="124"/>
      <c r="M32" s="124"/>
      <c r="N32" s="124"/>
      <c r="O32" s="124"/>
      <c r="P32" s="124" t="n">
        <f aca="false">P24*'Project Summary'!$C$8</f>
        <v>1398253.75</v>
      </c>
      <c r="Q32" s="124" t="n">
        <f aca="false">Q24*'Project Summary'!$C$8</f>
        <v>419476.125</v>
      </c>
      <c r="R32" s="124" t="n">
        <f aca="false">R24*'Project Summary'!$C$8</f>
        <v>419476.125</v>
      </c>
      <c r="S32" s="124" t="n">
        <f aca="false">S24*'Project Summary'!$C$8</f>
        <v>559301.5</v>
      </c>
      <c r="T32" s="124" t="n">
        <f aca="false">T24*'Project Summary'!$C$8</f>
        <v>559301.5</v>
      </c>
      <c r="U32" s="124" t="n">
        <f aca="false">U24*'Project Summary'!$C$8</f>
        <v>559301.5</v>
      </c>
      <c r="V32" s="124" t="n">
        <f aca="false">V24*'Project Summary'!$C$8</f>
        <v>559301.5</v>
      </c>
      <c r="W32" s="124" t="n">
        <f aca="false">W24*'Project Summary'!$C$8</f>
        <v>559301.5</v>
      </c>
      <c r="X32" s="124" t="n">
        <f aca="false">X24*'Project Summary'!$C$8</f>
        <v>559301.5</v>
      </c>
      <c r="Y32" s="124" t="n">
        <f aca="false">Y24*'Project Summary'!$C$8</f>
        <v>559301.5</v>
      </c>
      <c r="Z32" s="124" t="n">
        <f aca="false">Z24*'Project Summary'!$C$8</f>
        <v>559301.5</v>
      </c>
      <c r="AA32" s="124" t="n">
        <f aca="false">AA24*'Project Summary'!$C$8</f>
        <v>559301.5</v>
      </c>
      <c r="AB32" s="124" t="n">
        <f aca="false">AB24*'Project Summary'!$C$8</f>
        <v>559301.5</v>
      </c>
      <c r="AC32" s="124" t="n">
        <f aca="false">AC24*'Project Summary'!$C$8</f>
        <v>559301.5</v>
      </c>
      <c r="AD32" s="124" t="n">
        <f aca="false">AD24*'Project Summary'!$C$8</f>
        <v>559301.5</v>
      </c>
      <c r="AE32" s="124" t="n">
        <f aca="false">AE24*'Project Summary'!$C$8</f>
        <v>559301.5</v>
      </c>
      <c r="AF32" s="124" t="n">
        <f aca="false">AF24*'Project Summary'!$C$8</f>
        <v>559301.5</v>
      </c>
      <c r="AG32" s="124" t="n">
        <f aca="false">AG24*'Project Summary'!$C$8</f>
        <v>559301.5</v>
      </c>
      <c r="AH32" s="124" t="n">
        <f aca="false">AH24*'Project Summary'!$C$8</f>
        <v>559301.5</v>
      </c>
      <c r="AI32" s="124" t="n">
        <f aca="false">AI24*'Project Summary'!$C$8</f>
        <v>559301.5</v>
      </c>
      <c r="AJ32" s="124" t="n">
        <f aca="false">AJ24*'Project Summary'!$C$8</f>
        <v>559301.5</v>
      </c>
      <c r="AK32" s="124" t="n">
        <f aca="false">AK24*'Project Summary'!$C$8</f>
        <v>559301.5</v>
      </c>
      <c r="AL32" s="124" t="n">
        <f aca="false">AL24*'Project Summary'!$C$8</f>
        <v>559301.5</v>
      </c>
      <c r="AM32" s="123" t="n">
        <f aca="false">SUM(C32:AL32)</f>
        <v>13423236</v>
      </c>
      <c r="AN32" s="124" t="n">
        <f aca="false">+AM32/TLU</f>
        <v>139825.375</v>
      </c>
      <c r="AO32" s="136" t="n">
        <f aca="false">+AM32/AM$32</f>
        <v>1</v>
      </c>
    </row>
    <row r="33" customFormat="false" ht="12.75" hidden="false" customHeight="false" outlineLevel="0" collapsed="false">
      <c r="A33" s="84"/>
      <c r="B33" s="146"/>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8"/>
      <c r="AN33" s="147"/>
      <c r="AO33" s="149"/>
    </row>
    <row r="34" customFormat="false" ht="12.75" hidden="false" customHeight="false" outlineLevel="0" collapsed="false">
      <c r="A34" s="84"/>
      <c r="B34" s="150" t="s">
        <v>111</v>
      </c>
      <c r="C34" s="151" t="n">
        <f aca="false">+C32+C30+C26</f>
        <v>700000</v>
      </c>
      <c r="D34" s="151" t="n">
        <f aca="false">+D32+D30+D26</f>
        <v>0</v>
      </c>
      <c r="E34" s="151" t="n">
        <f aca="false">+E32+E30+E26</f>
        <v>0</v>
      </c>
      <c r="F34" s="151" t="n">
        <f aca="false">+F32+F30+F26</f>
        <v>0</v>
      </c>
      <c r="G34" s="151" t="n">
        <f aca="false">+G32+G30+G26</f>
        <v>0</v>
      </c>
      <c r="H34" s="151" t="n">
        <f aca="false">+H32+H30+H26</f>
        <v>0</v>
      </c>
      <c r="I34" s="151" t="n">
        <f aca="false">+I32+I30+I26</f>
        <v>1440000</v>
      </c>
      <c r="J34" s="151" t="n">
        <f aca="false">+J32+J30+J26</f>
        <v>0</v>
      </c>
      <c r="K34" s="151" t="n">
        <f aca="false">+K32+K30+K26</f>
        <v>978777.625</v>
      </c>
      <c r="L34" s="151" t="n">
        <f aca="false">+L32+L30+L26</f>
        <v>0</v>
      </c>
      <c r="M34" s="151" t="n">
        <f aca="false">+M32+M30+M26</f>
        <v>335580.9</v>
      </c>
      <c r="N34" s="151" t="n">
        <f aca="false">+N32+N30+N26</f>
        <v>447441.2</v>
      </c>
      <c r="O34" s="151" t="n">
        <f aca="false">+O32+O30+O26</f>
        <v>447441.2</v>
      </c>
      <c r="P34" s="151" t="n">
        <f aca="false">+P32+P30+P26</f>
        <v>1845694.95</v>
      </c>
      <c r="Q34" s="151" t="n">
        <f aca="false">+Q32+Q30+Q26</f>
        <v>866917.325</v>
      </c>
      <c r="R34" s="151" t="n">
        <f aca="false">+R32+R30+R26</f>
        <v>866917.325</v>
      </c>
      <c r="S34" s="151" t="n">
        <f aca="false">+S32+S30+S26</f>
        <v>1006742.7</v>
      </c>
      <c r="T34" s="151" t="n">
        <f aca="false">+T32+T30+T26</f>
        <v>1006742.7</v>
      </c>
      <c r="U34" s="151" t="n">
        <f aca="false">+U32+U30+U26</f>
        <v>1006742.7</v>
      </c>
      <c r="V34" s="151" t="n">
        <f aca="false">+V32+V30+V26</f>
        <v>1006742.7</v>
      </c>
      <c r="W34" s="151" t="n">
        <f aca="false">+W32+W30+W26</f>
        <v>1006742.7</v>
      </c>
      <c r="X34" s="151" t="n">
        <f aca="false">+X32+X30+X26</f>
        <v>1006742.7</v>
      </c>
      <c r="Y34" s="151" t="n">
        <f aca="false">+Y32+Y30+Y26</f>
        <v>1006742.7</v>
      </c>
      <c r="Z34" s="151" t="n">
        <f aca="false">+Z32+Z30+Z26</f>
        <v>1006742.7</v>
      </c>
      <c r="AA34" s="151" t="n">
        <f aca="false">+AA32+AA30+AA26</f>
        <v>1006742.7</v>
      </c>
      <c r="AB34" s="151" t="n">
        <f aca="false">+AB32+AB30+AB26</f>
        <v>1006742.7</v>
      </c>
      <c r="AC34" s="151" t="n">
        <f aca="false">+AC32+AC30+AC26</f>
        <v>1006742.7</v>
      </c>
      <c r="AD34" s="151" t="n">
        <f aca="false">+AD32+AD30+AD26</f>
        <v>1006742.7</v>
      </c>
      <c r="AE34" s="151" t="n">
        <f aca="false">+AE32+AE30+AE26</f>
        <v>1006742.7</v>
      </c>
      <c r="AF34" s="151" t="n">
        <f aca="false">+AF32+AF30+AF26</f>
        <v>1006742.7</v>
      </c>
      <c r="AG34" s="151" t="n">
        <f aca="false">+AG32+AG30+AG26</f>
        <v>1006742.7</v>
      </c>
      <c r="AH34" s="151" t="n">
        <f aca="false">+AH32+AH30+AH26</f>
        <v>559301.5</v>
      </c>
      <c r="AI34" s="151" t="n">
        <f aca="false">+AI32+AI30+AI26</f>
        <v>559301.5</v>
      </c>
      <c r="AJ34" s="151" t="n">
        <f aca="false">+AJ32+AJ30+AJ26</f>
        <v>559301.5</v>
      </c>
      <c r="AK34" s="151" t="n">
        <f aca="false">+AK32+AK30+AK26</f>
        <v>559301.5</v>
      </c>
      <c r="AL34" s="151" t="n">
        <f aca="false">+AL32+AL30+AL26</f>
        <v>559301.5</v>
      </c>
      <c r="AM34" s="151" t="n">
        <f aca="false">+AM32+AM30+AM26</f>
        <v>25826418.525</v>
      </c>
      <c r="AN34" s="151" t="n">
        <f aca="false">+AM34/TLU</f>
        <v>269025.19296875</v>
      </c>
      <c r="AO34" s="152" t="n">
        <f aca="false">+AM34/AM$32</f>
        <v>1.92400837808409</v>
      </c>
    </row>
    <row r="35" customFormat="false" ht="12" hidden="false" customHeight="false" outlineLevel="0" collapsed="false">
      <c r="A35" s="84"/>
      <c r="B35" s="153"/>
      <c r="C35" s="143"/>
      <c r="D35" s="143"/>
      <c r="E35" s="143"/>
      <c r="F35" s="143"/>
      <c r="G35" s="154"/>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4"/>
    </row>
    <row r="36" customFormat="false" ht="12" hidden="false" customHeight="false" outlineLevel="0" collapsed="false">
      <c r="A36" s="84"/>
      <c r="B36" s="135" t="s">
        <v>112</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55"/>
    </row>
    <row r="37" customFormat="false" ht="12" hidden="false" customHeight="false" outlineLevel="0" collapsed="false">
      <c r="A37" s="84"/>
      <c r="B37" s="146" t="s">
        <v>113</v>
      </c>
      <c r="C37" s="124" t="n">
        <v>10000</v>
      </c>
      <c r="D37" s="124"/>
      <c r="E37" s="124" t="n">
        <v>4000</v>
      </c>
      <c r="F37" s="124" t="n">
        <v>4000</v>
      </c>
      <c r="G37" s="124" t="n">
        <v>4000</v>
      </c>
      <c r="H37" s="124" t="n">
        <v>4000</v>
      </c>
      <c r="I37" s="124" t="n">
        <f aca="false">LandPrice-SUM($C37:H37)</f>
        <v>654000</v>
      </c>
      <c r="J37" s="124"/>
      <c r="K37" s="124"/>
      <c r="L37" s="124"/>
      <c r="M37" s="124"/>
      <c r="N37" s="124"/>
      <c r="O37" s="124"/>
      <c r="P37" s="124"/>
      <c r="Q37" s="124"/>
      <c r="R37" s="156"/>
      <c r="S37" s="156"/>
      <c r="T37" s="124"/>
      <c r="U37" s="124"/>
      <c r="V37" s="124"/>
      <c r="W37" s="124"/>
      <c r="X37" s="124"/>
      <c r="Y37" s="124"/>
      <c r="Z37" s="124"/>
      <c r="AA37" s="124"/>
      <c r="AB37" s="124"/>
      <c r="AC37" s="124"/>
      <c r="AD37" s="124"/>
      <c r="AE37" s="124"/>
      <c r="AF37" s="124"/>
      <c r="AG37" s="124"/>
      <c r="AH37" s="124"/>
      <c r="AI37" s="124"/>
      <c r="AJ37" s="124"/>
      <c r="AK37" s="124"/>
      <c r="AL37" s="124"/>
      <c r="AM37" s="123" t="n">
        <f aca="false">SUM(C37:AL37)</f>
        <v>680000</v>
      </c>
      <c r="AN37" s="124" t="n">
        <f aca="false">+AM37/TLU</f>
        <v>7083.33333333333</v>
      </c>
      <c r="AO37" s="136" t="n">
        <f aca="false">+AM37/AM$32</f>
        <v>0.0506584254348206</v>
      </c>
    </row>
    <row r="38" customFormat="false" ht="12" hidden="false" customHeight="false" outlineLevel="0" collapsed="false">
      <c r="A38" s="84"/>
      <c r="B38" s="146" t="s">
        <v>114</v>
      </c>
      <c r="C38" s="126" t="n">
        <f aca="false">ProfessionalFees*0.5*0.5</f>
        <v>39475</v>
      </c>
      <c r="D38" s="126" t="n">
        <f aca="false">ProfessionalFees*0.5*0.5</f>
        <v>39475</v>
      </c>
      <c r="E38" s="126" t="n">
        <f aca="false">ProfessionalFees*0.5*0.25</f>
        <v>19737.5</v>
      </c>
      <c r="F38" s="126" t="n">
        <f aca="false">ProfessionalFees*0.5*0.25</f>
        <v>19737.5</v>
      </c>
      <c r="G38" s="126" t="n">
        <f aca="false">ProfessionalFees*0.5*0.25</f>
        <v>19737.5</v>
      </c>
      <c r="H38" s="126" t="n">
        <f aca="false">ProfessionalFees*0.5*0.25</f>
        <v>19737.5</v>
      </c>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3" t="n">
        <f aca="false">SUM(C38:AL38)</f>
        <v>157900</v>
      </c>
      <c r="AN38" s="124" t="n">
        <f aca="false">+AM38/TLU</f>
        <v>1644.79166666667</v>
      </c>
      <c r="AO38" s="136" t="n">
        <f aca="false">+AM38/AM$32</f>
        <v>0.0117631843767032</v>
      </c>
      <c r="AQ38" s="157"/>
    </row>
    <row r="39" customFormat="false" ht="12" hidden="false" customHeight="false" outlineLevel="0" collapsed="false">
      <c r="A39" s="84"/>
      <c r="B39" s="146" t="s">
        <v>115</v>
      </c>
      <c r="C39" s="124"/>
      <c r="D39" s="124"/>
      <c r="E39" s="124"/>
      <c r="F39" s="124"/>
      <c r="G39" s="124"/>
      <c r="H39" s="124"/>
      <c r="I39" s="124" t="n">
        <f aca="false">(Lot_Improvement_Costs-ProfessionalFees)*0.15</f>
        <v>145731.725277778</v>
      </c>
      <c r="J39" s="124" t="n">
        <f aca="false">(Lot_Improvement_Costs-ProfessionalFees)*0.2</f>
        <v>194308.967037037</v>
      </c>
      <c r="K39" s="124" t="n">
        <f aca="false">(Lot_Improvement_Costs-ProfessionalFees)*0.3</f>
        <v>291463.450555556</v>
      </c>
      <c r="L39" s="124" t="n">
        <f aca="false">(Lot_Improvement_Costs-ProfessionalFees)*0.25</f>
        <v>242886.208796296</v>
      </c>
      <c r="M39" s="124" t="n">
        <f aca="false">(Lot_Improvement_Costs-ProfessionalFees)*0.1</f>
        <v>97154.4835185185</v>
      </c>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3" t="n">
        <f aca="false">SUM(C39:AL39)</f>
        <v>971544.835185185</v>
      </c>
      <c r="AN39" s="124" t="n">
        <f aca="false">+AM39/TLU</f>
        <v>10120.2586998457</v>
      </c>
      <c r="AO39" s="136" t="n">
        <f aca="false">+AM39/AM$32</f>
        <v>0.0723778405732556</v>
      </c>
      <c r="AP39" s="157"/>
    </row>
    <row r="40" customFormat="false" ht="12" hidden="false" customHeight="false" outlineLevel="0" collapsed="false">
      <c r="A40" s="84"/>
      <c r="B40" s="146" t="s">
        <v>116</v>
      </c>
      <c r="C40" s="124"/>
      <c r="D40" s="124"/>
      <c r="E40" s="124"/>
      <c r="F40" s="124"/>
      <c r="G40" s="124"/>
      <c r="H40" s="124"/>
      <c r="I40" s="124"/>
      <c r="J40" s="124"/>
      <c r="K40" s="124" t="n">
        <f aca="false">(F23+J23)*0.1*AvgUC+(K23+G23+H23+I23)*0.2*AvgUC</f>
        <v>177093.240496177</v>
      </c>
      <c r="L40" s="124" t="n">
        <f aca="false">(G23+K23)*0.1*AvgUC+(L23+H23+I23+J23)*0.2*AvgUC</f>
        <v>141674.592396942</v>
      </c>
      <c r="M40" s="124" t="n">
        <f aca="false">(H23+L23)*0.1*AvgUC+(M23+I23+J23+K23)*0.2*AvgUC</f>
        <v>256785.198719457</v>
      </c>
      <c r="N40" s="124" t="n">
        <f aca="false">(I23+M23)*0.1*AvgUC+(N23+J23+K23+L23)*0.2*AvgUC</f>
        <v>327622.494917928</v>
      </c>
      <c r="O40" s="124" t="n">
        <f aca="false">(J23+N23)*0.1*AvgUC+(O23+K23+L23+M23)*0.2*AvgUC</f>
        <v>389605.12909159</v>
      </c>
      <c r="P40" s="124" t="n">
        <f aca="false">(K23+O23)*0.1*AvgUC+(P23+L23+M23+N23)*0.2*AvgUC</f>
        <v>371895.805041973</v>
      </c>
      <c r="Q40" s="124" t="n">
        <f aca="false">(L23+P23)*0.1*AvgUC+(Q23+M23+N23+O23)*0.2*AvgUC</f>
        <v>327622.494917928</v>
      </c>
      <c r="R40" s="124" t="n">
        <f aca="false">(M23+Q23)*0.1*AvgUC+(R23+N23+O23+P23)*0.2*AvgUC</f>
        <v>345331.818967546</v>
      </c>
      <c r="S40" s="124" t="n">
        <f aca="false">(N23+R23)*0.1*AvgUC+(S23+O23+P23+Q23)*0.2*AvgUC</f>
        <v>354186.480992355</v>
      </c>
      <c r="T40" s="124" t="n">
        <f aca="false">(O23+S23)*0.1*AvgUC+(T23+P23+Q23+R23)*0.2*AvgUC</f>
        <v>354186.480992355</v>
      </c>
      <c r="U40" s="124" t="n">
        <f aca="false">(P23+T23)*0.1*AvgUC+(U23+Q23+R23+S23)*0.2*AvgUC</f>
        <v>354186.480992355</v>
      </c>
      <c r="V40" s="124" t="n">
        <f aca="false">(Q23+U23)*0.1*AvgUC+(V23+R23+S23+T23)*0.2*AvgUC</f>
        <v>354186.480992355</v>
      </c>
      <c r="W40" s="124" t="n">
        <f aca="false">(R23+V23)*0.1*AvgUC+(W23+S23+T23+U23)*0.2*AvgUC</f>
        <v>354186.480992355</v>
      </c>
      <c r="X40" s="124" t="n">
        <f aca="false">(S23+W23)*0.1*AvgUC+(X23+T23+U23+V23)*0.2*AvgUC</f>
        <v>354186.480992355</v>
      </c>
      <c r="Y40" s="124" t="n">
        <f aca="false">(T23+X23)*0.1*AvgUC+(Y23+U23+V23+W23)*0.2*AvgUC</f>
        <v>354186.480992355</v>
      </c>
      <c r="Z40" s="124" t="n">
        <f aca="false">(U23+Y23)*0.1*AvgUC+(Z23+V23+W23+X23)*0.2*AvgUC</f>
        <v>354186.480992355</v>
      </c>
      <c r="AA40" s="124" t="n">
        <f aca="false">(V23+Z23)*0.1*AvgUC+(AA23+W23+X23+Y23)*0.2*AvgUC</f>
        <v>354186.480992355</v>
      </c>
      <c r="AB40" s="124" t="n">
        <f aca="false">(W23+AA23)*0.1*AvgUC+(AB23+X23+Y23+Z23)*0.2*AvgUC</f>
        <v>354186.480992355</v>
      </c>
      <c r="AC40" s="124" t="n">
        <f aca="false">(X23+AB23)*0.1*AvgUC+(AC23+Y23+Z23+AA23)*0.2*AvgUC</f>
        <v>354186.480992355</v>
      </c>
      <c r="AD40" s="124" t="n">
        <f aca="false">(Y23+AC23)*0.1*AvgUC+(AD23+Z23+AA23+AB23)*0.2*AvgUC</f>
        <v>354186.480992355</v>
      </c>
      <c r="AE40" s="124" t="n">
        <f aca="false">(Z23+AD23)*0.1*AvgUC+(AE23+AA23+AB23+AC23)*0.2*AvgUC</f>
        <v>354186.480992355</v>
      </c>
      <c r="AF40" s="124" t="n">
        <f aca="false">(AA23+AE23)*0.1*AvgUC+(AF23+AB23+AC23+AD23)*0.2*AvgUC</f>
        <v>354186.480992355</v>
      </c>
      <c r="AG40" s="124" t="n">
        <f aca="false">(AB23+AF23)*0.1*AvgUC+(AG23+AC23+AD23+AE23)*0.2*AvgUC</f>
        <v>354186.480992355</v>
      </c>
      <c r="AH40" s="124" t="n">
        <f aca="false">(AC23+AG23)*0.1*AvgUC+(AH23+AD23+AE23+AF23)*0.2*AvgUC</f>
        <v>283349.184793884</v>
      </c>
      <c r="AI40" s="124" t="n">
        <f aca="false">(AD23+AH23)*0.1*AvgUC+(AI23+AE23+AF23+AG23)*0.2*AvgUC</f>
        <v>247930.536694648</v>
      </c>
      <c r="AJ40" s="124" t="n">
        <f aca="false">(AE23+AI23)*0.1*AvgUC+(AJ23+AF23+AG23+AH23)*0.2*AvgUC</f>
        <v>177093.240496177</v>
      </c>
      <c r="AK40" s="124" t="n">
        <f aca="false">(AF23+AJ23)*0.1*AvgUC+(AK23+AG23+AH23+AI23)*0.2*AvgUC</f>
        <v>106255.944297706</v>
      </c>
      <c r="AL40" s="124" t="n">
        <f aca="false">(AG23+AK23)*0.1*AvgUC+(AL23+AH23+AI23+AJ23)*0.2*AvgUC</f>
        <v>35418.6480992355</v>
      </c>
      <c r="AM40" s="123" t="n">
        <f aca="false">SUM(C40:AL40)</f>
        <v>8500475.54381652</v>
      </c>
      <c r="AN40" s="124" t="n">
        <f aca="false">+AM40/TLU</f>
        <v>88546.6202480887</v>
      </c>
      <c r="AO40" s="136" t="n">
        <f aca="false">+AM40/AM$32</f>
        <v>0.633265744848449</v>
      </c>
      <c r="AP40" s="58"/>
    </row>
    <row r="41" customFormat="false" ht="12" hidden="false" customHeight="false" outlineLevel="0" collapsed="false">
      <c r="A41" s="84"/>
      <c r="B41" s="146" t="s">
        <v>117</v>
      </c>
      <c r="C41" s="124"/>
      <c r="D41" s="124"/>
      <c r="E41" s="124"/>
      <c r="F41" s="124"/>
      <c r="G41" s="123"/>
      <c r="H41" s="124"/>
      <c r="I41" s="123" t="n">
        <f aca="false">(0.025*LandPrice)/12*3</f>
        <v>4250</v>
      </c>
      <c r="J41" s="124"/>
      <c r="K41" s="124"/>
      <c r="L41" s="124"/>
      <c r="M41" s="124"/>
      <c r="N41" s="124"/>
      <c r="O41" s="124"/>
      <c r="P41" s="124"/>
      <c r="Q41" s="124"/>
      <c r="R41" s="123"/>
      <c r="S41" s="123" t="n">
        <f aca="false">(0.025*LandPrice)/12*9</f>
        <v>12750</v>
      </c>
      <c r="T41" s="124"/>
      <c r="U41" s="124"/>
      <c r="V41" s="124"/>
      <c r="W41" s="124"/>
      <c r="X41" s="124"/>
      <c r="Y41" s="124"/>
      <c r="Z41" s="124"/>
      <c r="AA41" s="124"/>
      <c r="AB41" s="124"/>
      <c r="AC41" s="124"/>
      <c r="AD41" s="124"/>
      <c r="AE41" s="123" t="n">
        <f aca="false">(0.025*26000)*(TLU-SUM($C24:R24))*0.5</f>
        <v>26000</v>
      </c>
      <c r="AF41" s="124"/>
      <c r="AG41" s="124"/>
      <c r="AH41" s="124"/>
      <c r="AI41" s="124"/>
      <c r="AJ41" s="124"/>
      <c r="AK41" s="124"/>
      <c r="AL41" s="123" t="n">
        <f aca="false">((0.025*26000)/12*8)*(TLU-SUM($C24:$AD24))*0.5</f>
        <v>6933.33333333333</v>
      </c>
      <c r="AM41" s="123" t="n">
        <f aca="false">SUM(C41:AL41)</f>
        <v>49933.3333333333</v>
      </c>
      <c r="AN41" s="123" t="n">
        <f aca="false">+AM41/TLU</f>
        <v>520.138888888889</v>
      </c>
      <c r="AO41" s="136" t="n">
        <f aca="false">+AM41/AM$32</f>
        <v>0.00371991771085105</v>
      </c>
      <c r="AP41" s="157"/>
    </row>
    <row r="42" customFormat="false" ht="12" hidden="false" customHeight="false" outlineLevel="0" collapsed="false">
      <c r="A42" s="84"/>
      <c r="B42" s="146" t="s">
        <v>118</v>
      </c>
      <c r="C42" s="124" t="n">
        <f aca="false">C32*Slscomm</f>
        <v>0</v>
      </c>
      <c r="D42" s="124" t="n">
        <f aca="false">D32*Slscomm</f>
        <v>0</v>
      </c>
      <c r="E42" s="124" t="n">
        <f aca="false">E32*Slscomm</f>
        <v>0</v>
      </c>
      <c r="F42" s="124" t="n">
        <f aca="false">F32*Slscomm</f>
        <v>0</v>
      </c>
      <c r="G42" s="124" t="n">
        <f aca="false">G32*Slscomm</f>
        <v>0</v>
      </c>
      <c r="H42" s="124" t="n">
        <f aca="false">H32*Slscomm</f>
        <v>0</v>
      </c>
      <c r="I42" s="124" t="n">
        <f aca="false">I32*Slscomm</f>
        <v>0</v>
      </c>
      <c r="J42" s="124" t="n">
        <f aca="false">J32*Slscomm</f>
        <v>0</v>
      </c>
      <c r="K42" s="124" t="n">
        <f aca="false">K32*Slscomm</f>
        <v>0</v>
      </c>
      <c r="L42" s="124" t="n">
        <f aca="false">L32*Slscomm</f>
        <v>0</v>
      </c>
      <c r="M42" s="124" t="n">
        <f aca="false">M32*Slscomm</f>
        <v>0</v>
      </c>
      <c r="N42" s="124" t="n">
        <f aca="false">N32*Slscomm</f>
        <v>0</v>
      </c>
      <c r="O42" s="124" t="n">
        <f aca="false">O32*Slscomm</f>
        <v>0</v>
      </c>
      <c r="P42" s="124" t="n">
        <f aca="false">P32*Slscomm</f>
        <v>69912.6875</v>
      </c>
      <c r="Q42" s="124" t="n">
        <f aca="false">Q32*Slscomm</f>
        <v>20973.80625</v>
      </c>
      <c r="R42" s="124" t="n">
        <f aca="false">R32*Slscomm</f>
        <v>20973.80625</v>
      </c>
      <c r="S42" s="124" t="n">
        <f aca="false">S32*Slscomm</f>
        <v>27965.075</v>
      </c>
      <c r="T42" s="124" t="n">
        <f aca="false">T32*Slscomm</f>
        <v>27965.075</v>
      </c>
      <c r="U42" s="124" t="n">
        <f aca="false">U32*Slscomm</f>
        <v>27965.075</v>
      </c>
      <c r="V42" s="124" t="n">
        <f aca="false">V32*Slscomm</f>
        <v>27965.075</v>
      </c>
      <c r="W42" s="124" t="n">
        <f aca="false">W32*Slscomm</f>
        <v>27965.075</v>
      </c>
      <c r="X42" s="124" t="n">
        <f aca="false">X32*Slscomm</f>
        <v>27965.075</v>
      </c>
      <c r="Y42" s="124" t="n">
        <f aca="false">Y32*Slscomm</f>
        <v>27965.075</v>
      </c>
      <c r="Z42" s="124" t="n">
        <f aca="false">Z32*Slscomm</f>
        <v>27965.075</v>
      </c>
      <c r="AA42" s="124" t="n">
        <f aca="false">AA32*Slscomm</f>
        <v>27965.075</v>
      </c>
      <c r="AB42" s="124" t="n">
        <f aca="false">AB32*Slscomm</f>
        <v>27965.075</v>
      </c>
      <c r="AC42" s="124" t="n">
        <f aca="false">AC32*Slscomm</f>
        <v>27965.075</v>
      </c>
      <c r="AD42" s="124" t="n">
        <f aca="false">AD32*Slscomm</f>
        <v>27965.075</v>
      </c>
      <c r="AE42" s="124" t="n">
        <f aca="false">AE32*Slscomm</f>
        <v>27965.075</v>
      </c>
      <c r="AF42" s="124" t="n">
        <f aca="false">AF32*Slscomm</f>
        <v>27965.075</v>
      </c>
      <c r="AG42" s="124" t="n">
        <f aca="false">AG32*Slscomm</f>
        <v>27965.075</v>
      </c>
      <c r="AH42" s="124" t="n">
        <f aca="false">AH32*Slscomm</f>
        <v>27965.075</v>
      </c>
      <c r="AI42" s="124" t="n">
        <f aca="false">AI32*Slscomm</f>
        <v>27965.075</v>
      </c>
      <c r="AJ42" s="124" t="n">
        <f aca="false">AJ32*Slscomm</f>
        <v>27965.075</v>
      </c>
      <c r="AK42" s="124" t="n">
        <f aca="false">AK32*Slscomm</f>
        <v>27965.075</v>
      </c>
      <c r="AL42" s="124" t="n">
        <f aca="false">AL32*Slscomm</f>
        <v>27965.075</v>
      </c>
      <c r="AM42" s="123" t="n">
        <f aca="false">SUM(C42:AL42)</f>
        <v>671161.8</v>
      </c>
      <c r="AN42" s="124" t="n">
        <f aca="false">+AM42/TLU</f>
        <v>6991.26875</v>
      </c>
      <c r="AO42" s="155" t="n">
        <f aca="false">+AM42/AM$32</f>
        <v>0.05</v>
      </c>
      <c r="AP42" s="157"/>
    </row>
    <row r="43" customFormat="false" ht="12" hidden="false" customHeight="false" outlineLevel="0" collapsed="false">
      <c r="A43" s="84"/>
      <c r="B43" s="146" t="s">
        <v>119</v>
      </c>
      <c r="C43" s="124" t="n">
        <f aca="false">C32*Ccost</f>
        <v>0</v>
      </c>
      <c r="D43" s="124" t="n">
        <f aca="false">D32*Ccost</f>
        <v>0</v>
      </c>
      <c r="E43" s="124" t="n">
        <f aca="false">E32*Ccost</f>
        <v>0</v>
      </c>
      <c r="F43" s="124" t="n">
        <f aca="false">F32*Ccost</f>
        <v>0</v>
      </c>
      <c r="G43" s="124" t="n">
        <f aca="false">G32*Ccost</f>
        <v>0</v>
      </c>
      <c r="H43" s="124" t="n">
        <f aca="false">H32*Ccost</f>
        <v>0</v>
      </c>
      <c r="I43" s="124" t="n">
        <f aca="false">I32*Ccost</f>
        <v>0</v>
      </c>
      <c r="J43" s="124" t="n">
        <f aca="false">J32*Ccost</f>
        <v>0</v>
      </c>
      <c r="K43" s="124" t="n">
        <f aca="false">K32*Ccost</f>
        <v>0</v>
      </c>
      <c r="L43" s="124" t="n">
        <f aca="false">L32*Ccost</f>
        <v>0</v>
      </c>
      <c r="M43" s="124" t="n">
        <f aca="false">M32*Ccost</f>
        <v>0</v>
      </c>
      <c r="N43" s="124" t="n">
        <f aca="false">N32*Ccost</f>
        <v>0</v>
      </c>
      <c r="O43" s="124" t="n">
        <f aca="false">O32*Ccost</f>
        <v>0</v>
      </c>
      <c r="P43" s="124" t="n">
        <f aca="false">P32*Ccost</f>
        <v>17478.171875</v>
      </c>
      <c r="Q43" s="124" t="n">
        <f aca="false">Q32*Ccost</f>
        <v>5243.4515625</v>
      </c>
      <c r="R43" s="124" t="n">
        <f aca="false">R32*Ccost</f>
        <v>5243.4515625</v>
      </c>
      <c r="S43" s="124" t="n">
        <f aca="false">S32*Ccost</f>
        <v>6991.26875</v>
      </c>
      <c r="T43" s="124" t="n">
        <f aca="false">T32*Ccost</f>
        <v>6991.26875</v>
      </c>
      <c r="U43" s="124" t="n">
        <f aca="false">U32*Ccost</f>
        <v>6991.26875</v>
      </c>
      <c r="V43" s="124" t="n">
        <f aca="false">V32*Ccost</f>
        <v>6991.26875</v>
      </c>
      <c r="W43" s="124" t="n">
        <f aca="false">W32*Ccost</f>
        <v>6991.26875</v>
      </c>
      <c r="X43" s="124" t="n">
        <f aca="false">X32*Ccost</f>
        <v>6991.26875</v>
      </c>
      <c r="Y43" s="124" t="n">
        <f aca="false">Y32*Ccost</f>
        <v>6991.26875</v>
      </c>
      <c r="Z43" s="124" t="n">
        <f aca="false">Z32*Ccost</f>
        <v>6991.26875</v>
      </c>
      <c r="AA43" s="124" t="n">
        <f aca="false">AA32*Ccost</f>
        <v>6991.26875</v>
      </c>
      <c r="AB43" s="124" t="n">
        <f aca="false">AB32*Ccost</f>
        <v>6991.26875</v>
      </c>
      <c r="AC43" s="124" t="n">
        <f aca="false">AC32*Ccost</f>
        <v>6991.26875</v>
      </c>
      <c r="AD43" s="124" t="n">
        <f aca="false">AD32*Ccost</f>
        <v>6991.26875</v>
      </c>
      <c r="AE43" s="124" t="n">
        <f aca="false">AE32*Ccost</f>
        <v>6991.26875</v>
      </c>
      <c r="AF43" s="124" t="n">
        <f aca="false">AF32*Ccost</f>
        <v>6991.26875</v>
      </c>
      <c r="AG43" s="124" t="n">
        <f aca="false">AG32*Ccost</f>
        <v>6991.26875</v>
      </c>
      <c r="AH43" s="124" t="n">
        <f aca="false">AH32*Ccost</f>
        <v>6991.26875</v>
      </c>
      <c r="AI43" s="124" t="n">
        <f aca="false">AI32*Ccost</f>
        <v>6991.26875</v>
      </c>
      <c r="AJ43" s="124" t="n">
        <f aca="false">AJ32*Ccost</f>
        <v>6991.26875</v>
      </c>
      <c r="AK43" s="124" t="n">
        <f aca="false">AK32*Ccost</f>
        <v>6991.26875</v>
      </c>
      <c r="AL43" s="124" t="n">
        <f aca="false">AL32*Ccost</f>
        <v>6991.26875</v>
      </c>
      <c r="AM43" s="123" t="n">
        <f aca="false">SUM(C43:AL43)</f>
        <v>167790.45</v>
      </c>
      <c r="AN43" s="124" t="n">
        <f aca="false">+AM43/TLU</f>
        <v>1747.8171875</v>
      </c>
      <c r="AO43" s="155" t="n">
        <f aca="false">+AM43/AM$32</f>
        <v>0.0125</v>
      </c>
      <c r="AP43" s="158"/>
    </row>
    <row r="44" customFormat="false" ht="12" hidden="false" customHeight="false" outlineLevel="0" collapsed="false">
      <c r="A44" s="84"/>
      <c r="B44" s="146" t="s">
        <v>120</v>
      </c>
      <c r="C44" s="124"/>
      <c r="D44" s="124"/>
      <c r="E44" s="124"/>
      <c r="F44" s="124"/>
      <c r="G44" s="124"/>
      <c r="H44" s="124"/>
      <c r="I44" s="124" t="n">
        <f aca="false">CLPts*SUM(I28:M28)</f>
        <v>14400</v>
      </c>
      <c r="J44" s="124"/>
      <c r="K44" s="124" t="n">
        <f aca="false">CLPts*K29</f>
        <v>9787.77625</v>
      </c>
      <c r="L44" s="124" t="n">
        <f aca="false">CLPts*L29</f>
        <v>0</v>
      </c>
      <c r="M44" s="124" t="n">
        <f aca="false">CLPts*M29</f>
        <v>3355.809</v>
      </c>
      <c r="N44" s="124" t="n">
        <f aca="false">CLPts*N29</f>
        <v>4474.412</v>
      </c>
      <c r="O44" s="124" t="n">
        <f aca="false">CLPts*O29</f>
        <v>4474.412</v>
      </c>
      <c r="P44" s="124" t="n">
        <f aca="false">CLPts*P29</f>
        <v>4474.412</v>
      </c>
      <c r="Q44" s="124" t="n">
        <f aca="false">CLPts*Q29</f>
        <v>4474.412</v>
      </c>
      <c r="R44" s="124" t="n">
        <f aca="false">CLPts*R29</f>
        <v>4474.412</v>
      </c>
      <c r="S44" s="124" t="n">
        <f aca="false">CLPts*S29</f>
        <v>4474.412</v>
      </c>
      <c r="T44" s="124" t="n">
        <f aca="false">CLPts*T29</f>
        <v>4474.412</v>
      </c>
      <c r="U44" s="124" t="n">
        <f aca="false">CLPts*U29</f>
        <v>4474.412</v>
      </c>
      <c r="V44" s="124" t="n">
        <f aca="false">CLPts*V29</f>
        <v>4474.412</v>
      </c>
      <c r="W44" s="124" t="n">
        <f aca="false">CLPts*W29</f>
        <v>4474.412</v>
      </c>
      <c r="X44" s="124" t="n">
        <f aca="false">CLPts*X29</f>
        <v>4474.412</v>
      </c>
      <c r="Y44" s="124" t="n">
        <f aca="false">CLPts*Y29</f>
        <v>4474.412</v>
      </c>
      <c r="Z44" s="124" t="n">
        <f aca="false">CLPts*Z29</f>
        <v>4474.412</v>
      </c>
      <c r="AA44" s="124" t="n">
        <f aca="false">CLPts*AA29</f>
        <v>4474.412</v>
      </c>
      <c r="AB44" s="124" t="n">
        <f aca="false">CLPts*AB29</f>
        <v>4474.412</v>
      </c>
      <c r="AC44" s="124" t="n">
        <f aca="false">CLPts*AC29</f>
        <v>4474.412</v>
      </c>
      <c r="AD44" s="124" t="n">
        <f aca="false">CLPts*AD29</f>
        <v>4474.412</v>
      </c>
      <c r="AE44" s="124" t="n">
        <f aca="false">CLPts*AE29</f>
        <v>4474.412</v>
      </c>
      <c r="AF44" s="124" t="n">
        <f aca="false">CLPts*AF29</f>
        <v>4474.412</v>
      </c>
      <c r="AG44" s="124" t="n">
        <f aca="false">CLPts*AG29</f>
        <v>4474.412</v>
      </c>
      <c r="AH44" s="124" t="n">
        <f aca="false">CLPts*AH29</f>
        <v>0</v>
      </c>
      <c r="AI44" s="124" t="n">
        <f aca="false">CLPts*AI29</f>
        <v>0</v>
      </c>
      <c r="AJ44" s="124" t="n">
        <f aca="false">CLPts*AJ29</f>
        <v>0</v>
      </c>
      <c r="AK44" s="124" t="n">
        <f aca="false">CLPts*AK29</f>
        <v>0</v>
      </c>
      <c r="AL44" s="124" t="n">
        <f aca="false">CLPts*AL29</f>
        <v>0</v>
      </c>
      <c r="AM44" s="123" t="n">
        <f aca="false">SUM(C44:AL44)</f>
        <v>117031.82525</v>
      </c>
      <c r="AN44" s="124" t="n">
        <f aca="false">+AM44/TLU</f>
        <v>1219.08151302083</v>
      </c>
      <c r="AO44" s="136" t="n">
        <f aca="false">+AM44/AM$32</f>
        <v>0.00871859998960013</v>
      </c>
    </row>
    <row r="45" customFormat="false" ht="12" hidden="false" customHeight="false" outlineLevel="0" collapsed="false">
      <c r="A45" s="84"/>
      <c r="B45" s="146" t="s">
        <v>121</v>
      </c>
      <c r="C45" s="124"/>
      <c r="D45" s="124"/>
      <c r="E45" s="124"/>
      <c r="F45" s="124"/>
      <c r="G45" s="124"/>
      <c r="H45" s="124"/>
      <c r="I45" s="124" t="n">
        <f aca="false">+I69</f>
        <v>0</v>
      </c>
      <c r="J45" s="124" t="n">
        <f aca="false">+J69</f>
        <v>5023.30482584877</v>
      </c>
      <c r="K45" s="124" t="n">
        <f aca="false">+K69</f>
        <v>6804.4703570216</v>
      </c>
      <c r="L45" s="124" t="n">
        <f aca="false">+L69</f>
        <v>11251.6689522269</v>
      </c>
      <c r="M45" s="124" t="n">
        <f aca="false">+M69</f>
        <v>13229.9499285603</v>
      </c>
      <c r="N45" s="124" t="n">
        <f aca="false">+N69</f>
        <v>16131.4331392535</v>
      </c>
      <c r="O45" s="124" t="n">
        <f aca="false">+O69</f>
        <v>18828.5262564444</v>
      </c>
      <c r="P45" s="124" t="n">
        <f aca="false">+P69</f>
        <v>21953.5168738014</v>
      </c>
      <c r="Q45" s="124" t="n">
        <f aca="false">+Q69</f>
        <v>25745.9006456334</v>
      </c>
      <c r="R45" s="124" t="n">
        <f aca="false">+R69</f>
        <v>19634.3230157473</v>
      </c>
      <c r="S45" s="124" t="n">
        <f aca="false">+S69</f>
        <v>22601.1862905421</v>
      </c>
      <c r="T45" s="124" t="n">
        <f aca="false">+T69</f>
        <v>22797.2385850103</v>
      </c>
      <c r="U45" s="124" t="n">
        <f aca="false">+U69</f>
        <v>21852.8269421779</v>
      </c>
      <c r="V45" s="124" t="n">
        <f aca="false">+V69</f>
        <v>20899.7581926194</v>
      </c>
      <c r="W45" s="124" t="n">
        <f aca="false">+W69</f>
        <v>19937.9529795233</v>
      </c>
      <c r="X45" s="124" t="n">
        <f aca="false">+X69</f>
        <v>18967.3312186406</v>
      </c>
      <c r="Y45" s="124" t="n">
        <f aca="false">+Y69</f>
        <v>17987.8120916164</v>
      </c>
      <c r="Z45" s="124" t="n">
        <f aca="false">+Z69</f>
        <v>16999.3140392611</v>
      </c>
      <c r="AA45" s="124" t="n">
        <f aca="false">+AA69</f>
        <v>16001.7547547592</v>
      </c>
      <c r="AB45" s="124" t="n">
        <f aca="false">+AB69</f>
        <v>14995.0511768161</v>
      </c>
      <c r="AC45" s="124" t="n">
        <f aca="false">+AC69</f>
        <v>13979.1194827419</v>
      </c>
      <c r="AD45" s="124" t="n">
        <f aca="false">+AD69</f>
        <v>12953.8750814719</v>
      </c>
      <c r="AE45" s="124" t="n">
        <f aca="false">+AE69</f>
        <v>11919.2326065237</v>
      </c>
      <c r="AF45" s="124" t="n">
        <f aca="false">+AF69</f>
        <v>11773.4392422217</v>
      </c>
      <c r="AG45" s="124" t="n">
        <f aca="false">+AG69</f>
        <v>11387.9761054137</v>
      </c>
      <c r="AH45" s="124" t="n">
        <f aca="false">+AH69</f>
        <v>10998.9795565182</v>
      </c>
      <c r="AI45" s="124" t="n">
        <f aca="false">+AI69</f>
        <v>9916.05988077189</v>
      </c>
      <c r="AJ45" s="124" t="n">
        <f aca="false">+AJ69</f>
        <v>8498.54250042158</v>
      </c>
      <c r="AK45" s="124" t="n">
        <f aca="false">+AK69</f>
        <v>6418.68932893207</v>
      </c>
      <c r="AL45" s="124" t="n">
        <f aca="false">+AL69</f>
        <v>3670.42895488459</v>
      </c>
      <c r="AM45" s="123" t="n">
        <f aca="false">SUM(C45:AL45)</f>
        <v>433159.663005405</v>
      </c>
      <c r="AN45" s="124" t="n">
        <f aca="false">+AM45/TLU</f>
        <v>4512.07982297297</v>
      </c>
      <c r="AO45" s="136" t="n">
        <f aca="false">+AM45/AM$32</f>
        <v>0.0322693918966638</v>
      </c>
      <c r="AP45" s="157" t="n">
        <f aca="false">+AM45+AM44</f>
        <v>550191.488255405</v>
      </c>
    </row>
    <row r="46" customFormat="false" ht="12" hidden="false" customHeight="false" outlineLevel="0" collapsed="false">
      <c r="A46" s="84"/>
      <c r="B46" s="159" t="s">
        <v>122</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3" t="n">
        <f aca="false">SUM(C46:AL46)</f>
        <v>0</v>
      </c>
      <c r="AN46" s="124"/>
      <c r="AO46" s="136" t="n">
        <f aca="false">+AM46/AM$32</f>
        <v>0</v>
      </c>
    </row>
    <row r="47" customFormat="false" ht="12" hidden="false" customHeight="false" outlineLevel="0" collapsed="false">
      <c r="A47" s="84"/>
      <c r="B47" s="132" t="s">
        <v>123</v>
      </c>
      <c r="C47" s="160"/>
      <c r="D47" s="160"/>
      <c r="E47" s="160"/>
      <c r="F47" s="160"/>
      <c r="G47" s="160"/>
      <c r="H47" s="160"/>
      <c r="I47" s="160"/>
      <c r="J47" s="160"/>
      <c r="K47" s="124" t="n">
        <f aca="false">IF(LotIMPLN-SUM($C47:J47)&lt;LotRel*K23,LotIMPLN-SUM($C47:J47),LotRel*K23)</f>
        <v>180000</v>
      </c>
      <c r="L47" s="124" t="n">
        <f aca="false">IF(LotIMPLN-SUM($C47:K47)&lt;LotRel*L23,LotIMPLN-SUM($C47:K47),LotRel*L23)</f>
        <v>54000</v>
      </c>
      <c r="M47" s="124" t="n">
        <f aca="false">IF(LotIMPLN-SUM($C47:L47)&lt;LotRel*M23,LotIMPLN-SUM($C47:L47),LotRel*M23)</f>
        <v>54000</v>
      </c>
      <c r="N47" s="124" t="n">
        <f aca="false">IF(LotIMPLN-SUM($C47:M47)&lt;LotRel*N23,LotIMPLN-SUM($C47:M47),LotRel*N23)</f>
        <v>72000</v>
      </c>
      <c r="O47" s="124" t="n">
        <f aca="false">IF(LotIMPLN-SUM($C47:N47)&lt;LotRel*O23,LotIMPLN-SUM($C47:N47),LotRel*O23)</f>
        <v>72000</v>
      </c>
      <c r="P47" s="124" t="n">
        <f aca="false">IF(LotIMPLN-SUM($C47:O47)&lt;LotRel*P23,LotIMPLN-SUM($C47:O47),LotRel*P23)</f>
        <v>72000</v>
      </c>
      <c r="Q47" s="124" t="n">
        <f aca="false">IF(LotIMPLN-SUM($C47:P47)&lt;LotRel*Q23,LotIMPLN-SUM($C47:P47),LotRel*Q23)</f>
        <v>72000</v>
      </c>
      <c r="R47" s="124" t="n">
        <f aca="false">IF(LotIMPLN-SUM($C47:Q47)&lt;LotRel*R23,LotIMPLN-SUM($C47:Q47),LotRel*R23)</f>
        <v>72000</v>
      </c>
      <c r="S47" s="124" t="n">
        <f aca="false">IF(LotIMPLN-SUM($C47:R47)&lt;LotRel*S23,LotIMPLN-SUM($C47:R47),LotRel*S23)</f>
        <v>72000</v>
      </c>
      <c r="T47" s="124" t="n">
        <f aca="false">IF(LotIMPLN-SUM($C47:S47)&lt;LotRel*T23,LotIMPLN-SUM($C47:S47),LotRel*T23)</f>
        <v>72000</v>
      </c>
      <c r="U47" s="124" t="n">
        <f aca="false">IF(LotIMPLN-SUM($C47:T47)&lt;LotRel*U23,LotIMPLN-SUM($C47:T47),LotRel*U23)</f>
        <v>72000</v>
      </c>
      <c r="V47" s="124" t="n">
        <f aca="false">IF(LotIMPLN-SUM($C47:U47)&lt;LotRel*V23,LotIMPLN-SUM($C47:U47),LotRel*V23)</f>
        <v>72000</v>
      </c>
      <c r="W47" s="124" t="n">
        <f aca="false">IF(LotIMPLN-SUM($C47:V47)&lt;LotRel*W23,LotIMPLN-SUM($C47:V47),LotRel*W23)</f>
        <v>72000</v>
      </c>
      <c r="X47" s="124" t="n">
        <f aca="false">IF(LotIMPLN-SUM($C47:W47)&lt;LotRel*X23,LotIMPLN-SUM($C47:W47),LotRel*X23)</f>
        <v>72000</v>
      </c>
      <c r="Y47" s="124" t="n">
        <f aca="false">IF(LotIMPLN-SUM($C47:X47)&lt;LotRel*Y23,LotIMPLN-SUM($C47:X47),LotRel*Y23)</f>
        <v>72000</v>
      </c>
      <c r="Z47" s="124" t="n">
        <f aca="false">IF(LotIMPLN-SUM($C47:Y47)&lt;LotRel*Z23,LotIMPLN-SUM($C47:Y47),LotRel*Z23)</f>
        <v>72000</v>
      </c>
      <c r="AA47" s="124" t="n">
        <f aca="false">IF(LotIMPLN-SUM($C47:Z47)&lt;LotRel*AA23,LotIMPLN-SUM($C47:Z47),LotRel*AA23)</f>
        <v>72000</v>
      </c>
      <c r="AB47" s="124" t="n">
        <f aca="false">IF(LotIMPLN-SUM($C47:AA47)&lt;LotRel*AB23,LotIMPLN-SUM($C47:AA47),LotRel*AB23)</f>
        <v>72000</v>
      </c>
      <c r="AC47" s="124" t="n">
        <f aca="false">IF(LotIMPLN-SUM($C47:AB47)&lt;LotRel*AC23,LotIMPLN-SUM($C47:AB47),LotRel*AC23)</f>
        <v>72000</v>
      </c>
      <c r="AD47" s="124" t="n">
        <f aca="false">IF(LotIMPLN-SUM($C47:AC47)&lt;LotRel*AD23,LotIMPLN-SUM($C47:AC47),LotRel*AD23)</f>
        <v>0</v>
      </c>
      <c r="AE47" s="124" t="n">
        <f aca="false">IF(LotIMPLN-SUM($C47:AD47)&lt;LotRel*AE23,LotIMPLN-SUM($C47:AD47),LotRel*AE23)</f>
        <v>0</v>
      </c>
      <c r="AF47" s="124" t="n">
        <f aca="false">IF(LotIMPLN-SUM($C47:AE47)&lt;LotRel*AF23,LotIMPLN-SUM($C47:AE47),LotRel*AF23)</f>
        <v>0</v>
      </c>
      <c r="AG47" s="124" t="n">
        <f aca="false">IF(LotIMPLN-SUM($C47:AF47)&lt;LotRel*AG23,LotIMPLN-SUM($C47:AF47),LotRel*AG23)</f>
        <v>0</v>
      </c>
      <c r="AH47" s="124" t="n">
        <f aca="false">IF(LotIMPLN-SUM($C47:AG47)&lt;-LotRel*AH23,LotIMPLN-SUM($C47:AG47),-LotRel*AH23)</f>
        <v>-0</v>
      </c>
      <c r="AI47" s="124" t="n">
        <f aca="false">IF(LotIMPLN-SUM($C47:AH47)&lt;-LotRel*AI23,LotIMPLN-SUM($C47:AH47),-LotRel*AI23)</f>
        <v>-0</v>
      </c>
      <c r="AJ47" s="124" t="n">
        <f aca="false">IF(LotIMPLN-SUM($C47:AI47)&lt;-LotRel*AJ23,LotIMPLN-SUM($C47:AI47),-LotRel*AJ23)</f>
        <v>-0</v>
      </c>
      <c r="AK47" s="124" t="n">
        <f aca="false">IF(LotIMPLN-SUM($C47:AJ47)&lt;-LotRel*AK23,LotIMPLN-SUM($C47:AJ47),-LotRel*AK23)</f>
        <v>-0</v>
      </c>
      <c r="AL47" s="124" t="n">
        <f aca="false">IF(LotIMPLN-SUM($C47:AK47)&lt;-LotRel*AL23,LotIMPLN-SUM($C47:AK47),-LotRel*AL23)</f>
        <v>-0</v>
      </c>
      <c r="AM47" s="123" t="n">
        <f aca="false">SUM(C47:AL47)</f>
        <v>1440000</v>
      </c>
      <c r="AN47" s="124" t="n">
        <f aca="false">+AM46/TLU</f>
        <v>0</v>
      </c>
      <c r="AO47" s="136" t="n">
        <f aca="false">+AM47/AM$32</f>
        <v>0.107276665626679</v>
      </c>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1"/>
      <c r="DD47" s="161"/>
      <c r="DE47" s="161"/>
      <c r="DF47" s="161"/>
      <c r="DG47" s="161"/>
      <c r="DH47" s="161"/>
      <c r="DI47" s="161"/>
      <c r="DJ47" s="161"/>
      <c r="DK47" s="161"/>
      <c r="DL47" s="161"/>
      <c r="DM47" s="161"/>
      <c r="DN47" s="161"/>
      <c r="DO47" s="161"/>
      <c r="DP47" s="161"/>
      <c r="DQ47" s="161"/>
      <c r="DR47" s="161"/>
      <c r="DS47" s="161"/>
      <c r="DT47" s="161"/>
      <c r="DU47" s="161"/>
      <c r="DV47" s="161"/>
      <c r="DW47" s="161"/>
      <c r="DX47" s="161"/>
    </row>
    <row r="48" customFormat="false" ht="12" hidden="false" customHeight="false" outlineLevel="0" collapsed="false">
      <c r="A48" s="84"/>
      <c r="B48" s="132" t="s">
        <v>124</v>
      </c>
      <c r="C48" s="124"/>
      <c r="D48" s="124"/>
      <c r="E48" s="124"/>
      <c r="F48" s="124"/>
      <c r="G48" s="124"/>
      <c r="H48" s="124"/>
      <c r="I48" s="124"/>
      <c r="J48" s="124"/>
      <c r="K48" s="156"/>
      <c r="L48" s="124"/>
      <c r="M48" s="124"/>
      <c r="N48" s="124"/>
      <c r="O48" s="124"/>
      <c r="P48" s="124" t="n">
        <f aca="false">K30</f>
        <v>978777.625</v>
      </c>
      <c r="Q48" s="124" t="n">
        <f aca="false">L30</f>
        <v>0</v>
      </c>
      <c r="R48" s="124" t="n">
        <f aca="false">M30</f>
        <v>335580.9</v>
      </c>
      <c r="S48" s="124" t="n">
        <f aca="false">N30</f>
        <v>447441.2</v>
      </c>
      <c r="T48" s="124" t="n">
        <f aca="false">O30</f>
        <v>447441.2</v>
      </c>
      <c r="U48" s="124" t="n">
        <f aca="false">P30</f>
        <v>447441.2</v>
      </c>
      <c r="V48" s="124" t="n">
        <f aca="false">Q30</f>
        <v>447441.2</v>
      </c>
      <c r="W48" s="124" t="n">
        <f aca="false">R30</f>
        <v>447441.2</v>
      </c>
      <c r="X48" s="124" t="n">
        <f aca="false">S30</f>
        <v>447441.2</v>
      </c>
      <c r="Y48" s="124" t="n">
        <f aca="false">T30</f>
        <v>447441.2</v>
      </c>
      <c r="Z48" s="124" t="n">
        <f aca="false">U30</f>
        <v>447441.2</v>
      </c>
      <c r="AA48" s="124" t="n">
        <f aca="false">V30</f>
        <v>447441.2</v>
      </c>
      <c r="AB48" s="124" t="n">
        <f aca="false">W30</f>
        <v>447441.2</v>
      </c>
      <c r="AC48" s="124" t="n">
        <f aca="false">X30</f>
        <v>447441.2</v>
      </c>
      <c r="AD48" s="124" t="n">
        <f aca="false">Y30</f>
        <v>447441.2</v>
      </c>
      <c r="AE48" s="124" t="n">
        <f aca="false">Z30</f>
        <v>447441.2</v>
      </c>
      <c r="AF48" s="124" t="n">
        <f aca="false">AA30</f>
        <v>447441.2</v>
      </c>
      <c r="AG48" s="124" t="n">
        <f aca="false">AB30</f>
        <v>447441.2</v>
      </c>
      <c r="AH48" s="124" t="n">
        <f aca="false">AC30</f>
        <v>447441.2</v>
      </c>
      <c r="AI48" s="124" t="n">
        <f aca="false">AD30</f>
        <v>447441.2</v>
      </c>
      <c r="AJ48" s="124" t="n">
        <f aca="false">AE30</f>
        <v>447441.2</v>
      </c>
      <c r="AK48" s="124" t="n">
        <f aca="false">AF30</f>
        <v>447441.2</v>
      </c>
      <c r="AL48" s="124" t="n">
        <f aca="false">AG30</f>
        <v>447441.2</v>
      </c>
      <c r="AM48" s="123" t="n">
        <f aca="false">SUM(C48:AL48)</f>
        <v>10263182.525</v>
      </c>
      <c r="AN48" s="124" t="n">
        <f aca="false">+AM48/TLU</f>
        <v>106908.151302083</v>
      </c>
      <c r="AO48" s="136" t="n">
        <f aca="false">+AM48/AM$32</f>
        <v>0.764583333333333</v>
      </c>
    </row>
    <row r="49" customFormat="false" ht="12" hidden="false" customHeight="false" outlineLevel="0" collapsed="false">
      <c r="A49" s="84"/>
      <c r="B49" s="162" t="s">
        <v>125</v>
      </c>
      <c r="C49" s="124"/>
      <c r="D49" s="124"/>
      <c r="E49" s="124"/>
      <c r="F49" s="124"/>
      <c r="G49" s="124"/>
      <c r="H49" s="124"/>
      <c r="I49" s="124"/>
      <c r="J49" s="124"/>
      <c r="K49" s="124"/>
      <c r="L49" s="124"/>
      <c r="M49" s="124"/>
      <c r="N49" s="124"/>
      <c r="O49" s="124"/>
      <c r="P49" s="124" t="n">
        <f aca="false">Totequity/TLU*P24</f>
        <v>72916.6666666667</v>
      </c>
      <c r="Q49" s="124" t="n">
        <f aca="false">Totequity/TLU*Q24</f>
        <v>21875</v>
      </c>
      <c r="R49" s="124" t="n">
        <f aca="false">Totequity/TLU*R24</f>
        <v>21875</v>
      </c>
      <c r="S49" s="124" t="n">
        <f aca="false">Totequity/TLU*S24</f>
        <v>29166.6666666667</v>
      </c>
      <c r="T49" s="124" t="n">
        <f aca="false">Totequity/TLU*T24</f>
        <v>29166.6666666667</v>
      </c>
      <c r="U49" s="124" t="n">
        <f aca="false">Totequity/TLU*U24</f>
        <v>29166.6666666667</v>
      </c>
      <c r="V49" s="124" t="n">
        <f aca="false">Totequity/TLU*V24</f>
        <v>29166.6666666667</v>
      </c>
      <c r="W49" s="124" t="n">
        <f aca="false">Totequity/TLU*W24</f>
        <v>29166.6666666667</v>
      </c>
      <c r="X49" s="124" t="n">
        <f aca="false">Totequity/TLU*X24</f>
        <v>29166.6666666667</v>
      </c>
      <c r="Y49" s="124" t="n">
        <f aca="false">Totequity/TLU*Y24</f>
        <v>29166.6666666667</v>
      </c>
      <c r="Z49" s="124" t="n">
        <f aca="false">Totequity/TLU*Z24</f>
        <v>29166.6666666667</v>
      </c>
      <c r="AA49" s="124" t="n">
        <f aca="false">Totequity/TLU*AA24</f>
        <v>29166.6666666667</v>
      </c>
      <c r="AB49" s="124" t="n">
        <f aca="false">Totequity/TLU*AB24</f>
        <v>29166.6666666667</v>
      </c>
      <c r="AC49" s="124" t="n">
        <f aca="false">Totequity/TLU*AC24</f>
        <v>29166.6666666667</v>
      </c>
      <c r="AD49" s="124" t="n">
        <f aca="false">Totequity/TLU*AD24</f>
        <v>29166.6666666667</v>
      </c>
      <c r="AE49" s="124" t="n">
        <f aca="false">Totequity/TLU*AE24</f>
        <v>29166.6666666667</v>
      </c>
      <c r="AF49" s="124" t="n">
        <f aca="false">Totequity/TLU*AF24</f>
        <v>29166.6666666667</v>
      </c>
      <c r="AG49" s="124" t="n">
        <f aca="false">Totequity/TLU*AG24</f>
        <v>29166.6666666667</v>
      </c>
      <c r="AH49" s="124" t="n">
        <f aca="false">Totequity/TLU*AH24</f>
        <v>29166.6666666667</v>
      </c>
      <c r="AI49" s="124" t="n">
        <f aca="false">Totequity/TLU*AI24</f>
        <v>29166.6666666667</v>
      </c>
      <c r="AJ49" s="124" t="n">
        <f aca="false">Totequity/TLU*AJ24</f>
        <v>29166.6666666667</v>
      </c>
      <c r="AK49" s="124" t="n">
        <f aca="false">Totequity/TLU*AK24</f>
        <v>29166.6666666667</v>
      </c>
      <c r="AL49" s="124" t="n">
        <f aca="false">Totequity/TLU*AL24</f>
        <v>29166.6666666667</v>
      </c>
      <c r="AM49" s="123" t="n">
        <f aca="false">SUM(C49:AL49)</f>
        <v>700000</v>
      </c>
      <c r="AN49" s="124" t="n">
        <f aca="false">+AM49/TLU</f>
        <v>7291.66666666667</v>
      </c>
      <c r="AO49" s="136" t="n">
        <f aca="false">+AM49/AM$32</f>
        <v>0.0521483791240801</v>
      </c>
    </row>
    <row r="50" customFormat="false" ht="12.75" hidden="false" customHeight="false" outlineLevel="0" collapsed="false">
      <c r="A50" s="84"/>
      <c r="B50" s="162" t="s">
        <v>126</v>
      </c>
      <c r="C50" s="147" t="s">
        <v>127</v>
      </c>
      <c r="D50" s="147" t="s">
        <v>127</v>
      </c>
      <c r="E50" s="147" t="s">
        <v>127</v>
      </c>
      <c r="F50" s="147"/>
      <c r="G50" s="147"/>
      <c r="H50" s="147"/>
      <c r="I50" s="147" t="s">
        <v>127</v>
      </c>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8" t="n">
        <f aca="false">SUM(C50:AL50)</f>
        <v>0</v>
      </c>
      <c r="AN50" s="147" t="n">
        <f aca="false">+AM50/TLU</f>
        <v>0</v>
      </c>
      <c r="AO50" s="149" t="n">
        <f aca="false">+AM50/AM$32</f>
        <v>0</v>
      </c>
    </row>
    <row r="51" customFormat="false" ht="12.75" hidden="false" customHeight="false" outlineLevel="0" collapsed="false">
      <c r="A51" s="84"/>
      <c r="B51" s="163" t="s">
        <v>128</v>
      </c>
      <c r="C51" s="164" t="n">
        <f aca="false">SUM(C37:C50)</f>
        <v>49475</v>
      </c>
      <c r="D51" s="164" t="n">
        <f aca="false">SUM(D37:D50)</f>
        <v>39475</v>
      </c>
      <c r="E51" s="164" t="n">
        <f aca="false">SUM(E37:E50)</f>
        <v>23737.5</v>
      </c>
      <c r="F51" s="164" t="n">
        <f aca="false">SUM(F37:F50)</f>
        <v>23737.5</v>
      </c>
      <c r="G51" s="164" t="n">
        <f aca="false">SUM(G37:G50)</f>
        <v>23737.5</v>
      </c>
      <c r="H51" s="164" t="n">
        <f aca="false">SUM(H37:H50)</f>
        <v>23737.5</v>
      </c>
      <c r="I51" s="164" t="n">
        <f aca="false">SUM(I37:I50)</f>
        <v>818381.725277778</v>
      </c>
      <c r="J51" s="164" t="n">
        <f aca="false">SUM(J37:J50)</f>
        <v>199332.271862886</v>
      </c>
      <c r="K51" s="164" t="n">
        <f aca="false">SUM(K37:K50)</f>
        <v>665148.937658755</v>
      </c>
      <c r="L51" s="164" t="n">
        <f aca="false">SUM(L37:L50)</f>
        <v>449812.470145465</v>
      </c>
      <c r="M51" s="164" t="n">
        <f aca="false">SUM(M37:M50)</f>
        <v>424525.441166536</v>
      </c>
      <c r="N51" s="164" t="n">
        <f aca="false">SUM(N37:N50)</f>
        <v>420228.340057182</v>
      </c>
      <c r="O51" s="164" t="n">
        <f aca="false">SUM(O37:O50)</f>
        <v>484908.067348035</v>
      </c>
      <c r="P51" s="164" t="n">
        <f aca="false">SUM(P37:P50)</f>
        <v>1609408.88495744</v>
      </c>
      <c r="Q51" s="164" t="n">
        <f aca="false">SUM(Q37:Q50)</f>
        <v>477935.065376062</v>
      </c>
      <c r="R51" s="164" t="n">
        <f aca="false">SUM(R37:R50)</f>
        <v>825113.711795793</v>
      </c>
      <c r="S51" s="164" t="n">
        <f aca="false">SUM(S37:S50)</f>
        <v>977576.289699564</v>
      </c>
      <c r="T51" s="164" t="n">
        <f aca="false">SUM(T37:T50)</f>
        <v>965022.341994032</v>
      </c>
      <c r="U51" s="164" t="n">
        <f aca="false">SUM(U37:U50)</f>
        <v>964077.9303512</v>
      </c>
      <c r="V51" s="164" t="n">
        <f aca="false">SUM(V37:V50)</f>
        <v>963124.861601641</v>
      </c>
      <c r="W51" s="164" t="n">
        <f aca="false">SUM(W37:W50)</f>
        <v>962163.056388545</v>
      </c>
      <c r="X51" s="164" t="n">
        <f aca="false">SUM(X37:X50)</f>
        <v>961192.434627662</v>
      </c>
      <c r="Y51" s="164" t="n">
        <f aca="false">SUM(Y37:Y50)</f>
        <v>960212.915500638</v>
      </c>
      <c r="Z51" s="164" t="n">
        <f aca="false">SUM(Z37:Z50)</f>
        <v>959224.417448283</v>
      </c>
      <c r="AA51" s="164" t="n">
        <f aca="false">SUM(AA37:AA50)</f>
        <v>958226.858163781</v>
      </c>
      <c r="AB51" s="164" t="n">
        <f aca="false">SUM(AB37:AB50)</f>
        <v>957220.154585838</v>
      </c>
      <c r="AC51" s="164" t="n">
        <f aca="false">SUM(AC37:AC50)</f>
        <v>956204.222891763</v>
      </c>
      <c r="AD51" s="164" t="n">
        <f aca="false">SUM(AD37:AD50)</f>
        <v>883178.978490494</v>
      </c>
      <c r="AE51" s="164" t="n">
        <f aca="false">SUM(AE37:AE50)</f>
        <v>908144.336015545</v>
      </c>
      <c r="AF51" s="164" t="n">
        <f aca="false">SUM(AF37:AF50)</f>
        <v>881998.542651243</v>
      </c>
      <c r="AG51" s="164" t="n">
        <f aca="false">SUM(AG37:AG50)</f>
        <v>881613.079514435</v>
      </c>
      <c r="AH51" s="164" t="n">
        <f aca="false">SUM(AH37:AH50)</f>
        <v>805912.374767069</v>
      </c>
      <c r="AI51" s="164" t="n">
        <f aca="false">SUM(AI37:AI50)</f>
        <v>769410.806992087</v>
      </c>
      <c r="AJ51" s="164" t="n">
        <f aca="false">SUM(AJ37:AJ50)</f>
        <v>697155.993413266</v>
      </c>
      <c r="AK51" s="164" t="n">
        <f aca="false">SUM(AK37:AK50)</f>
        <v>624238.844043305</v>
      </c>
      <c r="AL51" s="164" t="n">
        <f aca="false">SUM(AL37:AL50)</f>
        <v>557586.62080412</v>
      </c>
      <c r="AM51" s="164" t="n">
        <f aca="false">SUM(AM37:AM50)</f>
        <v>24152179.9755904</v>
      </c>
      <c r="AN51" s="164" t="n">
        <f aca="false">SUM(AN37:AN50)</f>
        <v>236585.208079067</v>
      </c>
      <c r="AO51" s="165" t="n">
        <f aca="false">+AM51/AM$32</f>
        <v>1.79928148291444</v>
      </c>
    </row>
    <row r="52" customFormat="false" ht="12.75" hidden="false" customHeight="false" outlineLevel="0" collapsed="false">
      <c r="A52" s="84"/>
      <c r="B52" s="9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7"/>
    </row>
    <row r="53" customFormat="false" ht="12.75" hidden="false" customHeight="false" outlineLevel="0" collapsed="false">
      <c r="A53" s="84"/>
      <c r="B53" s="168" t="s">
        <v>129</v>
      </c>
      <c r="C53" s="164" t="n">
        <f aca="false">C34-C51</f>
        <v>650525</v>
      </c>
      <c r="D53" s="164" t="n">
        <f aca="false">D34-D51</f>
        <v>-39475</v>
      </c>
      <c r="E53" s="164" t="n">
        <f aca="false">E34-E51</f>
        <v>-23737.5</v>
      </c>
      <c r="F53" s="164" t="n">
        <f aca="false">F34-F51</f>
        <v>-23737.5</v>
      </c>
      <c r="G53" s="164" t="n">
        <f aca="false">G34-G51</f>
        <v>-23737.5</v>
      </c>
      <c r="H53" s="164" t="n">
        <f aca="false">H34-H51</f>
        <v>-23737.5</v>
      </c>
      <c r="I53" s="164" t="n">
        <f aca="false">I34-I51</f>
        <v>621618.274722222</v>
      </c>
      <c r="J53" s="164" t="n">
        <f aca="false">J34-J51</f>
        <v>-199332.271862886</v>
      </c>
      <c r="K53" s="164" t="n">
        <f aca="false">K34-K51</f>
        <v>313628.687341245</v>
      </c>
      <c r="L53" s="164" t="n">
        <f aca="false">L34-L51</f>
        <v>-449812.470145465</v>
      </c>
      <c r="M53" s="164" t="n">
        <f aca="false">M34-M51</f>
        <v>-88944.5411665361</v>
      </c>
      <c r="N53" s="164" t="n">
        <f aca="false">N34-N51</f>
        <v>27212.8599428181</v>
      </c>
      <c r="O53" s="164" t="n">
        <f aca="false">O34-O51</f>
        <v>-37466.8673480348</v>
      </c>
      <c r="P53" s="164" t="n">
        <f aca="false">P34-P51</f>
        <v>236286.065042559</v>
      </c>
      <c r="Q53" s="164" t="n">
        <f aca="false">Q34-Q51</f>
        <v>388982.259623938</v>
      </c>
      <c r="R53" s="164" t="n">
        <f aca="false">R34-R51</f>
        <v>41803.6132042066</v>
      </c>
      <c r="S53" s="164" t="n">
        <f aca="false">S34-S51</f>
        <v>29166.4103004363</v>
      </c>
      <c r="T53" s="164" t="n">
        <f aca="false">T34-T51</f>
        <v>41720.358005968</v>
      </c>
      <c r="U53" s="164" t="n">
        <f aca="false">U34-U51</f>
        <v>42664.7696488005</v>
      </c>
      <c r="V53" s="164" t="n">
        <f aca="false">V34-V51</f>
        <v>43617.838398359</v>
      </c>
      <c r="W53" s="164" t="n">
        <f aca="false">W34-W51</f>
        <v>44579.6436114551</v>
      </c>
      <c r="X53" s="164" t="n">
        <f aca="false">X34-X51</f>
        <v>45550.2653723378</v>
      </c>
      <c r="Y53" s="164" t="n">
        <f aca="false">Y34-Y51</f>
        <v>46529.784499362</v>
      </c>
      <c r="Z53" s="164" t="n">
        <f aca="false">Z34-Z51</f>
        <v>47518.2825517172</v>
      </c>
      <c r="AA53" s="164" t="n">
        <f aca="false">AA34-AA51</f>
        <v>48515.8418362192</v>
      </c>
      <c r="AB53" s="164" t="n">
        <f aca="false">AB34-AB51</f>
        <v>49522.5454141622</v>
      </c>
      <c r="AC53" s="164" t="n">
        <f aca="false">AC34-AC51</f>
        <v>50538.4771082365</v>
      </c>
      <c r="AD53" s="164" t="n">
        <f aca="false">AD34-AD51</f>
        <v>123563.721509506</v>
      </c>
      <c r="AE53" s="164" t="n">
        <f aca="false">AE34-AE51</f>
        <v>98598.3639844548</v>
      </c>
      <c r="AF53" s="164" t="n">
        <f aca="false">AF34-AF51</f>
        <v>124744.157348757</v>
      </c>
      <c r="AG53" s="164" t="n">
        <f aca="false">AG34-AG51</f>
        <v>125129.620485565</v>
      </c>
      <c r="AH53" s="164" t="n">
        <f aca="false">AH34-AH51</f>
        <v>-246610.874767069</v>
      </c>
      <c r="AI53" s="164" t="n">
        <f aca="false">AI34-AI51</f>
        <v>-210109.306992087</v>
      </c>
      <c r="AJ53" s="164" t="n">
        <f aca="false">AJ34-AJ51</f>
        <v>-137854.493413266</v>
      </c>
      <c r="AK53" s="164" t="n">
        <f aca="false">AK34-AK51</f>
        <v>-64937.3440433051</v>
      </c>
      <c r="AL53" s="164" t="n">
        <f aca="false">AL34-AL51</f>
        <v>1714.87919587991</v>
      </c>
      <c r="AM53" s="164" t="n">
        <f aca="false">AM34-AM51</f>
        <v>1674238.54940956</v>
      </c>
      <c r="AN53" s="169" t="n">
        <f aca="false">+AM53/TLU</f>
        <v>17439.9848896829</v>
      </c>
      <c r="AO53" s="170"/>
    </row>
    <row r="54" customFormat="false" ht="12.75" hidden="false" customHeight="false" outlineLevel="0" collapsed="false">
      <c r="A54" s="171"/>
      <c r="B54" s="9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7"/>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c r="CG54" s="172"/>
      <c r="CH54" s="172"/>
      <c r="CI54" s="172"/>
      <c r="CJ54" s="172"/>
      <c r="CK54" s="172"/>
      <c r="CL54" s="172"/>
      <c r="CM54" s="172"/>
      <c r="CN54" s="172"/>
      <c r="CO54" s="172"/>
      <c r="CP54" s="172"/>
      <c r="CQ54" s="172"/>
      <c r="CR54" s="172"/>
      <c r="CS54" s="172"/>
      <c r="CT54" s="172"/>
      <c r="CU54" s="172"/>
      <c r="CV54" s="172"/>
      <c r="CW54" s="172"/>
      <c r="CX54" s="172"/>
      <c r="CY54" s="172"/>
      <c r="CZ54" s="172"/>
      <c r="DA54" s="172"/>
      <c r="DB54" s="172"/>
      <c r="DC54" s="172"/>
      <c r="DD54" s="172"/>
      <c r="DE54" s="172"/>
      <c r="DF54" s="172"/>
      <c r="DG54" s="172"/>
      <c r="DH54" s="172"/>
      <c r="DI54" s="172"/>
      <c r="DJ54" s="172"/>
      <c r="DK54" s="172"/>
      <c r="DL54" s="172"/>
      <c r="DM54" s="172"/>
      <c r="DN54" s="172"/>
      <c r="DO54" s="172"/>
      <c r="DP54" s="172"/>
      <c r="DQ54" s="172"/>
      <c r="DR54" s="172"/>
      <c r="DS54" s="172"/>
      <c r="DT54" s="172"/>
      <c r="DU54" s="172"/>
      <c r="DV54" s="172"/>
      <c r="DW54" s="172"/>
      <c r="DX54" s="172"/>
      <c r="DY54" s="172"/>
      <c r="DZ54" s="172"/>
      <c r="EA54" s="172"/>
      <c r="EB54" s="172"/>
      <c r="EC54" s="172"/>
      <c r="ED54" s="172"/>
      <c r="EE54" s="172"/>
      <c r="EF54" s="172"/>
      <c r="EG54" s="172"/>
      <c r="EH54" s="172"/>
      <c r="EI54" s="172"/>
      <c r="EJ54" s="172"/>
      <c r="EK54" s="172"/>
      <c r="EL54" s="172"/>
      <c r="EM54" s="172"/>
      <c r="EN54" s="172"/>
      <c r="EO54" s="172"/>
      <c r="EP54" s="172"/>
      <c r="EQ54" s="172"/>
      <c r="ER54" s="172"/>
      <c r="ES54" s="172"/>
      <c r="ET54" s="172"/>
      <c r="EU54" s="172"/>
      <c r="EV54" s="172"/>
      <c r="EW54" s="172"/>
      <c r="EX54" s="172"/>
      <c r="EY54" s="172"/>
      <c r="EZ54" s="172"/>
      <c r="FA54" s="172"/>
      <c r="FB54" s="172"/>
      <c r="FC54" s="172"/>
      <c r="FD54" s="172"/>
      <c r="FE54" s="172"/>
      <c r="FF54" s="172"/>
      <c r="FG54" s="172"/>
      <c r="FH54" s="172"/>
      <c r="FI54" s="172"/>
      <c r="FJ54" s="172"/>
      <c r="FK54" s="172"/>
      <c r="FL54" s="172"/>
      <c r="FM54" s="172"/>
      <c r="FN54" s="172"/>
      <c r="FO54" s="172"/>
      <c r="FP54" s="172"/>
      <c r="FQ54" s="172"/>
      <c r="FR54" s="172"/>
      <c r="FS54" s="172"/>
      <c r="FT54" s="172"/>
      <c r="FU54" s="172"/>
      <c r="FV54" s="172"/>
      <c r="FW54" s="172"/>
      <c r="FX54" s="172"/>
      <c r="FY54" s="172"/>
      <c r="FZ54" s="172"/>
      <c r="GA54" s="172"/>
      <c r="GB54" s="172"/>
      <c r="GC54" s="172"/>
      <c r="GD54" s="172"/>
      <c r="GE54" s="172"/>
      <c r="GF54" s="172"/>
      <c r="GG54" s="172"/>
      <c r="GH54" s="172"/>
      <c r="GI54" s="172"/>
      <c r="GJ54" s="172"/>
      <c r="GK54" s="172"/>
      <c r="GL54" s="172"/>
      <c r="GM54" s="172"/>
      <c r="GN54" s="172"/>
      <c r="GO54" s="172"/>
      <c r="GP54" s="172"/>
      <c r="GQ54" s="172"/>
      <c r="GR54" s="172"/>
      <c r="GS54" s="172"/>
      <c r="GT54" s="172"/>
      <c r="GU54" s="172"/>
      <c r="GV54" s="172"/>
      <c r="GW54" s="172"/>
      <c r="GX54" s="172"/>
      <c r="GY54" s="172"/>
      <c r="GZ54" s="172"/>
      <c r="HA54" s="172"/>
      <c r="HB54" s="172"/>
      <c r="HC54" s="172"/>
      <c r="HD54" s="172"/>
      <c r="HE54" s="172"/>
      <c r="HF54" s="172"/>
      <c r="HG54" s="172"/>
      <c r="HH54" s="172"/>
      <c r="HI54" s="172"/>
      <c r="HJ54" s="172"/>
      <c r="HK54" s="172"/>
      <c r="HL54" s="172"/>
      <c r="HM54" s="172"/>
      <c r="HN54" s="172"/>
      <c r="HO54" s="172"/>
      <c r="HP54" s="172"/>
      <c r="HQ54" s="172"/>
      <c r="HR54" s="172"/>
      <c r="HS54" s="172"/>
      <c r="HT54" s="172"/>
      <c r="HU54" s="172"/>
      <c r="HV54" s="172"/>
      <c r="HW54" s="172"/>
      <c r="HX54" s="172"/>
      <c r="HY54" s="172"/>
      <c r="HZ54" s="172"/>
      <c r="IA54" s="172"/>
      <c r="IB54" s="172"/>
      <c r="IC54" s="172"/>
      <c r="ID54" s="172"/>
      <c r="IE54" s="172"/>
      <c r="IF54" s="172"/>
      <c r="IG54" s="172"/>
      <c r="IH54" s="172"/>
      <c r="II54" s="172"/>
      <c r="IJ54" s="172"/>
      <c r="IK54" s="172"/>
      <c r="IL54" s="172"/>
      <c r="IM54" s="172"/>
      <c r="IN54" s="172"/>
      <c r="IO54" s="172"/>
      <c r="IP54" s="172"/>
      <c r="IQ54" s="172"/>
      <c r="IR54" s="172"/>
      <c r="IS54" s="172"/>
      <c r="IT54" s="172"/>
      <c r="IU54" s="172"/>
      <c r="IV54" s="172"/>
      <c r="IW54" s="172"/>
    </row>
    <row r="55" customFormat="false" ht="12.75" hidden="false" customHeight="false" outlineLevel="0" collapsed="false">
      <c r="A55" s="84"/>
      <c r="B55" s="168" t="s">
        <v>130</v>
      </c>
      <c r="C55" s="173" t="n">
        <v>0</v>
      </c>
      <c r="D55" s="164" t="n">
        <f aca="false">C57</f>
        <v>650525</v>
      </c>
      <c r="E55" s="164" t="n">
        <f aca="false">D57</f>
        <v>611050</v>
      </c>
      <c r="F55" s="164" t="n">
        <f aca="false">E57</f>
        <v>587312.5</v>
      </c>
      <c r="G55" s="164" t="n">
        <f aca="false">F57</f>
        <v>563575</v>
      </c>
      <c r="H55" s="164" t="n">
        <f aca="false">G57</f>
        <v>539837.5</v>
      </c>
      <c r="I55" s="164" t="n">
        <f aca="false">H57</f>
        <v>516100</v>
      </c>
      <c r="J55" s="164" t="n">
        <f aca="false">I57</f>
        <v>1137718.27472222</v>
      </c>
      <c r="K55" s="164" t="n">
        <f aca="false">J57</f>
        <v>938386.002859336</v>
      </c>
      <c r="L55" s="164" t="n">
        <f aca="false">K57</f>
        <v>1252014.69020058</v>
      </c>
      <c r="M55" s="164" t="n">
        <f aca="false">L57</f>
        <v>802202.220055117</v>
      </c>
      <c r="N55" s="164" t="n">
        <f aca="false">M57</f>
        <v>713257.678888581</v>
      </c>
      <c r="O55" s="164" t="n">
        <f aca="false">N57</f>
        <v>740470.538831399</v>
      </c>
      <c r="P55" s="164" t="n">
        <f aca="false">O57</f>
        <v>703003.671483364</v>
      </c>
      <c r="Q55" s="164" t="n">
        <f aca="false">P57</f>
        <v>939289.736525923</v>
      </c>
      <c r="R55" s="164" t="n">
        <f aca="false">Q57</f>
        <v>1328271.99614986</v>
      </c>
      <c r="S55" s="164" t="n">
        <f aca="false">R57</f>
        <v>1370075.60935407</v>
      </c>
      <c r="T55" s="164" t="n">
        <f aca="false">S57</f>
        <v>1399242.0196545</v>
      </c>
      <c r="U55" s="164" t="n">
        <f aca="false">T57</f>
        <v>1440962.37766047</v>
      </c>
      <c r="V55" s="164" t="n">
        <f aca="false">U57</f>
        <v>1483627.14730927</v>
      </c>
      <c r="W55" s="164" t="n">
        <f aca="false">V57</f>
        <v>1527244.98570763</v>
      </c>
      <c r="X55" s="164" t="n">
        <f aca="false">W57</f>
        <v>1571824.62931909</v>
      </c>
      <c r="Y55" s="164" t="n">
        <f aca="false">X57</f>
        <v>1617374.89469142</v>
      </c>
      <c r="Z55" s="164" t="n">
        <f aca="false">Y57</f>
        <v>1663904.67919079</v>
      </c>
      <c r="AA55" s="164" t="n">
        <f aca="false">Z57</f>
        <v>1711422.9617425</v>
      </c>
      <c r="AB55" s="164" t="n">
        <f aca="false">AA57</f>
        <v>1759938.80357872</v>
      </c>
      <c r="AC55" s="164" t="n">
        <f aca="false">AB57</f>
        <v>1809461.34899289</v>
      </c>
      <c r="AD55" s="164" t="n">
        <f aca="false">AC57</f>
        <v>1859999.82610112</v>
      </c>
      <c r="AE55" s="164" t="n">
        <f aca="false">AD57</f>
        <v>1983563.54761063</v>
      </c>
      <c r="AF55" s="164" t="n">
        <f aca="false">AE57</f>
        <v>2082161.91159508</v>
      </c>
      <c r="AG55" s="164" t="n">
        <f aca="false">AF57</f>
        <v>2206906.06894384</v>
      </c>
      <c r="AH55" s="164" t="n">
        <f aca="false">AG57</f>
        <v>2332035.6894294</v>
      </c>
      <c r="AI55" s="164" t="n">
        <f aca="false">AH57</f>
        <v>2085424.81466234</v>
      </c>
      <c r="AJ55" s="164" t="n">
        <f aca="false">AI57</f>
        <v>1875315.50767025</v>
      </c>
      <c r="AK55" s="164" t="n">
        <f aca="false">AJ57</f>
        <v>1737461.01425698</v>
      </c>
      <c r="AL55" s="164" t="n">
        <f aca="false">AK57</f>
        <v>1672523.67021368</v>
      </c>
      <c r="AM55" s="164"/>
      <c r="AN55" s="169"/>
      <c r="AO55" s="174"/>
    </row>
    <row r="56" customFormat="false" ht="12.75" hidden="false" customHeight="false" outlineLevel="0" collapsed="false">
      <c r="A56" s="171"/>
      <c r="B56" s="175"/>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7"/>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2"/>
      <c r="DB56" s="172"/>
      <c r="DC56" s="172"/>
      <c r="DD56" s="172"/>
      <c r="DE56" s="172"/>
      <c r="DF56" s="172"/>
      <c r="DG56" s="172"/>
      <c r="DH56" s="172"/>
      <c r="DI56" s="172"/>
      <c r="DJ56" s="172"/>
      <c r="DK56" s="172"/>
      <c r="DL56" s="172"/>
      <c r="DM56" s="172"/>
      <c r="DN56" s="172"/>
      <c r="DO56" s="172"/>
      <c r="DP56" s="172"/>
      <c r="DQ56" s="172"/>
      <c r="DR56" s="172"/>
      <c r="DS56" s="172"/>
      <c r="DT56" s="172"/>
      <c r="DU56" s="172"/>
      <c r="DV56" s="172"/>
      <c r="DW56" s="172"/>
      <c r="DX56" s="172"/>
      <c r="DY56" s="172"/>
      <c r="DZ56" s="172"/>
      <c r="EA56" s="172"/>
      <c r="EB56" s="172"/>
      <c r="EC56" s="172"/>
      <c r="ED56" s="172"/>
      <c r="EE56" s="172"/>
      <c r="EF56" s="172"/>
      <c r="EG56" s="172"/>
      <c r="EH56" s="172"/>
      <c r="EI56" s="172"/>
      <c r="EJ56" s="172"/>
      <c r="EK56" s="172"/>
      <c r="EL56" s="172"/>
      <c r="EM56" s="172"/>
      <c r="EN56" s="172"/>
      <c r="EO56" s="172"/>
      <c r="EP56" s="172"/>
      <c r="EQ56" s="172"/>
      <c r="ER56" s="172"/>
      <c r="ES56" s="172"/>
      <c r="ET56" s="172"/>
      <c r="EU56" s="172"/>
      <c r="EV56" s="172"/>
      <c r="EW56" s="172"/>
      <c r="EX56" s="172"/>
      <c r="EY56" s="172"/>
      <c r="EZ56" s="172"/>
      <c r="FA56" s="172"/>
      <c r="FB56" s="172"/>
      <c r="FC56" s="172"/>
      <c r="FD56" s="172"/>
      <c r="FE56" s="172"/>
      <c r="FF56" s="172"/>
      <c r="FG56" s="172"/>
      <c r="FH56" s="172"/>
      <c r="FI56" s="172"/>
      <c r="FJ56" s="172"/>
      <c r="FK56" s="172"/>
      <c r="FL56" s="172"/>
      <c r="FM56" s="172"/>
      <c r="FN56" s="172"/>
      <c r="FO56" s="172"/>
      <c r="FP56" s="172"/>
      <c r="FQ56" s="172"/>
      <c r="FR56" s="172"/>
      <c r="FS56" s="172"/>
      <c r="FT56" s="172"/>
      <c r="FU56" s="172"/>
      <c r="FV56" s="172"/>
      <c r="FW56" s="172"/>
      <c r="FX56" s="172"/>
      <c r="FY56" s="172"/>
      <c r="FZ56" s="172"/>
      <c r="GA56" s="172"/>
      <c r="GB56" s="172"/>
      <c r="GC56" s="172"/>
      <c r="GD56" s="172"/>
      <c r="GE56" s="172"/>
      <c r="GF56" s="172"/>
      <c r="GG56" s="172"/>
      <c r="GH56" s="172"/>
      <c r="GI56" s="172"/>
      <c r="GJ56" s="172"/>
      <c r="GK56" s="172"/>
      <c r="GL56" s="172"/>
      <c r="GM56" s="172"/>
      <c r="GN56" s="172"/>
      <c r="GO56" s="172"/>
      <c r="GP56" s="172"/>
      <c r="GQ56" s="172"/>
      <c r="GR56" s="172"/>
      <c r="GS56" s="172"/>
      <c r="GT56" s="172"/>
      <c r="GU56" s="172"/>
      <c r="GV56" s="172"/>
      <c r="GW56" s="172"/>
      <c r="GX56" s="172"/>
      <c r="GY56" s="172"/>
      <c r="GZ56" s="172"/>
      <c r="HA56" s="172"/>
      <c r="HB56" s="172"/>
      <c r="HC56" s="172"/>
      <c r="HD56" s="172"/>
      <c r="HE56" s="172"/>
      <c r="HF56" s="172"/>
      <c r="HG56" s="172"/>
      <c r="HH56" s="172"/>
      <c r="HI56" s="172"/>
      <c r="HJ56" s="172"/>
      <c r="HK56" s="172"/>
      <c r="HL56" s="172"/>
      <c r="HM56" s="172"/>
      <c r="HN56" s="172"/>
      <c r="HO56" s="172"/>
      <c r="HP56" s="172"/>
      <c r="HQ56" s="172"/>
      <c r="HR56" s="172"/>
      <c r="HS56" s="172"/>
      <c r="HT56" s="172"/>
      <c r="HU56" s="172"/>
      <c r="HV56" s="172"/>
      <c r="HW56" s="172"/>
      <c r="HX56" s="172"/>
      <c r="HY56" s="172"/>
      <c r="HZ56" s="172"/>
      <c r="IA56" s="172"/>
      <c r="IB56" s="172"/>
      <c r="IC56" s="172"/>
      <c r="ID56" s="172"/>
      <c r="IE56" s="172"/>
      <c r="IF56" s="172"/>
      <c r="IG56" s="172"/>
      <c r="IH56" s="172"/>
      <c r="II56" s="172"/>
      <c r="IJ56" s="172"/>
      <c r="IK56" s="172"/>
      <c r="IL56" s="172"/>
      <c r="IM56" s="172"/>
      <c r="IN56" s="172"/>
      <c r="IO56" s="172"/>
      <c r="IP56" s="172"/>
      <c r="IQ56" s="172"/>
      <c r="IR56" s="172"/>
      <c r="IS56" s="172"/>
      <c r="IT56" s="172"/>
      <c r="IU56" s="172"/>
      <c r="IV56" s="172"/>
      <c r="IW56" s="172"/>
    </row>
    <row r="57" customFormat="false" ht="12.75" hidden="false" customHeight="false" outlineLevel="0" collapsed="false">
      <c r="A57" s="84"/>
      <c r="B57" s="168" t="s">
        <v>131</v>
      </c>
      <c r="C57" s="173" t="n">
        <f aca="false">C55+C53</f>
        <v>650525</v>
      </c>
      <c r="D57" s="164" t="n">
        <f aca="false">D55+D53</f>
        <v>611050</v>
      </c>
      <c r="E57" s="164" t="n">
        <f aca="false">E55+E53</f>
        <v>587312.5</v>
      </c>
      <c r="F57" s="164" t="n">
        <f aca="false">F55+F53</f>
        <v>563575</v>
      </c>
      <c r="G57" s="164" t="n">
        <f aca="false">G55+G53</f>
        <v>539837.5</v>
      </c>
      <c r="H57" s="164" t="n">
        <f aca="false">H55+H53</f>
        <v>516100</v>
      </c>
      <c r="I57" s="164" t="n">
        <f aca="false">I55+I53</f>
        <v>1137718.27472222</v>
      </c>
      <c r="J57" s="164" t="n">
        <f aca="false">J55+J53</f>
        <v>938386.002859336</v>
      </c>
      <c r="K57" s="164" t="n">
        <f aca="false">K55+K53</f>
        <v>1252014.69020058</v>
      </c>
      <c r="L57" s="164" t="n">
        <f aca="false">L55+L53</f>
        <v>802202.220055117</v>
      </c>
      <c r="M57" s="164" t="n">
        <f aca="false">M55+M53</f>
        <v>713257.678888581</v>
      </c>
      <c r="N57" s="164" t="n">
        <f aca="false">N55+N53</f>
        <v>740470.538831399</v>
      </c>
      <c r="O57" s="164" t="n">
        <f aca="false">O55+O53</f>
        <v>703003.671483364</v>
      </c>
      <c r="P57" s="164" t="n">
        <f aca="false">P55+P53</f>
        <v>939289.736525923</v>
      </c>
      <c r="Q57" s="164" t="n">
        <f aca="false">Q55+Q53</f>
        <v>1328271.99614986</v>
      </c>
      <c r="R57" s="164" t="n">
        <f aca="false">R55+R53</f>
        <v>1370075.60935407</v>
      </c>
      <c r="S57" s="164" t="n">
        <f aca="false">S55+S53</f>
        <v>1399242.0196545</v>
      </c>
      <c r="T57" s="164" t="n">
        <f aca="false">T55+T53</f>
        <v>1440962.37766047</v>
      </c>
      <c r="U57" s="164" t="n">
        <f aca="false">U55+U53</f>
        <v>1483627.14730927</v>
      </c>
      <c r="V57" s="164" t="n">
        <f aca="false">V55+V53</f>
        <v>1527244.98570763</v>
      </c>
      <c r="W57" s="164" t="n">
        <f aca="false">W55+W53</f>
        <v>1571824.62931909</v>
      </c>
      <c r="X57" s="164" t="n">
        <f aca="false">X55+X53</f>
        <v>1617374.89469142</v>
      </c>
      <c r="Y57" s="164" t="n">
        <f aca="false">Y55+Y53</f>
        <v>1663904.67919079</v>
      </c>
      <c r="Z57" s="164" t="n">
        <f aca="false">Z55+Z53</f>
        <v>1711422.9617425</v>
      </c>
      <c r="AA57" s="164" t="n">
        <f aca="false">AA55+AA53</f>
        <v>1759938.80357872</v>
      </c>
      <c r="AB57" s="164" t="n">
        <f aca="false">AB55+AB53</f>
        <v>1809461.34899289</v>
      </c>
      <c r="AC57" s="164" t="n">
        <f aca="false">AC55+AC53</f>
        <v>1859999.82610112</v>
      </c>
      <c r="AD57" s="164" t="n">
        <f aca="false">AD55+AD53</f>
        <v>1983563.54761063</v>
      </c>
      <c r="AE57" s="164" t="n">
        <f aca="false">AE55+AE53</f>
        <v>2082161.91159508</v>
      </c>
      <c r="AF57" s="164" t="n">
        <f aca="false">AF55+AF53</f>
        <v>2206906.06894384</v>
      </c>
      <c r="AG57" s="164" t="n">
        <f aca="false">AG55+AG53</f>
        <v>2332035.6894294</v>
      </c>
      <c r="AH57" s="164" t="n">
        <f aca="false">AH55+AH53</f>
        <v>2085424.81466234</v>
      </c>
      <c r="AI57" s="164" t="n">
        <f aca="false">AI55+AI53</f>
        <v>1875315.50767025</v>
      </c>
      <c r="AJ57" s="164" t="n">
        <f aca="false">AJ55+AJ53</f>
        <v>1737461.01425698</v>
      </c>
      <c r="AK57" s="164" t="n">
        <f aca="false">AK55+AK53</f>
        <v>1672523.67021368</v>
      </c>
      <c r="AL57" s="164" t="n">
        <f aca="false">AL55+AL53</f>
        <v>1674238.54940956</v>
      </c>
      <c r="AM57" s="164"/>
      <c r="AN57" s="164" t="s">
        <v>132</v>
      </c>
      <c r="AO57" s="165"/>
    </row>
    <row r="58" customFormat="false" ht="12" hidden="false" customHeight="false" outlineLevel="0" collapsed="false">
      <c r="A58" s="84"/>
      <c r="B58" s="176"/>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8"/>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c r="GH58" s="115"/>
      <c r="GI58" s="115"/>
      <c r="GJ58" s="115"/>
      <c r="GK58" s="115"/>
      <c r="GL58" s="115"/>
      <c r="GM58" s="115"/>
      <c r="GN58" s="115"/>
      <c r="GO58" s="115"/>
      <c r="GP58" s="115"/>
      <c r="GQ58" s="115"/>
      <c r="GR58" s="115"/>
      <c r="GS58" s="115"/>
      <c r="GT58" s="115"/>
      <c r="GU58" s="115"/>
      <c r="GV58" s="115"/>
      <c r="GW58" s="115"/>
      <c r="GX58" s="115"/>
      <c r="GY58" s="115"/>
      <c r="GZ58" s="115"/>
      <c r="HA58" s="115"/>
      <c r="HB58" s="115"/>
      <c r="HC58" s="115"/>
      <c r="HD58" s="115"/>
      <c r="HE58" s="115"/>
      <c r="HF58" s="115"/>
      <c r="HG58" s="115"/>
      <c r="HH58" s="115"/>
      <c r="HI58" s="115"/>
      <c r="HJ58" s="115"/>
      <c r="HK58" s="115"/>
      <c r="HL58" s="115"/>
      <c r="HM58" s="115"/>
      <c r="HN58" s="115"/>
      <c r="HO58" s="115"/>
      <c r="HP58" s="115"/>
      <c r="HQ58" s="115"/>
      <c r="HR58" s="115"/>
      <c r="HS58" s="115"/>
      <c r="HT58" s="115"/>
      <c r="HU58" s="115"/>
      <c r="HV58" s="115"/>
      <c r="HW58" s="115"/>
      <c r="HX58" s="115"/>
      <c r="HY58" s="115"/>
      <c r="HZ58" s="115"/>
      <c r="IA58" s="115"/>
      <c r="IB58" s="115"/>
      <c r="IC58" s="115"/>
      <c r="ID58" s="115"/>
      <c r="IE58" s="115"/>
      <c r="IF58" s="115"/>
      <c r="IG58" s="115"/>
      <c r="IH58" s="115"/>
      <c r="II58" s="115"/>
      <c r="IJ58" s="115"/>
      <c r="IK58" s="115"/>
      <c r="IL58" s="115"/>
      <c r="IM58" s="115"/>
      <c r="IN58" s="115"/>
      <c r="IO58" s="115"/>
      <c r="IP58" s="115"/>
      <c r="IQ58" s="115"/>
      <c r="IR58" s="115"/>
      <c r="IS58" s="115"/>
      <c r="IT58" s="115"/>
      <c r="IU58" s="115"/>
      <c r="IV58" s="115"/>
      <c r="IW58" s="115"/>
    </row>
    <row r="59" customFormat="false" ht="12" hidden="false" customHeight="false" outlineLevel="0" collapsed="false">
      <c r="A59" s="84"/>
      <c r="B59" s="176" t="s">
        <v>133</v>
      </c>
      <c r="C59" s="177" t="n">
        <f aca="false">-C26</f>
        <v>-700000</v>
      </c>
      <c r="D59" s="177" t="n">
        <f aca="false">+D49</f>
        <v>0</v>
      </c>
      <c r="E59" s="177" t="n">
        <f aca="false">+E49</f>
        <v>0</v>
      </c>
      <c r="F59" s="177" t="n">
        <f aca="false">+F49</f>
        <v>0</v>
      </c>
      <c r="G59" s="177" t="n">
        <f aca="false">+G49</f>
        <v>0</v>
      </c>
      <c r="H59" s="177" t="n">
        <f aca="false">+H49</f>
        <v>0</v>
      </c>
      <c r="I59" s="177" t="n">
        <f aca="false">+I49</f>
        <v>0</v>
      </c>
      <c r="J59" s="177" t="n">
        <f aca="false">+J49</f>
        <v>0</v>
      </c>
      <c r="K59" s="177" t="n">
        <f aca="false">+K49</f>
        <v>0</v>
      </c>
      <c r="L59" s="177" t="n">
        <f aca="false">+L49</f>
        <v>0</v>
      </c>
      <c r="M59" s="177" t="n">
        <f aca="false">+M49</f>
        <v>0</v>
      </c>
      <c r="N59" s="177" t="n">
        <f aca="false">+N49</f>
        <v>0</v>
      </c>
      <c r="O59" s="177" t="n">
        <f aca="false">+O49</f>
        <v>0</v>
      </c>
      <c r="P59" s="177" t="n">
        <f aca="false">+P49</f>
        <v>72916.6666666667</v>
      </c>
      <c r="Q59" s="177" t="n">
        <f aca="false">+Q49</f>
        <v>21875</v>
      </c>
      <c r="R59" s="177" t="n">
        <f aca="false">+R49</f>
        <v>21875</v>
      </c>
      <c r="S59" s="177" t="n">
        <f aca="false">+S49</f>
        <v>29166.6666666667</v>
      </c>
      <c r="T59" s="177" t="n">
        <f aca="false">+T49</f>
        <v>29166.6666666667</v>
      </c>
      <c r="U59" s="177" t="n">
        <f aca="false">+U49</f>
        <v>29166.6666666667</v>
      </c>
      <c r="V59" s="177" t="n">
        <f aca="false">+V49</f>
        <v>29166.6666666667</v>
      </c>
      <c r="W59" s="177" t="n">
        <f aca="false">+W49</f>
        <v>29166.6666666667</v>
      </c>
      <c r="X59" s="177" t="n">
        <f aca="false">+X49</f>
        <v>29166.6666666667</v>
      </c>
      <c r="Y59" s="177" t="n">
        <f aca="false">+Y49</f>
        <v>29166.6666666667</v>
      </c>
      <c r="Z59" s="177" t="n">
        <f aca="false">+Z49</f>
        <v>29166.6666666667</v>
      </c>
      <c r="AA59" s="177" t="n">
        <f aca="false">+AA49</f>
        <v>29166.6666666667</v>
      </c>
      <c r="AB59" s="177" t="n">
        <f aca="false">+AB49</f>
        <v>29166.6666666667</v>
      </c>
      <c r="AC59" s="177" t="n">
        <f aca="false">+AC49</f>
        <v>29166.6666666667</v>
      </c>
      <c r="AD59" s="177" t="n">
        <f aca="false">+AD49</f>
        <v>29166.6666666667</v>
      </c>
      <c r="AE59" s="177" t="n">
        <f aca="false">+AE49</f>
        <v>29166.6666666667</v>
      </c>
      <c r="AF59" s="177" t="n">
        <f aca="false">+AF49</f>
        <v>29166.6666666667</v>
      </c>
      <c r="AG59" s="177" t="n">
        <f aca="false">+AG49</f>
        <v>29166.6666666667</v>
      </c>
      <c r="AH59" s="177" t="n">
        <f aca="false">+AH49</f>
        <v>29166.6666666667</v>
      </c>
      <c r="AI59" s="177" t="n">
        <f aca="false">+AI49</f>
        <v>29166.6666666667</v>
      </c>
      <c r="AJ59" s="177" t="n">
        <f aca="false">+AJ49</f>
        <v>29166.6666666667</v>
      </c>
      <c r="AK59" s="177" t="n">
        <f aca="false">+AK49</f>
        <v>29166.6666666667</v>
      </c>
      <c r="AL59" s="177" t="n">
        <f aca="false">+AL49</f>
        <v>29166.6666666667</v>
      </c>
      <c r="AM59" s="177" t="n">
        <f aca="false">SUM(C59:AL59)</f>
        <v>0</v>
      </c>
      <c r="AN59" s="177"/>
      <c r="AO59" s="178"/>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c r="GH59" s="115"/>
      <c r="GI59" s="115"/>
      <c r="GJ59" s="115"/>
      <c r="GK59" s="115"/>
      <c r="GL59" s="115"/>
      <c r="GM59" s="115"/>
      <c r="GN59" s="115"/>
      <c r="GO59" s="115"/>
      <c r="GP59" s="115"/>
      <c r="GQ59" s="115"/>
      <c r="GR59" s="115"/>
      <c r="GS59" s="115"/>
      <c r="GT59" s="115"/>
      <c r="GU59" s="115"/>
      <c r="GV59" s="115"/>
      <c r="GW59" s="115"/>
      <c r="GX59" s="115"/>
      <c r="GY59" s="115"/>
      <c r="GZ59" s="115"/>
      <c r="HA59" s="115"/>
      <c r="HB59" s="115"/>
      <c r="HC59" s="115"/>
      <c r="HD59" s="115"/>
      <c r="HE59" s="115"/>
      <c r="HF59" s="115"/>
      <c r="HG59" s="115"/>
      <c r="HH59" s="115"/>
      <c r="HI59" s="115"/>
      <c r="HJ59" s="115"/>
      <c r="HK59" s="115"/>
      <c r="HL59" s="115"/>
      <c r="HM59" s="115"/>
      <c r="HN59" s="115"/>
      <c r="HO59" s="115"/>
      <c r="HP59" s="115"/>
      <c r="HQ59" s="115"/>
      <c r="HR59" s="115"/>
      <c r="HS59" s="115"/>
      <c r="HT59" s="115"/>
      <c r="HU59" s="115"/>
      <c r="HV59" s="115"/>
      <c r="HW59" s="115"/>
      <c r="HX59" s="115"/>
      <c r="HY59" s="115"/>
      <c r="HZ59" s="115"/>
      <c r="IA59" s="115"/>
      <c r="IB59" s="115"/>
      <c r="IC59" s="115"/>
      <c r="ID59" s="115"/>
      <c r="IE59" s="115"/>
      <c r="IF59" s="115"/>
      <c r="IG59" s="115"/>
      <c r="IH59" s="115"/>
      <c r="II59" s="115"/>
      <c r="IJ59" s="115"/>
      <c r="IK59" s="115"/>
      <c r="IL59" s="115"/>
      <c r="IM59" s="115"/>
      <c r="IN59" s="115"/>
      <c r="IO59" s="115"/>
      <c r="IP59" s="115"/>
      <c r="IQ59" s="115"/>
      <c r="IR59" s="115"/>
      <c r="IS59" s="115"/>
      <c r="IT59" s="115"/>
      <c r="IU59" s="115"/>
      <c r="IV59" s="115"/>
      <c r="IW59" s="115"/>
    </row>
    <row r="60" customFormat="false" ht="12" hidden="false" customHeight="false" outlineLevel="0" collapsed="false">
      <c r="A60" s="84"/>
      <c r="B60" s="176" t="s">
        <v>134</v>
      </c>
      <c r="C60" s="177" t="n">
        <v>0</v>
      </c>
      <c r="D60" s="177" t="n">
        <v>0</v>
      </c>
      <c r="E60" s="177" t="n">
        <v>0</v>
      </c>
      <c r="F60" s="177" t="n">
        <v>0</v>
      </c>
      <c r="G60" s="177" t="n">
        <v>0</v>
      </c>
      <c r="H60" s="177"/>
      <c r="I60" s="177"/>
      <c r="J60" s="177"/>
      <c r="K60" s="177"/>
      <c r="L60" s="177"/>
      <c r="M60" s="177"/>
      <c r="N60" s="177"/>
      <c r="O60" s="177"/>
      <c r="P60" s="177" t="n">
        <f aca="false">0.75*P$53</f>
        <v>177214.548781919</v>
      </c>
      <c r="Q60" s="177" t="n">
        <f aca="false">0.75*Q$53</f>
        <v>291736.694717954</v>
      </c>
      <c r="R60" s="177" t="n">
        <f aca="false">0.75*R$53</f>
        <v>31352.7099031549</v>
      </c>
      <c r="S60" s="177" t="n">
        <f aca="false">0.75*S$53</f>
        <v>21874.8077253272</v>
      </c>
      <c r="T60" s="177" t="n">
        <f aca="false">0.75*T$53</f>
        <v>31290.268504476</v>
      </c>
      <c r="U60" s="177" t="n">
        <f aca="false">0.75*U$53</f>
        <v>31998.5772366004</v>
      </c>
      <c r="V60" s="177" t="n">
        <f aca="false">0.75*V$53</f>
        <v>32713.3787987693</v>
      </c>
      <c r="W60" s="177" t="n">
        <f aca="false">0.75*W$53</f>
        <v>33434.7327085913</v>
      </c>
      <c r="X60" s="177" t="n">
        <f aca="false">0.75*X$53</f>
        <v>34162.6990292533</v>
      </c>
      <c r="Y60" s="177" t="n">
        <f aca="false">0.75*Y$53</f>
        <v>34897.3383745215</v>
      </c>
      <c r="Z60" s="177" t="n">
        <f aca="false">0.25*Z$53</f>
        <v>11879.5706379293</v>
      </c>
      <c r="AA60" s="177" t="n">
        <f aca="false">0.25*AA$53</f>
        <v>12128.9604590548</v>
      </c>
      <c r="AB60" s="177" t="n">
        <f aca="false">0.25*AB$53</f>
        <v>12380.6363535406</v>
      </c>
      <c r="AC60" s="177" t="n">
        <f aca="false">0.25*AC$53</f>
        <v>12634.6192770591</v>
      </c>
      <c r="AD60" s="177" t="n">
        <f aca="false">0.25*AD$53</f>
        <v>30890.9303773766</v>
      </c>
      <c r="AE60" s="177" t="n">
        <f aca="false">0.25*AE$53</f>
        <v>24649.5909961137</v>
      </c>
      <c r="AF60" s="177" t="n">
        <f aca="false">0.25*AF$53</f>
        <v>31186.0393371892</v>
      </c>
      <c r="AG60" s="177" t="n">
        <f aca="false">0.25*AG$53</f>
        <v>31282.4051213912</v>
      </c>
      <c r="AH60" s="177" t="n">
        <f aca="false">0.25*AH$53</f>
        <v>-61652.7186917672</v>
      </c>
      <c r="AI60" s="177" t="n">
        <f aca="false">0.25*AI$53</f>
        <v>-52527.3267480218</v>
      </c>
      <c r="AJ60" s="177" t="n">
        <f aca="false">0.25*AJ$53</f>
        <v>-34463.6233533164</v>
      </c>
      <c r="AK60" s="177" t="n">
        <f aca="false">0.25*AK$53</f>
        <v>-16234.3360108263</v>
      </c>
      <c r="AL60" s="177" t="n">
        <f aca="false">0.25*AL$53</f>
        <v>428.719798969978</v>
      </c>
      <c r="AM60" s="177" t="n">
        <f aca="false">SUM(C60:AL60)</f>
        <v>723259.22333526</v>
      </c>
      <c r="AN60" s="177"/>
      <c r="AO60" s="178"/>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c r="GH60" s="115"/>
      <c r="GI60" s="115"/>
      <c r="GJ60" s="115"/>
      <c r="GK60" s="115"/>
      <c r="GL60" s="115"/>
      <c r="GM60" s="115"/>
      <c r="GN60" s="115"/>
      <c r="GO60" s="11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c r="IJ60" s="115"/>
      <c r="IK60" s="115"/>
      <c r="IL60" s="115"/>
      <c r="IM60" s="115"/>
      <c r="IN60" s="115"/>
      <c r="IO60" s="115"/>
      <c r="IP60" s="115"/>
      <c r="IQ60" s="115"/>
      <c r="IR60" s="115"/>
      <c r="IS60" s="115"/>
      <c r="IT60" s="115"/>
      <c r="IU60" s="115"/>
      <c r="IV60" s="115"/>
      <c r="IW60" s="115"/>
    </row>
    <row r="61" customFormat="false" ht="12" hidden="false" customHeight="false" outlineLevel="0" collapsed="false">
      <c r="A61" s="84"/>
      <c r="B61" s="176" t="s">
        <v>135</v>
      </c>
      <c r="C61" s="177" t="n">
        <f aca="false">+C60+C59</f>
        <v>-700000</v>
      </c>
      <c r="D61" s="177" t="n">
        <f aca="false">+D60+D59</f>
        <v>0</v>
      </c>
      <c r="E61" s="177" t="n">
        <f aca="false">+E60+E59</f>
        <v>0</v>
      </c>
      <c r="F61" s="177" t="n">
        <f aca="false">+F60+F59</f>
        <v>0</v>
      </c>
      <c r="G61" s="177" t="n">
        <f aca="false">+G60+G59</f>
        <v>0</v>
      </c>
      <c r="H61" s="177" t="n">
        <f aca="false">+H60+H59</f>
        <v>0</v>
      </c>
      <c r="I61" s="177" t="n">
        <f aca="false">+I60+I59</f>
        <v>0</v>
      </c>
      <c r="J61" s="177" t="n">
        <f aca="false">+J60+J59</f>
        <v>0</v>
      </c>
      <c r="K61" s="177" t="n">
        <f aca="false">+K60+K59</f>
        <v>0</v>
      </c>
      <c r="L61" s="177" t="n">
        <f aca="false">+L60+L59</f>
        <v>0</v>
      </c>
      <c r="M61" s="177" t="n">
        <f aca="false">+M60+M59</f>
        <v>0</v>
      </c>
      <c r="N61" s="177" t="n">
        <f aca="false">+N60+N59</f>
        <v>0</v>
      </c>
      <c r="O61" s="177" t="n">
        <f aca="false">+O60+O59</f>
        <v>0</v>
      </c>
      <c r="P61" s="177" t="n">
        <f aca="false">+P60+P59</f>
        <v>250131.215448586</v>
      </c>
      <c r="Q61" s="177" t="n">
        <f aca="false">+Q60+Q59</f>
        <v>313611.694717954</v>
      </c>
      <c r="R61" s="177" t="n">
        <f aca="false">+R60+R59</f>
        <v>53227.7099031549</v>
      </c>
      <c r="S61" s="177" t="n">
        <f aca="false">+S60+S59</f>
        <v>51041.4743919939</v>
      </c>
      <c r="T61" s="177" t="n">
        <f aca="false">+T60+T59</f>
        <v>60456.9351711427</v>
      </c>
      <c r="U61" s="177" t="n">
        <f aca="false">+U60+U59</f>
        <v>61165.243903267</v>
      </c>
      <c r="V61" s="177" t="n">
        <f aca="false">+V60+V59</f>
        <v>61880.0454654359</v>
      </c>
      <c r="W61" s="177" t="n">
        <f aca="false">+W60+W59</f>
        <v>62601.399375258</v>
      </c>
      <c r="X61" s="177" t="n">
        <f aca="false">+X60+X59</f>
        <v>63329.36569592</v>
      </c>
      <c r="Y61" s="177" t="n">
        <f aca="false">+Y60+Y59</f>
        <v>64064.0050411882</v>
      </c>
      <c r="Z61" s="177" t="n">
        <f aca="false">+Z60+Z59</f>
        <v>41046.237304596</v>
      </c>
      <c r="AA61" s="177" t="n">
        <f aca="false">+AA60+AA59</f>
        <v>41295.6271257215</v>
      </c>
      <c r="AB61" s="177" t="n">
        <f aca="false">+AB60+AB59</f>
        <v>41547.3030202072</v>
      </c>
      <c r="AC61" s="177" t="n">
        <f aca="false">+AC60+AC59</f>
        <v>41801.2859437258</v>
      </c>
      <c r="AD61" s="177" t="n">
        <f aca="false">+AD60+AD59</f>
        <v>60057.5970440433</v>
      </c>
      <c r="AE61" s="177" t="n">
        <f aca="false">+AE60+AE59</f>
        <v>53816.2576627804</v>
      </c>
      <c r="AF61" s="177" t="n">
        <f aca="false">+AF60+AF59</f>
        <v>60352.7060038558</v>
      </c>
      <c r="AG61" s="177" t="n">
        <f aca="false">+AG60+AG59</f>
        <v>60449.0717880578</v>
      </c>
      <c r="AH61" s="177" t="n">
        <f aca="false">+AH60+AH59</f>
        <v>-32486.0520251005</v>
      </c>
      <c r="AI61" s="177" t="n">
        <f aca="false">+AI60+AI59</f>
        <v>-23360.6600813551</v>
      </c>
      <c r="AJ61" s="177" t="n">
        <f aca="false">+AJ60+AJ59</f>
        <v>-5296.95668664975</v>
      </c>
      <c r="AK61" s="177" t="n">
        <f aca="false">+AK60+AK59</f>
        <v>12932.3306558404</v>
      </c>
      <c r="AL61" s="177" t="n">
        <f aca="false">+AL60+AL59</f>
        <v>29595.3864656366</v>
      </c>
      <c r="AM61" s="177" t="n">
        <f aca="false">SUM(C61:AL61)</f>
        <v>723259.22333526</v>
      </c>
      <c r="AN61" s="177"/>
      <c r="AO61" s="178"/>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c r="EN61" s="115"/>
      <c r="EO61" s="115"/>
      <c r="EP61" s="115"/>
      <c r="EQ61" s="115"/>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c r="GH61" s="115"/>
      <c r="GI61" s="115"/>
      <c r="GJ61" s="115"/>
      <c r="GK61" s="115"/>
      <c r="GL61" s="115"/>
      <c r="GM61" s="115"/>
      <c r="GN61" s="115"/>
      <c r="GO61" s="115"/>
      <c r="GP61" s="115"/>
      <c r="GQ61" s="115"/>
      <c r="GR61" s="115"/>
      <c r="GS61" s="115"/>
      <c r="GT61" s="115"/>
      <c r="GU61" s="115"/>
      <c r="GV61" s="115"/>
      <c r="GW61" s="115"/>
      <c r="GX61" s="115"/>
      <c r="GY61" s="115"/>
      <c r="GZ61" s="115"/>
      <c r="HA61" s="115"/>
      <c r="HB61" s="115"/>
      <c r="HC61" s="115"/>
      <c r="HD61" s="115"/>
      <c r="HE61" s="115"/>
      <c r="HF61" s="115"/>
      <c r="HG61" s="115"/>
      <c r="HH61" s="115"/>
      <c r="HI61" s="115"/>
      <c r="HJ61" s="115"/>
      <c r="HK61" s="115"/>
      <c r="HL61" s="115"/>
      <c r="HM61" s="115"/>
      <c r="HN61" s="115"/>
      <c r="HO61" s="115"/>
      <c r="HP61" s="115"/>
      <c r="HQ61" s="115"/>
      <c r="HR61" s="115"/>
      <c r="HS61" s="115"/>
      <c r="HT61" s="115"/>
      <c r="HU61" s="115"/>
      <c r="HV61" s="115"/>
      <c r="HW61" s="115"/>
      <c r="HX61" s="115"/>
      <c r="HY61" s="115"/>
      <c r="HZ61" s="115"/>
      <c r="IA61" s="115"/>
      <c r="IB61" s="115"/>
      <c r="IC61" s="115"/>
      <c r="ID61" s="115"/>
      <c r="IE61" s="115"/>
      <c r="IF61" s="115"/>
      <c r="IG61" s="115"/>
      <c r="IH61" s="115"/>
      <c r="II61" s="115"/>
      <c r="IJ61" s="115"/>
      <c r="IK61" s="115"/>
      <c r="IL61" s="115"/>
      <c r="IM61" s="115"/>
      <c r="IN61" s="115"/>
      <c r="IO61" s="115"/>
      <c r="IP61" s="115"/>
      <c r="IQ61" s="115"/>
      <c r="IR61" s="115"/>
      <c r="IS61" s="115"/>
      <c r="IT61" s="115"/>
      <c r="IU61" s="115"/>
      <c r="IV61" s="115"/>
      <c r="IW61" s="115"/>
    </row>
    <row r="62" customFormat="false" ht="12" hidden="false" customHeight="false" outlineLevel="0" collapsed="false">
      <c r="A62" s="84"/>
      <c r="B62" s="176" t="s">
        <v>136</v>
      </c>
      <c r="C62" s="177" t="n">
        <f aca="false">+C61</f>
        <v>-700000</v>
      </c>
      <c r="D62" s="177" t="n">
        <f aca="false">+D61+C62</f>
        <v>-700000</v>
      </c>
      <c r="E62" s="177" t="n">
        <f aca="false">+E61+D62</f>
        <v>-700000</v>
      </c>
      <c r="F62" s="177" t="n">
        <f aca="false">+F61+E62</f>
        <v>-700000</v>
      </c>
      <c r="G62" s="177" t="n">
        <f aca="false">+G61+F62</f>
        <v>-700000</v>
      </c>
      <c r="H62" s="177" t="n">
        <f aca="false">+H61+G62</f>
        <v>-700000</v>
      </c>
      <c r="I62" s="177" t="n">
        <f aca="false">+I61+H62</f>
        <v>-700000</v>
      </c>
      <c r="J62" s="177" t="n">
        <f aca="false">+J61+I62</f>
        <v>-700000</v>
      </c>
      <c r="K62" s="177" t="n">
        <f aca="false">+K61+J62</f>
        <v>-700000</v>
      </c>
      <c r="L62" s="177" t="n">
        <f aca="false">+L61+K62</f>
        <v>-700000</v>
      </c>
      <c r="M62" s="177" t="n">
        <f aca="false">+M61+L62</f>
        <v>-700000</v>
      </c>
      <c r="N62" s="177" t="n">
        <f aca="false">+N61+M62</f>
        <v>-700000</v>
      </c>
      <c r="O62" s="177" t="n">
        <f aca="false">+O61+N62</f>
        <v>-700000</v>
      </c>
      <c r="P62" s="177" t="n">
        <f aca="false">+P61+O62</f>
        <v>-449868.784551414</v>
      </c>
      <c r="Q62" s="177" t="n">
        <f aca="false">+Q61+P62</f>
        <v>-136257.08983346</v>
      </c>
      <c r="R62" s="177" t="n">
        <f aca="false">+R61+Q62</f>
        <v>-83029.3799303055</v>
      </c>
      <c r="S62" s="177" t="n">
        <f aca="false">+S61+R62</f>
        <v>-31987.9055383116</v>
      </c>
      <c r="T62" s="177" t="n">
        <f aca="false">+T61+S62</f>
        <v>28469.0296328311</v>
      </c>
      <c r="U62" s="177" t="n">
        <f aca="false">+U61+T62</f>
        <v>89634.2735360982</v>
      </c>
      <c r="V62" s="177" t="n">
        <f aca="false">+V61+U62</f>
        <v>151514.319001534</v>
      </c>
      <c r="W62" s="177" t="n">
        <f aca="false">+W61+V62</f>
        <v>214115.718376792</v>
      </c>
      <c r="X62" s="177" t="n">
        <f aca="false">+X61+W62</f>
        <v>277445.084072712</v>
      </c>
      <c r="Y62" s="177" t="n">
        <f aca="false">+Y61+X62</f>
        <v>341509.0891139</v>
      </c>
      <c r="Z62" s="177" t="n">
        <f aca="false">+Z61+Y62</f>
        <v>382555.326418496</v>
      </c>
      <c r="AA62" s="177" t="n">
        <f aca="false">+AA61+Z62</f>
        <v>423850.953544218</v>
      </c>
      <c r="AB62" s="177" t="n">
        <f aca="false">+AB61+AA62</f>
        <v>465398.256564425</v>
      </c>
      <c r="AC62" s="177" t="n">
        <f aca="false">+AC61+AB62</f>
        <v>507199.542508151</v>
      </c>
      <c r="AD62" s="177" t="n">
        <f aca="false">+AD61+AC62</f>
        <v>567257.139552194</v>
      </c>
      <c r="AE62" s="177" t="n">
        <f aca="false">+AE61+AD62</f>
        <v>621073.397214974</v>
      </c>
      <c r="AF62" s="177" t="n">
        <f aca="false">+AF61+AE62</f>
        <v>681426.10321883</v>
      </c>
      <c r="AG62" s="177" t="n">
        <f aca="false">+AG61+AF62</f>
        <v>741875.175006888</v>
      </c>
      <c r="AH62" s="177" t="n">
        <f aca="false">+AH61+AG62</f>
        <v>709389.122981787</v>
      </c>
      <c r="AI62" s="177" t="n">
        <f aca="false">+AI61+AH62</f>
        <v>686028.462900432</v>
      </c>
      <c r="AJ62" s="177" t="n">
        <f aca="false">+AJ61+AI62</f>
        <v>680731.506213783</v>
      </c>
      <c r="AK62" s="177" t="n">
        <f aca="false">+AK61+AJ62</f>
        <v>693663.836869623</v>
      </c>
      <c r="AL62" s="177" t="n">
        <f aca="false">+AL61+AK62</f>
        <v>723259.22333526</v>
      </c>
      <c r="AM62" s="177"/>
      <c r="AN62" s="177"/>
      <c r="AO62" s="178"/>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c r="EN62" s="115"/>
      <c r="EO62" s="115"/>
      <c r="EP62" s="115"/>
      <c r="EQ62" s="115"/>
      <c r="ER62" s="115"/>
      <c r="ES62" s="115"/>
      <c r="ET62" s="115"/>
      <c r="EU62" s="115"/>
      <c r="EV62" s="115"/>
      <c r="EW62" s="115"/>
      <c r="EX62" s="115"/>
      <c r="EY62" s="115"/>
      <c r="EZ62" s="115"/>
      <c r="FA62" s="115"/>
      <c r="FB62" s="115"/>
      <c r="FC62" s="115"/>
      <c r="FD62" s="115"/>
      <c r="FE62" s="115"/>
      <c r="FF62" s="115"/>
      <c r="FG62" s="115"/>
      <c r="FH62" s="115"/>
      <c r="FI62" s="115"/>
      <c r="FJ62" s="115"/>
      <c r="FK62" s="115"/>
      <c r="FL62" s="115"/>
      <c r="FM62" s="115"/>
      <c r="FN62" s="115"/>
      <c r="FO62" s="115"/>
      <c r="FP62" s="115"/>
      <c r="FQ62" s="115"/>
      <c r="FR62" s="115"/>
      <c r="FS62" s="115"/>
      <c r="FT62" s="115"/>
      <c r="FU62" s="115"/>
      <c r="FV62" s="115"/>
      <c r="FW62" s="115"/>
      <c r="FX62" s="115"/>
      <c r="FY62" s="115"/>
      <c r="FZ62" s="115"/>
      <c r="GA62" s="115"/>
      <c r="GB62" s="115"/>
      <c r="GC62" s="115"/>
      <c r="GD62" s="115"/>
      <c r="GE62" s="115"/>
      <c r="GF62" s="115"/>
      <c r="GG62" s="115"/>
      <c r="GH62" s="115"/>
      <c r="GI62" s="115"/>
      <c r="GJ62" s="115"/>
      <c r="GK62" s="115"/>
      <c r="GL62" s="115"/>
      <c r="GM62" s="115"/>
      <c r="GN62" s="115"/>
      <c r="GO62" s="115"/>
      <c r="GP62" s="115"/>
      <c r="GQ62" s="115"/>
      <c r="GR62" s="115"/>
      <c r="GS62" s="115"/>
      <c r="GT62" s="115"/>
      <c r="GU62" s="115"/>
      <c r="GV62" s="115"/>
      <c r="GW62" s="115"/>
      <c r="GX62" s="115"/>
      <c r="GY62" s="115"/>
      <c r="GZ62" s="115"/>
      <c r="HA62" s="115"/>
      <c r="HB62" s="115"/>
      <c r="HC62" s="115"/>
      <c r="HD62" s="115"/>
      <c r="HE62" s="115"/>
      <c r="HF62" s="115"/>
      <c r="HG62" s="115"/>
      <c r="HH62" s="115"/>
      <c r="HI62" s="115"/>
      <c r="HJ62" s="115"/>
      <c r="HK62" s="115"/>
      <c r="HL62" s="115"/>
      <c r="HM62" s="115"/>
      <c r="HN62" s="115"/>
      <c r="HO62" s="115"/>
      <c r="HP62" s="115"/>
      <c r="HQ62" s="115"/>
      <c r="HR62" s="115"/>
      <c r="HS62" s="115"/>
      <c r="HT62" s="115"/>
      <c r="HU62" s="115"/>
      <c r="HV62" s="115"/>
      <c r="HW62" s="115"/>
      <c r="HX62" s="115"/>
      <c r="HY62" s="115"/>
      <c r="HZ62" s="115"/>
      <c r="IA62" s="115"/>
      <c r="IB62" s="115"/>
      <c r="IC62" s="115"/>
      <c r="ID62" s="115"/>
      <c r="IE62" s="115"/>
      <c r="IF62" s="115"/>
      <c r="IG62" s="115"/>
      <c r="IH62" s="115"/>
      <c r="II62" s="115"/>
      <c r="IJ62" s="115"/>
      <c r="IK62" s="115"/>
      <c r="IL62" s="115"/>
      <c r="IM62" s="115"/>
      <c r="IN62" s="115"/>
      <c r="IO62" s="115"/>
      <c r="IP62" s="115"/>
      <c r="IQ62" s="115"/>
      <c r="IR62" s="115"/>
      <c r="IS62" s="115"/>
      <c r="IT62" s="115"/>
      <c r="IU62" s="115"/>
      <c r="IV62" s="115"/>
      <c r="IW62" s="115"/>
    </row>
    <row r="63" customFormat="false" ht="12" hidden="false" customHeight="false" outlineLevel="0" collapsed="false">
      <c r="A63" s="84"/>
      <c r="B63" s="179" t="s">
        <v>137</v>
      </c>
      <c r="C63" s="180" t="e">
        <f aca="false">IRR(C61:AL61,0.75)*12</f>
        <v>#N/A</v>
      </c>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8"/>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15"/>
      <c r="GB63" s="115"/>
      <c r="GC63" s="115"/>
      <c r="GD63" s="115"/>
      <c r="GE63" s="115"/>
      <c r="GF63" s="115"/>
      <c r="GG63" s="115"/>
      <c r="GH63" s="115"/>
      <c r="GI63" s="115"/>
      <c r="GJ63" s="115"/>
      <c r="GK63" s="115"/>
      <c r="GL63" s="115"/>
      <c r="GM63" s="115"/>
      <c r="GN63" s="115"/>
      <c r="GO63" s="115"/>
      <c r="GP63" s="115"/>
      <c r="GQ63" s="115"/>
      <c r="GR63" s="115"/>
      <c r="GS63" s="115"/>
      <c r="GT63" s="115"/>
      <c r="GU63" s="115"/>
      <c r="GV63" s="115"/>
      <c r="GW63" s="115"/>
      <c r="GX63" s="115"/>
      <c r="GY63" s="115"/>
      <c r="GZ63" s="115"/>
      <c r="HA63" s="115"/>
      <c r="HB63" s="115"/>
      <c r="HC63" s="115"/>
      <c r="HD63" s="115"/>
      <c r="HE63" s="115"/>
      <c r="HF63" s="115"/>
      <c r="HG63" s="115"/>
      <c r="HH63" s="115"/>
      <c r="HI63" s="115"/>
      <c r="HJ63" s="115"/>
      <c r="HK63" s="115"/>
      <c r="HL63" s="115"/>
      <c r="HM63" s="115"/>
      <c r="HN63" s="115"/>
      <c r="HO63" s="115"/>
      <c r="HP63" s="115"/>
      <c r="HQ63" s="115"/>
      <c r="HR63" s="115"/>
      <c r="HS63" s="115"/>
      <c r="HT63" s="115"/>
      <c r="HU63" s="115"/>
      <c r="HV63" s="115"/>
      <c r="HW63" s="115"/>
      <c r="HX63" s="115"/>
      <c r="HY63" s="115"/>
      <c r="HZ63" s="115"/>
      <c r="IA63" s="115"/>
      <c r="IB63" s="115"/>
      <c r="IC63" s="115"/>
      <c r="ID63" s="115"/>
      <c r="IE63" s="115"/>
      <c r="IF63" s="115"/>
      <c r="IG63" s="115"/>
      <c r="IH63" s="115"/>
      <c r="II63" s="115"/>
      <c r="IJ63" s="115"/>
      <c r="IK63" s="115"/>
      <c r="IL63" s="115"/>
      <c r="IM63" s="115"/>
      <c r="IN63" s="115"/>
      <c r="IO63" s="115"/>
      <c r="IP63" s="115"/>
      <c r="IQ63" s="115"/>
      <c r="IR63" s="115"/>
      <c r="IS63" s="115"/>
      <c r="IT63" s="115"/>
      <c r="IU63" s="115"/>
      <c r="IV63" s="115"/>
      <c r="IW63" s="115"/>
    </row>
    <row r="64" customFormat="false" ht="12" hidden="false" customHeight="false" outlineLevel="0" collapsed="false">
      <c r="A64" s="84"/>
      <c r="B64" s="115"/>
      <c r="C64" s="115"/>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8"/>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c r="GH64" s="115"/>
      <c r="GI64" s="115"/>
      <c r="GJ64" s="115"/>
      <c r="GK64" s="115"/>
      <c r="GL64" s="115"/>
      <c r="GM64" s="115"/>
      <c r="GN64" s="115"/>
      <c r="GO64" s="115"/>
      <c r="GP64" s="115"/>
      <c r="GQ64" s="115"/>
      <c r="GR64" s="115"/>
      <c r="GS64" s="115"/>
      <c r="GT64" s="115"/>
      <c r="GU64" s="115"/>
      <c r="GV64" s="115"/>
      <c r="GW64" s="115"/>
      <c r="GX64" s="115"/>
      <c r="GY64" s="115"/>
      <c r="GZ64" s="115"/>
      <c r="HA64" s="115"/>
      <c r="HB64" s="115"/>
      <c r="HC64" s="115"/>
      <c r="HD64" s="115"/>
      <c r="HE64" s="115"/>
      <c r="HF64" s="115"/>
      <c r="HG64" s="115"/>
      <c r="HH64" s="115"/>
      <c r="HI64" s="115"/>
      <c r="HJ64" s="115"/>
      <c r="HK64" s="115"/>
      <c r="HL64" s="115"/>
      <c r="HM64" s="115"/>
      <c r="HN64" s="115"/>
      <c r="HO64" s="115"/>
      <c r="HP64" s="115"/>
      <c r="HQ64" s="115"/>
      <c r="HR64" s="115"/>
      <c r="HS64" s="115"/>
      <c r="HT64" s="115"/>
      <c r="HU64" s="115"/>
      <c r="HV64" s="115"/>
      <c r="HW64" s="115"/>
      <c r="HX64" s="115"/>
      <c r="HY64" s="115"/>
      <c r="HZ64" s="115"/>
      <c r="IA64" s="115"/>
      <c r="IB64" s="115"/>
      <c r="IC64" s="115"/>
      <c r="ID64" s="115"/>
      <c r="IE64" s="115"/>
      <c r="IF64" s="115"/>
      <c r="IG64" s="115"/>
      <c r="IH64" s="115"/>
      <c r="II64" s="115"/>
      <c r="IJ64" s="115"/>
      <c r="IK64" s="115"/>
      <c r="IL64" s="115"/>
      <c r="IM64" s="115"/>
      <c r="IN64" s="115"/>
      <c r="IO64" s="115"/>
      <c r="IP64" s="115"/>
      <c r="IQ64" s="115"/>
      <c r="IR64" s="115"/>
      <c r="IS64" s="115"/>
      <c r="IT64" s="115"/>
      <c r="IU64" s="115"/>
      <c r="IV64" s="115"/>
      <c r="IW64" s="115"/>
    </row>
    <row r="65" customFormat="false" ht="12" hidden="false" customHeight="false" outlineLevel="0" collapsed="false">
      <c r="A65" s="84"/>
      <c r="B65" s="176"/>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8"/>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c r="GH65" s="115"/>
      <c r="GI65" s="115"/>
      <c r="GJ65" s="115"/>
      <c r="GK65" s="115"/>
      <c r="GL65" s="115"/>
      <c r="GM65" s="115"/>
      <c r="GN65" s="115"/>
      <c r="GO65" s="115"/>
      <c r="GP65" s="115"/>
      <c r="GQ65" s="115"/>
      <c r="GR65" s="115"/>
      <c r="GS65" s="115"/>
      <c r="GT65" s="115"/>
      <c r="GU65" s="115"/>
      <c r="GV65" s="115"/>
      <c r="GW65" s="115"/>
      <c r="GX65" s="115"/>
      <c r="GY65" s="115"/>
      <c r="GZ65" s="115"/>
      <c r="HA65" s="115"/>
      <c r="HB65" s="115"/>
      <c r="HC65" s="115"/>
      <c r="HD65" s="115"/>
      <c r="HE65" s="115"/>
      <c r="HF65" s="115"/>
      <c r="HG65" s="115"/>
      <c r="HH65" s="115"/>
      <c r="HI65" s="115"/>
      <c r="HJ65" s="115"/>
      <c r="HK65" s="115"/>
      <c r="HL65" s="115"/>
      <c r="HM65" s="115"/>
      <c r="HN65" s="115"/>
      <c r="HO65" s="115"/>
      <c r="HP65" s="115"/>
      <c r="HQ65" s="115"/>
      <c r="HR65" s="115"/>
      <c r="HS65" s="115"/>
      <c r="HT65" s="115"/>
      <c r="HU65" s="115"/>
      <c r="HV65" s="115"/>
      <c r="HW65" s="115"/>
      <c r="HX65" s="115"/>
      <c r="HY65" s="115"/>
      <c r="HZ65" s="115"/>
      <c r="IA65" s="115"/>
      <c r="IB65" s="115"/>
      <c r="IC65" s="115"/>
      <c r="ID65" s="115"/>
      <c r="IE65" s="115"/>
      <c r="IF65" s="115"/>
      <c r="IG65" s="115"/>
      <c r="IH65" s="115"/>
      <c r="II65" s="115"/>
      <c r="IJ65" s="115"/>
      <c r="IK65" s="115"/>
      <c r="IL65" s="115"/>
      <c r="IM65" s="115"/>
      <c r="IN65" s="115"/>
      <c r="IO65" s="115"/>
      <c r="IP65" s="115"/>
      <c r="IQ65" s="115"/>
      <c r="IR65" s="115"/>
      <c r="IS65" s="115"/>
      <c r="IT65" s="115"/>
      <c r="IU65" s="115"/>
      <c r="IV65" s="115"/>
      <c r="IW65" s="115"/>
    </row>
    <row r="66" customFormat="false" ht="12" hidden="true" customHeight="false" outlineLevel="0" collapsed="false">
      <c r="A66" s="84"/>
      <c r="B66" s="176" t="s">
        <v>138</v>
      </c>
      <c r="C66" s="177"/>
      <c r="D66" s="177"/>
      <c r="E66" s="177"/>
      <c r="F66" s="177"/>
      <c r="G66" s="177"/>
      <c r="H66" s="177"/>
      <c r="I66" s="177" t="n">
        <f aca="false">I44+I41+I39+SUM(C38:I38)+(680000-LotImpEq)</f>
        <v>547996.890092593</v>
      </c>
      <c r="J66" s="177" t="n">
        <f aca="false">J44+J41+J39+I68</f>
        <v>742305.85712963</v>
      </c>
      <c r="K66" s="177" t="n">
        <f aca="false">+J68+SUM(K39:K45)</f>
        <v>1227454.79478838</v>
      </c>
      <c r="L66" s="177" t="n">
        <f aca="false">+K68+SUM(L39:L45)</f>
        <v>1443267.26493385</v>
      </c>
      <c r="M66" s="177" t="n">
        <f aca="false">+L68+SUM(M39:M45)</f>
        <v>1759792.70610039</v>
      </c>
      <c r="N66" s="177" t="n">
        <f aca="false">+M68+SUM(N39:N45)</f>
        <v>2054021.04615757</v>
      </c>
      <c r="O66" s="177" t="n">
        <f aca="false">+N68+SUM(O39:O45)</f>
        <v>2394929.1135056</v>
      </c>
      <c r="P66" s="177" t="n">
        <f aca="false">+O68+SUM(P39:P45)</f>
        <v>2808643.70679638</v>
      </c>
      <c r="Q66" s="177" t="n">
        <f aca="false">+P68+SUM(Q39:Q45)</f>
        <v>2141926.14717244</v>
      </c>
      <c r="R66" s="177" t="n">
        <f aca="false">+Q68+SUM(R39:R45)</f>
        <v>2465583.95896823</v>
      </c>
      <c r="S66" s="177" t="n">
        <f aca="false">+R68+SUM(S39:S45)</f>
        <v>2486971.48200113</v>
      </c>
      <c r="T66" s="177" t="n">
        <f aca="false">+S68+SUM(T39:T45)</f>
        <v>2383944.75732849</v>
      </c>
      <c r="U66" s="177" t="n">
        <f aca="false">+T68+SUM(U39:U45)</f>
        <v>2279973.62101303</v>
      </c>
      <c r="V66" s="177" t="n">
        <f aca="false">+U68+SUM(V39:V45)</f>
        <v>2175049.415948</v>
      </c>
      <c r="W66" s="177" t="n">
        <f aca="false">+V68+SUM(W39:W45)</f>
        <v>2069163.40566988</v>
      </c>
      <c r="X66" s="177" t="n">
        <f aca="false">+W68+SUM(X39:X45)</f>
        <v>1962306.77363088</v>
      </c>
      <c r="Y66" s="177" t="n">
        <f aca="false">+X68+SUM(Y39:Y45)</f>
        <v>1854470.62246485</v>
      </c>
      <c r="Z66" s="177" t="n">
        <f aca="false">+Y68+SUM(Z39:Z45)</f>
        <v>1745645.97324646</v>
      </c>
      <c r="AA66" s="177" t="n">
        <f aca="false">+Z68+SUM(AA39:AA45)</f>
        <v>1635823.76474358</v>
      </c>
      <c r="AB66" s="177" t="n">
        <f aca="false">+AA68+SUM(AB39:AB45)</f>
        <v>1524994.85266275</v>
      </c>
      <c r="AC66" s="177" t="n">
        <f aca="false">+AB68+SUM(AC39:AC45)</f>
        <v>1413150.00888784</v>
      </c>
      <c r="AD66" s="177" t="n">
        <f aca="false">+AC68+SUM(AD39:AD45)</f>
        <v>1300279.92071167</v>
      </c>
      <c r="AE66" s="177" t="n">
        <f aca="false">+AD68+SUM(AE39:AE45)</f>
        <v>1284375.19006055</v>
      </c>
      <c r="AF66" s="177" t="n">
        <f aca="false">+AE68+SUM(AF39:AF45)</f>
        <v>1242324.66604513</v>
      </c>
      <c r="AG66" s="177" t="n">
        <f aca="false">+AF68+SUM(AG39:AG45)</f>
        <v>1199888.6788929</v>
      </c>
      <c r="AH66" s="177" t="n">
        <f aca="false">+AG68+SUM(AH39:AH45)</f>
        <v>1081751.9869933</v>
      </c>
      <c r="AI66" s="177" t="n">
        <f aca="false">+AH68+SUM(AI39:AI45)</f>
        <v>927113.727318718</v>
      </c>
      <c r="AJ66" s="177" t="n">
        <f aca="false">+AI68+SUM(AJ39:AJ45)</f>
        <v>700220.654065317</v>
      </c>
      <c r="AK66" s="177" t="n">
        <f aca="false">+AJ68+SUM(AK39:AK45)</f>
        <v>400410.431441955</v>
      </c>
      <c r="AL66" s="177" t="n">
        <f aca="false">+AK68+SUM(AL39:AL45)</f>
        <v>33947.9855794088</v>
      </c>
      <c r="AM66" s="123" t="n">
        <f aca="false">SUM(C66:AL66)</f>
        <v>47287729.4043509</v>
      </c>
      <c r="AN66" s="177"/>
      <c r="AO66" s="178"/>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115"/>
      <c r="GB66" s="115"/>
      <c r="GC66" s="115"/>
      <c r="GD66" s="115"/>
      <c r="GE66" s="115"/>
      <c r="GF66" s="115"/>
      <c r="GG66" s="115"/>
      <c r="GH66" s="115"/>
      <c r="GI66" s="115"/>
      <c r="GJ66" s="115"/>
      <c r="GK66" s="115"/>
      <c r="GL66" s="115"/>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115"/>
      <c r="HI66" s="115"/>
      <c r="HJ66" s="115"/>
      <c r="HK66" s="115"/>
      <c r="HL66" s="115"/>
      <c r="HM66" s="115"/>
      <c r="HN66" s="115"/>
      <c r="HO66" s="115"/>
      <c r="HP66" s="115"/>
      <c r="HQ66" s="115"/>
      <c r="HR66" s="115"/>
      <c r="HS66" s="115"/>
      <c r="HT66" s="115"/>
      <c r="HU66" s="115"/>
      <c r="HV66" s="115"/>
      <c r="HW66" s="115"/>
      <c r="HX66" s="115"/>
      <c r="HY66" s="115"/>
      <c r="HZ66" s="115"/>
      <c r="IA66" s="115"/>
      <c r="IB66" s="115"/>
      <c r="IC66" s="115"/>
      <c r="ID66" s="115"/>
      <c r="IE66" s="115"/>
      <c r="IF66" s="115"/>
      <c r="IG66" s="115"/>
      <c r="IH66" s="115"/>
      <c r="II66" s="115"/>
      <c r="IJ66" s="115"/>
      <c r="IK66" s="115"/>
      <c r="IL66" s="115"/>
      <c r="IM66" s="115"/>
      <c r="IN66" s="115"/>
      <c r="IO66" s="115"/>
      <c r="IP66" s="115"/>
      <c r="IQ66" s="115"/>
      <c r="IR66" s="115"/>
      <c r="IS66" s="115"/>
      <c r="IT66" s="115"/>
      <c r="IU66" s="115"/>
      <c r="IV66" s="115"/>
      <c r="IW66" s="115"/>
    </row>
    <row r="67" customFormat="false" ht="12" hidden="true" customHeight="false" outlineLevel="0" collapsed="false">
      <c r="A67" s="84"/>
      <c r="B67" s="176" t="s">
        <v>139</v>
      </c>
      <c r="C67" s="177"/>
      <c r="D67" s="177"/>
      <c r="E67" s="177"/>
      <c r="F67" s="177"/>
      <c r="G67" s="177"/>
      <c r="H67" s="177"/>
      <c r="I67" s="181" t="n">
        <f aca="false">-SUM(I47:I48)</f>
        <v>-0</v>
      </c>
      <c r="J67" s="181" t="n">
        <f aca="false">-SUM(J47:J48)</f>
        <v>-0</v>
      </c>
      <c r="K67" s="181" t="n">
        <f aca="false">-SUM(K47:K48)</f>
        <v>-180000</v>
      </c>
      <c r="L67" s="181" t="n">
        <f aca="false">-SUM(L47:L48)</f>
        <v>-54000</v>
      </c>
      <c r="M67" s="181" t="n">
        <f aca="false">-SUM(M47:M48)</f>
        <v>-54000</v>
      </c>
      <c r="N67" s="181" t="n">
        <f aca="false">-SUM(N47:N48)</f>
        <v>-72000</v>
      </c>
      <c r="O67" s="181" t="n">
        <f aca="false">-SUM(O47:O48)</f>
        <v>-72000</v>
      </c>
      <c r="P67" s="181" t="n">
        <f aca="false">-SUM(P47:P48)</f>
        <v>-1050777.625</v>
      </c>
      <c r="Q67" s="181" t="n">
        <f aca="false">-SUM(Q47:Q48)</f>
        <v>-72000</v>
      </c>
      <c r="R67" s="181" t="n">
        <f aca="false">-SUM(R47:R48)</f>
        <v>-407580.9</v>
      </c>
      <c r="S67" s="181" t="n">
        <f aca="false">-SUM(S47:S48)</f>
        <v>-519441.2</v>
      </c>
      <c r="T67" s="181" t="n">
        <f aca="false">-SUM(T47:T48)</f>
        <v>-519441.2</v>
      </c>
      <c r="U67" s="181" t="n">
        <f aca="false">-SUM(U47:U48)</f>
        <v>-519441.2</v>
      </c>
      <c r="V67" s="181" t="n">
        <f aca="false">-SUM(V47:V48)</f>
        <v>-519441.2</v>
      </c>
      <c r="W67" s="181" t="n">
        <f aca="false">-SUM(W47:W48)</f>
        <v>-519441.2</v>
      </c>
      <c r="X67" s="181" t="n">
        <f aca="false">-SUM(X47:X48)</f>
        <v>-519441.2</v>
      </c>
      <c r="Y67" s="181" t="n">
        <f aca="false">-SUM(Y47:Y48)</f>
        <v>-519441.2</v>
      </c>
      <c r="Z67" s="181" t="n">
        <f aca="false">-SUM(Z47:Z48)</f>
        <v>-519441.2</v>
      </c>
      <c r="AA67" s="181" t="n">
        <f aca="false">-SUM(AA47:AA48)</f>
        <v>-519441.2</v>
      </c>
      <c r="AB67" s="181" t="n">
        <f aca="false">-SUM(AB47:AB48)</f>
        <v>-519441.2</v>
      </c>
      <c r="AC67" s="181" t="n">
        <f aca="false">-SUM(AC47:AC48)</f>
        <v>-519441.2</v>
      </c>
      <c r="AD67" s="181" t="n">
        <f aca="false">-SUM(AD47:AD48)</f>
        <v>-447441.2</v>
      </c>
      <c r="AE67" s="181" t="n">
        <f aca="false">-SUM(AE47:AE48)</f>
        <v>-447441.2</v>
      </c>
      <c r="AF67" s="181" t="n">
        <f aca="false">-SUM(AF47:AF48)</f>
        <v>-447441.2</v>
      </c>
      <c r="AG67" s="181" t="n">
        <f aca="false">-SUM(AG47:AG48)</f>
        <v>-447441.2</v>
      </c>
      <c r="AH67" s="181" t="n">
        <f aca="false">-SUM(AH47:AH48)</f>
        <v>-447441.2</v>
      </c>
      <c r="AI67" s="181" t="n">
        <f aca="false">-SUM(AI47:AI48)</f>
        <v>-447441.2</v>
      </c>
      <c r="AJ67" s="181" t="n">
        <f aca="false">-SUM(AJ47:AJ48)</f>
        <v>-447441.2</v>
      </c>
      <c r="AK67" s="181" t="n">
        <f aca="false">-SUM(AK47:AK48)</f>
        <v>-447441.2</v>
      </c>
      <c r="AL67" s="181" t="n">
        <f aca="false">-SUM(AL47:AL48)</f>
        <v>-447441.2</v>
      </c>
      <c r="AM67" s="123" t="n">
        <f aca="false">SUM(C67:AL67)</f>
        <v>-11703182.525</v>
      </c>
      <c r="AN67" s="177"/>
      <c r="AO67" s="178"/>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115"/>
      <c r="ET67" s="115"/>
      <c r="EU67" s="115"/>
      <c r="EV67" s="115"/>
      <c r="EW67" s="115"/>
      <c r="EX67" s="115"/>
      <c r="EY67" s="115"/>
      <c r="EZ67" s="115"/>
      <c r="FA67" s="115"/>
      <c r="FB67" s="115"/>
      <c r="FC67" s="115"/>
      <c r="FD67" s="115"/>
      <c r="FE67" s="115"/>
      <c r="FF67" s="115"/>
      <c r="FG67" s="115"/>
      <c r="FH67" s="115"/>
      <c r="FI67" s="115"/>
      <c r="FJ67" s="115"/>
      <c r="FK67" s="115"/>
      <c r="FL67" s="115"/>
      <c r="FM67" s="115"/>
      <c r="FN67" s="115"/>
      <c r="FO67" s="115"/>
      <c r="FP67" s="115"/>
      <c r="FQ67" s="115"/>
      <c r="FR67" s="115"/>
      <c r="FS67" s="115"/>
      <c r="FT67" s="115"/>
      <c r="FU67" s="115"/>
      <c r="FV67" s="115"/>
      <c r="FW67" s="115"/>
      <c r="FX67" s="115"/>
      <c r="FY67" s="115"/>
      <c r="FZ67" s="115"/>
      <c r="GA67" s="115"/>
      <c r="GB67" s="115"/>
      <c r="GC67" s="115"/>
      <c r="GD67" s="115"/>
      <c r="GE67" s="115"/>
      <c r="GF67" s="115"/>
      <c r="GG67" s="115"/>
      <c r="GH67" s="115"/>
      <c r="GI67" s="115"/>
      <c r="GJ67" s="115"/>
      <c r="GK67" s="115"/>
      <c r="GL67" s="115"/>
      <c r="GM67" s="115"/>
      <c r="GN67" s="115"/>
      <c r="GO67" s="115"/>
      <c r="GP67" s="115"/>
      <c r="GQ67" s="115"/>
      <c r="GR67" s="115"/>
      <c r="GS67" s="115"/>
      <c r="GT67" s="115"/>
      <c r="GU67" s="115"/>
      <c r="GV67" s="115"/>
      <c r="GW67" s="115"/>
      <c r="GX67" s="115"/>
      <c r="GY67" s="115"/>
      <c r="GZ67" s="115"/>
      <c r="HA67" s="115"/>
      <c r="HB67" s="115"/>
      <c r="HC67" s="115"/>
      <c r="HD67" s="115"/>
      <c r="HE67" s="115"/>
      <c r="HF67" s="115"/>
      <c r="HG67" s="115"/>
      <c r="HH67" s="115"/>
      <c r="HI67" s="115"/>
      <c r="HJ67" s="115"/>
      <c r="HK67" s="115"/>
      <c r="HL67" s="115"/>
      <c r="HM67" s="115"/>
      <c r="HN67" s="115"/>
      <c r="HO67" s="115"/>
      <c r="HP67" s="115"/>
      <c r="HQ67" s="115"/>
      <c r="HR67" s="115"/>
      <c r="HS67" s="115"/>
      <c r="HT67" s="115"/>
      <c r="HU67" s="115"/>
      <c r="HV67" s="115"/>
      <c r="HW67" s="115"/>
      <c r="HX67" s="115"/>
      <c r="HY67" s="115"/>
      <c r="HZ67" s="115"/>
      <c r="IA67" s="115"/>
      <c r="IB67" s="115"/>
      <c r="IC67" s="115"/>
      <c r="ID67" s="115"/>
      <c r="IE67" s="115"/>
      <c r="IF67" s="115"/>
      <c r="IG67" s="115"/>
      <c r="IH67" s="115"/>
      <c r="II67" s="115"/>
      <c r="IJ67" s="115"/>
      <c r="IK67" s="115"/>
      <c r="IL67" s="115"/>
      <c r="IM67" s="115"/>
      <c r="IN67" s="115"/>
      <c r="IO67" s="115"/>
      <c r="IP67" s="115"/>
      <c r="IQ67" s="115"/>
      <c r="IR67" s="115"/>
      <c r="IS67" s="115"/>
      <c r="IT67" s="115"/>
      <c r="IU67" s="115"/>
      <c r="IV67" s="115"/>
      <c r="IW67" s="115"/>
    </row>
    <row r="68" customFormat="false" ht="12" hidden="true" customHeight="false" outlineLevel="0" collapsed="false">
      <c r="A68" s="84"/>
      <c r="B68" s="176" t="s">
        <v>140</v>
      </c>
      <c r="C68" s="177"/>
      <c r="D68" s="177"/>
      <c r="E68" s="177"/>
      <c r="F68" s="177"/>
      <c r="G68" s="177"/>
      <c r="H68" s="177"/>
      <c r="I68" s="177" t="n">
        <f aca="false">+I67+I66</f>
        <v>547996.890092593</v>
      </c>
      <c r="J68" s="177" t="n">
        <f aca="false">+J67+J66</f>
        <v>742305.85712963</v>
      </c>
      <c r="K68" s="177" t="n">
        <f aca="false">+K67+K66</f>
        <v>1047454.79478838</v>
      </c>
      <c r="L68" s="177" t="n">
        <f aca="false">+L67+L66</f>
        <v>1389267.26493385</v>
      </c>
      <c r="M68" s="177" t="n">
        <f aca="false">+M67+M66</f>
        <v>1705792.70610039</v>
      </c>
      <c r="N68" s="177" t="n">
        <f aca="false">+N67+N66</f>
        <v>1982021.04615757</v>
      </c>
      <c r="O68" s="177" t="n">
        <f aca="false">+O67+O66</f>
        <v>2322929.1135056</v>
      </c>
      <c r="P68" s="177" t="n">
        <f aca="false">+P67+P66</f>
        <v>1757866.08179638</v>
      </c>
      <c r="Q68" s="177" t="n">
        <f aca="false">+Q67+Q66</f>
        <v>2069926.14717244</v>
      </c>
      <c r="R68" s="177" t="n">
        <f aca="false">+R67+R66</f>
        <v>2058003.05896823</v>
      </c>
      <c r="S68" s="177" t="n">
        <f aca="false">+S67+S66</f>
        <v>1967530.28200113</v>
      </c>
      <c r="T68" s="177" t="n">
        <f aca="false">+T67+T66</f>
        <v>1864503.55732849</v>
      </c>
      <c r="U68" s="177" t="n">
        <f aca="false">+U67+U66</f>
        <v>1760532.42101303</v>
      </c>
      <c r="V68" s="177" t="n">
        <f aca="false">+V67+V66</f>
        <v>1655608.215948</v>
      </c>
      <c r="W68" s="177" t="n">
        <f aca="false">+W67+W66</f>
        <v>1549722.20566988</v>
      </c>
      <c r="X68" s="177" t="n">
        <f aca="false">+X67+X66</f>
        <v>1442865.57363088</v>
      </c>
      <c r="Y68" s="177" t="n">
        <f aca="false">+Y67+Y66</f>
        <v>1335029.42246485</v>
      </c>
      <c r="Z68" s="177" t="n">
        <f aca="false">+Z67+Z66</f>
        <v>1226204.77324646</v>
      </c>
      <c r="AA68" s="177" t="n">
        <f aca="false">+AA67+AA66</f>
        <v>1116382.56474358</v>
      </c>
      <c r="AB68" s="177" t="n">
        <f aca="false">+AB67+AB66</f>
        <v>1005553.65266275</v>
      </c>
      <c r="AC68" s="177" t="n">
        <f aca="false">+AC67+AC66</f>
        <v>893708.808887845</v>
      </c>
      <c r="AD68" s="177" t="n">
        <f aca="false">+AD67+AD66</f>
        <v>852838.720711672</v>
      </c>
      <c r="AE68" s="177" t="n">
        <f aca="false">+AE67+AE66</f>
        <v>836933.99006055</v>
      </c>
      <c r="AF68" s="177" t="n">
        <f aca="false">+AF67+AF66</f>
        <v>794883.466045127</v>
      </c>
      <c r="AG68" s="177" t="n">
        <f aca="false">+AG67+AG66</f>
        <v>752447.478892895</v>
      </c>
      <c r="AH68" s="177" t="n">
        <f aca="false">+AH67+AH66</f>
        <v>634310.786993298</v>
      </c>
      <c r="AI68" s="177" t="n">
        <f aca="false">+AI67+AI66</f>
        <v>479672.527318718</v>
      </c>
      <c r="AJ68" s="177" t="n">
        <f aca="false">+AJ67+AJ66</f>
        <v>252779.454065317</v>
      </c>
      <c r="AK68" s="177" t="n">
        <f aca="false">+AK67+AK66</f>
        <v>-47030.7685580446</v>
      </c>
      <c r="AL68" s="177" t="n">
        <f aca="false">+AL67+AL66</f>
        <v>-413493.214420591</v>
      </c>
      <c r="AM68" s="123" t="n">
        <f aca="false">SUM(C68:AL68)</f>
        <v>35584546.8793509</v>
      </c>
      <c r="AN68" s="177"/>
      <c r="AO68" s="178"/>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c r="EN68" s="115"/>
      <c r="EO68" s="115"/>
      <c r="EP68" s="115"/>
      <c r="EQ68" s="115"/>
      <c r="ER68" s="115"/>
      <c r="ES68" s="115"/>
      <c r="ET68" s="115"/>
      <c r="EU68" s="115"/>
      <c r="EV68" s="115"/>
      <c r="EW68" s="115"/>
      <c r="EX68" s="115"/>
      <c r="EY68" s="115"/>
      <c r="EZ68" s="115"/>
      <c r="FA68" s="115"/>
      <c r="FB68" s="115"/>
      <c r="FC68" s="115"/>
      <c r="FD68" s="115"/>
      <c r="FE68" s="115"/>
      <c r="FF68" s="115"/>
      <c r="FG68" s="115"/>
      <c r="FH68" s="115"/>
      <c r="FI68" s="115"/>
      <c r="FJ68" s="115"/>
      <c r="FK68" s="115"/>
      <c r="FL68" s="115"/>
      <c r="FM68" s="115"/>
      <c r="FN68" s="115"/>
      <c r="FO68" s="115"/>
      <c r="FP68" s="115"/>
      <c r="FQ68" s="115"/>
      <c r="FR68" s="115"/>
      <c r="FS68" s="115"/>
      <c r="FT68" s="115"/>
      <c r="FU68" s="115"/>
      <c r="FV68" s="115"/>
      <c r="FW68" s="115"/>
      <c r="FX68" s="115"/>
      <c r="FY68" s="115"/>
      <c r="FZ68" s="115"/>
      <c r="GA68" s="115"/>
      <c r="GB68" s="115"/>
      <c r="GC68" s="115"/>
      <c r="GD68" s="115"/>
      <c r="GE68" s="115"/>
      <c r="GF68" s="115"/>
      <c r="GG68" s="115"/>
      <c r="GH68" s="115"/>
      <c r="GI68" s="115"/>
      <c r="GJ68" s="115"/>
      <c r="GK68" s="115"/>
      <c r="GL68" s="115"/>
      <c r="GM68" s="115"/>
      <c r="GN68" s="115"/>
      <c r="GO68" s="115"/>
      <c r="GP68" s="115"/>
      <c r="GQ68" s="115"/>
      <c r="GR68" s="115"/>
      <c r="GS68" s="115"/>
      <c r="GT68" s="115"/>
      <c r="GU68" s="115"/>
      <c r="GV68" s="115"/>
      <c r="GW68" s="115"/>
      <c r="GX68" s="115"/>
      <c r="GY68" s="115"/>
      <c r="GZ68" s="115"/>
      <c r="HA68" s="115"/>
      <c r="HB68" s="115"/>
      <c r="HC68" s="115"/>
      <c r="HD68" s="115"/>
      <c r="HE68" s="115"/>
      <c r="HF68" s="115"/>
      <c r="HG68" s="115"/>
      <c r="HH68" s="115"/>
      <c r="HI68" s="115"/>
      <c r="HJ68" s="115"/>
      <c r="HK68" s="115"/>
      <c r="HL68" s="115"/>
      <c r="HM68" s="115"/>
      <c r="HN68" s="115"/>
      <c r="HO68" s="115"/>
      <c r="HP68" s="115"/>
      <c r="HQ68" s="115"/>
      <c r="HR68" s="115"/>
      <c r="HS68" s="115"/>
      <c r="HT68" s="115"/>
      <c r="HU68" s="115"/>
      <c r="HV68" s="115"/>
      <c r="HW68" s="115"/>
      <c r="HX68" s="115"/>
      <c r="HY68" s="115"/>
      <c r="HZ68" s="115"/>
      <c r="IA68" s="115"/>
      <c r="IB68" s="115"/>
      <c r="IC68" s="115"/>
      <c r="ID68" s="115"/>
      <c r="IE68" s="115"/>
      <c r="IF68" s="115"/>
      <c r="IG68" s="115"/>
      <c r="IH68" s="115"/>
      <c r="II68" s="115"/>
      <c r="IJ68" s="115"/>
      <c r="IK68" s="115"/>
      <c r="IL68" s="115"/>
      <c r="IM68" s="115"/>
      <c r="IN68" s="115"/>
      <c r="IO68" s="115"/>
      <c r="IP68" s="115"/>
      <c r="IQ68" s="115"/>
      <c r="IR68" s="115"/>
      <c r="IS68" s="115"/>
      <c r="IT68" s="115"/>
      <c r="IU68" s="115"/>
      <c r="IV68" s="115"/>
      <c r="IW68" s="115"/>
    </row>
    <row r="69" customFormat="false" ht="12" hidden="true" customHeight="false" outlineLevel="0" collapsed="false">
      <c r="A69" s="84"/>
      <c r="B69" s="176" t="s">
        <v>141</v>
      </c>
      <c r="C69" s="177"/>
      <c r="D69" s="177"/>
      <c r="E69" s="177"/>
      <c r="F69" s="177"/>
      <c r="G69" s="177"/>
      <c r="H69" s="177"/>
      <c r="I69" s="124"/>
      <c r="J69" s="124" t="n">
        <f aca="false">I68*CLIntRt</f>
        <v>5023.30482584877</v>
      </c>
      <c r="K69" s="124" t="n">
        <f aca="false">J66*CLIntRt</f>
        <v>6804.4703570216</v>
      </c>
      <c r="L69" s="124" t="n">
        <f aca="false">K66*CLIntRt</f>
        <v>11251.6689522269</v>
      </c>
      <c r="M69" s="124" t="n">
        <f aca="false">L66*CLIntRt</f>
        <v>13229.9499285603</v>
      </c>
      <c r="N69" s="124" t="n">
        <f aca="false">M66*CLIntRt</f>
        <v>16131.4331392535</v>
      </c>
      <c r="O69" s="124" t="n">
        <f aca="false">N66*CLIntRt</f>
        <v>18828.5262564444</v>
      </c>
      <c r="P69" s="124" t="n">
        <f aca="false">O66*CLIntRt</f>
        <v>21953.5168738014</v>
      </c>
      <c r="Q69" s="124" t="n">
        <f aca="false">P66*CLIntRt</f>
        <v>25745.9006456334</v>
      </c>
      <c r="R69" s="124" t="n">
        <f aca="false">Q66*CLIntRt</f>
        <v>19634.3230157473</v>
      </c>
      <c r="S69" s="124" t="n">
        <f aca="false">R66*CLIntRt</f>
        <v>22601.1862905421</v>
      </c>
      <c r="T69" s="124" t="n">
        <f aca="false">S66*CLIntRt</f>
        <v>22797.2385850103</v>
      </c>
      <c r="U69" s="124" t="n">
        <f aca="false">T66*CLIntRt</f>
        <v>21852.8269421779</v>
      </c>
      <c r="V69" s="124" t="n">
        <f aca="false">U66*CLIntRt</f>
        <v>20899.7581926194</v>
      </c>
      <c r="W69" s="124" t="n">
        <f aca="false">V66*CLIntRt</f>
        <v>19937.9529795233</v>
      </c>
      <c r="X69" s="124" t="n">
        <f aca="false">W66*CLIntRt</f>
        <v>18967.3312186406</v>
      </c>
      <c r="Y69" s="124" t="n">
        <f aca="false">X66*CLIntRt</f>
        <v>17987.8120916164</v>
      </c>
      <c r="Z69" s="124" t="n">
        <f aca="false">Y66*CLIntRt</f>
        <v>16999.3140392611</v>
      </c>
      <c r="AA69" s="124" t="n">
        <f aca="false">Z66*CLIntRt</f>
        <v>16001.7547547592</v>
      </c>
      <c r="AB69" s="124" t="n">
        <f aca="false">AA66*CLIntRt</f>
        <v>14995.0511768161</v>
      </c>
      <c r="AC69" s="124" t="n">
        <f aca="false">AB66*CLIntRt</f>
        <v>13979.1194827419</v>
      </c>
      <c r="AD69" s="124" t="n">
        <f aca="false">AC66*CLIntRt</f>
        <v>12953.8750814719</v>
      </c>
      <c r="AE69" s="124" t="n">
        <f aca="false">AD66*CLIntRt</f>
        <v>11919.2326065237</v>
      </c>
      <c r="AF69" s="124" t="n">
        <f aca="false">AE66*CLIntRt</f>
        <v>11773.4392422217</v>
      </c>
      <c r="AG69" s="124" t="n">
        <f aca="false">AF66*CLIntRt</f>
        <v>11387.9761054137</v>
      </c>
      <c r="AH69" s="124" t="n">
        <f aca="false">AG66*CLIntRt</f>
        <v>10998.9795565182</v>
      </c>
      <c r="AI69" s="124" t="n">
        <f aca="false">AH66*CLIntRt</f>
        <v>9916.05988077189</v>
      </c>
      <c r="AJ69" s="124" t="n">
        <f aca="false">AI66*CLIntRt</f>
        <v>8498.54250042158</v>
      </c>
      <c r="AK69" s="124" t="n">
        <f aca="false">AJ66*CLIntRt</f>
        <v>6418.68932893207</v>
      </c>
      <c r="AL69" s="124" t="n">
        <f aca="false">AK66*CLIntRt</f>
        <v>3670.42895488459</v>
      </c>
      <c r="AM69" s="123" t="n">
        <f aca="false">SUM(C69:AL69)</f>
        <v>433159.663005405</v>
      </c>
      <c r="AN69" s="177"/>
      <c r="AO69" s="178"/>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5"/>
      <c r="ES69" s="115"/>
      <c r="ET69" s="115"/>
      <c r="EU69" s="115"/>
      <c r="EV69" s="115"/>
      <c r="EW69" s="115"/>
      <c r="EX69" s="115"/>
      <c r="EY69" s="115"/>
      <c r="EZ69" s="115"/>
      <c r="FA69" s="115"/>
      <c r="FB69" s="115"/>
      <c r="FC69" s="115"/>
      <c r="FD69" s="115"/>
      <c r="FE69" s="115"/>
      <c r="FF69" s="115"/>
      <c r="FG69" s="115"/>
      <c r="FH69" s="115"/>
      <c r="FI69" s="115"/>
      <c r="FJ69" s="115"/>
      <c r="FK69" s="115"/>
      <c r="FL69" s="115"/>
      <c r="FM69" s="115"/>
      <c r="FN69" s="115"/>
      <c r="FO69" s="115"/>
      <c r="FP69" s="115"/>
      <c r="FQ69" s="115"/>
      <c r="FR69" s="115"/>
      <c r="FS69" s="115"/>
      <c r="FT69" s="115"/>
      <c r="FU69" s="115"/>
      <c r="FV69" s="115"/>
      <c r="FW69" s="115"/>
      <c r="FX69" s="115"/>
      <c r="FY69" s="115"/>
      <c r="FZ69" s="115"/>
      <c r="GA69" s="115"/>
      <c r="GB69" s="115"/>
      <c r="GC69" s="115"/>
      <c r="GD69" s="115"/>
      <c r="GE69" s="115"/>
      <c r="GF69" s="115"/>
      <c r="GG69" s="115"/>
      <c r="GH69" s="115"/>
      <c r="GI69" s="115"/>
      <c r="GJ69" s="115"/>
      <c r="GK69" s="115"/>
      <c r="GL69" s="115"/>
      <c r="GM69" s="115"/>
      <c r="GN69" s="115"/>
      <c r="GO69" s="115"/>
      <c r="GP69" s="115"/>
      <c r="GQ69" s="115"/>
      <c r="GR69" s="115"/>
      <c r="GS69" s="115"/>
      <c r="GT69" s="115"/>
      <c r="GU69" s="115"/>
      <c r="GV69" s="115"/>
      <c r="GW69" s="115"/>
      <c r="GX69" s="115"/>
      <c r="GY69" s="115"/>
      <c r="GZ69" s="115"/>
      <c r="HA69" s="115"/>
      <c r="HB69" s="115"/>
      <c r="HC69" s="115"/>
      <c r="HD69" s="115"/>
      <c r="HE69" s="115"/>
      <c r="HF69" s="115"/>
      <c r="HG69" s="115"/>
      <c r="HH69" s="115"/>
      <c r="HI69" s="115"/>
      <c r="HJ69" s="115"/>
      <c r="HK69" s="115"/>
      <c r="HL69" s="115"/>
      <c r="HM69" s="115"/>
      <c r="HN69" s="115"/>
      <c r="HO69" s="115"/>
      <c r="HP69" s="115"/>
      <c r="HQ69" s="115"/>
      <c r="HR69" s="115"/>
      <c r="HS69" s="115"/>
      <c r="HT69" s="115"/>
      <c r="HU69" s="115"/>
      <c r="HV69" s="115"/>
      <c r="HW69" s="115"/>
      <c r="HX69" s="115"/>
      <c r="HY69" s="115"/>
      <c r="HZ69" s="115"/>
      <c r="IA69" s="115"/>
      <c r="IB69" s="115"/>
      <c r="IC69" s="115"/>
      <c r="ID69" s="115"/>
      <c r="IE69" s="115"/>
      <c r="IF69" s="115"/>
      <c r="IG69" s="115"/>
      <c r="IH69" s="115"/>
      <c r="II69" s="115"/>
      <c r="IJ69" s="115"/>
      <c r="IK69" s="115"/>
      <c r="IL69" s="115"/>
      <c r="IM69" s="115"/>
      <c r="IN69" s="115"/>
      <c r="IO69" s="115"/>
      <c r="IP69" s="115"/>
      <c r="IQ69" s="115"/>
      <c r="IR69" s="115"/>
      <c r="IS69" s="115"/>
      <c r="IT69" s="115"/>
      <c r="IU69" s="115"/>
      <c r="IV69" s="115"/>
      <c r="IW69" s="115"/>
    </row>
    <row r="70" customFormat="false" ht="12" hidden="false" customHeight="false" outlineLevel="0" collapsed="false">
      <c r="A70" s="84"/>
      <c r="B70" s="176"/>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c r="AM70" s="177"/>
      <c r="AN70" s="177"/>
      <c r="AO70" s="178"/>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c r="GH70" s="115"/>
      <c r="GI70" s="115"/>
      <c r="GJ70" s="115"/>
      <c r="GK70" s="115"/>
      <c r="GL70" s="115"/>
      <c r="GM70" s="115"/>
      <c r="GN70" s="115"/>
      <c r="GO70" s="115"/>
      <c r="GP70" s="115"/>
      <c r="GQ70" s="115"/>
      <c r="GR70" s="115"/>
      <c r="GS70" s="115"/>
      <c r="GT70" s="115"/>
      <c r="GU70" s="115"/>
      <c r="GV70" s="115"/>
      <c r="GW70" s="115"/>
      <c r="GX70" s="115"/>
      <c r="GY70" s="115"/>
      <c r="GZ70" s="115"/>
      <c r="HA70" s="115"/>
      <c r="HB70" s="115"/>
      <c r="HC70" s="115"/>
      <c r="HD70" s="115"/>
      <c r="HE70" s="115"/>
      <c r="HF70" s="115"/>
      <c r="HG70" s="115"/>
      <c r="HH70" s="115"/>
      <c r="HI70" s="115"/>
      <c r="HJ70" s="115"/>
      <c r="HK70" s="115"/>
      <c r="HL70" s="115"/>
      <c r="HM70" s="115"/>
      <c r="HN70" s="115"/>
      <c r="HO70" s="115"/>
      <c r="HP70" s="115"/>
      <c r="HQ70" s="115"/>
      <c r="HR70" s="115"/>
      <c r="HS70" s="115"/>
      <c r="HT70" s="115"/>
      <c r="HU70" s="115"/>
      <c r="HV70" s="115"/>
      <c r="HW70" s="115"/>
      <c r="HX70" s="115"/>
      <c r="HY70" s="115"/>
      <c r="HZ70" s="115"/>
      <c r="IA70" s="115"/>
      <c r="IB70" s="115"/>
      <c r="IC70" s="115"/>
      <c r="ID70" s="115"/>
      <c r="IE70" s="115"/>
      <c r="IF70" s="115"/>
      <c r="IG70" s="115"/>
      <c r="IH70" s="115"/>
      <c r="II70" s="115"/>
      <c r="IJ70" s="115"/>
      <c r="IK70" s="115"/>
      <c r="IL70" s="115"/>
      <c r="IM70" s="115"/>
      <c r="IN70" s="115"/>
      <c r="IO70" s="115"/>
      <c r="IP70" s="115"/>
      <c r="IQ70" s="115"/>
      <c r="IR70" s="115"/>
      <c r="IS70" s="115"/>
      <c r="IT70" s="115"/>
      <c r="IU70" s="115"/>
      <c r="IV70" s="115"/>
      <c r="IW70" s="115"/>
    </row>
    <row r="71" customFormat="false" ht="12" hidden="false" customHeight="false" outlineLevel="0" collapsed="false">
      <c r="A71" s="84"/>
      <c r="B71" s="176"/>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8"/>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c r="GH71" s="115"/>
      <c r="GI71" s="115"/>
      <c r="GJ71" s="115"/>
      <c r="GK71" s="115"/>
      <c r="GL71" s="115"/>
      <c r="GM71" s="115"/>
      <c r="GN71" s="115"/>
      <c r="GO71" s="115"/>
      <c r="GP71" s="115"/>
      <c r="GQ71" s="115"/>
      <c r="GR71" s="115"/>
      <c r="GS71" s="115"/>
      <c r="GT71" s="115"/>
      <c r="GU71" s="115"/>
      <c r="GV71" s="115"/>
      <c r="GW71" s="115"/>
      <c r="GX71" s="115"/>
      <c r="GY71" s="115"/>
      <c r="GZ71" s="115"/>
      <c r="HA71" s="115"/>
      <c r="HB71" s="115"/>
      <c r="HC71" s="115"/>
      <c r="HD71" s="115"/>
      <c r="HE71" s="115"/>
      <c r="HF71" s="115"/>
      <c r="HG71" s="115"/>
      <c r="HH71" s="115"/>
      <c r="HI71" s="115"/>
      <c r="HJ71" s="115"/>
      <c r="HK71" s="115"/>
      <c r="HL71" s="115"/>
      <c r="HM71" s="115"/>
      <c r="HN71" s="115"/>
      <c r="HO71" s="115"/>
      <c r="HP71" s="115"/>
      <c r="HQ71" s="115"/>
      <c r="HR71" s="115"/>
      <c r="HS71" s="115"/>
      <c r="HT71" s="115"/>
      <c r="HU71" s="115"/>
      <c r="HV71" s="115"/>
      <c r="HW71" s="115"/>
      <c r="HX71" s="115"/>
      <c r="HY71" s="115"/>
      <c r="HZ71" s="115"/>
      <c r="IA71" s="115"/>
      <c r="IB71" s="115"/>
      <c r="IC71" s="115"/>
      <c r="ID71" s="115"/>
      <c r="IE71" s="115"/>
      <c r="IF71" s="115"/>
      <c r="IG71" s="115"/>
      <c r="IH71" s="115"/>
      <c r="II71" s="115"/>
      <c r="IJ71" s="115"/>
      <c r="IK71" s="115"/>
      <c r="IL71" s="115"/>
      <c r="IM71" s="115"/>
      <c r="IN71" s="115"/>
      <c r="IO71" s="115"/>
      <c r="IP71" s="115"/>
      <c r="IQ71" s="115"/>
      <c r="IR71" s="115"/>
      <c r="IS71" s="115"/>
      <c r="IT71" s="115"/>
      <c r="IU71" s="115"/>
      <c r="IV71" s="115"/>
      <c r="IW71" s="115"/>
    </row>
    <row r="72" customFormat="false" ht="12" hidden="false" customHeight="false" outlineLevel="0" collapsed="false">
      <c r="A72" s="171"/>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row>
    <row r="73" customFormat="false" ht="12" hidden="false" customHeight="false" outlineLevel="0" collapsed="false">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row>
    <row r="74" customFormat="false" ht="12" hidden="false" customHeight="false" outlineLevel="0" collapsed="false">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row>
    <row r="108" customFormat="false" ht="12" hidden="false" customHeight="false" outlineLevel="0" collapsed="false">
      <c r="B108" s="67" t="n">
        <f aca="false">+E11</f>
        <v>0</v>
      </c>
    </row>
  </sheetData>
  <mergeCells count="4">
    <mergeCell ref="B8:H8"/>
    <mergeCell ref="B9:H9"/>
    <mergeCell ref="I13:AO13"/>
    <mergeCell ref="B14:B15"/>
  </mergeCells>
  <hyperlinks>
    <hyperlink ref="B5" r:id="rId2" display="Cash Flow Projections"/>
  </hyperlinks>
  <printOptions headings="false" gridLines="false" gridLinesSet="true" horizontalCentered="true" verticalCentered="false"/>
  <pageMargins left="0.3" right="0.3" top="0.909722222222222" bottom="0.75" header="0" footer="0.5"/>
  <pageSetup paperSize="1" scale="100" fitToWidth="3" fitToHeight="1" pageOrder="downThenOver" orientation="landscape" blackAndWhite="false" draft="false" cellComments="none" horizontalDpi="300" verticalDpi="300" copies="1"/>
  <headerFooter differentFirst="false" differentOddEven="false">
    <oddHeader>&amp;C&amp;"Goudy,Bold"&amp;12WESTGATE &amp;&amp; CAMERON LOOP
96 CONDOMINIUMS</oddHeader>
    <oddFooter>&amp;L&amp;"Arial,Bold"&amp;8Creekside Builders, LLC Confidential&amp;C&amp;8Page &amp;P Of &amp;N&amp;R&amp;D</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O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1" activeCellId="0" sqref="B51"/>
    </sheetView>
  </sheetViews>
  <sheetFormatPr defaultColWidth="9.15234375" defaultRowHeight="12" customHeight="true" zeroHeight="false" outlineLevelRow="0" outlineLevelCol="0"/>
  <cols>
    <col collapsed="false" customWidth="true" hidden="false" outlineLevel="0" max="1" min="1" style="0" width="8.13"/>
    <col collapsed="false" customWidth="true" hidden="false" outlineLevel="0" max="2" min="2" style="0" width="11.42"/>
    <col collapsed="false" customWidth="true" hidden="false" outlineLevel="0" max="3" min="3" style="0" width="8.42"/>
    <col collapsed="false" customWidth="true" hidden="false" outlineLevel="0" max="4" min="4" style="0" width="9.56"/>
    <col collapsed="false" customWidth="true" hidden="false" outlineLevel="0" max="5" min="5" style="0" width="7.99"/>
    <col collapsed="false" customWidth="true" hidden="false" outlineLevel="0" max="6" min="6" style="0" width="4.13"/>
    <col collapsed="false" customWidth="true" hidden="false" outlineLevel="0" max="7" min="7" style="0" width="6.7"/>
    <col collapsed="false" customWidth="true" hidden="false" outlineLevel="0" max="8" min="8" style="0" width="11.99"/>
    <col collapsed="false" customWidth="true" hidden="false" outlineLevel="0" max="9" min="9" style="0" width="8.56"/>
    <col collapsed="false" customWidth="true" hidden="false" outlineLevel="0" max="10" min="10" style="0" width="9.56"/>
    <col collapsed="false" customWidth="true" hidden="false" outlineLevel="0" max="11" min="11" style="0" width="11.99"/>
    <col collapsed="false" customWidth="true" hidden="false" outlineLevel="0" max="14" min="13" style="0" width="10.42"/>
  </cols>
  <sheetData>
    <row r="1" customFormat="false" ht="19.5" hidden="false" customHeight="false" outlineLevel="0" collapsed="false">
      <c r="A1" s="15" t="s">
        <v>142</v>
      </c>
      <c r="B1" s="15"/>
      <c r="C1" s="15"/>
      <c r="D1" s="15"/>
      <c r="E1" s="15"/>
      <c r="F1" s="15"/>
      <c r="G1" s="15"/>
      <c r="H1" s="15"/>
      <c r="I1" s="15"/>
      <c r="J1" s="15"/>
      <c r="K1" s="15"/>
    </row>
    <row r="2" customFormat="false" ht="12" hidden="false" customHeight="false" outlineLevel="0" collapsed="false">
      <c r="A2" s="182"/>
      <c r="B2" s="182"/>
      <c r="C2" s="182"/>
      <c r="D2" s="182"/>
      <c r="E2" s="182"/>
      <c r="F2" s="182"/>
      <c r="G2" s="182"/>
      <c r="H2" s="182"/>
      <c r="I2" s="182"/>
      <c r="J2" s="182"/>
      <c r="K2" s="182"/>
    </row>
    <row r="3" customFormat="false" ht="24" hidden="false" customHeight="false" outlineLevel="0" collapsed="false">
      <c r="A3" s="183" t="s">
        <v>143</v>
      </c>
      <c r="B3" s="183" t="s">
        <v>144</v>
      </c>
      <c r="C3" s="183" t="s">
        <v>145</v>
      </c>
      <c r="D3" s="183" t="s">
        <v>146</v>
      </c>
      <c r="E3" s="183" t="s">
        <v>147</v>
      </c>
      <c r="F3" s="183" t="s">
        <v>148</v>
      </c>
      <c r="G3" s="183" t="s">
        <v>149</v>
      </c>
      <c r="H3" s="183" t="s">
        <v>150</v>
      </c>
      <c r="I3" s="183" t="s">
        <v>151</v>
      </c>
      <c r="J3" s="183" t="s">
        <v>152</v>
      </c>
      <c r="K3" s="183" t="s">
        <v>153</v>
      </c>
      <c r="M3" s="183" t="s">
        <v>154</v>
      </c>
      <c r="N3" s="183" t="s">
        <v>155</v>
      </c>
    </row>
    <row r="4" customFormat="false" ht="12" hidden="false" customHeight="false" outlineLevel="0" collapsed="false">
      <c r="A4" s="184" t="s">
        <v>156</v>
      </c>
      <c r="B4" s="184"/>
      <c r="C4" s="185"/>
      <c r="D4" s="186"/>
      <c r="E4" s="187"/>
      <c r="F4" s="184"/>
      <c r="G4" s="184"/>
      <c r="H4" s="186"/>
      <c r="I4" s="187"/>
      <c r="J4" s="186"/>
      <c r="K4" s="186"/>
      <c r="M4" s="186"/>
      <c r="N4" s="186"/>
    </row>
    <row r="5" customFormat="false" ht="12" hidden="false" customHeight="false" outlineLevel="0" collapsed="false">
      <c r="A5" s="188" t="s">
        <v>157</v>
      </c>
      <c r="B5" s="17" t="s">
        <v>158</v>
      </c>
      <c r="C5" s="189" t="n">
        <f aca="false">+'1164SF 2Sty'!B$10</f>
        <v>1164</v>
      </c>
      <c r="D5" s="29" t="n">
        <f aca="false">+'1164SF 2Sty'!G112</f>
        <v>79231.5168</v>
      </c>
      <c r="E5" s="30" t="n">
        <f aca="false">+'1164SF 2Sty'!H112</f>
        <v>68.0683134020619</v>
      </c>
      <c r="F5" s="17" t="n">
        <v>12</v>
      </c>
      <c r="G5" s="31" t="n">
        <f aca="false">+F5/F$14</f>
        <v>0.125</v>
      </c>
      <c r="H5" s="29" t="n">
        <f aca="false">+F5*D5</f>
        <v>950778.2016</v>
      </c>
      <c r="I5" s="190" t="n">
        <v>111</v>
      </c>
      <c r="J5" s="29" t="n">
        <f aca="false">+I5*C5</f>
        <v>129204</v>
      </c>
      <c r="K5" s="29" t="n">
        <f aca="false">+J5*F5</f>
        <v>1550448</v>
      </c>
      <c r="M5" s="191" t="n">
        <f aca="false">'Unit Summary'!C5*'Unit Summary'!F5</f>
        <v>13968</v>
      </c>
      <c r="N5" s="17" t="n">
        <f aca="false">'Unit Summary'!F5*'1164SF 2Sty'!$B$16</f>
        <v>18864</v>
      </c>
    </row>
    <row r="6" customFormat="false" ht="12" hidden="false" customHeight="false" outlineLevel="0" collapsed="false">
      <c r="A6" s="188" t="s">
        <v>159</v>
      </c>
      <c r="B6" s="17" t="s">
        <v>158</v>
      </c>
      <c r="C6" s="189" t="n">
        <f aca="false">+'1302SF 2Sty'!ACSFPLNA</f>
        <v>1302</v>
      </c>
      <c r="D6" s="29" t="n">
        <f aca="false">+'1302SF 2Sty'!G111</f>
        <v>83319.9024</v>
      </c>
      <c r="E6" s="30" t="n">
        <f aca="false">+'1302SF 2Sty'!H111</f>
        <v>63.9937806451613</v>
      </c>
      <c r="F6" s="17" t="n">
        <v>12</v>
      </c>
      <c r="G6" s="31" t="n">
        <f aca="false">+F6/F$14</f>
        <v>0.125</v>
      </c>
      <c r="H6" s="29" t="n">
        <f aca="false">+F6*D6</f>
        <v>999838.8288</v>
      </c>
      <c r="I6" s="190" t="n">
        <v>107</v>
      </c>
      <c r="J6" s="29" t="n">
        <f aca="false">+I6*C6</f>
        <v>139314</v>
      </c>
      <c r="K6" s="29" t="n">
        <f aca="false">+J6*F6</f>
        <v>1671768</v>
      </c>
      <c r="M6" s="191" t="n">
        <f aca="false">'Unit Summary'!C6*'Unit Summary'!F6</f>
        <v>15624</v>
      </c>
      <c r="N6" s="17" t="n">
        <f aca="false">'Unit Summary'!F6*'1302SF 2Sty'!$B$15</f>
        <v>20520</v>
      </c>
    </row>
    <row r="7" customFormat="false" ht="12" hidden="false" customHeight="false" outlineLevel="0" collapsed="false">
      <c r="A7" s="192" t="s">
        <v>160</v>
      </c>
      <c r="B7" s="17" t="s">
        <v>161</v>
      </c>
      <c r="C7" s="189" t="n">
        <f aca="false">+'1358SF 2Sty'!ACSFPLNA</f>
        <v>1358</v>
      </c>
      <c r="D7" s="29" t="n">
        <f aca="false">+'1358SF 2Sty'!G111</f>
        <v>82254.4557</v>
      </c>
      <c r="E7" s="30" t="n">
        <f aca="false">+'1358SF 2Sty'!H111</f>
        <v>60.5702913843888</v>
      </c>
      <c r="F7" s="17" t="n">
        <v>18</v>
      </c>
      <c r="G7" s="31" t="n">
        <f aca="false">+F7/F$14</f>
        <v>0.1875</v>
      </c>
      <c r="H7" s="29" t="n">
        <f aca="false">+F7*D7</f>
        <v>1480580.2026</v>
      </c>
      <c r="I7" s="190" t="n">
        <v>105</v>
      </c>
      <c r="J7" s="29" t="n">
        <f aca="false">+I7*C7</f>
        <v>142590</v>
      </c>
      <c r="K7" s="29" t="n">
        <f aca="false">+J7*F7</f>
        <v>2566620</v>
      </c>
      <c r="M7" s="191" t="n">
        <f aca="false">'Unit Summary'!C7*'Unit Summary'!F7</f>
        <v>24444</v>
      </c>
      <c r="N7" s="17" t="n">
        <f aca="false">'Unit Summary'!F7*'1358SF 2Sty'!$B$15</f>
        <v>31639.89</v>
      </c>
    </row>
    <row r="8" customFormat="false" ht="12" hidden="false" customHeight="false" outlineLevel="0" collapsed="false">
      <c r="A8" s="192" t="s">
        <v>162</v>
      </c>
      <c r="B8" s="17" t="s">
        <v>158</v>
      </c>
      <c r="C8" s="189" t="n">
        <f aca="false">+'1240SF 2Sty'!B$9</f>
        <v>1240</v>
      </c>
      <c r="D8" s="29" t="n">
        <f aca="false">+'1240SF 2Sty'!G111</f>
        <v>78810.4377</v>
      </c>
      <c r="E8" s="30" t="n">
        <f aca="false">+'1240SF 2Sty'!H111</f>
        <v>63.5568045967742</v>
      </c>
      <c r="F8" s="17" t="n">
        <v>12</v>
      </c>
      <c r="G8" s="31" t="n">
        <f aca="false">+F8/F$14</f>
        <v>0.125</v>
      </c>
      <c r="H8" s="29" t="n">
        <f aca="false">+F8*D8</f>
        <v>945725.2524</v>
      </c>
      <c r="I8" s="190" t="n">
        <v>110</v>
      </c>
      <c r="J8" s="29" t="n">
        <f aca="false">+I8*C8</f>
        <v>136400</v>
      </c>
      <c r="K8" s="29" t="n">
        <f aca="false">+J8*F8</f>
        <v>1636800</v>
      </c>
      <c r="M8" s="191" t="n">
        <f aca="false">'Unit Summary'!C8*'Unit Summary'!F8</f>
        <v>14880</v>
      </c>
      <c r="N8" s="17" t="n">
        <f aca="false">'Unit Summary'!F8*'1240SF 2Sty'!$B$15</f>
        <v>19677.26</v>
      </c>
    </row>
    <row r="9" customFormat="false" ht="12" hidden="false" customHeight="false" outlineLevel="0" collapsed="false">
      <c r="A9" s="184" t="s">
        <v>163</v>
      </c>
      <c r="B9" s="184"/>
      <c r="C9" s="185"/>
      <c r="D9" s="186"/>
      <c r="E9" s="193"/>
      <c r="F9" s="184"/>
      <c r="G9" s="184"/>
      <c r="H9" s="186"/>
      <c r="I9" s="187"/>
      <c r="J9" s="186"/>
      <c r="K9" s="186"/>
      <c r="M9" s="186"/>
      <c r="N9" s="186"/>
    </row>
    <row r="10" customFormat="false" ht="12" hidden="false" customHeight="false" outlineLevel="0" collapsed="false">
      <c r="A10" s="192" t="s">
        <v>164</v>
      </c>
      <c r="B10" s="17" t="s">
        <v>165</v>
      </c>
      <c r="C10" s="189" t="n">
        <f aca="false">+'1463 IntCt-1Sty'!B$9</f>
        <v>1463</v>
      </c>
      <c r="D10" s="29" t="n">
        <f aca="false">+'1463 IntCt-1Sty'!G$111</f>
        <v>98871.1162339623</v>
      </c>
      <c r="E10" s="30" t="n">
        <f aca="false">+'1463 IntCt-1Sty'!H$111</f>
        <v>67.5810773984704</v>
      </c>
      <c r="F10" s="17" t="n">
        <v>18</v>
      </c>
      <c r="G10" s="31" t="n">
        <f aca="false">+F10/F$14</f>
        <v>0.1875</v>
      </c>
      <c r="H10" s="29" t="n">
        <f aca="false">+F10*D10</f>
        <v>1779680.09221132</v>
      </c>
      <c r="I10" s="190" t="n">
        <v>100</v>
      </c>
      <c r="J10" s="29" t="n">
        <f aca="false">+I10*C10</f>
        <v>146300</v>
      </c>
      <c r="K10" s="29" t="n">
        <f aca="false">+J10*F10</f>
        <v>2633400</v>
      </c>
      <c r="M10" s="191" t="n">
        <f aca="false">'Unit Summary'!C10*'Unit Summary'!F10</f>
        <v>26334</v>
      </c>
      <c r="N10" s="17" t="n">
        <f aca="false">'Unit Summary'!F10*'1463 IntCt-1Sty'!TCSF</f>
        <v>34632</v>
      </c>
    </row>
    <row r="11" customFormat="false" ht="12" hidden="false" customHeight="false" outlineLevel="0" collapsed="false">
      <c r="A11" s="192" t="s">
        <v>166</v>
      </c>
      <c r="B11" s="17" t="s">
        <v>167</v>
      </c>
      <c r="C11" s="189" t="n">
        <f aca="false">+'1335 IntCt-1Sty'!B$9</f>
        <v>1335</v>
      </c>
      <c r="D11" s="29" t="n">
        <f aca="false">+'1335 IntCt-1Sty'!G$111</f>
        <v>98403.2868</v>
      </c>
      <c r="E11" s="30" t="n">
        <f aca="false">+'1335 IntCt-1Sty'!H$111</f>
        <v>73.7103271910112</v>
      </c>
      <c r="F11" s="17" t="n">
        <v>12</v>
      </c>
      <c r="G11" s="31" t="n">
        <f aca="false">+F11/F$14</f>
        <v>0.125</v>
      </c>
      <c r="H11" s="29" t="n">
        <f aca="false">+F11*D11</f>
        <v>1180839.4416</v>
      </c>
      <c r="I11" s="190" t="n">
        <v>105</v>
      </c>
      <c r="J11" s="29" t="n">
        <f aca="false">+I11*C11</f>
        <v>140175</v>
      </c>
      <c r="K11" s="29" t="n">
        <f aca="false">+J11*F11</f>
        <v>1682100</v>
      </c>
      <c r="M11" s="191" t="n">
        <f aca="false">'Unit Summary'!C11*'Unit Summary'!F11</f>
        <v>16020</v>
      </c>
      <c r="N11" s="17" t="n">
        <f aca="false">'Unit Summary'!F11*'1335 IntCt-1Sty'!TCSF</f>
        <v>23520</v>
      </c>
    </row>
    <row r="12" customFormat="false" ht="12" hidden="false" customHeight="false" outlineLevel="0" collapsed="false">
      <c r="A12" s="192" t="s">
        <v>168</v>
      </c>
      <c r="B12" s="17" t="s">
        <v>167</v>
      </c>
      <c r="C12" s="189" t="n">
        <f aca="false">+'1335 ExtCt-1Sty'!B$9</f>
        <v>1335</v>
      </c>
      <c r="D12" s="29" t="n">
        <f aca="false">+'1335 ExtCt-1Sty'!G111</f>
        <v>96919.4603837665</v>
      </c>
      <c r="E12" s="30" t="n">
        <f aca="false">+'1335 ExtCt-1Sty'!H$111</f>
        <v>72.5988467294131</v>
      </c>
      <c r="F12" s="17" t="n">
        <v>12</v>
      </c>
      <c r="G12" s="31" t="n">
        <f aca="false">+F12/F$14</f>
        <v>0.125</v>
      </c>
      <c r="H12" s="29" t="n">
        <f aca="false">+F12*D12</f>
        <v>1163033.5246052</v>
      </c>
      <c r="I12" s="190" t="n">
        <v>105</v>
      </c>
      <c r="J12" s="29" t="n">
        <f aca="false">+I12*C12</f>
        <v>140175</v>
      </c>
      <c r="K12" s="29" t="n">
        <f aca="false">+J12*F12</f>
        <v>1682100</v>
      </c>
      <c r="M12" s="191" t="n">
        <f aca="false">'Unit Summary'!C12*'Unit Summary'!F12</f>
        <v>16020</v>
      </c>
      <c r="N12" s="17" t="n">
        <f aca="false">'Unit Summary'!F12*'1335 IntCt-1Sty'!TCSF</f>
        <v>23520</v>
      </c>
    </row>
    <row r="13" customFormat="false" ht="12.75" hidden="false" customHeight="false" outlineLevel="0" collapsed="false">
      <c r="A13" s="17"/>
      <c r="B13" s="17"/>
      <c r="C13" s="17"/>
      <c r="G13" s="17"/>
      <c r="H13" s="17"/>
      <c r="I13" s="32"/>
      <c r="J13" s="17"/>
      <c r="K13" s="29"/>
      <c r="M13" s="29"/>
      <c r="N13" s="17"/>
    </row>
    <row r="14" customFormat="false" ht="12.75" hidden="false" customHeight="true" outlineLevel="0" collapsed="false">
      <c r="A14" s="46" t="s">
        <v>67</v>
      </c>
      <c r="B14" s="194"/>
      <c r="C14" s="194" t="n">
        <f aca="false">($F5*$C5+$F6*$C6+$F7*$C7+$F8*$C8+$F10*$C10+$F11*$C11+$F12*$C12)/$F14</f>
        <v>1325.9375</v>
      </c>
      <c r="D14" s="195" t="n">
        <f aca="false">+H14/TLU</f>
        <v>88546.6202480887</v>
      </c>
      <c r="E14" s="49" t="n">
        <f aca="false">H14/($F5*$C5+$F6*$C6+$F7*$C7+$F8*$C8+$F10*$C10+$F11*$C11+$F12*$C12)</f>
        <v>66.780387648806</v>
      </c>
      <c r="F14" s="46" t="n">
        <f aca="false">SUM(F5:F12)</f>
        <v>96</v>
      </c>
      <c r="G14" s="196" t="n">
        <f aca="false">+F14/F14</f>
        <v>1</v>
      </c>
      <c r="H14" s="195" t="n">
        <f aca="false">SUM(H5:H12)</f>
        <v>8500475.54381652</v>
      </c>
      <c r="I14" s="49" t="n">
        <f aca="false">K14/($F5*$C5+$F6*$C6+$F7*$C7+$F8*$C8+$F10*$C10+$F11*$C11+$F12*$C12)</f>
        <v>105.453971246759</v>
      </c>
      <c r="J14" s="48" t="n">
        <f aca="false">K14/TLU</f>
        <v>139825.375</v>
      </c>
      <c r="K14" s="48" t="n">
        <f aca="false">SUM(K4:K13)</f>
        <v>13423236</v>
      </c>
      <c r="M14" s="194" t="n">
        <f aca="false">SUM(M4:M13)</f>
        <v>127290</v>
      </c>
      <c r="N14" s="194" t="n">
        <f aca="false">SUM(N4:N13)</f>
        <v>172373.15</v>
      </c>
    </row>
    <row r="24" customFormat="false" ht="12" hidden="false" customHeight="false" outlineLevel="0" collapsed="false">
      <c r="P24" s="0" t="n">
        <v>4</v>
      </c>
      <c r="Q24" s="0" t="n">
        <v>4</v>
      </c>
    </row>
    <row r="62" customFormat="false" ht="12" hidden="false" customHeight="false" outlineLevel="0" collapsed="false">
      <c r="B62" s="197"/>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row>
    <row r="63" customFormat="false" ht="12" hidden="false" customHeight="false" outlineLevel="0" collapsed="false">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row>
    <row r="64" customFormat="false" ht="12" hidden="false" customHeight="false" outlineLevel="0" collapsed="false">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row>
    <row r="65" customFormat="false" ht="12" hidden="false" customHeight="false" outlineLevel="0" collapsed="false">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row>
    <row r="66" customFormat="false" ht="12" hidden="false" customHeight="false" outlineLevel="0" collapsed="false">
      <c r="B66" s="199"/>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row>
    <row r="94" customFormat="false" ht="12" hidden="false" customHeight="false" outlineLevel="0" collapsed="false">
      <c r="B94" s="200" t="n">
        <f aca="false">+E11</f>
        <v>73.7103271910112</v>
      </c>
    </row>
  </sheetData>
  <mergeCells count="1">
    <mergeCell ref="A1:K1"/>
  </mergeCells>
  <printOptions headings="false" gridLines="false" gridLinesSet="true" horizontalCentered="true" verticalCentered="false"/>
  <pageMargins left="0.25" right="0.25" top="1.7"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&amp;C&amp;"Garamond,Bold"&amp;12WESTGATE &amp;&amp; CAMERON LOOP
96 CONDOMINIUMS</oddHeader>
    <oddFooter>&amp;L&amp;"Garamond,Regular"&amp;8&amp;F&amp;C&amp;"Garamond,Regular"&amp;8&amp;P Of &amp;N&amp;R&amp;"Garamond,Regular"&amp;8&amp;D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1" activeCellId="0" sqref="E11"/>
    </sheetView>
  </sheetViews>
  <sheetFormatPr defaultColWidth="10.5625" defaultRowHeight="11.25" customHeight="true" zeroHeight="false" outlineLevelRow="0" outlineLevelCol="0"/>
  <cols>
    <col collapsed="false" customWidth="true" hidden="false" outlineLevel="0" max="1" min="1" style="201" width="29.99"/>
    <col collapsed="false" customWidth="true" hidden="false" outlineLevel="0" max="3" min="2" style="201" width="6.56"/>
    <col collapsed="false" customWidth="true" hidden="false" outlineLevel="0" max="4" min="4" style="201" width="8.99"/>
    <col collapsed="false" customWidth="true" hidden="false" outlineLevel="0" max="5" min="5" style="201" width="10.85"/>
    <col collapsed="false" customWidth="true" hidden="false" outlineLevel="0" max="6" min="6" style="201" width="7.7"/>
    <col collapsed="false" customWidth="true" hidden="true" outlineLevel="0" max="7" min="7" style="201" width="20.13"/>
    <col collapsed="false" customWidth="true" hidden="false" outlineLevel="0" max="8" min="8" style="201" width="2.7"/>
    <col collapsed="false" customWidth="true" hidden="false" outlineLevel="0" max="9" min="9" style="201" width="20.56"/>
    <col collapsed="false" customWidth="true" hidden="false" outlineLevel="0" max="10" min="10" style="201" width="6.85"/>
    <col collapsed="false" customWidth="true" hidden="false" outlineLevel="0" max="11" min="11" style="201" width="8.13"/>
    <col collapsed="false" customWidth="true" hidden="false" outlineLevel="0" max="12" min="12" style="201" width="6.85"/>
    <col collapsed="false" customWidth="true" hidden="false" outlineLevel="0" max="13" min="13" style="201" width="8.56"/>
    <col collapsed="false" customWidth="true" hidden="false" outlineLevel="0" max="14" min="14" style="201" width="8.99"/>
    <col collapsed="false" customWidth="false" hidden="false" outlineLevel="0" max="257" min="15" style="201" width="10.56"/>
  </cols>
  <sheetData>
    <row r="1" customFormat="false" ht="19.5" hidden="false" customHeight="false" outlineLevel="0" collapsed="false">
      <c r="A1" s="15" t="s">
        <v>169</v>
      </c>
      <c r="B1" s="15"/>
      <c r="C1" s="15"/>
      <c r="D1" s="15"/>
      <c r="E1" s="15"/>
      <c r="F1" s="15"/>
      <c r="G1" s="202"/>
      <c r="H1" s="0"/>
      <c r="I1" s="0"/>
      <c r="J1" s="0"/>
      <c r="K1" s="0"/>
    </row>
    <row r="2" customFormat="false" ht="11.25" hidden="false" customHeight="false" outlineLevel="0" collapsed="false">
      <c r="A2" s="203" t="s">
        <v>170</v>
      </c>
      <c r="B2" s="204" t="n">
        <f aca="false">+F111</f>
        <v>13.1454</v>
      </c>
      <c r="C2" s="205"/>
      <c r="D2" s="205"/>
    </row>
    <row r="3" customFormat="false" ht="11.25" hidden="false" customHeight="false" outlineLevel="0" collapsed="false">
      <c r="A3" s="206" t="s">
        <v>171</v>
      </c>
      <c r="B3" s="204" t="n">
        <f aca="false">+B2-F109-F110</f>
        <v>10.8356961432507</v>
      </c>
      <c r="C3" s="205"/>
      <c r="D3" s="205"/>
    </row>
    <row r="4" customFormat="false" ht="11.25" hidden="false" customHeight="false" outlineLevel="0" collapsed="false">
      <c r="A4" s="203" t="s">
        <v>8</v>
      </c>
      <c r="B4" s="203" t="n">
        <f aca="false">TLU</f>
        <v>96</v>
      </c>
      <c r="C4" s="205"/>
      <c r="D4" s="205"/>
    </row>
    <row r="5" customFormat="false" ht="11.25" hidden="false" customHeight="false" outlineLevel="0" collapsed="false">
      <c r="A5" s="203"/>
      <c r="B5" s="203"/>
      <c r="C5" s="205"/>
      <c r="D5" s="205"/>
    </row>
    <row r="6" customFormat="false" ht="11.25" hidden="false" customHeight="false" outlineLevel="0" collapsed="false">
      <c r="B6" s="207" t="s">
        <v>172</v>
      </c>
      <c r="C6" s="207" t="s">
        <v>173</v>
      </c>
      <c r="D6" s="207" t="s">
        <v>174</v>
      </c>
      <c r="E6" s="207" t="s">
        <v>175</v>
      </c>
      <c r="F6" s="207" t="s">
        <v>41</v>
      </c>
      <c r="G6" s="208" t="s">
        <v>176</v>
      </c>
      <c r="H6" s="208"/>
      <c r="I6" s="209"/>
      <c r="J6" s="209"/>
      <c r="K6" s="209"/>
      <c r="L6" s="210"/>
      <c r="M6" s="210"/>
      <c r="N6" s="211"/>
    </row>
    <row r="7" customFormat="false" ht="11.25" hidden="false" customHeight="false" outlineLevel="0" collapsed="false">
      <c r="B7" s="207"/>
      <c r="C7" s="207"/>
      <c r="D7" s="207"/>
      <c r="E7" s="207"/>
      <c r="F7" s="207"/>
      <c r="G7" s="208"/>
      <c r="H7" s="208"/>
      <c r="I7" s="209"/>
      <c r="J7" s="209"/>
      <c r="K7" s="209"/>
      <c r="L7" s="210"/>
      <c r="M7" s="210"/>
      <c r="N7" s="211"/>
    </row>
    <row r="8" customFormat="false" ht="11.25" hidden="false" customHeight="false" outlineLevel="0" collapsed="false">
      <c r="A8" s="208" t="s">
        <v>177</v>
      </c>
    </row>
    <row r="9" customFormat="false" ht="11.25" hidden="false" customHeight="false" outlineLevel="0" collapsed="false">
      <c r="A9" s="201" t="s">
        <v>178</v>
      </c>
      <c r="B9" s="201" t="n">
        <v>1</v>
      </c>
      <c r="C9" s="201" t="s">
        <v>179</v>
      </c>
      <c r="D9" s="212" t="n">
        <v>680000</v>
      </c>
      <c r="E9" s="213" t="n">
        <f aca="false">+D9*B9</f>
        <v>680000</v>
      </c>
      <c r="F9" s="213" t="n">
        <f aca="false">+E9/TLU</f>
        <v>7083.33333333333</v>
      </c>
      <c r="I9" s="201" t="s">
        <v>180</v>
      </c>
      <c r="O9" s="214"/>
      <c r="P9" s="214"/>
      <c r="Q9" s="214"/>
      <c r="R9" s="214"/>
    </row>
    <row r="10" customFormat="false" ht="11.25" hidden="false" customHeight="false" outlineLevel="0" collapsed="false">
      <c r="A10" s="201" t="s">
        <v>181</v>
      </c>
      <c r="B10" s="215" t="n">
        <v>8</v>
      </c>
      <c r="C10" s="215" t="s">
        <v>182</v>
      </c>
      <c r="D10" s="212" t="n">
        <f aca="false">LandLTV*CLIntRt*LandPrice</f>
        <v>4363.33333333333</v>
      </c>
      <c r="E10" s="216" t="n">
        <f aca="false">+D10*B10</f>
        <v>34906.6666666667</v>
      </c>
      <c r="F10" s="216" t="n">
        <f aca="false">+E10/TLU</f>
        <v>363.611111111111</v>
      </c>
      <c r="J10" s="201" t="n">
        <v>1</v>
      </c>
      <c r="K10" s="201" t="n">
        <v>2</v>
      </c>
      <c r="L10" s="201" t="n">
        <v>3</v>
      </c>
      <c r="M10" s="201" t="n">
        <v>4</v>
      </c>
      <c r="N10" s="201" t="n">
        <v>5</v>
      </c>
      <c r="O10" s="214" t="n">
        <v>6</v>
      </c>
      <c r="P10" s="214" t="n">
        <v>7</v>
      </c>
      <c r="Q10" s="214" t="n">
        <v>8</v>
      </c>
      <c r="R10" s="214" t="n">
        <v>9</v>
      </c>
      <c r="S10" s="201" t="n">
        <v>10</v>
      </c>
      <c r="T10" s="201" t="n">
        <v>11</v>
      </c>
      <c r="U10" s="201" t="n">
        <v>12</v>
      </c>
      <c r="V10" s="201" t="n">
        <v>13</v>
      </c>
      <c r="W10" s="201" t="n">
        <v>14</v>
      </c>
      <c r="X10" s="201" t="n">
        <v>15</v>
      </c>
      <c r="Y10" s="201" t="n">
        <v>16</v>
      </c>
      <c r="Z10" s="201" t="n">
        <v>17</v>
      </c>
      <c r="AA10" s="201" t="n">
        <v>18</v>
      </c>
      <c r="AB10" s="201" t="n">
        <v>19</v>
      </c>
      <c r="AC10" s="201" t="n">
        <v>20</v>
      </c>
      <c r="AD10" s="201" t="n">
        <v>21</v>
      </c>
      <c r="AE10" s="201" t="n">
        <v>22</v>
      </c>
      <c r="AF10" s="201" t="n">
        <v>23</v>
      </c>
      <c r="AG10" s="201" t="n">
        <v>24</v>
      </c>
      <c r="AH10" s="201" t="n">
        <v>25</v>
      </c>
      <c r="AI10" s="201" t="n">
        <v>26</v>
      </c>
      <c r="AJ10" s="201" t="n">
        <v>27</v>
      </c>
      <c r="AK10" s="201" t="n">
        <v>28</v>
      </c>
      <c r="AL10" s="201" t="n">
        <v>29</v>
      </c>
      <c r="AM10" s="201" t="n">
        <v>30</v>
      </c>
      <c r="AN10" s="201" t="n">
        <v>31</v>
      </c>
      <c r="AO10" s="201" t="n">
        <v>32</v>
      </c>
      <c r="AP10" s="201" t="n">
        <v>33</v>
      </c>
      <c r="AQ10" s="201" t="n">
        <v>34</v>
      </c>
      <c r="AR10" s="201" t="n">
        <v>35</v>
      </c>
      <c r="AS10" s="201" t="n">
        <v>36</v>
      </c>
    </row>
    <row r="11" customFormat="false" ht="11.25" hidden="false" customHeight="false" outlineLevel="0" collapsed="false">
      <c r="A11" s="217" t="s">
        <v>117</v>
      </c>
      <c r="B11" s="217" t="n">
        <v>36</v>
      </c>
      <c r="C11" s="217" t="s">
        <v>182</v>
      </c>
      <c r="D11" s="218" t="n">
        <f aca="false">+I12/36</f>
        <v>531.905864197531</v>
      </c>
      <c r="E11" s="219" t="n">
        <f aca="false">+'Cash Flow Forecast'!AM41</f>
        <v>49933.3333333333</v>
      </c>
      <c r="F11" s="219" t="n">
        <f aca="false">+E11/TLU</f>
        <v>520.138888888889</v>
      </c>
      <c r="J11" s="201" t="n">
        <v>96</v>
      </c>
      <c r="K11" s="201" t="n">
        <v>96</v>
      </c>
      <c r="L11" s="201" t="n">
        <v>96</v>
      </c>
      <c r="M11" s="201" t="n">
        <v>96</v>
      </c>
      <c r="N11" s="201" t="n">
        <v>96</v>
      </c>
      <c r="O11" s="214" t="n">
        <v>96</v>
      </c>
      <c r="P11" s="214" t="n">
        <v>96</v>
      </c>
      <c r="Q11" s="214" t="n">
        <v>96</v>
      </c>
      <c r="R11" s="214" t="n">
        <v>96</v>
      </c>
      <c r="S11" s="201" t="n">
        <v>96</v>
      </c>
      <c r="T11" s="201" t="n">
        <v>96</v>
      </c>
      <c r="U11" s="201" t="n">
        <v>96</v>
      </c>
      <c r="V11" s="201" t="n">
        <f aca="false">+U11-8</f>
        <v>88</v>
      </c>
      <c r="W11" s="201" t="n">
        <f aca="false">+V11-8</f>
        <v>80</v>
      </c>
      <c r="X11" s="201" t="n">
        <f aca="false">+W11-8</f>
        <v>72</v>
      </c>
      <c r="Y11" s="201" t="n">
        <f aca="false">+X11-8</f>
        <v>64</v>
      </c>
      <c r="Z11" s="201" t="n">
        <f aca="false">+Y11-5</f>
        <v>59</v>
      </c>
      <c r="AA11" s="201" t="n">
        <f aca="false">+Z11-5</f>
        <v>54</v>
      </c>
      <c r="AB11" s="201" t="n">
        <f aca="false">+AA11-5</f>
        <v>49</v>
      </c>
      <c r="AC11" s="201" t="n">
        <f aca="false">+AB11-5</f>
        <v>44</v>
      </c>
      <c r="AD11" s="201" t="n">
        <f aca="false">+AC11-5</f>
        <v>39</v>
      </c>
      <c r="AE11" s="201" t="n">
        <f aca="false">+AD11-5</f>
        <v>34</v>
      </c>
      <c r="AF11" s="201" t="n">
        <f aca="false">+AE11-5</f>
        <v>29</v>
      </c>
      <c r="AG11" s="201" t="n">
        <f aca="false">+AF11-5</f>
        <v>24</v>
      </c>
      <c r="AH11" s="201" t="n">
        <f aca="false">+AG11-5</f>
        <v>19</v>
      </c>
      <c r="AI11" s="201" t="n">
        <f aca="false">+AH11-5</f>
        <v>14</v>
      </c>
      <c r="AJ11" s="201" t="n">
        <f aca="false">+AI11-5</f>
        <v>9</v>
      </c>
      <c r="AK11" s="201" t="n">
        <f aca="false">+AJ11-5</f>
        <v>4</v>
      </c>
    </row>
    <row r="12" customFormat="false" ht="11.25" hidden="false" customHeight="false" outlineLevel="0" collapsed="false">
      <c r="A12" s="201" t="s">
        <v>183</v>
      </c>
      <c r="D12" s="220"/>
      <c r="E12" s="221" t="n">
        <f aca="false">SUM(E9:E11)</f>
        <v>764840</v>
      </c>
      <c r="F12" s="221" t="n">
        <f aca="false">+E12/TLU</f>
        <v>7967.08333333333</v>
      </c>
      <c r="I12" s="222" t="n">
        <f aca="false">SUM(J12:AS12)</f>
        <v>19148.6111111111</v>
      </c>
      <c r="J12" s="222" t="n">
        <f aca="false">0.025/12*$F$9*J11*0.7</f>
        <v>991.666666666667</v>
      </c>
      <c r="K12" s="222" t="n">
        <f aca="false">0.025/12*$F$9*K11*0.7</f>
        <v>991.666666666667</v>
      </c>
      <c r="L12" s="222" t="n">
        <f aca="false">0.025/12*$F$9*L11*0.7</f>
        <v>991.666666666667</v>
      </c>
      <c r="M12" s="222" t="n">
        <f aca="false">0.025/12*$F$9*M11*0.7</f>
        <v>991.666666666667</v>
      </c>
      <c r="N12" s="222" t="n">
        <f aca="false">0.025/12*$F$9*N11*0.7</f>
        <v>991.666666666667</v>
      </c>
      <c r="O12" s="222" t="n">
        <f aca="false">0.025/12*$F$9*O11*0.7</f>
        <v>991.666666666667</v>
      </c>
      <c r="P12" s="222" t="n">
        <f aca="false">0.025/12*$F$9*P11*0.7</f>
        <v>991.666666666667</v>
      </c>
      <c r="Q12" s="222" t="n">
        <f aca="false">0.025/12*$F$9*Q11*0.7</f>
        <v>991.666666666667</v>
      </c>
      <c r="R12" s="222" t="n">
        <f aca="false">0.025/12*$F$9*R11*0.7</f>
        <v>991.666666666667</v>
      </c>
      <c r="S12" s="222" t="n">
        <f aca="false">0.025/12*$F$9*S11*0.7</f>
        <v>991.666666666667</v>
      </c>
      <c r="T12" s="222" t="n">
        <f aca="false">0.025/12*$F$9*T11*0.7</f>
        <v>991.666666666667</v>
      </c>
      <c r="U12" s="222" t="n">
        <f aca="false">0.025/12*$F$9*U11*0.7</f>
        <v>991.666666666667</v>
      </c>
      <c r="V12" s="222" t="n">
        <f aca="false">0.025/12*$F$9*V11*0.7</f>
        <v>909.027777777778</v>
      </c>
      <c r="W12" s="222" t="n">
        <f aca="false">0.025/12*$F$9*W11*0.7</f>
        <v>826.388888888889</v>
      </c>
      <c r="X12" s="222" t="n">
        <f aca="false">0.025/12*$F$9*X11*0.7</f>
        <v>743.75</v>
      </c>
      <c r="Y12" s="222" t="n">
        <f aca="false">0.025/12*$F$9*Y11*0.7</f>
        <v>661.111111111111</v>
      </c>
      <c r="Z12" s="222" t="n">
        <f aca="false">0.025/12*$F$9*Z11*0.7</f>
        <v>609.461805555555</v>
      </c>
      <c r="AA12" s="222" t="n">
        <f aca="false">0.025/12*$F$9*AA11*0.7</f>
        <v>557.8125</v>
      </c>
      <c r="AB12" s="222" t="n">
        <f aca="false">0.025/12*$F$9*AB11*0.7</f>
        <v>506.163194444444</v>
      </c>
      <c r="AC12" s="222" t="n">
        <f aca="false">0.025/12*$F$9*AC11*0.7</f>
        <v>454.513888888889</v>
      </c>
      <c r="AD12" s="222" t="n">
        <f aca="false">0.025/12*$F$9*AD11*0.7</f>
        <v>402.864583333333</v>
      </c>
      <c r="AE12" s="222" t="n">
        <f aca="false">0.025/12*$F$9*AE11*0.7</f>
        <v>351.215277777778</v>
      </c>
      <c r="AF12" s="222" t="n">
        <f aca="false">0.025/12*$F$9*AF11*0.7</f>
        <v>299.565972222222</v>
      </c>
      <c r="AG12" s="222" t="n">
        <f aca="false">0.025/12*$F$9*AG11*0.7</f>
        <v>247.916666666667</v>
      </c>
      <c r="AH12" s="222" t="n">
        <f aca="false">0.025/12*$F$9*AH11</f>
        <v>280.381944444444</v>
      </c>
      <c r="AI12" s="222" t="n">
        <f aca="false">0.025/12*$F$9*AI11</f>
        <v>206.597222222222</v>
      </c>
      <c r="AJ12" s="222" t="n">
        <f aca="false">0.025/12*$F$9*AJ11</f>
        <v>132.8125</v>
      </c>
      <c r="AK12" s="222" t="n">
        <f aca="false">0.025/12*$F$9*AK11</f>
        <v>59.0277777777778</v>
      </c>
      <c r="AL12" s="222" t="n">
        <f aca="false">0.025/12*$F$9*AL11</f>
        <v>0</v>
      </c>
      <c r="AM12" s="222" t="n">
        <f aca="false">0.025/12*$F$9*AM11</f>
        <v>0</v>
      </c>
      <c r="AN12" s="222" t="n">
        <f aca="false">0.025/12*$F$9*AN11</f>
        <v>0</v>
      </c>
      <c r="AO12" s="222" t="n">
        <f aca="false">0.025/12*$F$9*AO11</f>
        <v>0</v>
      </c>
      <c r="AP12" s="222" t="n">
        <f aca="false">0.025/12*$F$9*AP11</f>
        <v>0</v>
      </c>
      <c r="AQ12" s="222" t="n">
        <f aca="false">0.025/12*$F$9*AQ11</f>
        <v>0</v>
      </c>
      <c r="AR12" s="222" t="n">
        <f aca="false">0.025/12*$F$9*AR11</f>
        <v>0</v>
      </c>
      <c r="AS12" s="222" t="n">
        <f aca="false">0.025/12*$F$9*AS11</f>
        <v>0</v>
      </c>
    </row>
    <row r="13" customFormat="false" ht="11.25" hidden="false" customHeight="false" outlineLevel="0" collapsed="false">
      <c r="D13" s="220"/>
      <c r="F13" s="223"/>
    </row>
    <row r="14" customFormat="false" ht="11.25" hidden="false" customHeight="true" outlineLevel="0" collapsed="false">
      <c r="A14" s="208" t="s">
        <v>184</v>
      </c>
      <c r="D14" s="220"/>
      <c r="F14" s="223"/>
    </row>
    <row r="15" customFormat="false" ht="11.25" hidden="false" customHeight="true" outlineLevel="0" collapsed="false">
      <c r="A15" s="201" t="s">
        <v>185</v>
      </c>
      <c r="B15" s="201" t="n">
        <v>1</v>
      </c>
      <c r="C15" s="201" t="s">
        <v>179</v>
      </c>
      <c r="D15" s="220" t="n">
        <v>5500</v>
      </c>
      <c r="E15" s="213" t="n">
        <f aca="false">+D15*B15</f>
        <v>5500</v>
      </c>
      <c r="F15" s="213" t="n">
        <f aca="false">+E15/TLU</f>
        <v>57.2916666666667</v>
      </c>
      <c r="G15" s="201" t="s">
        <v>186</v>
      </c>
    </row>
    <row r="16" customFormat="false" ht="11.25" hidden="false" customHeight="false" outlineLevel="0" collapsed="false">
      <c r="A16" s="201" t="s">
        <v>187</v>
      </c>
      <c r="B16" s="201" t="n">
        <v>1</v>
      </c>
      <c r="C16" s="201" t="s">
        <v>179</v>
      </c>
      <c r="D16" s="220" t="n">
        <v>3500</v>
      </c>
      <c r="E16" s="224" t="n">
        <f aca="false">+D16*B16</f>
        <v>3500</v>
      </c>
      <c r="F16" s="216" t="n">
        <f aca="false">+E16/TLU</f>
        <v>36.4583333333333</v>
      </c>
    </row>
    <row r="17" customFormat="false" ht="11.25" hidden="false" customHeight="false" outlineLevel="0" collapsed="false">
      <c r="A17" s="201" t="s">
        <v>188</v>
      </c>
      <c r="B17" s="201" t="n">
        <v>1</v>
      </c>
      <c r="C17" s="201" t="s">
        <v>179</v>
      </c>
      <c r="D17" s="220" t="n">
        <v>14500</v>
      </c>
      <c r="E17" s="224" t="n">
        <f aca="false">+D17*B17</f>
        <v>14500</v>
      </c>
      <c r="F17" s="216" t="n">
        <f aca="false">+E17/TLU</f>
        <v>151.041666666667</v>
      </c>
    </row>
    <row r="18" customFormat="false" ht="11.25" hidden="false" customHeight="false" outlineLevel="0" collapsed="false">
      <c r="A18" s="201" t="s">
        <v>189</v>
      </c>
      <c r="B18" s="215" t="n">
        <f aca="false">TLU</f>
        <v>96</v>
      </c>
      <c r="C18" s="201" t="s">
        <v>179</v>
      </c>
      <c r="D18" s="220" t="n">
        <v>750</v>
      </c>
      <c r="E18" s="224" t="n">
        <f aca="false">+D18*B18</f>
        <v>72000</v>
      </c>
      <c r="F18" s="216" t="n">
        <f aca="false">+E18/TLU</f>
        <v>750</v>
      </c>
      <c r="I18" s="209"/>
      <c r="J18" s="209"/>
      <c r="K18" s="209"/>
      <c r="L18" s="210"/>
      <c r="M18" s="210"/>
      <c r="N18" s="211"/>
    </row>
    <row r="19" customFormat="false" ht="11.25" hidden="false" customHeight="false" outlineLevel="0" collapsed="false">
      <c r="A19" s="217" t="s">
        <v>190</v>
      </c>
      <c r="B19" s="217" t="n">
        <f aca="false">TLU</f>
        <v>96</v>
      </c>
      <c r="C19" s="217" t="s">
        <v>179</v>
      </c>
      <c r="D19" s="218" t="n">
        <f aca="false">(350+150+150)</f>
        <v>650</v>
      </c>
      <c r="E19" s="225" t="n">
        <f aca="false">+D19*B19</f>
        <v>62400</v>
      </c>
      <c r="F19" s="219" t="n">
        <f aca="false">+E19/TLU</f>
        <v>650</v>
      </c>
    </row>
    <row r="20" customFormat="false" ht="11.25" hidden="false" customHeight="false" outlineLevel="0" collapsed="false">
      <c r="A20" s="201" t="s">
        <v>191</v>
      </c>
      <c r="D20" s="220"/>
      <c r="E20" s="221" t="n">
        <f aca="false">SUM(E15:E19)</f>
        <v>157900</v>
      </c>
      <c r="F20" s="221" t="n">
        <f aca="false">+E20/TLU</f>
        <v>1644.79166666667</v>
      </c>
    </row>
    <row r="21" customFormat="false" ht="11.25" hidden="false" customHeight="false" outlineLevel="0" collapsed="false">
      <c r="G21" s="201" t="s">
        <v>186</v>
      </c>
    </row>
    <row r="22" customFormat="false" ht="11.25" hidden="false" customHeight="false" outlineLevel="0" collapsed="false">
      <c r="A22" s="226" t="s">
        <v>192</v>
      </c>
      <c r="B22" s="209" t="n">
        <v>1</v>
      </c>
      <c r="C22" s="201" t="s">
        <v>179</v>
      </c>
      <c r="D22" s="201" t="n">
        <v>10000</v>
      </c>
      <c r="E22" s="221" t="n">
        <f aca="false">+D22*B22</f>
        <v>10000</v>
      </c>
      <c r="F22" s="221" t="n">
        <f aca="false">+E22/TLU</f>
        <v>104.166666666667</v>
      </c>
    </row>
    <row r="23" customFormat="false" ht="11.25" hidden="false" customHeight="false" outlineLevel="0" collapsed="false">
      <c r="F23" s="223"/>
    </row>
    <row r="24" customFormat="false" ht="11.25" hidden="false" customHeight="false" outlineLevel="0" collapsed="false">
      <c r="A24" s="227" t="s">
        <v>193</v>
      </c>
      <c r="B24" s="209"/>
      <c r="C24" s="209"/>
      <c r="D24" s="210"/>
      <c r="E24" s="209"/>
      <c r="F24" s="228"/>
      <c r="P24" s="201" t="n">
        <v>4</v>
      </c>
      <c r="Q24" s="201" t="n">
        <v>4</v>
      </c>
    </row>
    <row r="25" customFormat="false" ht="11.25" hidden="false" customHeight="false" outlineLevel="0" collapsed="false">
      <c r="A25" s="209" t="s">
        <v>194</v>
      </c>
      <c r="B25" s="209" t="n">
        <v>2792.5</v>
      </c>
      <c r="C25" s="209" t="s">
        <v>195</v>
      </c>
      <c r="D25" s="210" t="n">
        <v>2</v>
      </c>
      <c r="E25" s="210" t="n">
        <f aca="false">+D25*B25</f>
        <v>5585</v>
      </c>
      <c r="F25" s="213" t="n">
        <f aca="false">+E25/TLU</f>
        <v>58.1770833333333</v>
      </c>
    </row>
    <row r="26" customFormat="false" ht="11.25" hidden="false" customHeight="false" outlineLevel="0" collapsed="false">
      <c r="A26" s="209" t="s">
        <v>196</v>
      </c>
      <c r="B26" s="209" t="n">
        <f aca="false">ROUND((5/7*11.5),0)</f>
        <v>8</v>
      </c>
      <c r="C26" s="209" t="s">
        <v>195</v>
      </c>
      <c r="D26" s="210" t="n">
        <v>500</v>
      </c>
      <c r="E26" s="210" t="n">
        <f aca="false">+D26*B26</f>
        <v>4000</v>
      </c>
      <c r="F26" s="216" t="n">
        <f aca="false">+E26/TLU</f>
        <v>41.6666666666667</v>
      </c>
    </row>
    <row r="27" customFormat="false" ht="11.25" hidden="false" customHeight="false" outlineLevel="0" collapsed="false">
      <c r="A27" s="229" t="s">
        <v>197</v>
      </c>
      <c r="B27" s="229" t="n">
        <f aca="false">ROUND((1/7*11.5),0)</f>
        <v>2</v>
      </c>
      <c r="C27" s="229" t="s">
        <v>195</v>
      </c>
      <c r="D27" s="230" t="n">
        <v>1500</v>
      </c>
      <c r="E27" s="230" t="n">
        <f aca="false">+D27*B27</f>
        <v>3000</v>
      </c>
      <c r="F27" s="219" t="n">
        <f aca="false">+E27/TLU</f>
        <v>31.25</v>
      </c>
    </row>
    <row r="28" customFormat="false" ht="11.25" hidden="false" customHeight="false" outlineLevel="0" collapsed="false">
      <c r="A28" s="226"/>
      <c r="C28" s="209"/>
      <c r="D28" s="210"/>
      <c r="E28" s="231" t="n">
        <f aca="false">SUM(E25:E27)</f>
        <v>12585</v>
      </c>
      <c r="F28" s="221" t="n">
        <f aca="false">+E28/TLU</f>
        <v>131.09375</v>
      </c>
    </row>
    <row r="29" customFormat="false" ht="11.25" hidden="false" customHeight="false" outlineLevel="0" collapsed="false">
      <c r="A29" s="226"/>
      <c r="B29" s="209"/>
      <c r="C29" s="209"/>
      <c r="D29" s="210"/>
      <c r="E29" s="232"/>
      <c r="F29" s="233"/>
    </row>
    <row r="30" customFormat="false" ht="11.25" hidden="false" customHeight="false" outlineLevel="0" collapsed="false">
      <c r="A30" s="227" t="s">
        <v>198</v>
      </c>
      <c r="B30" s="209"/>
      <c r="C30" s="209"/>
      <c r="D30" s="210"/>
      <c r="E30" s="210"/>
      <c r="F30" s="233"/>
      <c r="I30" s="209"/>
      <c r="J30" s="209"/>
      <c r="K30" s="209"/>
      <c r="L30" s="210"/>
      <c r="M30" s="210"/>
      <c r="N30" s="211"/>
    </row>
    <row r="31" customFormat="false" ht="11.25" hidden="false" customHeight="false" outlineLevel="0" collapsed="false">
      <c r="A31" s="209" t="s">
        <v>199</v>
      </c>
      <c r="B31" s="209" t="n">
        <f aca="false">ROUND((138/28*TLU*(25/65)),0)</f>
        <v>182</v>
      </c>
      <c r="C31" s="209" t="s">
        <v>200</v>
      </c>
      <c r="D31" s="210" t="n">
        <v>55</v>
      </c>
      <c r="E31" s="210" t="n">
        <f aca="false">+D31*B31</f>
        <v>10010</v>
      </c>
      <c r="F31" s="213" t="n">
        <f aca="false">+E31/TLU</f>
        <v>104.270833333333</v>
      </c>
    </row>
    <row r="32" customFormat="false" ht="11.25" hidden="false" customHeight="false" outlineLevel="0" collapsed="false">
      <c r="A32" s="209" t="s">
        <v>201</v>
      </c>
      <c r="B32" s="209" t="n">
        <f aca="false">ROUND((276/28*TLU*(25/65)),0)</f>
        <v>364</v>
      </c>
      <c r="C32" s="209" t="s">
        <v>200</v>
      </c>
      <c r="D32" s="210" t="n">
        <v>42</v>
      </c>
      <c r="E32" s="210" t="n">
        <f aca="false">+D32*B32</f>
        <v>15288</v>
      </c>
      <c r="F32" s="216" t="n">
        <f aca="false">+E32/TLU</f>
        <v>159.25</v>
      </c>
    </row>
    <row r="33" customFormat="false" ht="11.25" hidden="false" customHeight="false" outlineLevel="0" collapsed="false">
      <c r="A33" s="209" t="s">
        <v>202</v>
      </c>
      <c r="B33" s="209" t="n">
        <f aca="false">ROUND((124/28*TLU*(25/65)),0)</f>
        <v>164</v>
      </c>
      <c r="C33" s="209" t="s">
        <v>200</v>
      </c>
      <c r="D33" s="210" t="n">
        <v>47</v>
      </c>
      <c r="E33" s="210" t="n">
        <f aca="false">+D33*B33</f>
        <v>7708</v>
      </c>
      <c r="F33" s="216" t="n">
        <f aca="false">+E33/TLU</f>
        <v>80.2916666666667</v>
      </c>
    </row>
    <row r="34" customFormat="false" ht="11.25" hidden="false" customHeight="false" outlineLevel="0" collapsed="false">
      <c r="A34" s="209" t="s">
        <v>203</v>
      </c>
      <c r="B34" s="209" t="n">
        <f aca="false">ROUND((344/28*TLU*(25/65)),0)</f>
        <v>454</v>
      </c>
      <c r="C34" s="209" t="s">
        <v>200</v>
      </c>
      <c r="D34" s="210" t="n">
        <v>52</v>
      </c>
      <c r="E34" s="210" t="n">
        <f aca="false">+D34*B34</f>
        <v>23608</v>
      </c>
      <c r="F34" s="216" t="n">
        <f aca="false">+E34/TLU</f>
        <v>245.916666666667</v>
      </c>
    </row>
    <row r="35" customFormat="false" ht="11.25" hidden="false" customHeight="false" outlineLevel="0" collapsed="false">
      <c r="A35" s="209" t="s">
        <v>204</v>
      </c>
      <c r="B35" s="209" t="n">
        <f aca="false">ROUND((85/28*TLU*(25/65)),0)</f>
        <v>112</v>
      </c>
      <c r="C35" s="209" t="s">
        <v>200</v>
      </c>
      <c r="D35" s="210" t="n">
        <v>36</v>
      </c>
      <c r="E35" s="210" t="n">
        <f aca="false">+D35*B35</f>
        <v>4032</v>
      </c>
      <c r="F35" s="216" t="n">
        <f aca="false">+E35/TLU</f>
        <v>42</v>
      </c>
    </row>
    <row r="36" customFormat="false" ht="11.25" hidden="false" customHeight="false" outlineLevel="0" collapsed="false">
      <c r="A36" s="209" t="s">
        <v>205</v>
      </c>
      <c r="B36" s="209" t="n">
        <f aca="false">ROUND((51/28*TLU*(25/65)),0)</f>
        <v>67</v>
      </c>
      <c r="C36" s="209" t="s">
        <v>200</v>
      </c>
      <c r="D36" s="210" t="n">
        <v>40</v>
      </c>
      <c r="E36" s="210" t="n">
        <f aca="false">+D36*B36</f>
        <v>2680</v>
      </c>
      <c r="F36" s="216" t="n">
        <f aca="false">+E36/TLU</f>
        <v>27.9166666666667</v>
      </c>
    </row>
    <row r="37" customFormat="false" ht="11.25" hidden="false" customHeight="false" outlineLevel="0" collapsed="false">
      <c r="A37" s="209" t="s">
        <v>206</v>
      </c>
      <c r="B37" s="209" t="n">
        <f aca="false">ROUND((59/28*TLU*(25/65)),0)</f>
        <v>78</v>
      </c>
      <c r="C37" s="209" t="s">
        <v>200</v>
      </c>
      <c r="D37" s="210" t="n">
        <v>45</v>
      </c>
      <c r="E37" s="210" t="n">
        <f aca="false">+D37*B37</f>
        <v>3510</v>
      </c>
      <c r="F37" s="216" t="n">
        <f aca="false">+E37/TLU</f>
        <v>36.5625</v>
      </c>
    </row>
    <row r="38" customFormat="false" ht="11.25" hidden="false" customHeight="false" outlineLevel="0" collapsed="false">
      <c r="A38" s="209" t="s">
        <v>207</v>
      </c>
      <c r="B38" s="209" t="n">
        <f aca="false">ROUND((180/28*TLU*(25/65)),0)</f>
        <v>237</v>
      </c>
      <c r="C38" s="209" t="s">
        <v>200</v>
      </c>
      <c r="D38" s="210" t="n">
        <v>35</v>
      </c>
      <c r="E38" s="210" t="n">
        <f aca="false">+D38*B38</f>
        <v>8295</v>
      </c>
      <c r="F38" s="216" t="n">
        <f aca="false">+E38/TLU</f>
        <v>86.40625</v>
      </c>
    </row>
    <row r="39" customFormat="false" ht="11.25" hidden="false" customHeight="false" outlineLevel="0" collapsed="false">
      <c r="A39" s="209" t="s">
        <v>208</v>
      </c>
      <c r="B39" s="209" t="n">
        <f aca="false">ROUND((1/28*TLU),0)</f>
        <v>3</v>
      </c>
      <c r="C39" s="209" t="s">
        <v>195</v>
      </c>
      <c r="D39" s="210" t="n">
        <v>2000</v>
      </c>
      <c r="E39" s="210" t="n">
        <f aca="false">+D39*B39</f>
        <v>6000</v>
      </c>
      <c r="F39" s="216" t="n">
        <f aca="false">+E39/TLU</f>
        <v>62.5</v>
      </c>
    </row>
    <row r="40" customFormat="false" ht="11.25" hidden="false" customHeight="false" outlineLevel="0" collapsed="false">
      <c r="A40" s="209" t="s">
        <v>209</v>
      </c>
      <c r="B40" s="209" t="n">
        <f aca="false">ROUND((4/28*TLU),0)</f>
        <v>14</v>
      </c>
      <c r="C40" s="209" t="s">
        <v>195</v>
      </c>
      <c r="D40" s="210" t="n">
        <v>2500</v>
      </c>
      <c r="E40" s="210" t="n">
        <f aca="false">+D40*B40</f>
        <v>35000</v>
      </c>
      <c r="F40" s="216" t="n">
        <f aca="false">+E40/TLU</f>
        <v>364.583333333333</v>
      </c>
    </row>
    <row r="41" customFormat="false" ht="11.25" hidden="false" customHeight="false" outlineLevel="0" collapsed="false">
      <c r="A41" s="209" t="s">
        <v>210</v>
      </c>
      <c r="B41" s="209" t="n">
        <v>0</v>
      </c>
      <c r="C41" s="209" t="s">
        <v>211</v>
      </c>
      <c r="D41" s="210" t="n">
        <v>200</v>
      </c>
      <c r="E41" s="210" t="n">
        <f aca="false">+D41*B41</f>
        <v>0</v>
      </c>
      <c r="F41" s="216" t="n">
        <f aca="false">+E41/TLU</f>
        <v>0</v>
      </c>
      <c r="G41" s="201" t="s">
        <v>212</v>
      </c>
    </row>
    <row r="42" customFormat="false" ht="11.25" hidden="false" customHeight="false" outlineLevel="0" collapsed="false">
      <c r="A42" s="209" t="s">
        <v>213</v>
      </c>
      <c r="B42" s="209" t="n">
        <f aca="false">ROUND((2/28*TLU),0)</f>
        <v>7</v>
      </c>
      <c r="C42" s="209" t="s">
        <v>195</v>
      </c>
      <c r="D42" s="210" t="n">
        <v>2000</v>
      </c>
      <c r="E42" s="210" t="n">
        <f aca="false">+D42*B42</f>
        <v>14000</v>
      </c>
      <c r="F42" s="216" t="n">
        <f aca="false">+E42/TLU</f>
        <v>145.833333333333</v>
      </c>
      <c r="G42" s="201" t="s">
        <v>214</v>
      </c>
    </row>
    <row r="43" customFormat="false" ht="11.25" hidden="false" customHeight="false" outlineLevel="0" collapsed="false">
      <c r="A43" s="209" t="s">
        <v>215</v>
      </c>
      <c r="B43" s="209" t="n">
        <f aca="false">ROUND((2/28*TLU),0)</f>
        <v>7</v>
      </c>
      <c r="C43" s="209" t="s">
        <v>195</v>
      </c>
      <c r="D43" s="210" t="n">
        <v>2500</v>
      </c>
      <c r="E43" s="210" t="n">
        <f aca="false">+D43*B43</f>
        <v>17500</v>
      </c>
      <c r="F43" s="216" t="n">
        <f aca="false">+E43/TLU</f>
        <v>182.291666666667</v>
      </c>
      <c r="G43" s="201" t="s">
        <v>214</v>
      </c>
    </row>
    <row r="44" customFormat="false" ht="11.25" hidden="false" customHeight="false" outlineLevel="0" collapsed="false">
      <c r="A44" s="209" t="s">
        <v>216</v>
      </c>
      <c r="B44" s="209" t="n">
        <f aca="false">ROUND((1/28*TLU),0)</f>
        <v>3</v>
      </c>
      <c r="C44" s="209" t="s">
        <v>195</v>
      </c>
      <c r="D44" s="210" t="n">
        <v>3000</v>
      </c>
      <c r="E44" s="210" t="n">
        <f aca="false">+D44*B44</f>
        <v>9000</v>
      </c>
      <c r="F44" s="216" t="n">
        <f aca="false">+E44/TLU</f>
        <v>93.75</v>
      </c>
      <c r="G44" s="201" t="s">
        <v>214</v>
      </c>
    </row>
    <row r="45" customFormat="false" ht="11.25" hidden="false" customHeight="false" outlineLevel="0" collapsed="false">
      <c r="A45" s="209" t="s">
        <v>217</v>
      </c>
      <c r="B45" s="209" t="n">
        <f aca="false">ROUND((1/28*TLU),0)</f>
        <v>3</v>
      </c>
      <c r="C45" s="209" t="s">
        <v>195</v>
      </c>
      <c r="D45" s="210" t="n">
        <v>5000</v>
      </c>
      <c r="E45" s="210" t="n">
        <f aca="false">+D45*B45</f>
        <v>15000</v>
      </c>
      <c r="F45" s="216" t="n">
        <f aca="false">+E45/TLU</f>
        <v>156.25</v>
      </c>
      <c r="G45" s="201" t="s">
        <v>214</v>
      </c>
    </row>
    <row r="46" customFormat="false" ht="11.25" hidden="false" customHeight="false" outlineLevel="0" collapsed="false">
      <c r="A46" s="209" t="s">
        <v>218</v>
      </c>
      <c r="B46" s="209" t="n">
        <v>0</v>
      </c>
      <c r="C46" s="209" t="s">
        <v>195</v>
      </c>
      <c r="D46" s="210" t="n">
        <v>3000</v>
      </c>
      <c r="E46" s="210" t="n">
        <f aca="false">+D46*B46</f>
        <v>0</v>
      </c>
      <c r="F46" s="216" t="n">
        <f aca="false">+E46/TLU</f>
        <v>0</v>
      </c>
      <c r="G46" s="201" t="s">
        <v>214</v>
      </c>
    </row>
    <row r="47" customFormat="false" ht="22.5" hidden="false" customHeight="false" outlineLevel="0" collapsed="false">
      <c r="A47" s="234" t="s">
        <v>219</v>
      </c>
      <c r="B47" s="229" t="n">
        <v>1</v>
      </c>
      <c r="C47" s="229" t="s">
        <v>195</v>
      </c>
      <c r="D47" s="230" t="n">
        <v>71000</v>
      </c>
      <c r="E47" s="230" t="n">
        <f aca="false">+D47*B47</f>
        <v>71000</v>
      </c>
      <c r="F47" s="219" t="n">
        <f aca="false">+E47/TLU</f>
        <v>739.583333333333</v>
      </c>
      <c r="G47" s="201" t="s">
        <v>214</v>
      </c>
      <c r="I47" s="209"/>
      <c r="J47" s="209"/>
      <c r="K47" s="209"/>
      <c r="L47" s="210"/>
      <c r="M47" s="209"/>
      <c r="N47" s="209"/>
    </row>
    <row r="48" customFormat="false" ht="11.25" hidden="false" customHeight="false" outlineLevel="0" collapsed="false">
      <c r="A48" s="226" t="s">
        <v>220</v>
      </c>
      <c r="B48" s="209"/>
      <c r="C48" s="209"/>
      <c r="D48" s="210"/>
      <c r="E48" s="235" t="n">
        <f aca="false">SUM(E31:E47)</f>
        <v>242631</v>
      </c>
      <c r="F48" s="221" t="n">
        <f aca="false">+E48/TLU</f>
        <v>2527.40625</v>
      </c>
    </row>
    <row r="49" customFormat="false" ht="11.25" hidden="false" customHeight="false" outlineLevel="0" collapsed="false">
      <c r="D49" s="220"/>
      <c r="F49" s="223"/>
    </row>
    <row r="50" customFormat="false" ht="11.25" hidden="false" customHeight="false" outlineLevel="0" collapsed="false">
      <c r="A50" s="227" t="s">
        <v>221</v>
      </c>
      <c r="B50" s="209"/>
      <c r="C50" s="209"/>
      <c r="D50" s="210"/>
      <c r="E50" s="210"/>
      <c r="F50" s="233"/>
    </row>
    <row r="51" customFormat="false" ht="11.25" hidden="false" customHeight="false" outlineLevel="0" collapsed="false">
      <c r="A51" s="236" t="s">
        <v>222</v>
      </c>
      <c r="B51" s="209" t="n">
        <v>750</v>
      </c>
      <c r="C51" s="209" t="s">
        <v>200</v>
      </c>
      <c r="D51" s="210" t="n">
        <v>22</v>
      </c>
      <c r="E51" s="210" t="n">
        <f aca="false">+D51*B51</f>
        <v>16500</v>
      </c>
      <c r="F51" s="213" t="n">
        <f aca="false">+E51/TLU</f>
        <v>171.875</v>
      </c>
    </row>
    <row r="52" customFormat="false" ht="11.25" hidden="false" customHeight="false" outlineLevel="0" collapsed="false">
      <c r="A52" s="209" t="s">
        <v>223</v>
      </c>
      <c r="B52" s="209" t="n">
        <f aca="false">ROUND((2+(96/14-2)),0)</f>
        <v>7</v>
      </c>
      <c r="C52" s="209" t="s">
        <v>195</v>
      </c>
      <c r="D52" s="210" t="n">
        <v>1800</v>
      </c>
      <c r="E52" s="210" t="n">
        <f aca="false">+D52*B52</f>
        <v>12600</v>
      </c>
      <c r="F52" s="216" t="n">
        <f aca="false">+E52/TLU</f>
        <v>131.25</v>
      </c>
      <c r="G52" s="201" t="s">
        <v>224</v>
      </c>
    </row>
    <row r="53" customFormat="false" ht="11.25" hidden="false" customHeight="false" outlineLevel="0" collapsed="false">
      <c r="A53" s="209" t="s">
        <v>225</v>
      </c>
      <c r="B53" s="209" t="n">
        <f aca="false">ROUND((7/28*96),0)</f>
        <v>24</v>
      </c>
      <c r="C53" s="209" t="s">
        <v>195</v>
      </c>
      <c r="D53" s="210" t="n">
        <v>800</v>
      </c>
      <c r="E53" s="210" t="n">
        <f aca="false">+D53*B53</f>
        <v>19200</v>
      </c>
      <c r="F53" s="216" t="n">
        <f aca="false">+E53/TLU</f>
        <v>200</v>
      </c>
      <c r="G53" s="201" t="s">
        <v>226</v>
      </c>
    </row>
    <row r="54" customFormat="false" ht="11.25" hidden="false" customHeight="false" outlineLevel="0" collapsed="false">
      <c r="A54" s="209" t="s">
        <v>227</v>
      </c>
      <c r="B54" s="209" t="n">
        <f aca="false">ROUND((4/28*96),0)</f>
        <v>14</v>
      </c>
      <c r="C54" s="209" t="s">
        <v>195</v>
      </c>
      <c r="D54" s="210" t="n">
        <v>600</v>
      </c>
      <c r="E54" s="210" t="n">
        <f aca="false">+D54*B54</f>
        <v>8400</v>
      </c>
      <c r="F54" s="216" t="n">
        <f aca="false">+E54/TLU</f>
        <v>87.5</v>
      </c>
      <c r="G54" s="201" t="s">
        <v>226</v>
      </c>
    </row>
    <row r="55" customFormat="false" ht="11.25" hidden="false" customHeight="false" outlineLevel="0" collapsed="false">
      <c r="A55" s="209" t="s">
        <v>228</v>
      </c>
      <c r="B55" s="209" t="n">
        <f aca="false">ROUND((4/28*96),0)</f>
        <v>14</v>
      </c>
      <c r="C55" s="209" t="s">
        <v>195</v>
      </c>
      <c r="D55" s="210" t="n">
        <v>1250</v>
      </c>
      <c r="E55" s="210" t="n">
        <f aca="false">+D55*B55</f>
        <v>17500</v>
      </c>
      <c r="F55" s="216" t="n">
        <f aca="false">+E55/TLU</f>
        <v>182.291666666667</v>
      </c>
      <c r="G55" s="201" t="s">
        <v>226</v>
      </c>
    </row>
    <row r="56" customFormat="false" ht="11.25" hidden="false" customHeight="false" outlineLevel="0" collapsed="false">
      <c r="A56" s="209" t="s">
        <v>229</v>
      </c>
      <c r="B56" s="209" t="n">
        <f aca="false">ROUND((3/28*96),0)</f>
        <v>10</v>
      </c>
      <c r="C56" s="209" t="s">
        <v>195</v>
      </c>
      <c r="D56" s="210" t="n">
        <v>750</v>
      </c>
      <c r="E56" s="210" t="n">
        <f aca="false">+D56*B56</f>
        <v>7500</v>
      </c>
      <c r="F56" s="216" t="n">
        <f aca="false">+E56/TLU</f>
        <v>78.125</v>
      </c>
      <c r="G56" s="201" t="s">
        <v>226</v>
      </c>
    </row>
    <row r="57" customFormat="false" ht="11.25" hidden="false" customHeight="false" outlineLevel="0" collapsed="false">
      <c r="A57" s="209" t="s">
        <v>230</v>
      </c>
      <c r="B57" s="209" t="n">
        <f aca="false">ROUND((2/28*96),0)</f>
        <v>7</v>
      </c>
      <c r="C57" s="209" t="s">
        <v>195</v>
      </c>
      <c r="D57" s="210" t="n">
        <v>500</v>
      </c>
      <c r="E57" s="210" t="n">
        <f aca="false">+D57*B57</f>
        <v>3500</v>
      </c>
      <c r="F57" s="216" t="n">
        <f aca="false">+E57/TLU</f>
        <v>36.4583333333333</v>
      </c>
    </row>
    <row r="58" customFormat="false" ht="11.25" hidden="false" customHeight="false" outlineLevel="0" collapsed="false">
      <c r="A58" s="229" t="s">
        <v>231</v>
      </c>
      <c r="B58" s="229" t="n">
        <f aca="false">ROUND((2/28*96),0)</f>
        <v>7</v>
      </c>
      <c r="C58" s="229" t="s">
        <v>195</v>
      </c>
      <c r="D58" s="230" t="n">
        <v>500</v>
      </c>
      <c r="E58" s="230" t="n">
        <f aca="false">+D58*B58</f>
        <v>3500</v>
      </c>
      <c r="F58" s="219" t="n">
        <f aca="false">+E58/TLU</f>
        <v>36.4583333333333</v>
      </c>
    </row>
    <row r="59" customFormat="false" ht="11.25" hidden="false" customHeight="false" outlineLevel="0" collapsed="false">
      <c r="A59" s="226" t="s">
        <v>232</v>
      </c>
      <c r="B59" s="209"/>
      <c r="C59" s="209"/>
      <c r="D59" s="210"/>
      <c r="E59" s="235" t="n">
        <f aca="false">SUM(E51:E58)</f>
        <v>88700</v>
      </c>
      <c r="F59" s="221" t="n">
        <f aca="false">+E59/TLU</f>
        <v>923.958333333333</v>
      </c>
    </row>
    <row r="60" customFormat="false" ht="11.25" hidden="false" customHeight="false" outlineLevel="0" collapsed="false">
      <c r="D60" s="220"/>
      <c r="F60" s="223"/>
    </row>
    <row r="61" customFormat="false" ht="11.25" hidden="false" customHeight="false" outlineLevel="0" collapsed="false">
      <c r="A61" s="227" t="s">
        <v>233</v>
      </c>
      <c r="B61" s="209"/>
      <c r="C61" s="209"/>
      <c r="D61" s="210"/>
      <c r="E61" s="210"/>
      <c r="F61" s="233"/>
    </row>
    <row r="62" customFormat="false" ht="12" hidden="false" customHeight="false" outlineLevel="0" collapsed="false">
      <c r="A62" s="209" t="s">
        <v>234</v>
      </c>
      <c r="B62" s="237" t="n">
        <f aca="false">ROUND((700/28*TLU*(25/65)),0)</f>
        <v>923</v>
      </c>
      <c r="C62" s="237" t="s">
        <v>235</v>
      </c>
      <c r="D62" s="238" t="n">
        <v>25</v>
      </c>
      <c r="E62" s="238" t="n">
        <f aca="false">+D62*B62</f>
        <v>23075</v>
      </c>
      <c r="F62" s="29" t="n">
        <f aca="false">+E62/TLU</f>
        <v>240.364583333333</v>
      </c>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5"/>
      <c r="CA62" s="215"/>
      <c r="CB62" s="215"/>
      <c r="CC62" s="215"/>
      <c r="CD62" s="215"/>
      <c r="CE62" s="215"/>
      <c r="CF62" s="215"/>
      <c r="CG62" s="215"/>
      <c r="CH62" s="215"/>
      <c r="CI62" s="215"/>
      <c r="CJ62" s="215"/>
      <c r="CK62" s="215"/>
      <c r="CL62" s="215"/>
      <c r="CM62" s="215"/>
      <c r="CN62" s="215"/>
      <c r="CO62" s="215"/>
      <c r="CP62" s="215"/>
      <c r="CQ62" s="215"/>
      <c r="CR62" s="215"/>
      <c r="CS62" s="215"/>
      <c r="CT62" s="215"/>
      <c r="CU62" s="215"/>
      <c r="CV62" s="215"/>
      <c r="CW62" s="215"/>
      <c r="CX62" s="215"/>
      <c r="CY62" s="215"/>
      <c r="CZ62" s="215"/>
      <c r="DA62" s="215"/>
      <c r="DB62" s="215"/>
      <c r="DC62" s="215"/>
      <c r="DD62" s="215"/>
      <c r="DE62" s="215"/>
      <c r="DF62" s="215"/>
      <c r="DG62" s="215"/>
      <c r="DH62" s="215"/>
      <c r="DI62" s="215"/>
      <c r="DJ62" s="215"/>
      <c r="DK62" s="215"/>
      <c r="DL62" s="215"/>
      <c r="DM62" s="215"/>
      <c r="DN62" s="215"/>
      <c r="DO62" s="215"/>
      <c r="DP62" s="215"/>
      <c r="DQ62" s="215"/>
      <c r="DR62" s="215"/>
      <c r="DS62" s="215"/>
      <c r="DT62" s="215"/>
      <c r="DU62" s="215"/>
      <c r="DV62" s="215"/>
      <c r="DW62" s="215"/>
      <c r="DX62" s="215"/>
      <c r="DY62" s="215"/>
      <c r="DZ62" s="215"/>
      <c r="EA62" s="215"/>
      <c r="EB62" s="215"/>
      <c r="EC62" s="215"/>
      <c r="ED62" s="215"/>
      <c r="EE62" s="215"/>
      <c r="EF62" s="215"/>
      <c r="EG62" s="215"/>
      <c r="EH62" s="215"/>
      <c r="EI62" s="215"/>
      <c r="EJ62" s="215"/>
      <c r="EK62" s="215"/>
      <c r="EL62" s="215"/>
      <c r="EM62" s="215"/>
      <c r="EN62" s="215"/>
      <c r="EO62" s="215"/>
      <c r="EP62" s="215"/>
      <c r="EQ62" s="215"/>
      <c r="ER62" s="215"/>
      <c r="ES62" s="215"/>
      <c r="ET62" s="215"/>
      <c r="EU62" s="215"/>
      <c r="EV62" s="215"/>
      <c r="EW62" s="215"/>
      <c r="EX62" s="215"/>
      <c r="EY62" s="215"/>
      <c r="EZ62" s="215"/>
      <c r="FA62" s="215"/>
      <c r="FB62" s="215"/>
      <c r="FC62" s="215"/>
      <c r="FD62" s="215"/>
      <c r="FE62" s="215"/>
      <c r="FF62" s="215"/>
      <c r="FG62" s="215"/>
      <c r="FH62" s="215"/>
      <c r="FI62" s="215"/>
      <c r="FJ62" s="215"/>
      <c r="FK62" s="215"/>
      <c r="FL62" s="215"/>
      <c r="FM62" s="215"/>
      <c r="FN62" s="215"/>
      <c r="FO62" s="215"/>
      <c r="FP62" s="215"/>
      <c r="FQ62" s="215"/>
      <c r="FR62" s="215"/>
      <c r="FS62" s="215"/>
      <c r="FT62" s="215"/>
      <c r="FU62" s="215"/>
      <c r="FV62" s="215"/>
      <c r="FW62" s="215"/>
      <c r="FX62" s="215"/>
      <c r="FY62" s="215"/>
      <c r="FZ62" s="215"/>
      <c r="GA62" s="215"/>
      <c r="GB62" s="215"/>
      <c r="GC62" s="215"/>
      <c r="GD62" s="215"/>
      <c r="GE62" s="215"/>
      <c r="GF62" s="215"/>
      <c r="GG62" s="215"/>
      <c r="GH62" s="215"/>
      <c r="GI62" s="215"/>
      <c r="GJ62" s="215"/>
      <c r="GK62" s="215"/>
      <c r="GL62" s="215"/>
      <c r="GM62" s="215"/>
      <c r="GN62" s="215"/>
      <c r="GO62" s="215"/>
      <c r="GP62" s="215"/>
      <c r="GQ62" s="215"/>
      <c r="GR62" s="215"/>
      <c r="GS62" s="215"/>
      <c r="GT62" s="215"/>
      <c r="GU62" s="215"/>
      <c r="GV62" s="215"/>
      <c r="GW62" s="215"/>
      <c r="GX62" s="215"/>
      <c r="GY62" s="215"/>
      <c r="GZ62" s="215"/>
      <c r="HA62" s="215"/>
      <c r="HB62" s="215"/>
      <c r="HC62" s="215"/>
      <c r="HD62" s="215"/>
      <c r="HE62" s="215"/>
      <c r="HF62" s="215"/>
      <c r="HG62" s="215"/>
      <c r="HH62" s="215"/>
      <c r="HI62" s="215"/>
      <c r="HJ62" s="215"/>
      <c r="HK62" s="215"/>
      <c r="HL62" s="215"/>
      <c r="HM62" s="215"/>
      <c r="HN62" s="215"/>
      <c r="HO62" s="215"/>
      <c r="HP62" s="215"/>
      <c r="HQ62" s="215"/>
      <c r="HR62" s="215"/>
      <c r="HS62" s="215"/>
      <c r="HT62" s="215"/>
      <c r="HU62" s="215"/>
      <c r="HV62" s="215"/>
      <c r="HW62" s="215"/>
      <c r="HX62" s="215"/>
      <c r="HY62" s="215"/>
      <c r="HZ62" s="215"/>
      <c r="IA62" s="215"/>
      <c r="IB62" s="215"/>
      <c r="IC62" s="215"/>
      <c r="ID62" s="215"/>
      <c r="IE62" s="215"/>
      <c r="IF62" s="215"/>
      <c r="IG62" s="215"/>
      <c r="IH62" s="215"/>
      <c r="II62" s="215"/>
      <c r="IJ62" s="215"/>
      <c r="IK62" s="215"/>
      <c r="IL62" s="215"/>
      <c r="IM62" s="215"/>
      <c r="IN62" s="215"/>
      <c r="IO62" s="215"/>
      <c r="IP62" s="215"/>
      <c r="IQ62" s="215"/>
      <c r="IR62" s="215"/>
      <c r="IS62" s="215"/>
      <c r="IT62" s="215"/>
      <c r="IU62" s="215"/>
      <c r="IV62" s="215"/>
      <c r="IW62" s="215"/>
    </row>
    <row r="63" customFormat="false" ht="12" hidden="false" customHeight="false" outlineLevel="0" collapsed="false">
      <c r="A63" s="209" t="s">
        <v>236</v>
      </c>
      <c r="B63" s="237" t="n">
        <f aca="false">ROUND((59/28*TLU*(25/65)),0)</f>
        <v>78</v>
      </c>
      <c r="C63" s="237" t="s">
        <v>235</v>
      </c>
      <c r="D63" s="238" t="n">
        <v>30</v>
      </c>
      <c r="E63" s="238" t="n">
        <f aca="false">+D63*B63</f>
        <v>2340</v>
      </c>
      <c r="F63" s="240" t="n">
        <f aca="false">+E63/TLU</f>
        <v>24.375</v>
      </c>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5"/>
      <c r="CA63" s="215"/>
      <c r="CB63" s="215"/>
      <c r="CC63" s="215"/>
      <c r="CD63" s="215"/>
      <c r="CE63" s="215"/>
      <c r="CF63" s="215"/>
      <c r="CG63" s="215"/>
      <c r="CH63" s="215"/>
      <c r="CI63" s="215"/>
      <c r="CJ63" s="215"/>
      <c r="CK63" s="215"/>
      <c r="CL63" s="215"/>
      <c r="CM63" s="215"/>
      <c r="CN63" s="215"/>
      <c r="CO63" s="215"/>
      <c r="CP63" s="215"/>
      <c r="CQ63" s="215"/>
      <c r="CR63" s="215"/>
      <c r="CS63" s="215"/>
      <c r="CT63" s="215"/>
      <c r="CU63" s="215"/>
      <c r="CV63" s="215"/>
      <c r="CW63" s="215"/>
      <c r="CX63" s="215"/>
      <c r="CY63" s="215"/>
      <c r="CZ63" s="215"/>
      <c r="DA63" s="215"/>
      <c r="DB63" s="215"/>
      <c r="DC63" s="215"/>
      <c r="DD63" s="215"/>
      <c r="DE63" s="215"/>
      <c r="DF63" s="215"/>
      <c r="DG63" s="215"/>
      <c r="DH63" s="215"/>
      <c r="DI63" s="215"/>
      <c r="DJ63" s="215"/>
      <c r="DK63" s="215"/>
      <c r="DL63" s="215"/>
      <c r="DM63" s="215"/>
      <c r="DN63" s="215"/>
      <c r="DO63" s="215"/>
      <c r="DP63" s="215"/>
      <c r="DQ63" s="215"/>
      <c r="DR63" s="215"/>
      <c r="DS63" s="215"/>
      <c r="DT63" s="215"/>
      <c r="DU63" s="215"/>
      <c r="DV63" s="215"/>
      <c r="DW63" s="215"/>
      <c r="DX63" s="215"/>
      <c r="DY63" s="215"/>
      <c r="DZ63" s="215"/>
      <c r="EA63" s="215"/>
      <c r="EB63" s="215"/>
      <c r="EC63" s="215"/>
      <c r="ED63" s="215"/>
      <c r="EE63" s="215"/>
      <c r="EF63" s="215"/>
      <c r="EG63" s="215"/>
      <c r="EH63" s="215"/>
      <c r="EI63" s="215"/>
      <c r="EJ63" s="215"/>
      <c r="EK63" s="215"/>
      <c r="EL63" s="215"/>
      <c r="EM63" s="215"/>
      <c r="EN63" s="215"/>
      <c r="EO63" s="215"/>
      <c r="EP63" s="215"/>
      <c r="EQ63" s="215"/>
      <c r="ER63" s="215"/>
      <c r="ES63" s="215"/>
      <c r="ET63" s="215"/>
      <c r="EU63" s="215"/>
      <c r="EV63" s="215"/>
      <c r="EW63" s="215"/>
      <c r="EX63" s="215"/>
      <c r="EY63" s="215"/>
      <c r="EZ63" s="215"/>
      <c r="FA63" s="215"/>
      <c r="FB63" s="215"/>
      <c r="FC63" s="215"/>
      <c r="FD63" s="215"/>
      <c r="FE63" s="215"/>
      <c r="FF63" s="215"/>
      <c r="FG63" s="215"/>
      <c r="FH63" s="215"/>
      <c r="FI63" s="215"/>
      <c r="FJ63" s="215"/>
      <c r="FK63" s="215"/>
      <c r="FL63" s="215"/>
      <c r="FM63" s="215"/>
      <c r="FN63" s="215"/>
      <c r="FO63" s="215"/>
      <c r="FP63" s="215"/>
      <c r="FQ63" s="215"/>
      <c r="FR63" s="215"/>
      <c r="FS63" s="215"/>
      <c r="FT63" s="215"/>
      <c r="FU63" s="215"/>
      <c r="FV63" s="215"/>
      <c r="FW63" s="215"/>
      <c r="FX63" s="215"/>
      <c r="FY63" s="215"/>
      <c r="FZ63" s="215"/>
      <c r="GA63" s="215"/>
      <c r="GB63" s="215"/>
      <c r="GC63" s="215"/>
      <c r="GD63" s="215"/>
      <c r="GE63" s="215"/>
      <c r="GF63" s="215"/>
      <c r="GG63" s="215"/>
      <c r="GH63" s="215"/>
      <c r="GI63" s="215"/>
      <c r="GJ63" s="215"/>
      <c r="GK63" s="215"/>
      <c r="GL63" s="215"/>
      <c r="GM63" s="215"/>
      <c r="GN63" s="215"/>
      <c r="GO63" s="215"/>
      <c r="GP63" s="215"/>
      <c r="GQ63" s="215"/>
      <c r="GR63" s="215"/>
      <c r="GS63" s="215"/>
      <c r="GT63" s="215"/>
      <c r="GU63" s="215"/>
      <c r="GV63" s="215"/>
      <c r="GW63" s="215"/>
      <c r="GX63" s="215"/>
      <c r="GY63" s="215"/>
      <c r="GZ63" s="215"/>
      <c r="HA63" s="215"/>
      <c r="HB63" s="215"/>
      <c r="HC63" s="215"/>
      <c r="HD63" s="215"/>
      <c r="HE63" s="215"/>
      <c r="HF63" s="215"/>
      <c r="HG63" s="215"/>
      <c r="HH63" s="215"/>
      <c r="HI63" s="215"/>
      <c r="HJ63" s="215"/>
      <c r="HK63" s="215"/>
      <c r="HL63" s="215"/>
      <c r="HM63" s="215"/>
      <c r="HN63" s="215"/>
      <c r="HO63" s="215"/>
      <c r="HP63" s="215"/>
      <c r="HQ63" s="215"/>
      <c r="HR63" s="215"/>
      <c r="HS63" s="215"/>
      <c r="HT63" s="215"/>
      <c r="HU63" s="215"/>
      <c r="HV63" s="215"/>
      <c r="HW63" s="215"/>
      <c r="HX63" s="215"/>
      <c r="HY63" s="215"/>
      <c r="HZ63" s="215"/>
      <c r="IA63" s="215"/>
      <c r="IB63" s="215"/>
      <c r="IC63" s="215"/>
      <c r="ID63" s="215"/>
      <c r="IE63" s="215"/>
      <c r="IF63" s="215"/>
      <c r="IG63" s="215"/>
      <c r="IH63" s="215"/>
      <c r="II63" s="215"/>
      <c r="IJ63" s="215"/>
      <c r="IK63" s="215"/>
      <c r="IL63" s="215"/>
      <c r="IM63" s="215"/>
      <c r="IN63" s="215"/>
      <c r="IO63" s="215"/>
      <c r="IP63" s="215"/>
      <c r="IQ63" s="215"/>
      <c r="IR63" s="215"/>
      <c r="IS63" s="215"/>
      <c r="IT63" s="215"/>
      <c r="IU63" s="215"/>
      <c r="IV63" s="215"/>
      <c r="IW63" s="215"/>
    </row>
    <row r="64" customFormat="false" ht="12" hidden="false" customHeight="false" outlineLevel="0" collapsed="false">
      <c r="A64" s="209" t="s">
        <v>237</v>
      </c>
      <c r="B64" s="237" t="n">
        <f aca="false">ROUND((59/28*TLU*(25/65)),0)</f>
        <v>78</v>
      </c>
      <c r="C64" s="237" t="s">
        <v>235</v>
      </c>
      <c r="D64" s="238" t="n">
        <v>35</v>
      </c>
      <c r="E64" s="238" t="n">
        <f aca="false">+D64*B64</f>
        <v>2730</v>
      </c>
      <c r="F64" s="240" t="n">
        <f aca="false">+E64/TLU</f>
        <v>28.4375</v>
      </c>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5"/>
      <c r="CA64" s="215"/>
      <c r="CB64" s="215"/>
      <c r="CC64" s="215"/>
      <c r="CD64" s="215"/>
      <c r="CE64" s="215"/>
      <c r="CF64" s="215"/>
      <c r="CG64" s="215"/>
      <c r="CH64" s="215"/>
      <c r="CI64" s="215"/>
      <c r="CJ64" s="215"/>
      <c r="CK64" s="215"/>
      <c r="CL64" s="215"/>
      <c r="CM64" s="215"/>
      <c r="CN64" s="215"/>
      <c r="CO64" s="215"/>
      <c r="CP64" s="215"/>
      <c r="CQ64" s="215"/>
      <c r="CR64" s="215"/>
      <c r="CS64" s="215"/>
      <c r="CT64" s="215"/>
      <c r="CU64" s="215"/>
      <c r="CV64" s="215"/>
      <c r="CW64" s="215"/>
      <c r="CX64" s="215"/>
      <c r="CY64" s="215"/>
      <c r="CZ64" s="215"/>
      <c r="DA64" s="215"/>
      <c r="DB64" s="215"/>
      <c r="DC64" s="215"/>
      <c r="DD64" s="215"/>
      <c r="DE64" s="215"/>
      <c r="DF64" s="215"/>
      <c r="DG64" s="215"/>
      <c r="DH64" s="215"/>
      <c r="DI64" s="215"/>
      <c r="DJ64" s="215"/>
      <c r="DK64" s="215"/>
      <c r="DL64" s="215"/>
      <c r="DM64" s="215"/>
      <c r="DN64" s="215"/>
      <c r="DO64" s="215"/>
      <c r="DP64" s="215"/>
      <c r="DQ64" s="215"/>
      <c r="DR64" s="215"/>
      <c r="DS64" s="215"/>
      <c r="DT64" s="215"/>
      <c r="DU64" s="215"/>
      <c r="DV64" s="215"/>
      <c r="DW64" s="215"/>
      <c r="DX64" s="215"/>
      <c r="DY64" s="215"/>
      <c r="DZ64" s="215"/>
      <c r="EA64" s="215"/>
      <c r="EB64" s="215"/>
      <c r="EC64" s="215"/>
      <c r="ED64" s="215"/>
      <c r="EE64" s="215"/>
      <c r="EF64" s="215"/>
      <c r="EG64" s="215"/>
      <c r="EH64" s="215"/>
      <c r="EI64" s="215"/>
      <c r="EJ64" s="215"/>
      <c r="EK64" s="215"/>
      <c r="EL64" s="215"/>
      <c r="EM64" s="215"/>
      <c r="EN64" s="215"/>
      <c r="EO64" s="215"/>
      <c r="EP64" s="215"/>
      <c r="EQ64" s="215"/>
      <c r="ER64" s="215"/>
      <c r="ES64" s="215"/>
      <c r="ET64" s="215"/>
      <c r="EU64" s="215"/>
      <c r="EV64" s="215"/>
      <c r="EW64" s="215"/>
      <c r="EX64" s="215"/>
      <c r="EY64" s="215"/>
      <c r="EZ64" s="215"/>
      <c r="FA64" s="215"/>
      <c r="FB64" s="215"/>
      <c r="FC64" s="215"/>
      <c r="FD64" s="215"/>
      <c r="FE64" s="215"/>
      <c r="FF64" s="215"/>
      <c r="FG64" s="215"/>
      <c r="FH64" s="215"/>
      <c r="FI64" s="215"/>
      <c r="FJ64" s="215"/>
      <c r="FK64" s="215"/>
      <c r="FL64" s="215"/>
      <c r="FM64" s="215"/>
      <c r="FN64" s="215"/>
      <c r="FO64" s="215"/>
      <c r="FP64" s="215"/>
      <c r="FQ64" s="215"/>
      <c r="FR64" s="215"/>
      <c r="FS64" s="215"/>
      <c r="FT64" s="215"/>
      <c r="FU64" s="215"/>
      <c r="FV64" s="215"/>
      <c r="FW64" s="215"/>
      <c r="FX64" s="215"/>
      <c r="FY64" s="215"/>
      <c r="FZ64" s="215"/>
      <c r="GA64" s="215"/>
      <c r="GB64" s="215"/>
      <c r="GC64" s="215"/>
      <c r="GD64" s="215"/>
      <c r="GE64" s="215"/>
      <c r="GF64" s="215"/>
      <c r="GG64" s="215"/>
      <c r="GH64" s="215"/>
      <c r="GI64" s="215"/>
      <c r="GJ64" s="215"/>
      <c r="GK64" s="215"/>
      <c r="GL64" s="215"/>
      <c r="GM64" s="215"/>
      <c r="GN64" s="215"/>
      <c r="GO64" s="215"/>
      <c r="GP64" s="215"/>
      <c r="GQ64" s="215"/>
      <c r="GR64" s="215"/>
      <c r="GS64" s="215"/>
      <c r="GT64" s="215"/>
      <c r="GU64" s="215"/>
      <c r="GV64" s="215"/>
      <c r="GW64" s="215"/>
      <c r="GX64" s="215"/>
      <c r="GY64" s="215"/>
      <c r="GZ64" s="215"/>
      <c r="HA64" s="215"/>
      <c r="HB64" s="215"/>
      <c r="HC64" s="215"/>
      <c r="HD64" s="215"/>
      <c r="HE64" s="215"/>
      <c r="HF64" s="215"/>
      <c r="HG64" s="215"/>
      <c r="HH64" s="215"/>
      <c r="HI64" s="215"/>
      <c r="HJ64" s="215"/>
      <c r="HK64" s="215"/>
      <c r="HL64" s="215"/>
      <c r="HM64" s="215"/>
      <c r="HN64" s="215"/>
      <c r="HO64" s="215"/>
      <c r="HP64" s="215"/>
      <c r="HQ64" s="215"/>
      <c r="HR64" s="215"/>
      <c r="HS64" s="215"/>
      <c r="HT64" s="215"/>
      <c r="HU64" s="215"/>
      <c r="HV64" s="215"/>
      <c r="HW64" s="215"/>
      <c r="HX64" s="215"/>
      <c r="HY64" s="215"/>
      <c r="HZ64" s="215"/>
      <c r="IA64" s="215"/>
      <c r="IB64" s="215"/>
      <c r="IC64" s="215"/>
      <c r="ID64" s="215"/>
      <c r="IE64" s="215"/>
      <c r="IF64" s="215"/>
      <c r="IG64" s="215"/>
      <c r="IH64" s="215"/>
      <c r="II64" s="215"/>
      <c r="IJ64" s="215"/>
      <c r="IK64" s="215"/>
      <c r="IL64" s="215"/>
      <c r="IM64" s="215"/>
      <c r="IN64" s="215"/>
      <c r="IO64" s="215"/>
      <c r="IP64" s="215"/>
      <c r="IQ64" s="215"/>
      <c r="IR64" s="215"/>
      <c r="IS64" s="215"/>
      <c r="IT64" s="215"/>
      <c r="IU64" s="215"/>
      <c r="IV64" s="215"/>
      <c r="IW64" s="215"/>
    </row>
    <row r="65" customFormat="false" ht="12" hidden="false" customHeight="false" outlineLevel="0" collapsed="false">
      <c r="A65" s="209" t="s">
        <v>238</v>
      </c>
      <c r="B65" s="237" t="n">
        <f aca="false">ROUND((47/28*TLU*(25/65)),0)</f>
        <v>62</v>
      </c>
      <c r="C65" s="237" t="s">
        <v>235</v>
      </c>
      <c r="D65" s="238" t="n">
        <v>40</v>
      </c>
      <c r="E65" s="238" t="n">
        <f aca="false">+D65*B65</f>
        <v>2480</v>
      </c>
      <c r="F65" s="240" t="n">
        <f aca="false">+E65/TLU</f>
        <v>25.8333333333333</v>
      </c>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5"/>
      <c r="BR65" s="215"/>
      <c r="BS65" s="215"/>
      <c r="BT65" s="215"/>
      <c r="BU65" s="215"/>
      <c r="BV65" s="215"/>
      <c r="BW65" s="215"/>
      <c r="BX65" s="215"/>
      <c r="BY65" s="215"/>
      <c r="BZ65" s="215"/>
      <c r="CA65" s="215"/>
      <c r="CB65" s="215"/>
      <c r="CC65" s="215"/>
      <c r="CD65" s="215"/>
      <c r="CE65" s="215"/>
      <c r="CF65" s="215"/>
      <c r="CG65" s="215"/>
      <c r="CH65" s="215"/>
      <c r="CI65" s="215"/>
      <c r="CJ65" s="215"/>
      <c r="CK65" s="215"/>
      <c r="CL65" s="215"/>
      <c r="CM65" s="215"/>
      <c r="CN65" s="215"/>
      <c r="CO65" s="215"/>
      <c r="CP65" s="215"/>
      <c r="CQ65" s="215"/>
      <c r="CR65" s="215"/>
      <c r="CS65" s="215"/>
      <c r="CT65" s="215"/>
      <c r="CU65" s="215"/>
      <c r="CV65" s="215"/>
      <c r="CW65" s="215"/>
      <c r="CX65" s="215"/>
      <c r="CY65" s="215"/>
      <c r="CZ65" s="215"/>
      <c r="DA65" s="215"/>
      <c r="DB65" s="215"/>
      <c r="DC65" s="215"/>
      <c r="DD65" s="215"/>
      <c r="DE65" s="215"/>
      <c r="DF65" s="215"/>
      <c r="DG65" s="215"/>
      <c r="DH65" s="215"/>
      <c r="DI65" s="215"/>
      <c r="DJ65" s="215"/>
      <c r="DK65" s="215"/>
      <c r="DL65" s="215"/>
      <c r="DM65" s="215"/>
      <c r="DN65" s="215"/>
      <c r="DO65" s="215"/>
      <c r="DP65" s="215"/>
      <c r="DQ65" s="215"/>
      <c r="DR65" s="215"/>
      <c r="DS65" s="215"/>
      <c r="DT65" s="215"/>
      <c r="DU65" s="215"/>
      <c r="DV65" s="215"/>
      <c r="DW65" s="215"/>
      <c r="DX65" s="215"/>
      <c r="DY65" s="215"/>
      <c r="DZ65" s="215"/>
      <c r="EA65" s="215"/>
      <c r="EB65" s="215"/>
      <c r="EC65" s="215"/>
      <c r="ED65" s="215"/>
      <c r="EE65" s="215"/>
      <c r="EF65" s="215"/>
      <c r="EG65" s="215"/>
      <c r="EH65" s="215"/>
      <c r="EI65" s="215"/>
      <c r="EJ65" s="215"/>
      <c r="EK65" s="215"/>
      <c r="EL65" s="215"/>
      <c r="EM65" s="215"/>
      <c r="EN65" s="215"/>
      <c r="EO65" s="215"/>
      <c r="EP65" s="215"/>
      <c r="EQ65" s="215"/>
      <c r="ER65" s="215"/>
      <c r="ES65" s="215"/>
      <c r="ET65" s="215"/>
      <c r="EU65" s="215"/>
      <c r="EV65" s="215"/>
      <c r="EW65" s="215"/>
      <c r="EX65" s="215"/>
      <c r="EY65" s="215"/>
      <c r="EZ65" s="215"/>
      <c r="FA65" s="215"/>
      <c r="FB65" s="215"/>
      <c r="FC65" s="215"/>
      <c r="FD65" s="215"/>
      <c r="FE65" s="215"/>
      <c r="FF65" s="215"/>
      <c r="FG65" s="215"/>
      <c r="FH65" s="215"/>
      <c r="FI65" s="215"/>
      <c r="FJ65" s="215"/>
      <c r="FK65" s="215"/>
      <c r="FL65" s="215"/>
      <c r="FM65" s="215"/>
      <c r="FN65" s="215"/>
      <c r="FO65" s="215"/>
      <c r="FP65" s="215"/>
      <c r="FQ65" s="215"/>
      <c r="FR65" s="215"/>
      <c r="FS65" s="215"/>
      <c r="FT65" s="215"/>
      <c r="FU65" s="215"/>
      <c r="FV65" s="215"/>
      <c r="FW65" s="215"/>
      <c r="FX65" s="215"/>
      <c r="FY65" s="215"/>
      <c r="FZ65" s="215"/>
      <c r="GA65" s="215"/>
      <c r="GB65" s="215"/>
      <c r="GC65" s="215"/>
      <c r="GD65" s="215"/>
      <c r="GE65" s="215"/>
      <c r="GF65" s="215"/>
      <c r="GG65" s="215"/>
      <c r="GH65" s="215"/>
      <c r="GI65" s="215"/>
      <c r="GJ65" s="215"/>
      <c r="GK65" s="215"/>
      <c r="GL65" s="215"/>
      <c r="GM65" s="215"/>
      <c r="GN65" s="215"/>
      <c r="GO65" s="215"/>
      <c r="GP65" s="215"/>
      <c r="GQ65" s="215"/>
      <c r="GR65" s="215"/>
      <c r="GS65" s="215"/>
      <c r="GT65" s="215"/>
      <c r="GU65" s="215"/>
      <c r="GV65" s="215"/>
      <c r="GW65" s="215"/>
      <c r="GX65" s="215"/>
      <c r="GY65" s="215"/>
      <c r="GZ65" s="215"/>
      <c r="HA65" s="215"/>
      <c r="HB65" s="215"/>
      <c r="HC65" s="215"/>
      <c r="HD65" s="215"/>
      <c r="HE65" s="215"/>
      <c r="HF65" s="215"/>
      <c r="HG65" s="215"/>
      <c r="HH65" s="215"/>
      <c r="HI65" s="215"/>
      <c r="HJ65" s="215"/>
      <c r="HK65" s="215"/>
      <c r="HL65" s="215"/>
      <c r="HM65" s="215"/>
      <c r="HN65" s="215"/>
      <c r="HO65" s="215"/>
      <c r="HP65" s="215"/>
      <c r="HQ65" s="215"/>
      <c r="HR65" s="215"/>
      <c r="HS65" s="215"/>
      <c r="HT65" s="215"/>
      <c r="HU65" s="215"/>
      <c r="HV65" s="215"/>
      <c r="HW65" s="215"/>
      <c r="HX65" s="215"/>
      <c r="HY65" s="215"/>
      <c r="HZ65" s="215"/>
      <c r="IA65" s="215"/>
      <c r="IB65" s="215"/>
      <c r="IC65" s="215"/>
      <c r="ID65" s="215"/>
      <c r="IE65" s="215"/>
      <c r="IF65" s="215"/>
      <c r="IG65" s="215"/>
      <c r="IH65" s="215"/>
      <c r="II65" s="215"/>
      <c r="IJ65" s="215"/>
      <c r="IK65" s="215"/>
      <c r="IL65" s="215"/>
      <c r="IM65" s="215"/>
      <c r="IN65" s="215"/>
      <c r="IO65" s="215"/>
      <c r="IP65" s="215"/>
      <c r="IQ65" s="215"/>
      <c r="IR65" s="215"/>
      <c r="IS65" s="215"/>
      <c r="IT65" s="215"/>
      <c r="IU65" s="215"/>
      <c r="IV65" s="215"/>
      <c r="IW65" s="215"/>
    </row>
    <row r="66" customFormat="false" ht="12" hidden="false" customHeight="false" outlineLevel="0" collapsed="false">
      <c r="A66" s="241" t="s">
        <v>239</v>
      </c>
      <c r="B66" s="237" t="n">
        <f aca="false">ROUND((4/28*TLU),0)</f>
        <v>14</v>
      </c>
      <c r="C66" s="237" t="s">
        <v>195</v>
      </c>
      <c r="D66" s="238" t="n">
        <v>2000</v>
      </c>
      <c r="E66" s="238" t="n">
        <f aca="false">+D66*B66</f>
        <v>28000</v>
      </c>
      <c r="F66" s="240" t="n">
        <f aca="false">+E66/TLU</f>
        <v>291.666666666667</v>
      </c>
      <c r="G66" s="239" t="s">
        <v>214</v>
      </c>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215"/>
      <c r="BP66" s="215"/>
      <c r="BQ66" s="215"/>
      <c r="BR66" s="215"/>
      <c r="BS66" s="215"/>
      <c r="BT66" s="215"/>
      <c r="BU66" s="215"/>
      <c r="BV66" s="215"/>
      <c r="BW66" s="215"/>
      <c r="BX66" s="215"/>
      <c r="BY66" s="215"/>
      <c r="BZ66" s="215"/>
      <c r="CA66" s="215"/>
      <c r="CB66" s="215"/>
      <c r="CC66" s="215"/>
      <c r="CD66" s="215"/>
      <c r="CE66" s="215"/>
      <c r="CF66" s="215"/>
      <c r="CG66" s="215"/>
      <c r="CH66" s="215"/>
      <c r="CI66" s="215"/>
      <c r="CJ66" s="215"/>
      <c r="CK66" s="215"/>
      <c r="CL66" s="215"/>
      <c r="CM66" s="215"/>
      <c r="CN66" s="215"/>
      <c r="CO66" s="215"/>
      <c r="CP66" s="215"/>
      <c r="CQ66" s="215"/>
      <c r="CR66" s="215"/>
      <c r="CS66" s="215"/>
      <c r="CT66" s="215"/>
      <c r="CU66" s="215"/>
      <c r="CV66" s="215"/>
      <c r="CW66" s="215"/>
      <c r="CX66" s="215"/>
      <c r="CY66" s="215"/>
      <c r="CZ66" s="215"/>
      <c r="DA66" s="215"/>
      <c r="DB66" s="215"/>
      <c r="DC66" s="215"/>
      <c r="DD66" s="215"/>
      <c r="DE66" s="215"/>
      <c r="DF66" s="215"/>
      <c r="DG66" s="215"/>
      <c r="DH66" s="215"/>
      <c r="DI66" s="215"/>
      <c r="DJ66" s="215"/>
      <c r="DK66" s="215"/>
      <c r="DL66" s="215"/>
      <c r="DM66" s="215"/>
      <c r="DN66" s="215"/>
      <c r="DO66" s="215"/>
      <c r="DP66" s="215"/>
      <c r="DQ66" s="215"/>
      <c r="DR66" s="215"/>
      <c r="DS66" s="215"/>
      <c r="DT66" s="215"/>
      <c r="DU66" s="215"/>
      <c r="DV66" s="215"/>
      <c r="DW66" s="215"/>
      <c r="DX66" s="215"/>
      <c r="DY66" s="215"/>
      <c r="DZ66" s="215"/>
      <c r="EA66" s="215"/>
      <c r="EB66" s="215"/>
      <c r="EC66" s="215"/>
      <c r="ED66" s="215"/>
      <c r="EE66" s="215"/>
      <c r="EF66" s="215"/>
      <c r="EG66" s="215"/>
      <c r="EH66" s="215"/>
      <c r="EI66" s="215"/>
      <c r="EJ66" s="215"/>
      <c r="EK66" s="215"/>
      <c r="EL66" s="215"/>
      <c r="EM66" s="215"/>
      <c r="EN66" s="215"/>
      <c r="EO66" s="215"/>
      <c r="EP66" s="215"/>
      <c r="EQ66" s="215"/>
      <c r="ER66" s="215"/>
      <c r="ES66" s="215"/>
      <c r="ET66" s="215"/>
      <c r="EU66" s="215"/>
      <c r="EV66" s="215"/>
      <c r="EW66" s="215"/>
      <c r="EX66" s="215"/>
      <c r="EY66" s="215"/>
      <c r="EZ66" s="215"/>
      <c r="FA66" s="215"/>
      <c r="FB66" s="215"/>
      <c r="FC66" s="215"/>
      <c r="FD66" s="215"/>
      <c r="FE66" s="215"/>
      <c r="FF66" s="215"/>
      <c r="FG66" s="215"/>
      <c r="FH66" s="215"/>
      <c r="FI66" s="215"/>
      <c r="FJ66" s="215"/>
      <c r="FK66" s="215"/>
      <c r="FL66" s="215"/>
      <c r="FM66" s="215"/>
      <c r="FN66" s="215"/>
      <c r="FO66" s="215"/>
      <c r="FP66" s="215"/>
      <c r="FQ66" s="215"/>
      <c r="FR66" s="215"/>
      <c r="FS66" s="215"/>
      <c r="FT66" s="215"/>
      <c r="FU66" s="215"/>
      <c r="FV66" s="215"/>
      <c r="FW66" s="215"/>
      <c r="FX66" s="215"/>
      <c r="FY66" s="215"/>
      <c r="FZ66" s="215"/>
      <c r="GA66" s="215"/>
      <c r="GB66" s="215"/>
      <c r="GC66" s="215"/>
      <c r="GD66" s="215"/>
      <c r="GE66" s="215"/>
      <c r="GF66" s="215"/>
      <c r="GG66" s="215"/>
      <c r="GH66" s="215"/>
      <c r="GI66" s="215"/>
      <c r="GJ66" s="215"/>
      <c r="GK66" s="215"/>
      <c r="GL66" s="215"/>
      <c r="GM66" s="215"/>
      <c r="GN66" s="215"/>
      <c r="GO66" s="215"/>
      <c r="GP66" s="215"/>
      <c r="GQ66" s="215"/>
      <c r="GR66" s="215"/>
      <c r="GS66" s="215"/>
      <c r="GT66" s="215"/>
      <c r="GU66" s="215"/>
      <c r="GV66" s="215"/>
      <c r="GW66" s="215"/>
      <c r="GX66" s="215"/>
      <c r="GY66" s="215"/>
      <c r="GZ66" s="215"/>
      <c r="HA66" s="215"/>
      <c r="HB66" s="215"/>
      <c r="HC66" s="215"/>
      <c r="HD66" s="215"/>
      <c r="HE66" s="215"/>
      <c r="HF66" s="215"/>
      <c r="HG66" s="215"/>
      <c r="HH66" s="215"/>
      <c r="HI66" s="215"/>
      <c r="HJ66" s="215"/>
      <c r="HK66" s="215"/>
      <c r="HL66" s="215"/>
      <c r="HM66" s="215"/>
      <c r="HN66" s="215"/>
      <c r="HO66" s="215"/>
      <c r="HP66" s="215"/>
      <c r="HQ66" s="215"/>
      <c r="HR66" s="215"/>
      <c r="HS66" s="215"/>
      <c r="HT66" s="215"/>
      <c r="HU66" s="215"/>
      <c r="HV66" s="215"/>
      <c r="HW66" s="215"/>
      <c r="HX66" s="215"/>
      <c r="HY66" s="215"/>
      <c r="HZ66" s="215"/>
      <c r="IA66" s="215"/>
      <c r="IB66" s="215"/>
      <c r="IC66" s="215"/>
      <c r="ID66" s="215"/>
      <c r="IE66" s="215"/>
      <c r="IF66" s="215"/>
      <c r="IG66" s="215"/>
      <c r="IH66" s="215"/>
      <c r="II66" s="215"/>
      <c r="IJ66" s="215"/>
      <c r="IK66" s="215"/>
      <c r="IL66" s="215"/>
      <c r="IM66" s="215"/>
      <c r="IN66" s="215"/>
      <c r="IO66" s="215"/>
      <c r="IP66" s="215"/>
      <c r="IQ66" s="215"/>
      <c r="IR66" s="215"/>
      <c r="IS66" s="215"/>
      <c r="IT66" s="215"/>
      <c r="IU66" s="215"/>
      <c r="IV66" s="215"/>
      <c r="IW66" s="215"/>
    </row>
    <row r="67" customFormat="false" ht="11.25" hidden="false" customHeight="false" outlineLevel="0" collapsed="false">
      <c r="A67" s="209" t="s">
        <v>240</v>
      </c>
      <c r="B67" s="209" t="n">
        <f aca="false">ROUND((4/28*TLU),0)</f>
        <v>14</v>
      </c>
      <c r="C67" s="209" t="s">
        <v>195</v>
      </c>
      <c r="D67" s="210" t="n">
        <v>900</v>
      </c>
      <c r="E67" s="210" t="n">
        <f aca="false">+D67*B67</f>
        <v>12600</v>
      </c>
      <c r="F67" s="216" t="n">
        <f aca="false">+E67/TLU</f>
        <v>131.25</v>
      </c>
      <c r="G67" s="201" t="s">
        <v>241</v>
      </c>
    </row>
    <row r="68" customFormat="false" ht="11.25" hidden="false" customHeight="false" outlineLevel="0" collapsed="false">
      <c r="A68" s="209" t="s">
        <v>242</v>
      </c>
      <c r="B68" s="209" t="n">
        <f aca="false">ROUND((6/28*TLU),0)</f>
        <v>21</v>
      </c>
      <c r="C68" s="209" t="s">
        <v>195</v>
      </c>
      <c r="D68" s="210" t="n">
        <v>1200</v>
      </c>
      <c r="E68" s="210" t="n">
        <f aca="false">+D68*B68</f>
        <v>25200</v>
      </c>
      <c r="F68" s="216" t="n">
        <f aca="false">+E68/TLU</f>
        <v>262.5</v>
      </c>
      <c r="G68" s="201" t="s">
        <v>214</v>
      </c>
    </row>
    <row r="69" customFormat="false" ht="11.25" hidden="false" customHeight="false" outlineLevel="0" collapsed="false">
      <c r="A69" s="229" t="s">
        <v>243</v>
      </c>
      <c r="B69" s="229" t="n">
        <f aca="false">ROUND((3/28*TLU),0)</f>
        <v>10</v>
      </c>
      <c r="C69" s="229" t="s">
        <v>195</v>
      </c>
      <c r="D69" s="230" t="n">
        <v>1000</v>
      </c>
      <c r="E69" s="230" t="n">
        <f aca="false">+D69*B69</f>
        <v>10000</v>
      </c>
      <c r="F69" s="219" t="n">
        <f aca="false">+E69/TLU</f>
        <v>104.166666666667</v>
      </c>
    </row>
    <row r="70" customFormat="false" ht="11.25" hidden="false" customHeight="false" outlineLevel="0" collapsed="false">
      <c r="A70" s="226" t="s">
        <v>244</v>
      </c>
      <c r="B70" s="209"/>
      <c r="C70" s="209"/>
      <c r="D70" s="210"/>
      <c r="E70" s="235" t="n">
        <f aca="false">SUM(E62:E69)</f>
        <v>106425</v>
      </c>
      <c r="F70" s="221" t="n">
        <f aca="false">+E70/TLU</f>
        <v>1108.59375</v>
      </c>
    </row>
    <row r="71" customFormat="false" ht="11.25" hidden="false" customHeight="false" outlineLevel="0" collapsed="false">
      <c r="A71" s="226"/>
      <c r="B71" s="209"/>
      <c r="C71" s="209"/>
      <c r="D71" s="210"/>
      <c r="E71" s="235"/>
      <c r="F71" s="235"/>
    </row>
    <row r="72" customFormat="false" ht="11.25" hidden="false" customHeight="false" outlineLevel="0" collapsed="false">
      <c r="A72" s="208" t="s">
        <v>245</v>
      </c>
      <c r="D72" s="220"/>
      <c r="F72" s="223"/>
    </row>
    <row r="73" customFormat="false" ht="11.25" hidden="false" customHeight="false" outlineLevel="0" collapsed="false">
      <c r="A73" s="201" t="s">
        <v>246</v>
      </c>
      <c r="B73" s="201" t="n">
        <v>450</v>
      </c>
      <c r="C73" s="201" t="s">
        <v>200</v>
      </c>
      <c r="D73" s="220" t="n">
        <v>25</v>
      </c>
      <c r="E73" s="213" t="n">
        <f aca="false">+D73*B73</f>
        <v>11250</v>
      </c>
      <c r="F73" s="213" t="n">
        <f aca="false">+E73/TLU</f>
        <v>117.1875</v>
      </c>
    </row>
    <row r="74" customFormat="false" ht="11.25" hidden="false" customHeight="false" outlineLevel="0" collapsed="false">
      <c r="A74" s="201" t="s">
        <v>247</v>
      </c>
      <c r="B74" s="201" t="n">
        <v>450</v>
      </c>
      <c r="C74" s="201" t="s">
        <v>200</v>
      </c>
      <c r="D74" s="220" t="n">
        <v>5</v>
      </c>
      <c r="E74" s="242" t="n">
        <f aca="false">+D74*B74</f>
        <v>2250</v>
      </c>
      <c r="F74" s="216" t="n">
        <f aca="false">+E74/TLU</f>
        <v>23.4375</v>
      </c>
    </row>
    <row r="75" customFormat="false" ht="11.25" hidden="false" customHeight="false" outlineLevel="0" collapsed="false">
      <c r="A75" s="217" t="s">
        <v>248</v>
      </c>
      <c r="B75" s="217" t="n">
        <v>450</v>
      </c>
      <c r="C75" s="217" t="s">
        <v>200</v>
      </c>
      <c r="D75" s="218" t="n">
        <v>5</v>
      </c>
      <c r="E75" s="243" t="n">
        <f aca="false">+D75*B75</f>
        <v>2250</v>
      </c>
      <c r="F75" s="219" t="n">
        <f aca="false">+E75/TLU</f>
        <v>23.4375</v>
      </c>
    </row>
    <row r="76" customFormat="false" ht="11.25" hidden="false" customHeight="false" outlineLevel="0" collapsed="false">
      <c r="A76" s="201" t="s">
        <v>249</v>
      </c>
      <c r="D76" s="220"/>
      <c r="E76" s="221" t="n">
        <f aca="false">SUM(E73:E75)</f>
        <v>15750</v>
      </c>
      <c r="F76" s="221" t="n">
        <f aca="false">+E76/TLU</f>
        <v>164.0625</v>
      </c>
    </row>
    <row r="77" customFormat="false" ht="11.25" hidden="false" customHeight="false" outlineLevel="0" collapsed="false">
      <c r="D77" s="220"/>
      <c r="F77" s="223"/>
    </row>
    <row r="78" customFormat="false" ht="11.25" hidden="false" customHeight="false" outlineLevel="0" collapsed="false">
      <c r="A78" s="227" t="s">
        <v>250</v>
      </c>
      <c r="B78" s="209"/>
      <c r="C78" s="209"/>
      <c r="D78" s="210"/>
      <c r="E78" s="210"/>
      <c r="F78" s="233"/>
    </row>
    <row r="79" customFormat="false" ht="11.25" hidden="false" customHeight="false" outlineLevel="0" collapsed="false">
      <c r="A79" s="209" t="s">
        <v>251</v>
      </c>
      <c r="B79" s="210" t="n">
        <f aca="false">ROUND((5301/28*TLU*26/60),0)</f>
        <v>7876</v>
      </c>
      <c r="C79" s="209" t="s">
        <v>252</v>
      </c>
      <c r="D79" s="210" t="n">
        <v>3.5</v>
      </c>
      <c r="E79" s="210" t="n">
        <f aca="false">+D79*B79</f>
        <v>27566</v>
      </c>
      <c r="F79" s="213" t="n">
        <f aca="false">+E79/TLU</f>
        <v>287.145833333333</v>
      </c>
    </row>
    <row r="80" customFormat="false" ht="12" hidden="false" customHeight="false" outlineLevel="0" collapsed="false">
      <c r="A80" s="209" t="s">
        <v>253</v>
      </c>
      <c r="B80" s="210" t="n">
        <f aca="false">ROUND((5301/28*TLU*26/60),0)</f>
        <v>7876</v>
      </c>
      <c r="C80" s="209" t="s">
        <v>252</v>
      </c>
      <c r="D80" s="210" t="n">
        <v>2</v>
      </c>
      <c r="E80" s="210" t="n">
        <f aca="false">+D80*B80</f>
        <v>15752</v>
      </c>
      <c r="F80" s="58" t="n">
        <f aca="false">+E80/TLU</f>
        <v>164.083333333333</v>
      </c>
    </row>
    <row r="81" customFormat="false" ht="12" hidden="false" customHeight="false" outlineLevel="0" collapsed="false">
      <c r="A81" s="209" t="s">
        <v>254</v>
      </c>
      <c r="B81" s="210" t="n">
        <f aca="false">ROUND((5301/28*TLU*26/60),0)</f>
        <v>7876</v>
      </c>
      <c r="C81" s="209" t="s">
        <v>252</v>
      </c>
      <c r="D81" s="210" t="n">
        <v>5.5</v>
      </c>
      <c r="E81" s="210" t="n">
        <f aca="false">+D81*B81</f>
        <v>43318</v>
      </c>
      <c r="F81" s="58" t="n">
        <f aca="false">+E81/TLU</f>
        <v>451.229166666667</v>
      </c>
    </row>
    <row r="82" customFormat="false" ht="12" hidden="false" customHeight="false" outlineLevel="0" collapsed="false">
      <c r="A82" s="209" t="s">
        <v>255</v>
      </c>
      <c r="B82" s="209" t="n">
        <v>4550</v>
      </c>
      <c r="C82" s="209" t="s">
        <v>252</v>
      </c>
      <c r="D82" s="210" t="n">
        <v>4</v>
      </c>
      <c r="E82" s="210" t="n">
        <f aca="false">+D82*B82</f>
        <v>18200</v>
      </c>
      <c r="F82" s="58" t="n">
        <f aca="false">+E82/TLU</f>
        <v>189.583333333333</v>
      </c>
    </row>
    <row r="83" customFormat="false" ht="12" hidden="false" customHeight="false" outlineLevel="0" collapsed="false">
      <c r="A83" s="209" t="s">
        <v>256</v>
      </c>
      <c r="B83" s="209" t="n">
        <f aca="false">ROUND(((2022/28/65)*TLU*AvgWidth),0)</f>
        <v>3520</v>
      </c>
      <c r="C83" s="209" t="s">
        <v>200</v>
      </c>
      <c r="D83" s="210" t="n">
        <v>7</v>
      </c>
      <c r="E83" s="210" t="n">
        <f aca="false">+D83*B83</f>
        <v>24640</v>
      </c>
      <c r="F83" s="58" t="n">
        <f aca="false">+E83/TLU</f>
        <v>256.666666666667</v>
      </c>
    </row>
    <row r="84" customFormat="false" ht="12" hidden="false" customHeight="false" outlineLevel="0" collapsed="false">
      <c r="A84" s="209" t="s">
        <v>257</v>
      </c>
      <c r="B84" s="209" t="n">
        <f aca="false">4*B83</f>
        <v>14080</v>
      </c>
      <c r="C84" s="209" t="s">
        <v>258</v>
      </c>
      <c r="D84" s="210" t="n">
        <v>2.5</v>
      </c>
      <c r="E84" s="210" t="n">
        <f aca="false">+D84*B84</f>
        <v>35200</v>
      </c>
      <c r="F84" s="58" t="n">
        <f aca="false">+E84/TLU</f>
        <v>366.666666666667</v>
      </c>
    </row>
    <row r="85" customFormat="false" ht="11.25" hidden="false" customHeight="false" outlineLevel="0" collapsed="false">
      <c r="A85" s="229" t="s">
        <v>259</v>
      </c>
      <c r="B85" s="229" t="n">
        <f aca="false">ROUND((2/28*TLU),0)</f>
        <v>7</v>
      </c>
      <c r="C85" s="229" t="s">
        <v>195</v>
      </c>
      <c r="D85" s="230" t="n">
        <v>500</v>
      </c>
      <c r="E85" s="230" t="n">
        <f aca="false">+D85*B85</f>
        <v>3500</v>
      </c>
      <c r="F85" s="219" t="n">
        <f aca="false">+E85/TLU</f>
        <v>36.4583333333333</v>
      </c>
    </row>
    <row r="86" customFormat="false" ht="11.25" hidden="false" customHeight="false" outlineLevel="0" collapsed="false">
      <c r="A86" s="226" t="s">
        <v>260</v>
      </c>
      <c r="B86" s="226"/>
      <c r="C86" s="226"/>
      <c r="D86" s="244"/>
      <c r="E86" s="244" t="n">
        <f aca="false">SUM(E79:E85)</f>
        <v>168176</v>
      </c>
      <c r="F86" s="221" t="n">
        <f aca="false">+E86/TLU</f>
        <v>1751.83333333333</v>
      </c>
    </row>
    <row r="87" customFormat="false" ht="11.25" hidden="false" customHeight="false" outlineLevel="0" collapsed="false">
      <c r="A87" s="209"/>
      <c r="B87" s="209"/>
      <c r="C87" s="209"/>
      <c r="D87" s="210"/>
      <c r="E87" s="210"/>
      <c r="F87" s="233"/>
    </row>
    <row r="88" customFormat="false" ht="11.25" hidden="false" customHeight="false" outlineLevel="0" collapsed="false">
      <c r="A88" s="227" t="s">
        <v>261</v>
      </c>
      <c r="B88" s="209"/>
      <c r="C88" s="209"/>
      <c r="D88" s="210"/>
      <c r="E88" s="210"/>
      <c r="F88" s="233"/>
    </row>
    <row r="89" customFormat="false" ht="11.25" hidden="false" customHeight="false" outlineLevel="0" collapsed="false">
      <c r="A89" s="229" t="s">
        <v>262</v>
      </c>
      <c r="B89" s="229" t="n">
        <v>1025</v>
      </c>
      <c r="C89" s="229" t="s">
        <v>200</v>
      </c>
      <c r="D89" s="230" t="n">
        <v>26</v>
      </c>
      <c r="E89" s="230" t="n">
        <f aca="false">+D89*B89</f>
        <v>26650</v>
      </c>
      <c r="F89" s="219" t="n">
        <f aca="false">+E89/TLU</f>
        <v>277.604166666667</v>
      </c>
    </row>
    <row r="90" customFormat="false" ht="11.25" hidden="false" customHeight="false" outlineLevel="0" collapsed="false">
      <c r="A90" s="226" t="s">
        <v>263</v>
      </c>
      <c r="B90" s="209"/>
      <c r="C90" s="209"/>
      <c r="D90" s="210"/>
      <c r="E90" s="235" t="n">
        <f aca="false">+E89+E86</f>
        <v>194826</v>
      </c>
      <c r="F90" s="221" t="n">
        <f aca="false">+E90/TLU</f>
        <v>2029.4375</v>
      </c>
    </row>
    <row r="91" customFormat="false" ht="11.25" hidden="false" customHeight="false" outlineLevel="0" collapsed="false">
      <c r="A91" s="226"/>
      <c r="B91" s="209"/>
      <c r="C91" s="209"/>
      <c r="D91" s="210"/>
      <c r="E91" s="235"/>
      <c r="F91" s="235"/>
    </row>
    <row r="92" customFormat="false" ht="11.25" hidden="false" customHeight="false" outlineLevel="0" collapsed="false">
      <c r="A92" s="208" t="s">
        <v>264</v>
      </c>
      <c r="D92" s="220"/>
      <c r="F92" s="223"/>
    </row>
    <row r="93" customFormat="false" ht="11.25" hidden="false" customHeight="false" outlineLevel="0" collapsed="false">
      <c r="A93" s="201" t="s">
        <v>265</v>
      </c>
      <c r="B93" s="201" t="n">
        <f aca="false">400*2+400*4</f>
        <v>2400</v>
      </c>
      <c r="C93" s="201" t="s">
        <v>200</v>
      </c>
      <c r="D93" s="220" t="n">
        <v>5</v>
      </c>
      <c r="E93" s="213" t="n">
        <f aca="false">+D93*B93</f>
        <v>12000</v>
      </c>
      <c r="F93" s="213" t="n">
        <f aca="false">+E93/TLU</f>
        <v>125</v>
      </c>
    </row>
    <row r="94" customFormat="false" ht="12" hidden="false" customHeight="false" outlineLevel="0" collapsed="false">
      <c r="A94" s="201" t="s">
        <v>266</v>
      </c>
      <c r="B94" s="245" t="n">
        <f aca="false">SUM(B112:B114)</f>
        <v>2362.5</v>
      </c>
      <c r="C94" s="201" t="s">
        <v>200</v>
      </c>
      <c r="D94" s="220" t="n">
        <v>25</v>
      </c>
      <c r="E94" s="242" t="n">
        <f aca="false">+D94*B94</f>
        <v>59062.5</v>
      </c>
      <c r="F94" s="58" t="n">
        <f aca="false">+E94/TLU</f>
        <v>615.234375</v>
      </c>
    </row>
    <row r="95" customFormat="false" ht="12" hidden="false" customHeight="false" outlineLevel="0" collapsed="false">
      <c r="A95" s="201" t="s">
        <v>267</v>
      </c>
      <c r="B95" s="242" t="n">
        <f aca="false">100*15</f>
        <v>1500</v>
      </c>
      <c r="C95" s="201" t="s">
        <v>258</v>
      </c>
      <c r="D95" s="220" t="n">
        <v>5</v>
      </c>
      <c r="E95" s="242" t="n">
        <f aca="false">+D95*B95</f>
        <v>7500</v>
      </c>
      <c r="F95" s="58" t="n">
        <f aca="false">+E95/TLU</f>
        <v>78.125</v>
      </c>
    </row>
    <row r="96" customFormat="false" ht="12" hidden="false" customHeight="false" outlineLevel="0" collapsed="false">
      <c r="A96" s="201" t="s">
        <v>268</v>
      </c>
      <c r="B96" s="201" t="n">
        <v>1</v>
      </c>
      <c r="C96" s="201" t="s">
        <v>179</v>
      </c>
      <c r="D96" s="220" t="n">
        <v>2500</v>
      </c>
      <c r="E96" s="242" t="n">
        <f aca="false">+D96*B96</f>
        <v>2500</v>
      </c>
      <c r="F96" s="58" t="n">
        <f aca="false">+E96/TLU</f>
        <v>26.0416666666667</v>
      </c>
    </row>
    <row r="97" customFormat="false" ht="11.25" hidden="false" customHeight="false" outlineLevel="0" collapsed="false">
      <c r="A97" s="217" t="s">
        <v>269</v>
      </c>
      <c r="B97" s="217" t="n">
        <v>1</v>
      </c>
      <c r="C97" s="217" t="s">
        <v>179</v>
      </c>
      <c r="D97" s="218" t="n">
        <v>2000</v>
      </c>
      <c r="E97" s="243" t="n">
        <f aca="false">+D97*B97</f>
        <v>2000</v>
      </c>
      <c r="F97" s="219" t="n">
        <f aca="false">+E97/TLU</f>
        <v>20.8333333333333</v>
      </c>
    </row>
    <row r="98" customFormat="false" ht="11.25" hidden="false" customHeight="false" outlineLevel="0" collapsed="false">
      <c r="A98" s="201" t="s">
        <v>270</v>
      </c>
      <c r="D98" s="220"/>
      <c r="E98" s="221" t="n">
        <f aca="false">SUM(E93:E97)</f>
        <v>83062.5</v>
      </c>
      <c r="F98" s="221" t="n">
        <f aca="false">+E98/TLU</f>
        <v>865.234375</v>
      </c>
    </row>
    <row r="99" customFormat="false" ht="11.25" hidden="false" customHeight="false" outlineLevel="0" collapsed="false">
      <c r="B99" s="223"/>
      <c r="F99" s="223"/>
    </row>
    <row r="100" customFormat="false" ht="22.5" hidden="false" customHeight="false" outlineLevel="0" collapsed="false">
      <c r="A100" s="246" t="s">
        <v>271</v>
      </c>
      <c r="B100" s="210" t="n">
        <f aca="false">('Unit Summary'!$N$14*2)/27</f>
        <v>12768.3814814815</v>
      </c>
      <c r="C100" s="209" t="s">
        <v>272</v>
      </c>
      <c r="D100" s="247" t="n">
        <v>3.5</v>
      </c>
      <c r="E100" s="231" t="n">
        <f aca="false">+D100*B100</f>
        <v>44689.3351851852</v>
      </c>
      <c r="F100" s="221" t="n">
        <f aca="false">+E100/TLU</f>
        <v>465.513908179012</v>
      </c>
    </row>
    <row r="101" customFormat="false" ht="11.25" hidden="false" customHeight="false" outlineLevel="0" collapsed="false">
      <c r="D101" s="210"/>
      <c r="E101" s="248"/>
      <c r="F101" s="228"/>
    </row>
    <row r="102" customFormat="false" ht="11.25" hidden="false" customHeight="false" outlineLevel="0" collapsed="false">
      <c r="A102" s="249" t="s">
        <v>273</v>
      </c>
      <c r="B102" s="217" t="n">
        <v>6</v>
      </c>
      <c r="C102" s="217" t="s">
        <v>274</v>
      </c>
      <c r="D102" s="218" t="n">
        <f aca="false">((100*52)/12+250+100)</f>
        <v>783.333333333333</v>
      </c>
      <c r="E102" s="250" t="n">
        <f aca="false">+D102*B102</f>
        <v>4700</v>
      </c>
      <c r="F102" s="250" t="n">
        <f aca="false">+E102/TLU</f>
        <v>48.9583333333333</v>
      </c>
    </row>
    <row r="103" customFormat="false" ht="11.25" hidden="false" customHeight="false" outlineLevel="0" collapsed="false">
      <c r="A103" s="251" t="s">
        <v>275</v>
      </c>
      <c r="B103" s="252"/>
      <c r="C103" s="252"/>
      <c r="D103" s="253"/>
      <c r="E103" s="254" t="n">
        <f aca="false">+E$102+E$100+E$98+E$90+E$86+E$76+E$70+E$59+E$48+E$28+E$22+E$20</f>
        <v>1129444.83518519</v>
      </c>
      <c r="F103" s="254" t="n">
        <f aca="false">+E103/TLU</f>
        <v>11765.0503665123</v>
      </c>
    </row>
    <row r="104" customFormat="false" ht="12" hidden="false" customHeight="false" outlineLevel="0" collapsed="false">
      <c r="A104" s="255" t="s">
        <v>276</v>
      </c>
      <c r="B104" s="256"/>
      <c r="C104" s="256"/>
      <c r="D104" s="256"/>
      <c r="E104" s="257" t="n">
        <f aca="false">+E103+E12</f>
        <v>1894284.83518519</v>
      </c>
      <c r="F104" s="257" t="n">
        <f aca="false">+E104/TLU</f>
        <v>19732.1336998457</v>
      </c>
    </row>
    <row r="105" customFormat="false" ht="11.25" hidden="false" customHeight="false" outlineLevel="0" collapsed="false">
      <c r="A105" s="258"/>
      <c r="B105" s="215"/>
      <c r="C105" s="215"/>
      <c r="D105" s="215"/>
      <c r="E105" s="221"/>
      <c r="F105" s="221"/>
    </row>
    <row r="106" customFormat="false" ht="11.25" hidden="false" customHeight="false" outlineLevel="0" collapsed="false">
      <c r="A106" s="258"/>
      <c r="B106" s="215"/>
      <c r="C106" s="215"/>
      <c r="D106" s="215"/>
      <c r="E106" s="221"/>
      <c r="F106" s="221"/>
    </row>
    <row r="107" customFormat="false" ht="11.25" hidden="false" customHeight="false" outlineLevel="0" collapsed="false">
      <c r="A107" s="258"/>
      <c r="B107" s="215"/>
      <c r="C107" s="215"/>
      <c r="D107" s="215"/>
      <c r="E107" s="213"/>
      <c r="F107" s="213"/>
    </row>
    <row r="108" customFormat="false" ht="11.25" hidden="false" customHeight="false" outlineLevel="0" collapsed="false">
      <c r="A108" s="258" t="s">
        <v>277</v>
      </c>
      <c r="B108" s="207" t="s">
        <v>278</v>
      </c>
      <c r="C108" s="207"/>
      <c r="D108" s="207" t="s">
        <v>279</v>
      </c>
      <c r="E108" s="259" t="s">
        <v>280</v>
      </c>
      <c r="F108" s="259" t="s">
        <v>281</v>
      </c>
    </row>
    <row r="109" customFormat="false" ht="11.25" hidden="false" customHeight="false" outlineLevel="0" collapsed="false">
      <c r="A109" s="260" t="s">
        <v>282</v>
      </c>
      <c r="B109" s="201" t="n">
        <f aca="false">13.75*50</f>
        <v>687.5</v>
      </c>
      <c r="D109" s="201" t="n">
        <v>60</v>
      </c>
      <c r="E109" s="216" t="n">
        <f aca="false">D109*B109</f>
        <v>41250</v>
      </c>
      <c r="F109" s="261" t="n">
        <f aca="false">E109/43560</f>
        <v>0.946969696969697</v>
      </c>
    </row>
    <row r="110" customFormat="false" ht="11.25" hidden="false" customHeight="false" outlineLevel="0" collapsed="false">
      <c r="A110" s="260" t="s">
        <v>283</v>
      </c>
      <c r="B110" s="216" t="n">
        <f aca="false">565.34</f>
        <v>565.34</v>
      </c>
      <c r="D110" s="216" t="n">
        <f aca="false">105</f>
        <v>105</v>
      </c>
      <c r="E110" s="216" t="n">
        <f aca="false">D110*B110</f>
        <v>59360.7</v>
      </c>
      <c r="F110" s="261" t="n">
        <f aca="false">E110/43560</f>
        <v>1.36273415977961</v>
      </c>
    </row>
    <row r="111" customFormat="false" ht="11.25" hidden="false" customHeight="false" outlineLevel="0" collapsed="false">
      <c r="A111" s="260" t="s">
        <v>284</v>
      </c>
      <c r="E111" s="216" t="n">
        <f aca="false">13.1454*43560</f>
        <v>572613.624</v>
      </c>
      <c r="F111" s="261" t="n">
        <f aca="false">E111/43560</f>
        <v>13.1454</v>
      </c>
    </row>
    <row r="112" customFormat="false" ht="11.25" hidden="false" customHeight="false" outlineLevel="0" collapsed="false">
      <c r="A112" s="262" t="s">
        <v>285</v>
      </c>
      <c r="B112" s="216" t="n">
        <f aca="false">13.5*50</f>
        <v>675</v>
      </c>
      <c r="C112" s="209"/>
      <c r="D112" s="215"/>
      <c r="E112" s="213"/>
      <c r="F112" s="213"/>
    </row>
    <row r="113" customFormat="false" ht="11.25" hidden="false" customHeight="false" outlineLevel="0" collapsed="false">
      <c r="A113" s="262" t="s">
        <v>286</v>
      </c>
      <c r="B113" s="216" t="n">
        <f aca="false">9*50</f>
        <v>450</v>
      </c>
      <c r="C113" s="209"/>
      <c r="D113" s="215"/>
      <c r="E113" s="213"/>
      <c r="F113" s="213"/>
    </row>
    <row r="114" customFormat="false" ht="11.25" hidden="false" customHeight="false" outlineLevel="0" collapsed="false">
      <c r="A114" s="262" t="s">
        <v>287</v>
      </c>
      <c r="B114" s="216" t="n">
        <f aca="false">24.75*50</f>
        <v>1237.5</v>
      </c>
      <c r="C114" s="209"/>
      <c r="D114" s="215"/>
      <c r="E114" s="213"/>
      <c r="F114" s="213"/>
    </row>
    <row r="115" customFormat="false" ht="11.25" hidden="false" customHeight="false" outlineLevel="0" collapsed="false">
      <c r="A115" s="262" t="s">
        <v>288</v>
      </c>
      <c r="B115" s="216" t="n">
        <f aca="false">565.34+3*50</f>
        <v>715.34</v>
      </c>
      <c r="C115" s="209"/>
      <c r="D115" s="215"/>
      <c r="E115" s="213"/>
      <c r="F115" s="213"/>
    </row>
    <row r="116" customFormat="false" ht="11.25" hidden="false" customHeight="false" outlineLevel="0" collapsed="false">
      <c r="A116" s="262"/>
      <c r="B116" s="216"/>
      <c r="C116" s="209"/>
      <c r="D116" s="215"/>
      <c r="E116" s="213"/>
      <c r="F116" s="213"/>
    </row>
    <row r="117" customFormat="false" ht="11.25" hidden="false" customHeight="false" outlineLevel="0" collapsed="false">
      <c r="A117" s="262"/>
      <c r="B117" s="216"/>
      <c r="C117" s="209"/>
      <c r="D117" s="215"/>
      <c r="E117" s="213"/>
      <c r="F117" s="213"/>
    </row>
    <row r="118" customFormat="false" ht="11.25" hidden="false" customHeight="false" outlineLevel="0" collapsed="false">
      <c r="A118" s="262"/>
      <c r="B118" s="216"/>
      <c r="C118" s="209"/>
      <c r="D118" s="215"/>
      <c r="E118" s="213"/>
      <c r="F118" s="213"/>
    </row>
    <row r="119" customFormat="false" ht="11.25" hidden="false" customHeight="false" outlineLevel="0" collapsed="false">
      <c r="A119" s="262"/>
      <c r="B119" s="216"/>
      <c r="C119" s="209"/>
      <c r="D119" s="215"/>
      <c r="E119" s="213"/>
      <c r="F119" s="213"/>
    </row>
    <row r="120" customFormat="false" ht="11.25" hidden="false" customHeight="false" outlineLevel="0" collapsed="false">
      <c r="A120" s="262"/>
      <c r="B120" s="216"/>
      <c r="C120" s="209"/>
      <c r="D120" s="215"/>
      <c r="E120" s="213"/>
      <c r="F120" s="213"/>
    </row>
    <row r="121" customFormat="false" ht="11.25" hidden="false" customHeight="false" outlineLevel="0" collapsed="false">
      <c r="A121" s="262"/>
      <c r="B121" s="216"/>
      <c r="C121" s="209"/>
      <c r="D121" s="215"/>
      <c r="E121" s="213"/>
      <c r="F121" s="213"/>
    </row>
    <row r="122" customFormat="false" ht="11.25" hidden="false" customHeight="false" outlineLevel="0" collapsed="false">
      <c r="A122" s="262"/>
      <c r="B122" s="216"/>
      <c r="C122" s="209"/>
      <c r="D122" s="215"/>
      <c r="E122" s="213"/>
      <c r="F122" s="213"/>
    </row>
    <row r="123" customFormat="false" ht="11.25" hidden="false" customHeight="false" outlineLevel="0" collapsed="false">
      <c r="A123" s="262"/>
      <c r="B123" s="216"/>
      <c r="C123" s="209"/>
      <c r="D123" s="215"/>
      <c r="E123" s="213"/>
      <c r="F123" s="213"/>
    </row>
    <row r="125" customFormat="false" ht="13.5" hidden="true" customHeight="true" outlineLevel="0" collapsed="false">
      <c r="A125" s="263" t="s">
        <v>289</v>
      </c>
      <c r="B125" s="263"/>
      <c r="C125" s="263"/>
      <c r="D125" s="263"/>
      <c r="E125" s="263"/>
      <c r="F125" s="263"/>
    </row>
    <row r="126" customFormat="false" ht="12" hidden="true" customHeight="false" outlineLevel="0" collapsed="false">
      <c r="A126" s="227" t="s">
        <v>290</v>
      </c>
      <c r="B126" s="264" t="s">
        <v>291</v>
      </c>
      <c r="C126" s="264" t="s">
        <v>292</v>
      </c>
      <c r="D126" s="264" t="s">
        <v>146</v>
      </c>
      <c r="E126" s="264" t="s">
        <v>293</v>
      </c>
      <c r="F126" s="264" t="s">
        <v>294</v>
      </c>
    </row>
    <row r="127" customFormat="false" ht="11.25" hidden="true" customHeight="false" outlineLevel="0" collapsed="false">
      <c r="A127" s="227"/>
      <c r="B127" s="264"/>
      <c r="C127" s="264"/>
      <c r="D127" s="264"/>
      <c r="E127" s="264"/>
      <c r="F127" s="264"/>
    </row>
    <row r="128" customFormat="false" ht="11.25" hidden="true" customHeight="false" outlineLevel="0" collapsed="false">
      <c r="A128" s="226" t="s">
        <v>295</v>
      </c>
      <c r="B128" s="264"/>
      <c r="C128" s="264"/>
      <c r="D128" s="264"/>
      <c r="E128" s="209"/>
      <c r="F128" s="209" t="n">
        <v>96</v>
      </c>
    </row>
    <row r="129" customFormat="false" ht="11.25" hidden="true" customHeight="false" outlineLevel="0" collapsed="false">
      <c r="A129" s="226" t="s">
        <v>296</v>
      </c>
      <c r="B129" s="264"/>
      <c r="C129" s="264"/>
      <c r="D129" s="264"/>
      <c r="E129" s="209"/>
      <c r="F129" s="209" t="n">
        <v>25</v>
      </c>
    </row>
    <row r="130" customFormat="false" ht="11.25" hidden="true" customHeight="false" outlineLevel="0" collapsed="false">
      <c r="A130" s="226" t="s">
        <v>192</v>
      </c>
      <c r="B130" s="209" t="n">
        <v>1</v>
      </c>
      <c r="C130" s="209" t="s">
        <v>297</v>
      </c>
      <c r="D130" s="210" t="n">
        <v>10000</v>
      </c>
      <c r="E130" s="232" t="n">
        <f aca="false">+D130*B130</f>
        <v>10000</v>
      </c>
      <c r="F130" s="211" t="e">
        <f aca="false">+E130/#NAME?</f>
        <v>#NAME?</v>
      </c>
    </row>
    <row r="131" customFormat="false" ht="11.25" hidden="true" customHeight="false" outlineLevel="0" collapsed="false">
      <c r="A131" s="226"/>
      <c r="B131" s="209"/>
      <c r="C131" s="209"/>
      <c r="D131" s="210"/>
      <c r="E131" s="232"/>
      <c r="F131" s="211"/>
    </row>
    <row r="132" customFormat="false" ht="11.25" hidden="true" customHeight="false" outlineLevel="0" collapsed="false">
      <c r="A132" s="227" t="s">
        <v>198</v>
      </c>
      <c r="B132" s="209"/>
      <c r="C132" s="209"/>
      <c r="D132" s="210"/>
      <c r="E132" s="210"/>
      <c r="F132" s="211"/>
    </row>
    <row r="133" customFormat="false" ht="11.25" hidden="true" customHeight="false" outlineLevel="0" collapsed="false">
      <c r="A133" s="209" t="s">
        <v>199</v>
      </c>
      <c r="B133" s="209" t="e">
        <f aca="false">ROUND((138/28*#NAME?*(25/65)),0)</f>
        <v>#NAME?</v>
      </c>
      <c r="C133" s="209" t="s">
        <v>200</v>
      </c>
      <c r="D133" s="210" t="n">
        <v>55</v>
      </c>
      <c r="E133" s="210" t="e">
        <f aca="false">+D133*B133</f>
        <v>#NAME?</v>
      </c>
      <c r="F133" s="211" t="e">
        <f aca="false">+E133/#NAME?</f>
        <v>#NAME?</v>
      </c>
    </row>
    <row r="134" customFormat="false" ht="11.25" hidden="true" customHeight="false" outlineLevel="0" collapsed="false">
      <c r="A134" s="209" t="s">
        <v>201</v>
      </c>
      <c r="B134" s="209" t="e">
        <f aca="false">ROUND((276/28*#NAME?*(25/65)),0)</f>
        <v>#NAME?</v>
      </c>
      <c r="C134" s="209" t="s">
        <v>200</v>
      </c>
      <c r="D134" s="210" t="n">
        <v>42</v>
      </c>
      <c r="E134" s="210" t="e">
        <f aca="false">+D134*B134</f>
        <v>#NAME?</v>
      </c>
      <c r="F134" s="211" t="e">
        <f aca="false">+E134/#NAME?</f>
        <v>#NAME?</v>
      </c>
    </row>
    <row r="135" customFormat="false" ht="11.25" hidden="true" customHeight="false" outlineLevel="0" collapsed="false">
      <c r="A135" s="209" t="s">
        <v>202</v>
      </c>
      <c r="B135" s="209" t="e">
        <f aca="false">ROUND((124/28*#NAME?*(25/65)),0)</f>
        <v>#NAME?</v>
      </c>
      <c r="C135" s="209" t="s">
        <v>200</v>
      </c>
      <c r="D135" s="210" t="n">
        <v>47</v>
      </c>
      <c r="E135" s="210" t="e">
        <f aca="false">+D135*B135</f>
        <v>#NAME?</v>
      </c>
      <c r="F135" s="211" t="e">
        <f aca="false">+E135/#NAME?</f>
        <v>#NAME?</v>
      </c>
    </row>
    <row r="136" customFormat="false" ht="11.25" hidden="true" customHeight="false" outlineLevel="0" collapsed="false">
      <c r="A136" s="209" t="s">
        <v>203</v>
      </c>
      <c r="B136" s="209" t="e">
        <f aca="false">ROUND((344/28*#NAME?*(25/65)),0)</f>
        <v>#NAME?</v>
      </c>
      <c r="C136" s="209" t="s">
        <v>200</v>
      </c>
      <c r="D136" s="210" t="n">
        <v>52</v>
      </c>
      <c r="E136" s="210" t="e">
        <f aca="false">+D136*B136</f>
        <v>#NAME?</v>
      </c>
      <c r="F136" s="211" t="e">
        <f aca="false">+E136/#NAME?</f>
        <v>#NAME?</v>
      </c>
    </row>
    <row r="137" customFormat="false" ht="11.25" hidden="true" customHeight="false" outlineLevel="0" collapsed="false">
      <c r="A137" s="209" t="s">
        <v>204</v>
      </c>
      <c r="B137" s="209" t="e">
        <f aca="false">ROUND((85/28*#NAME?*(25/65)),0)</f>
        <v>#NAME?</v>
      </c>
      <c r="C137" s="209" t="s">
        <v>200</v>
      </c>
      <c r="D137" s="210" t="n">
        <v>36</v>
      </c>
      <c r="E137" s="210" t="e">
        <f aca="false">+D137*B137</f>
        <v>#NAME?</v>
      </c>
      <c r="F137" s="211" t="e">
        <f aca="false">+E137/#NAME?</f>
        <v>#NAME?</v>
      </c>
    </row>
    <row r="138" customFormat="false" ht="11.25" hidden="true" customHeight="false" outlineLevel="0" collapsed="false">
      <c r="A138" s="209" t="s">
        <v>205</v>
      </c>
      <c r="B138" s="209" t="e">
        <f aca="false">ROUND((51/28*#NAME?*(25/65)),0)</f>
        <v>#NAME?</v>
      </c>
      <c r="C138" s="209" t="s">
        <v>200</v>
      </c>
      <c r="D138" s="210" t="n">
        <v>40</v>
      </c>
      <c r="E138" s="210" t="e">
        <f aca="false">+D138*B138</f>
        <v>#NAME?</v>
      </c>
      <c r="F138" s="211" t="e">
        <f aca="false">+E138/#NAME?</f>
        <v>#NAME?</v>
      </c>
    </row>
    <row r="139" customFormat="false" ht="11.25" hidden="true" customHeight="false" outlineLevel="0" collapsed="false">
      <c r="A139" s="209" t="s">
        <v>206</v>
      </c>
      <c r="B139" s="209" t="e">
        <f aca="false">ROUND((59/28*#NAME?*(25/65)),0)</f>
        <v>#NAME?</v>
      </c>
      <c r="C139" s="209" t="s">
        <v>200</v>
      </c>
      <c r="D139" s="210" t="n">
        <v>45</v>
      </c>
      <c r="E139" s="210" t="e">
        <f aca="false">+D139*B139</f>
        <v>#NAME?</v>
      </c>
      <c r="F139" s="211" t="e">
        <f aca="false">+E139/#NAME?</f>
        <v>#NAME?</v>
      </c>
    </row>
    <row r="140" customFormat="false" ht="11.25" hidden="true" customHeight="false" outlineLevel="0" collapsed="false">
      <c r="A140" s="209" t="s">
        <v>207</v>
      </c>
      <c r="B140" s="209" t="e">
        <f aca="false">ROUND((180/28*#NAME?*(25/65)),0)</f>
        <v>#NAME?</v>
      </c>
      <c r="C140" s="209" t="s">
        <v>200</v>
      </c>
      <c r="D140" s="210" t="n">
        <v>35</v>
      </c>
      <c r="E140" s="210" t="e">
        <f aca="false">+D140*B140</f>
        <v>#NAME?</v>
      </c>
      <c r="F140" s="211" t="e">
        <f aca="false">+E140/#NAME?</f>
        <v>#NAME?</v>
      </c>
    </row>
    <row r="141" customFormat="false" ht="11.25" hidden="true" customHeight="false" outlineLevel="0" collapsed="false">
      <c r="A141" s="209" t="s">
        <v>208</v>
      </c>
      <c r="B141" s="209" t="e">
        <f aca="false">ROUND((1/28*#NAME?),0)</f>
        <v>#NAME?</v>
      </c>
      <c r="C141" s="209" t="s">
        <v>195</v>
      </c>
      <c r="D141" s="210" t="n">
        <v>2000</v>
      </c>
      <c r="E141" s="210" t="e">
        <f aca="false">+D141*B141</f>
        <v>#NAME?</v>
      </c>
      <c r="F141" s="211" t="e">
        <f aca="false">+E141/#NAME?</f>
        <v>#NAME?</v>
      </c>
    </row>
    <row r="142" customFormat="false" ht="11.25" hidden="true" customHeight="false" outlineLevel="0" collapsed="false">
      <c r="A142" s="209" t="s">
        <v>209</v>
      </c>
      <c r="B142" s="209" t="e">
        <f aca="false">ROUND((4/28*#NAME?),0)</f>
        <v>#NAME?</v>
      </c>
      <c r="C142" s="209" t="s">
        <v>195</v>
      </c>
      <c r="D142" s="210" t="n">
        <v>2500</v>
      </c>
      <c r="E142" s="210" t="e">
        <f aca="false">+D142*B142</f>
        <v>#NAME?</v>
      </c>
      <c r="F142" s="211" t="e">
        <f aca="false">+E142/#NAME?</f>
        <v>#NAME?</v>
      </c>
    </row>
    <row r="143" customFormat="false" ht="11.25" hidden="true" customHeight="false" outlineLevel="0" collapsed="false">
      <c r="A143" s="209" t="s">
        <v>210</v>
      </c>
      <c r="B143" s="209" t="n">
        <v>0</v>
      </c>
      <c r="C143" s="209" t="s">
        <v>211</v>
      </c>
      <c r="D143" s="210" t="n">
        <v>200</v>
      </c>
      <c r="E143" s="210" t="n">
        <f aca="false">+D143*B143</f>
        <v>0</v>
      </c>
      <c r="F143" s="211" t="e">
        <f aca="false">+E143/#NAME?</f>
        <v>#NAME?</v>
      </c>
    </row>
    <row r="144" customFormat="false" ht="11.25" hidden="true" customHeight="false" outlineLevel="0" collapsed="false">
      <c r="A144" s="209" t="s">
        <v>213</v>
      </c>
      <c r="B144" s="209" t="e">
        <f aca="false">ROUND((2/28*#NAME?),0)</f>
        <v>#NAME?</v>
      </c>
      <c r="C144" s="209" t="s">
        <v>195</v>
      </c>
      <c r="D144" s="210" t="n">
        <v>2000</v>
      </c>
      <c r="E144" s="210" t="e">
        <f aca="false">+D144*B144</f>
        <v>#NAME?</v>
      </c>
      <c r="F144" s="211" t="e">
        <f aca="false">+E144/#NAME?</f>
        <v>#NAME?</v>
      </c>
    </row>
    <row r="145" customFormat="false" ht="11.25" hidden="true" customHeight="false" outlineLevel="0" collapsed="false">
      <c r="A145" s="209" t="s">
        <v>215</v>
      </c>
      <c r="B145" s="209" t="e">
        <f aca="false">ROUND((2/28*#NAME?),0)</f>
        <v>#NAME?</v>
      </c>
      <c r="C145" s="209" t="s">
        <v>195</v>
      </c>
      <c r="D145" s="210" t="n">
        <v>2500</v>
      </c>
      <c r="E145" s="210" t="e">
        <f aca="false">+D145*B145</f>
        <v>#NAME?</v>
      </c>
      <c r="F145" s="211" t="e">
        <f aca="false">+E145/#NAME?</f>
        <v>#NAME?</v>
      </c>
    </row>
    <row r="146" customFormat="false" ht="11.25" hidden="true" customHeight="false" outlineLevel="0" collapsed="false">
      <c r="A146" s="209" t="s">
        <v>216</v>
      </c>
      <c r="B146" s="209" t="e">
        <f aca="false">ROUND((1/28*#NAME?),0)</f>
        <v>#NAME?</v>
      </c>
      <c r="C146" s="209" t="s">
        <v>195</v>
      </c>
      <c r="D146" s="210" t="n">
        <v>3000</v>
      </c>
      <c r="E146" s="210" t="e">
        <f aca="false">+D146*B146</f>
        <v>#NAME?</v>
      </c>
      <c r="F146" s="211" t="e">
        <f aca="false">+E146/#NAME?</f>
        <v>#NAME?</v>
      </c>
    </row>
    <row r="147" customFormat="false" ht="11.25" hidden="true" customHeight="false" outlineLevel="0" collapsed="false">
      <c r="A147" s="209" t="s">
        <v>217</v>
      </c>
      <c r="B147" s="209" t="e">
        <f aca="false">ROUND((1/28*#NAME?),0)</f>
        <v>#NAME?</v>
      </c>
      <c r="C147" s="209" t="s">
        <v>195</v>
      </c>
      <c r="D147" s="210" t="n">
        <v>5000</v>
      </c>
      <c r="E147" s="210" t="e">
        <f aca="false">+D147*B147</f>
        <v>#NAME?</v>
      </c>
      <c r="F147" s="211" t="e">
        <f aca="false">+E147/#NAME?</f>
        <v>#NAME?</v>
      </c>
    </row>
    <row r="148" customFormat="false" ht="11.25" hidden="true" customHeight="false" outlineLevel="0" collapsed="false">
      <c r="A148" s="209" t="s">
        <v>218</v>
      </c>
      <c r="B148" s="209" t="n">
        <v>0</v>
      </c>
      <c r="C148" s="209" t="s">
        <v>195</v>
      </c>
      <c r="D148" s="210" t="n">
        <v>3000</v>
      </c>
      <c r="E148" s="210" t="n">
        <f aca="false">+D148*B148</f>
        <v>0</v>
      </c>
      <c r="F148" s="211" t="e">
        <f aca="false">+E148/#NAME?</f>
        <v>#NAME?</v>
      </c>
    </row>
    <row r="149" customFormat="false" ht="33.75" hidden="true" customHeight="false" outlineLevel="0" collapsed="false">
      <c r="A149" s="234" t="s">
        <v>298</v>
      </c>
      <c r="B149" s="209" t="n">
        <v>1</v>
      </c>
      <c r="C149" s="229" t="s">
        <v>195</v>
      </c>
      <c r="D149" s="230" t="n">
        <v>71000</v>
      </c>
      <c r="E149" s="230" t="n">
        <f aca="false">+D149*B149</f>
        <v>71000</v>
      </c>
      <c r="F149" s="265" t="e">
        <f aca="false">+E149/#NAME?</f>
        <v>#NAME?</v>
      </c>
    </row>
    <row r="150" customFormat="false" ht="11.25" hidden="true" customHeight="false" outlineLevel="0" collapsed="false">
      <c r="A150" s="226" t="s">
        <v>220</v>
      </c>
      <c r="B150" s="209"/>
      <c r="C150" s="209"/>
      <c r="D150" s="210"/>
      <c r="E150" s="235" t="e">
        <f aca="false">SUM(E133:E149)</f>
        <v>#NAME?</v>
      </c>
      <c r="F150" s="266" t="e">
        <f aca="false">SUM(F133:F149)</f>
        <v>#NAME?</v>
      </c>
    </row>
    <row r="151" customFormat="false" ht="11.25" hidden="true" customHeight="false" outlineLevel="0" collapsed="false"/>
    <row r="152" customFormat="false" ht="11.25" hidden="true" customHeight="false" outlineLevel="0" collapsed="false">
      <c r="A152" s="227" t="s">
        <v>233</v>
      </c>
      <c r="B152" s="209"/>
      <c r="C152" s="209"/>
      <c r="D152" s="210"/>
      <c r="E152" s="210"/>
      <c r="F152" s="211"/>
    </row>
    <row r="153" customFormat="false" ht="11.25" hidden="true" customHeight="false" outlineLevel="0" collapsed="false">
      <c r="A153" s="209" t="s">
        <v>234</v>
      </c>
      <c r="B153" s="209" t="e">
        <f aca="false">ROUND((700/28*#NAME?*(25/65)),0)</f>
        <v>#NAME?</v>
      </c>
      <c r="C153" s="209" t="s">
        <v>235</v>
      </c>
      <c r="D153" s="210" t="n">
        <v>25</v>
      </c>
      <c r="E153" s="210" t="e">
        <f aca="false">+D153*B153</f>
        <v>#NAME?</v>
      </c>
      <c r="F153" s="211" t="e">
        <f aca="false">+E153/#NAME?</f>
        <v>#NAME?</v>
      </c>
    </row>
    <row r="154" customFormat="false" ht="11.25" hidden="true" customHeight="false" outlineLevel="0" collapsed="false">
      <c r="A154" s="209" t="s">
        <v>236</v>
      </c>
      <c r="B154" s="209" t="e">
        <f aca="false">ROUND((59/28*#NAME?*(25/65)),0)</f>
        <v>#NAME?</v>
      </c>
      <c r="C154" s="209" t="s">
        <v>235</v>
      </c>
      <c r="D154" s="210" t="n">
        <v>30</v>
      </c>
      <c r="E154" s="210" t="e">
        <f aca="false">+D154*B154</f>
        <v>#NAME?</v>
      </c>
      <c r="F154" s="211" t="e">
        <f aca="false">+E154/#NAME?</f>
        <v>#NAME?</v>
      </c>
    </row>
    <row r="155" customFormat="false" ht="11.25" hidden="true" customHeight="false" outlineLevel="0" collapsed="false">
      <c r="A155" s="209" t="s">
        <v>237</v>
      </c>
      <c r="B155" s="209" t="e">
        <f aca="false">ROUND((59/28*#NAME?*(25/65)),0)</f>
        <v>#NAME?</v>
      </c>
      <c r="C155" s="209" t="s">
        <v>235</v>
      </c>
      <c r="D155" s="210" t="n">
        <v>35</v>
      </c>
      <c r="E155" s="210" t="e">
        <f aca="false">+D155*B155</f>
        <v>#NAME?</v>
      </c>
      <c r="F155" s="211" t="e">
        <f aca="false">+E155/#NAME?</f>
        <v>#NAME?</v>
      </c>
    </row>
    <row r="156" customFormat="false" ht="11.25" hidden="true" customHeight="false" outlineLevel="0" collapsed="false">
      <c r="A156" s="209" t="s">
        <v>238</v>
      </c>
      <c r="B156" s="209" t="e">
        <f aca="false">ROUND((47/28*#NAME?*(25/65)),0)</f>
        <v>#NAME?</v>
      </c>
      <c r="C156" s="209" t="s">
        <v>235</v>
      </c>
      <c r="D156" s="210" t="n">
        <v>40</v>
      </c>
      <c r="E156" s="210" t="e">
        <f aca="false">+D156*B156</f>
        <v>#NAME?</v>
      </c>
      <c r="F156" s="211" t="e">
        <f aca="false">+E156/#NAME?</f>
        <v>#NAME?</v>
      </c>
    </row>
    <row r="157" customFormat="false" ht="11.25" hidden="true" customHeight="false" outlineLevel="0" collapsed="false">
      <c r="A157" s="241" t="s">
        <v>239</v>
      </c>
      <c r="B157" s="209" t="e">
        <f aca="false">ROUND((4/28*#NAME?),0)</f>
        <v>#NAME?</v>
      </c>
      <c r="C157" s="209" t="s">
        <v>195</v>
      </c>
      <c r="D157" s="210" t="n">
        <v>2000</v>
      </c>
      <c r="E157" s="210" t="e">
        <f aca="false">+D157*B157</f>
        <v>#NAME?</v>
      </c>
      <c r="F157" s="211" t="e">
        <f aca="false">+E157/#NAME?</f>
        <v>#NAME?</v>
      </c>
    </row>
    <row r="158" customFormat="false" ht="11.25" hidden="true" customHeight="false" outlineLevel="0" collapsed="false">
      <c r="A158" s="209" t="s">
        <v>240</v>
      </c>
      <c r="B158" s="209" t="e">
        <f aca="false">ROUND((4/28*#NAME?),0)</f>
        <v>#NAME?</v>
      </c>
      <c r="C158" s="209" t="s">
        <v>195</v>
      </c>
      <c r="D158" s="210" t="n">
        <v>900</v>
      </c>
      <c r="E158" s="210" t="e">
        <f aca="false">+D158*B158</f>
        <v>#NAME?</v>
      </c>
      <c r="F158" s="211" t="e">
        <f aca="false">+E158/#NAME?</f>
        <v>#NAME?</v>
      </c>
    </row>
    <row r="159" customFormat="false" ht="11.25" hidden="true" customHeight="false" outlineLevel="0" collapsed="false">
      <c r="A159" s="209" t="s">
        <v>242</v>
      </c>
      <c r="B159" s="209" t="e">
        <f aca="false">ROUND((6/28*#NAME?),0)</f>
        <v>#NAME?</v>
      </c>
      <c r="C159" s="209" t="s">
        <v>195</v>
      </c>
      <c r="D159" s="210" t="n">
        <v>1200</v>
      </c>
      <c r="E159" s="210" t="e">
        <f aca="false">+D159*B159</f>
        <v>#NAME?</v>
      </c>
      <c r="F159" s="211" t="e">
        <f aca="false">+E159/#NAME?</f>
        <v>#NAME?</v>
      </c>
    </row>
    <row r="160" customFormat="false" ht="11.25" hidden="true" customHeight="false" outlineLevel="0" collapsed="false">
      <c r="A160" s="229" t="s">
        <v>243</v>
      </c>
      <c r="B160" s="229" t="e">
        <f aca="false">ROUND((3/28*#NAME?),0)</f>
        <v>#NAME?</v>
      </c>
      <c r="C160" s="229" t="s">
        <v>195</v>
      </c>
      <c r="D160" s="230" t="n">
        <v>1000</v>
      </c>
      <c r="E160" s="230" t="e">
        <f aca="false">+D160*B160</f>
        <v>#NAME?</v>
      </c>
      <c r="F160" s="265" t="e">
        <f aca="false">+E160/#NAME?</f>
        <v>#NAME?</v>
      </c>
    </row>
    <row r="161" customFormat="false" ht="11.25" hidden="true" customHeight="false" outlineLevel="0" collapsed="false">
      <c r="A161" s="226" t="s">
        <v>244</v>
      </c>
      <c r="B161" s="209"/>
      <c r="C161" s="209"/>
      <c r="D161" s="210"/>
      <c r="E161" s="235" t="e">
        <f aca="false">SUM(E153:E160)</f>
        <v>#NAME?</v>
      </c>
      <c r="F161" s="266" t="e">
        <f aca="false">SUM(F153:F160)</f>
        <v>#NAME?</v>
      </c>
    </row>
    <row r="162" customFormat="false" ht="11.25" hidden="true" customHeight="false" outlineLevel="0" collapsed="false"/>
    <row r="163" customFormat="false" ht="11.25" hidden="true" customHeight="false" outlineLevel="0" collapsed="false">
      <c r="A163" s="227" t="s">
        <v>221</v>
      </c>
      <c r="B163" s="209"/>
      <c r="C163" s="209"/>
      <c r="D163" s="210"/>
      <c r="E163" s="210"/>
      <c r="F163" s="211"/>
    </row>
    <row r="164" customFormat="false" ht="11.25" hidden="true" customHeight="false" outlineLevel="0" collapsed="false">
      <c r="A164" s="236" t="s">
        <v>222</v>
      </c>
      <c r="B164" s="209" t="n">
        <v>750</v>
      </c>
      <c r="C164" s="209" t="s">
        <v>200</v>
      </c>
      <c r="D164" s="210" t="n">
        <v>22</v>
      </c>
      <c r="E164" s="210" t="n">
        <f aca="false">+D164*B164</f>
        <v>16500</v>
      </c>
      <c r="F164" s="211" t="e">
        <f aca="false">+E164/#NAME?</f>
        <v>#NAME?</v>
      </c>
    </row>
    <row r="165" customFormat="false" ht="11.25" hidden="true" customHeight="false" outlineLevel="0" collapsed="false">
      <c r="A165" s="209" t="s">
        <v>223</v>
      </c>
      <c r="B165" s="209" t="n">
        <f aca="false">ROUND((2+(96/14-2)),0)</f>
        <v>7</v>
      </c>
      <c r="C165" s="209" t="s">
        <v>195</v>
      </c>
      <c r="D165" s="210" t="n">
        <v>1800</v>
      </c>
      <c r="E165" s="210" t="n">
        <f aca="false">+D165*B165</f>
        <v>12600</v>
      </c>
      <c r="F165" s="211" t="e">
        <f aca="false">+E165/#NAME?</f>
        <v>#NAME?</v>
      </c>
    </row>
    <row r="166" customFormat="false" ht="11.25" hidden="true" customHeight="false" outlineLevel="0" collapsed="false">
      <c r="A166" s="209" t="s">
        <v>225</v>
      </c>
      <c r="B166" s="209" t="n">
        <f aca="false">ROUND((7/28*96),0)</f>
        <v>24</v>
      </c>
      <c r="C166" s="209" t="s">
        <v>195</v>
      </c>
      <c r="D166" s="210" t="n">
        <v>800</v>
      </c>
      <c r="E166" s="210" t="n">
        <f aca="false">+D166*B166</f>
        <v>19200</v>
      </c>
      <c r="F166" s="211" t="e">
        <f aca="false">+E166/#NAME?</f>
        <v>#NAME?</v>
      </c>
    </row>
    <row r="167" customFormat="false" ht="11.25" hidden="true" customHeight="false" outlineLevel="0" collapsed="false">
      <c r="A167" s="209" t="s">
        <v>227</v>
      </c>
      <c r="B167" s="209" t="n">
        <f aca="false">ROUND((4/28*96),0)</f>
        <v>14</v>
      </c>
      <c r="C167" s="209" t="s">
        <v>195</v>
      </c>
      <c r="D167" s="210" t="n">
        <v>600</v>
      </c>
      <c r="E167" s="210" t="n">
        <f aca="false">+D167*B167</f>
        <v>8400</v>
      </c>
      <c r="F167" s="211" t="e">
        <f aca="false">+E167/#NAME?</f>
        <v>#NAME?</v>
      </c>
    </row>
    <row r="168" customFormat="false" ht="11.25" hidden="true" customHeight="false" outlineLevel="0" collapsed="false">
      <c r="A168" s="209" t="s">
        <v>228</v>
      </c>
      <c r="B168" s="209" t="n">
        <f aca="false">ROUND((4/28*96),0)</f>
        <v>14</v>
      </c>
      <c r="C168" s="209" t="s">
        <v>195</v>
      </c>
      <c r="D168" s="210" t="n">
        <v>1250</v>
      </c>
      <c r="E168" s="210" t="n">
        <f aca="false">+D168*B168</f>
        <v>17500</v>
      </c>
      <c r="F168" s="211" t="e">
        <f aca="false">+E168/#NAME?</f>
        <v>#NAME?</v>
      </c>
    </row>
    <row r="169" customFormat="false" ht="11.25" hidden="true" customHeight="false" outlineLevel="0" collapsed="false">
      <c r="A169" s="209" t="s">
        <v>229</v>
      </c>
      <c r="B169" s="209" t="n">
        <f aca="false">ROUND((3/28*96),0)</f>
        <v>10</v>
      </c>
      <c r="C169" s="209" t="s">
        <v>195</v>
      </c>
      <c r="D169" s="210" t="n">
        <v>750</v>
      </c>
      <c r="E169" s="210" t="n">
        <f aca="false">+D169*B169</f>
        <v>7500</v>
      </c>
      <c r="F169" s="211" t="e">
        <f aca="false">+E169/#NAME?</f>
        <v>#NAME?</v>
      </c>
    </row>
    <row r="170" customFormat="false" ht="11.25" hidden="true" customHeight="false" outlineLevel="0" collapsed="false">
      <c r="A170" s="209" t="s">
        <v>230</v>
      </c>
      <c r="B170" s="209" t="n">
        <f aca="false">ROUND((2/28*96),0)</f>
        <v>7</v>
      </c>
      <c r="C170" s="209" t="s">
        <v>195</v>
      </c>
      <c r="D170" s="210" t="n">
        <v>500</v>
      </c>
      <c r="E170" s="210" t="n">
        <f aca="false">+D170*B170</f>
        <v>3500</v>
      </c>
      <c r="F170" s="211" t="e">
        <f aca="false">+E170/#NAME?</f>
        <v>#NAME?</v>
      </c>
    </row>
    <row r="171" customFormat="false" ht="11.25" hidden="true" customHeight="false" outlineLevel="0" collapsed="false">
      <c r="A171" s="229" t="s">
        <v>231</v>
      </c>
      <c r="B171" s="229" t="n">
        <f aca="false">ROUND((2/28*96),0)</f>
        <v>7</v>
      </c>
      <c r="C171" s="229" t="s">
        <v>195</v>
      </c>
      <c r="D171" s="230" t="n">
        <v>500</v>
      </c>
      <c r="E171" s="230" t="n">
        <f aca="false">+D171*B171</f>
        <v>3500</v>
      </c>
      <c r="F171" s="265" t="e">
        <f aca="false">+E171/#NAME?</f>
        <v>#NAME?</v>
      </c>
    </row>
    <row r="172" customFormat="false" ht="11.25" hidden="true" customHeight="false" outlineLevel="0" collapsed="false">
      <c r="A172" s="226" t="s">
        <v>232</v>
      </c>
      <c r="B172" s="209"/>
      <c r="C172" s="209"/>
      <c r="D172" s="210"/>
      <c r="E172" s="235" t="n">
        <f aca="false">SUM(E164:E171)</f>
        <v>88700</v>
      </c>
      <c r="F172" s="266" t="e">
        <f aca="false">SUM(F164:F171)</f>
        <v>#NAME?</v>
      </c>
    </row>
    <row r="173" customFormat="false" ht="11.25" hidden="true" customHeight="false" outlineLevel="0" collapsed="false"/>
    <row r="174" customFormat="false" ht="11.25" hidden="true" customHeight="false" outlineLevel="0" collapsed="false">
      <c r="A174" s="227" t="s">
        <v>250</v>
      </c>
      <c r="B174" s="209"/>
      <c r="C174" s="209"/>
      <c r="D174" s="210"/>
      <c r="E174" s="210"/>
      <c r="F174" s="211"/>
    </row>
    <row r="175" customFormat="false" ht="11.25" hidden="true" customHeight="false" outlineLevel="0" collapsed="false">
      <c r="A175" s="209" t="s">
        <v>251</v>
      </c>
      <c r="B175" s="210" t="e">
        <f aca="false">ROUND((5301/28*#NAME?*26/60),0)</f>
        <v>#NAME?</v>
      </c>
      <c r="C175" s="209" t="s">
        <v>252</v>
      </c>
      <c r="D175" s="210" t="n">
        <v>3.5</v>
      </c>
      <c r="E175" s="210" t="e">
        <f aca="false">+D175*B175</f>
        <v>#NAME?</v>
      </c>
      <c r="F175" s="211" t="e">
        <f aca="false">+E175/#NAME?</f>
        <v>#NAME?</v>
      </c>
    </row>
    <row r="176" customFormat="false" ht="11.25" hidden="true" customHeight="false" outlineLevel="0" collapsed="false">
      <c r="A176" s="209" t="s">
        <v>253</v>
      </c>
      <c r="B176" s="210" t="e">
        <f aca="false">ROUND((5301/28*#NAME?*26/60),0)</f>
        <v>#NAME?</v>
      </c>
      <c r="C176" s="209" t="s">
        <v>252</v>
      </c>
      <c r="D176" s="210" t="n">
        <v>2</v>
      </c>
      <c r="E176" s="210" t="e">
        <f aca="false">+D176*B176</f>
        <v>#NAME?</v>
      </c>
      <c r="F176" s="211" t="e">
        <f aca="false">+E176/#NAME?</f>
        <v>#NAME?</v>
      </c>
    </row>
    <row r="177" customFormat="false" ht="11.25" hidden="true" customHeight="false" outlineLevel="0" collapsed="false">
      <c r="A177" s="209" t="s">
        <v>254</v>
      </c>
      <c r="B177" s="210" t="e">
        <f aca="false">ROUND((5301/28*#NAME?*26/60),0)</f>
        <v>#NAME?</v>
      </c>
      <c r="C177" s="209" t="s">
        <v>252</v>
      </c>
      <c r="D177" s="210" t="n">
        <v>5.5</v>
      </c>
      <c r="E177" s="210" t="e">
        <f aca="false">+D177*B177</f>
        <v>#NAME?</v>
      </c>
      <c r="F177" s="211" t="e">
        <f aca="false">+E177/#NAME?</f>
        <v>#NAME?</v>
      </c>
    </row>
    <row r="178" customFormat="false" ht="11.25" hidden="true" customHeight="false" outlineLevel="0" collapsed="false">
      <c r="A178" s="209" t="s">
        <v>255</v>
      </c>
      <c r="B178" s="209" t="n">
        <v>4550</v>
      </c>
      <c r="C178" s="209" t="s">
        <v>252</v>
      </c>
      <c r="D178" s="210" t="n">
        <v>4</v>
      </c>
      <c r="E178" s="210" t="n">
        <f aca="false">+D178*B178</f>
        <v>18200</v>
      </c>
      <c r="F178" s="211" t="e">
        <f aca="false">+E178/#NAME?</f>
        <v>#NAME?</v>
      </c>
    </row>
    <row r="179" customFormat="false" ht="11.25" hidden="true" customHeight="false" outlineLevel="0" collapsed="false">
      <c r="A179" s="209" t="s">
        <v>256</v>
      </c>
      <c r="B179" s="209" t="e">
        <f aca="false">ROUND(((2022/28/65)*#NAME?*AvgWidth),0)</f>
        <v>#NAME?</v>
      </c>
      <c r="C179" s="209" t="s">
        <v>200</v>
      </c>
      <c r="D179" s="210" t="n">
        <v>7</v>
      </c>
      <c r="E179" s="210" t="e">
        <f aca="false">+D179*B179</f>
        <v>#NAME?</v>
      </c>
      <c r="F179" s="211" t="e">
        <f aca="false">+E179/#NAME?</f>
        <v>#NAME?</v>
      </c>
    </row>
    <row r="180" customFormat="false" ht="11.25" hidden="true" customHeight="false" outlineLevel="0" collapsed="false">
      <c r="A180" s="209" t="s">
        <v>257</v>
      </c>
      <c r="B180" s="209" t="e">
        <f aca="false">4*B179</f>
        <v>#NAME?</v>
      </c>
      <c r="C180" s="209" t="s">
        <v>258</v>
      </c>
      <c r="D180" s="210" t="n">
        <v>2.5</v>
      </c>
      <c r="E180" s="210" t="e">
        <f aca="false">+D180*B180</f>
        <v>#NAME?</v>
      </c>
      <c r="F180" s="211" t="e">
        <f aca="false">+E180/#NAME?</f>
        <v>#NAME?</v>
      </c>
    </row>
    <row r="181" customFormat="false" ht="11.25" hidden="true" customHeight="false" outlineLevel="0" collapsed="false">
      <c r="A181" s="229" t="s">
        <v>259</v>
      </c>
      <c r="B181" s="229" t="e">
        <f aca="false">ROUND((2/28*#NAME?),0)</f>
        <v>#NAME?</v>
      </c>
      <c r="C181" s="229" t="s">
        <v>195</v>
      </c>
      <c r="D181" s="230" t="n">
        <v>500</v>
      </c>
      <c r="E181" s="230" t="e">
        <f aca="false">+D181*B181</f>
        <v>#NAME?</v>
      </c>
      <c r="F181" s="265" t="e">
        <f aca="false">+E181/#NAME?</f>
        <v>#NAME?</v>
      </c>
    </row>
    <row r="182" customFormat="false" ht="11.25" hidden="true" customHeight="false" outlineLevel="0" collapsed="false">
      <c r="A182" s="226" t="s">
        <v>260</v>
      </c>
      <c r="B182" s="226"/>
      <c r="C182" s="226"/>
      <c r="D182" s="244"/>
      <c r="E182" s="244" t="e">
        <f aca="false">SUM(E175:E181)</f>
        <v>#NAME?</v>
      </c>
      <c r="F182" s="267" t="e">
        <f aca="false">SUM(F175:F181)</f>
        <v>#NAME?</v>
      </c>
    </row>
    <row r="183" customFormat="false" ht="11.25" hidden="true" customHeight="false" outlineLevel="0" collapsed="false">
      <c r="A183" s="209"/>
      <c r="B183" s="209"/>
      <c r="C183" s="209"/>
      <c r="D183" s="210"/>
      <c r="E183" s="210"/>
      <c r="F183" s="211"/>
    </row>
    <row r="184" customFormat="false" ht="11.25" hidden="true" customHeight="false" outlineLevel="0" collapsed="false">
      <c r="A184" s="227" t="s">
        <v>261</v>
      </c>
      <c r="B184" s="209"/>
      <c r="C184" s="209"/>
      <c r="D184" s="210"/>
      <c r="E184" s="210"/>
      <c r="F184" s="211"/>
    </row>
    <row r="185" customFormat="false" ht="11.25" hidden="true" customHeight="false" outlineLevel="0" collapsed="false">
      <c r="A185" s="229" t="s">
        <v>262</v>
      </c>
      <c r="B185" s="229" t="n">
        <v>1025</v>
      </c>
      <c r="C185" s="229" t="s">
        <v>200</v>
      </c>
      <c r="D185" s="230" t="n">
        <v>26</v>
      </c>
      <c r="E185" s="230" t="n">
        <f aca="false">+D185*B185</f>
        <v>26650</v>
      </c>
      <c r="F185" s="265" t="e">
        <f aca="false">+E185/#NAME?</f>
        <v>#NAME?</v>
      </c>
    </row>
    <row r="186" customFormat="false" ht="11.25" hidden="true" customHeight="false" outlineLevel="0" collapsed="false">
      <c r="A186" s="226" t="s">
        <v>263</v>
      </c>
      <c r="B186" s="209"/>
      <c r="C186" s="209"/>
      <c r="D186" s="210"/>
      <c r="E186" s="235" t="e">
        <f aca="false">+E185+E182</f>
        <v>#NAME?</v>
      </c>
      <c r="F186" s="266" t="e">
        <f aca="false">+F185+F182</f>
        <v>#NAME?</v>
      </c>
    </row>
    <row r="187" customFormat="false" ht="11.25" hidden="true" customHeight="false" outlineLevel="0" collapsed="false"/>
    <row r="188" customFormat="false" ht="11.25" hidden="true" customHeight="false" outlineLevel="0" collapsed="false">
      <c r="A188" s="227" t="s">
        <v>193</v>
      </c>
      <c r="B188" s="209"/>
      <c r="C188" s="209"/>
      <c r="D188" s="210"/>
      <c r="E188" s="209"/>
      <c r="F188" s="209"/>
    </row>
    <row r="189" customFormat="false" ht="11.25" hidden="true" customHeight="false" outlineLevel="0" collapsed="false">
      <c r="A189" s="209" t="s">
        <v>194</v>
      </c>
      <c r="B189" s="209" t="n">
        <v>2792.5</v>
      </c>
      <c r="C189" s="209" t="s">
        <v>195</v>
      </c>
      <c r="D189" s="210" t="n">
        <v>2</v>
      </c>
      <c r="E189" s="210" t="n">
        <f aca="false">+D189*B189</f>
        <v>5585</v>
      </c>
      <c r="F189" s="211" t="e">
        <f aca="false">+E189/#NAME?</f>
        <v>#NAME?</v>
      </c>
    </row>
    <row r="190" customFormat="false" ht="11.25" hidden="true" customHeight="false" outlineLevel="0" collapsed="false">
      <c r="A190" s="209" t="s">
        <v>196</v>
      </c>
      <c r="B190" s="209" t="n">
        <f aca="false">ROUND((5/7*11.5),0)</f>
        <v>8</v>
      </c>
      <c r="C190" s="209" t="s">
        <v>195</v>
      </c>
      <c r="D190" s="210" t="n">
        <v>500</v>
      </c>
      <c r="E190" s="210" t="n">
        <f aca="false">+D190*B190</f>
        <v>4000</v>
      </c>
      <c r="F190" s="211" t="e">
        <f aca="false">+E190/#NAME?</f>
        <v>#NAME?</v>
      </c>
    </row>
    <row r="191" customFormat="false" ht="11.25" hidden="true" customHeight="false" outlineLevel="0" collapsed="false">
      <c r="A191" s="229" t="s">
        <v>197</v>
      </c>
      <c r="B191" s="209" t="n">
        <f aca="false">ROUND((1/7*11.5),0)</f>
        <v>2</v>
      </c>
      <c r="C191" s="229" t="s">
        <v>195</v>
      </c>
      <c r="D191" s="230" t="n">
        <v>1500</v>
      </c>
      <c r="E191" s="230" t="n">
        <f aca="false">+D191*B191</f>
        <v>3000</v>
      </c>
      <c r="F191" s="265" t="e">
        <f aca="false">+E191/#NAME?</f>
        <v>#NAME?</v>
      </c>
    </row>
    <row r="192" customFormat="false" ht="11.25" hidden="true" customHeight="false" outlineLevel="0" collapsed="false">
      <c r="A192" s="226" t="s">
        <v>299</v>
      </c>
      <c r="B192" s="209"/>
      <c r="C192" s="209"/>
      <c r="D192" s="210"/>
      <c r="E192" s="268" t="n">
        <f aca="false">SUM(E189:E191)</f>
        <v>12585</v>
      </c>
      <c r="F192" s="269" t="e">
        <f aca="false">SUM(F189:F191)</f>
        <v>#NAME?</v>
      </c>
    </row>
    <row r="193" customFormat="false" ht="11.25" hidden="true" customHeight="false" outlineLevel="0" collapsed="false">
      <c r="A193" s="226"/>
      <c r="B193" s="209"/>
      <c r="C193" s="209"/>
      <c r="D193" s="210"/>
      <c r="E193" s="268"/>
      <c r="F193" s="269"/>
    </row>
    <row r="194" customFormat="false" ht="11.25" hidden="true" customHeight="false" outlineLevel="0" collapsed="false">
      <c r="A194" s="226" t="s">
        <v>300</v>
      </c>
      <c r="B194" s="210" t="n">
        <f aca="false">('Unit Summary'!$N$14*2)/27</f>
        <v>12768.3814814815</v>
      </c>
      <c r="C194" s="209" t="s">
        <v>272</v>
      </c>
      <c r="D194" s="247" t="n">
        <v>3.5</v>
      </c>
      <c r="E194" s="210" t="n">
        <f aca="false">+D194*B194</f>
        <v>44689.3351851852</v>
      </c>
      <c r="F194" s="211" t="e">
        <f aca="false">+E194/#NAME?</f>
        <v>#NAME?</v>
      </c>
    </row>
    <row r="195" customFormat="false" ht="11.25" hidden="true" customHeight="false" outlineLevel="0" collapsed="false">
      <c r="A195" s="260" t="s">
        <v>282</v>
      </c>
      <c r="B195" s="216" t="n">
        <f aca="false">13.75*50*60</f>
        <v>41250</v>
      </c>
      <c r="C195" s="209" t="s">
        <v>258</v>
      </c>
      <c r="D195" s="210"/>
      <c r="E195" s="268"/>
      <c r="F195" s="269"/>
    </row>
    <row r="196" customFormat="false" ht="11.25" hidden="true" customHeight="false" outlineLevel="0" collapsed="false">
      <c r="A196" s="260" t="s">
        <v>283</v>
      </c>
      <c r="B196" s="216" t="n">
        <f aca="false">105*565.34</f>
        <v>59360.7</v>
      </c>
      <c r="C196" s="209" t="s">
        <v>258</v>
      </c>
      <c r="D196" s="210"/>
      <c r="E196" s="209"/>
      <c r="F196" s="209"/>
    </row>
    <row r="197" customFormat="false" ht="12" hidden="true" customHeight="false" outlineLevel="0" collapsed="false">
      <c r="A197" s="270" t="s">
        <v>301</v>
      </c>
      <c r="B197" s="271"/>
      <c r="C197" s="271"/>
      <c r="D197" s="272"/>
      <c r="E197" s="273" t="e">
        <f aca="false">E194+E192+E186+E150+E161+E172+E130</f>
        <v>#NAME?</v>
      </c>
      <c r="F197" s="274" t="e">
        <f aca="false">+#NAME?/#NAME?</f>
        <v>#NAME?</v>
      </c>
    </row>
    <row r="198" customFormat="false" ht="12" hidden="true" customHeight="false" outlineLevel="0" collapsed="false">
      <c r="A198" s="209"/>
      <c r="B198" s="209"/>
      <c r="C198" s="209"/>
      <c r="D198" s="209"/>
      <c r="E198" s="209"/>
      <c r="F198" s="209"/>
    </row>
    <row r="199" customFormat="false" ht="11.25" hidden="true" customHeight="false" outlineLevel="0" collapsed="false">
      <c r="A199" s="209" t="s">
        <v>302</v>
      </c>
      <c r="B199" s="209"/>
      <c r="C199" s="209"/>
      <c r="D199" s="209"/>
      <c r="E199" s="209"/>
      <c r="F199" s="209"/>
    </row>
    <row r="200" customFormat="false" ht="11.25" hidden="true" customHeight="false" outlineLevel="0" collapsed="false">
      <c r="A200" s="209" t="s">
        <v>303</v>
      </c>
      <c r="B200" s="209"/>
      <c r="C200" s="209"/>
      <c r="D200" s="209"/>
      <c r="E200" s="209"/>
      <c r="F200" s="209"/>
    </row>
    <row r="201" customFormat="false" ht="11.25" hidden="true" customHeight="false" outlineLevel="0" collapsed="false">
      <c r="A201" s="209" t="s">
        <v>304</v>
      </c>
      <c r="B201" s="209"/>
      <c r="C201" s="209"/>
      <c r="D201" s="209"/>
      <c r="E201" s="209"/>
      <c r="F201" s="209"/>
    </row>
  </sheetData>
  <mergeCells count="2">
    <mergeCell ref="A1:F1"/>
    <mergeCell ref="A125:F125"/>
  </mergeCells>
  <printOptions headings="false" gridLines="false" gridLinesSet="true" horizontalCentered="true" verticalCentered="false"/>
  <pageMargins left="0.25" right="0.25" top="1.19027777777778" bottom="0.984027777777778" header="0.5" footer="0.5"/>
  <pageSetup paperSize="1" scale="98" fitToWidth="1" fitToHeight="1" pageOrder="downThenOver" orientation="portrait" blackAndWhite="false" draft="false" cellComments="none" horizontalDpi="300" verticalDpi="300" copies="1"/>
  <headerFooter differentFirst="false" differentOddEven="false">
    <oddHeader>&amp;C&amp;"Garamond,Bold"&amp;12WESTGATE &amp;&amp; CAMERON LOOP 
96 CONODOMINIUMS</oddHeader>
    <oddFooter>&amp;L&amp;8&amp;F&amp;C&amp;8Page &amp;P Of &amp;N&amp;R&amp;8&amp;D</oddFooter>
  </headerFooter>
  <rowBreaks count="1" manualBreakCount="1">
    <brk id="57" man="true" max="16383" min="0"/>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43"/>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F47" activeCellId="1" sqref="B36 F47:F50"/>
    </sheetView>
  </sheetViews>
  <sheetFormatPr defaultColWidth="9.1328125" defaultRowHeight="12.75" customHeight="true" zeroHeight="false" outlineLevelRow="0" outlineLevelCol="0"/>
  <cols>
    <col collapsed="false" customWidth="true" hidden="false" outlineLevel="0" max="1" min="1" style="14" width="16.56"/>
    <col collapsed="false" customWidth="true" hidden="false" outlineLevel="0" max="2" min="2" style="14" width="6.13"/>
    <col collapsed="false" customWidth="true" hidden="false" outlineLevel="0" max="3" min="3" style="14" width="5.85"/>
    <col collapsed="false" customWidth="true" hidden="false" outlineLevel="0" max="4" min="4" style="14" width="5.13"/>
    <col collapsed="false" customWidth="true" hidden="false" outlineLevel="0" max="5" min="5" style="14" width="9.7"/>
    <col collapsed="false" customWidth="true" hidden="false" outlineLevel="0" max="6" min="6" style="14" width="7.13"/>
    <col collapsed="false" customWidth="true" hidden="false" outlineLevel="0" max="7" min="7" style="14" width="9.7"/>
    <col collapsed="false" customWidth="true" hidden="false" outlineLevel="0" max="8" min="8" style="14" width="5.85"/>
    <col collapsed="false" customWidth="false" hidden="false" outlineLevel="0" max="257" min="9" style="14" width="9.13"/>
  </cols>
  <sheetData>
    <row r="1" customFormat="false" ht="13.5" hidden="false" customHeight="true" outlineLevel="0" collapsed="false">
      <c r="A1" s="275" t="s">
        <v>305</v>
      </c>
      <c r="B1" s="275"/>
      <c r="C1" s="275"/>
      <c r="D1" s="275"/>
      <c r="E1" s="275"/>
      <c r="F1" s="275"/>
      <c r="G1" s="275"/>
      <c r="H1" s="275"/>
    </row>
    <row r="2" customFormat="false" ht="12.75" hidden="false" customHeight="false" outlineLevel="0" collapsed="false">
      <c r="A2" s="276"/>
      <c r="B2" s="276"/>
      <c r="C2" s="276"/>
      <c r="D2" s="276"/>
      <c r="E2" s="276"/>
      <c r="F2" s="276"/>
      <c r="G2" s="276"/>
      <c r="H2" s="276"/>
    </row>
    <row r="3" customFormat="false" ht="12.75" hidden="false" customHeight="false" outlineLevel="0" collapsed="false">
      <c r="A3" s="277"/>
      <c r="B3" s="278"/>
      <c r="C3" s="278"/>
      <c r="D3" s="278"/>
      <c r="E3" s="278"/>
      <c r="F3" s="278"/>
      <c r="G3" s="278"/>
      <c r="H3" s="278"/>
      <c r="I3" s="278"/>
    </row>
    <row r="4" customFormat="false" ht="25.5" hidden="false" customHeight="false" outlineLevel="0" collapsed="false">
      <c r="A4" s="278" t="s">
        <v>306</v>
      </c>
      <c r="B4" s="278" t="s">
        <v>148</v>
      </c>
      <c r="C4" s="278" t="s">
        <v>307</v>
      </c>
      <c r="D4" s="278" t="s">
        <v>146</v>
      </c>
      <c r="E4" s="278" t="s">
        <v>308</v>
      </c>
      <c r="F4" s="278" t="s">
        <v>42</v>
      </c>
      <c r="G4" s="278" t="s">
        <v>309</v>
      </c>
      <c r="H4" s="278" t="s">
        <v>42</v>
      </c>
      <c r="I4" s="278"/>
    </row>
    <row r="6" customFormat="false" ht="12.75" hidden="false" customHeight="false" outlineLevel="0" collapsed="false">
      <c r="A6" s="279" t="s">
        <v>310</v>
      </c>
      <c r="B6" s="280"/>
      <c r="C6" s="280"/>
      <c r="D6" s="280" t="s">
        <v>311</v>
      </c>
      <c r="E6" s="280"/>
      <c r="F6" s="280"/>
      <c r="G6" s="280" t="n">
        <f aca="false">35*9</f>
        <v>315</v>
      </c>
      <c r="H6" s="280" t="s">
        <v>258</v>
      </c>
    </row>
    <row r="7" customFormat="false" ht="12.75" hidden="false" customHeight="false" outlineLevel="0" collapsed="false">
      <c r="A7" s="279" t="s">
        <v>312</v>
      </c>
      <c r="B7" s="280"/>
      <c r="C7" s="280"/>
      <c r="D7" s="280" t="s">
        <v>313</v>
      </c>
      <c r="E7" s="280"/>
      <c r="F7" s="280"/>
      <c r="G7" s="280" t="n">
        <f aca="false">B8+B15</f>
        <v>900</v>
      </c>
      <c r="H7" s="280" t="s">
        <v>258</v>
      </c>
    </row>
    <row r="8" customFormat="false" ht="12.75" hidden="false" customHeight="false" outlineLevel="0" collapsed="false">
      <c r="A8" s="280" t="s">
        <v>314</v>
      </c>
      <c r="B8" s="280" t="n">
        <v>492</v>
      </c>
      <c r="C8" s="280" t="s">
        <v>258</v>
      </c>
      <c r="D8" s="279" t="s">
        <v>315</v>
      </c>
      <c r="E8" s="280"/>
      <c r="F8" s="280"/>
      <c r="G8" s="280" t="n">
        <f aca="false">+G9+G10+G11</f>
        <v>178.5</v>
      </c>
      <c r="H8" s="280"/>
    </row>
    <row r="9" customFormat="false" ht="12.75" hidden="false" customHeight="false" outlineLevel="0" collapsed="false">
      <c r="A9" s="281" t="s">
        <v>316</v>
      </c>
      <c r="B9" s="281" t="n">
        <v>672</v>
      </c>
      <c r="C9" s="281" t="s">
        <v>258</v>
      </c>
      <c r="D9" s="282" t="s">
        <v>317</v>
      </c>
      <c r="E9" s="280"/>
      <c r="F9" s="280"/>
      <c r="G9" s="280" t="n">
        <f aca="false">8*7</f>
        <v>56</v>
      </c>
      <c r="H9" s="280" t="s">
        <v>258</v>
      </c>
    </row>
    <row r="10" customFormat="false" ht="12.75" hidden="false" customHeight="false" outlineLevel="0" collapsed="false">
      <c r="A10" s="280" t="s">
        <v>318</v>
      </c>
      <c r="B10" s="280" t="n">
        <f aca="false">+B9+B8</f>
        <v>1164</v>
      </c>
      <c r="C10" s="280" t="s">
        <v>258</v>
      </c>
      <c r="D10" s="282" t="s">
        <v>319</v>
      </c>
      <c r="E10" s="280"/>
      <c r="F10" s="280"/>
      <c r="G10" s="280" t="n">
        <v>0</v>
      </c>
      <c r="H10" s="280"/>
    </row>
    <row r="11" customFormat="false" ht="12.75" hidden="false" customHeight="false" outlineLevel="0" collapsed="false">
      <c r="A11" s="280"/>
      <c r="B11" s="280"/>
      <c r="C11" s="280"/>
      <c r="D11" s="282" t="s">
        <v>320</v>
      </c>
      <c r="E11" s="280"/>
      <c r="F11" s="280"/>
      <c r="G11" s="280" t="n">
        <f aca="false">3.5*(25+10)</f>
        <v>122.5</v>
      </c>
      <c r="H11" s="280"/>
    </row>
    <row r="12" customFormat="false" ht="12.75" hidden="false" customHeight="false" outlineLevel="0" collapsed="false">
      <c r="A12" s="279" t="s">
        <v>321</v>
      </c>
      <c r="B12" s="280"/>
      <c r="C12" s="280"/>
      <c r="D12" s="280" t="s">
        <v>322</v>
      </c>
      <c r="E12" s="280"/>
      <c r="F12" s="280"/>
      <c r="G12" s="280" t="n">
        <f aca="false">25*18</f>
        <v>450</v>
      </c>
      <c r="H12" s="280"/>
    </row>
    <row r="13" customFormat="false" ht="12.75" hidden="false" customHeight="false" outlineLevel="0" collapsed="false">
      <c r="A13" s="280" t="s">
        <v>323</v>
      </c>
      <c r="B13" s="280" t="n">
        <v>386</v>
      </c>
      <c r="C13" s="280" t="s">
        <v>258</v>
      </c>
      <c r="D13" s="280" t="s">
        <v>324</v>
      </c>
      <c r="E13" s="280"/>
      <c r="F13" s="280"/>
      <c r="G13" s="280" t="n">
        <v>9</v>
      </c>
      <c r="H13" s="280"/>
    </row>
    <row r="14" customFormat="false" ht="12.75" hidden="false" customHeight="false" outlineLevel="0" collapsed="false">
      <c r="A14" s="280" t="s">
        <v>325</v>
      </c>
      <c r="B14" s="280" t="n">
        <v>22</v>
      </c>
      <c r="C14" s="280" t="s">
        <v>258</v>
      </c>
      <c r="D14" s="280" t="s">
        <v>326</v>
      </c>
      <c r="E14" s="280"/>
      <c r="F14" s="280"/>
      <c r="G14" s="280" t="n">
        <v>1</v>
      </c>
      <c r="H14" s="280"/>
    </row>
    <row r="15" customFormat="false" ht="12.75" hidden="false" customHeight="false" outlineLevel="0" collapsed="false">
      <c r="A15" s="283" t="s">
        <v>327</v>
      </c>
      <c r="B15" s="283" t="n">
        <f aca="false">+B14+B13</f>
        <v>408</v>
      </c>
      <c r="C15" s="283" t="s">
        <v>258</v>
      </c>
      <c r="D15" s="280" t="s">
        <v>328</v>
      </c>
      <c r="E15" s="280"/>
      <c r="F15" s="280"/>
      <c r="G15" s="280" t="n">
        <v>8</v>
      </c>
      <c r="H15" s="280"/>
    </row>
    <row r="16" customFormat="false" ht="12.75" hidden="false" customHeight="false" outlineLevel="0" collapsed="false">
      <c r="A16" s="284" t="s">
        <v>329</v>
      </c>
      <c r="B16" s="284" t="n">
        <f aca="false">+B15+B10</f>
        <v>1572</v>
      </c>
      <c r="C16" s="284" t="s">
        <v>258</v>
      </c>
      <c r="D16" s="280" t="s">
        <v>330</v>
      </c>
      <c r="E16" s="280"/>
      <c r="F16" s="280"/>
      <c r="G16" s="280" t="n">
        <f aca="false">ConstTime</f>
        <v>6</v>
      </c>
      <c r="H16" s="280" t="s">
        <v>4</v>
      </c>
    </row>
    <row r="17" customFormat="false" ht="12.75" hidden="false" customHeight="false" outlineLevel="0" collapsed="false">
      <c r="A17" s="280"/>
      <c r="B17" s="280"/>
      <c r="C17" s="280"/>
      <c r="D17" s="280"/>
      <c r="E17" s="280"/>
      <c r="F17" s="280"/>
      <c r="G17" s="280"/>
      <c r="H17" s="280"/>
    </row>
    <row r="18" customFormat="false" ht="12.75" hidden="false" customHeight="false" outlineLevel="0" collapsed="false">
      <c r="A18" s="279" t="s">
        <v>184</v>
      </c>
      <c r="B18" s="280"/>
      <c r="C18" s="280"/>
      <c r="D18" s="280"/>
      <c r="E18" s="280"/>
      <c r="F18" s="280"/>
      <c r="G18" s="280"/>
      <c r="H18" s="280"/>
    </row>
    <row r="19" customFormat="false" ht="12.75" hidden="false" customHeight="false" outlineLevel="0" collapsed="false">
      <c r="A19" s="280" t="s">
        <v>331</v>
      </c>
      <c r="B19" s="280" t="n">
        <v>0</v>
      </c>
      <c r="C19" s="280" t="s">
        <v>179</v>
      </c>
      <c r="D19" s="285" t="n">
        <f aca="false">1000/4</f>
        <v>250</v>
      </c>
      <c r="E19" s="286" t="n">
        <f aca="false">D19*B19</f>
        <v>0</v>
      </c>
      <c r="F19" s="287" t="n">
        <f aca="false">+E19/$B$10</f>
        <v>0</v>
      </c>
      <c r="G19" s="286" t="n">
        <f aca="false">+E19*AdjRate</f>
        <v>0</v>
      </c>
      <c r="H19" s="287" t="n">
        <f aca="false">+G19/B$10</f>
        <v>0</v>
      </c>
    </row>
    <row r="20" customFormat="false" ht="12.75" hidden="false" customHeight="false" outlineLevel="0" collapsed="false">
      <c r="A20" s="280" t="s">
        <v>332</v>
      </c>
      <c r="B20" s="280" t="n">
        <f aca="false">+$G$7</f>
        <v>900</v>
      </c>
      <c r="C20" s="280" t="s">
        <v>258</v>
      </c>
      <c r="D20" s="285" t="n">
        <v>0.15</v>
      </c>
      <c r="E20" s="286" t="n">
        <f aca="false">D20*B20</f>
        <v>135</v>
      </c>
      <c r="F20" s="287" t="n">
        <f aca="false">+E20/$B$10</f>
        <v>0.115979381443299</v>
      </c>
      <c r="G20" s="286" t="n">
        <f aca="false">+E20*AdjRate</f>
        <v>162</v>
      </c>
      <c r="H20" s="287" t="n">
        <f aca="false">+G20/B$10</f>
        <v>0.139175257731959</v>
      </c>
    </row>
    <row r="21" customFormat="false" ht="12.75" hidden="false" customHeight="false" outlineLevel="0" collapsed="false">
      <c r="A21" s="280" t="s">
        <v>333</v>
      </c>
      <c r="B21" s="280" t="n">
        <v>0</v>
      </c>
      <c r="C21" s="280" t="s">
        <v>179</v>
      </c>
      <c r="D21" s="285" t="n">
        <v>315</v>
      </c>
      <c r="E21" s="286" t="n">
        <f aca="false">D21*B21</f>
        <v>0</v>
      </c>
      <c r="F21" s="287" t="n">
        <f aca="false">+E21/$B$10</f>
        <v>0</v>
      </c>
      <c r="G21" s="286" t="n">
        <f aca="false">+E21*AdjRate</f>
        <v>0</v>
      </c>
      <c r="H21" s="287" t="n">
        <f aca="false">+G21/B$10</f>
        <v>0</v>
      </c>
    </row>
    <row r="22" customFormat="false" ht="12.75" hidden="false" customHeight="false" outlineLevel="0" collapsed="false">
      <c r="A22" s="280" t="s">
        <v>334</v>
      </c>
      <c r="B22" s="280" t="n">
        <v>1</v>
      </c>
      <c r="C22" s="280" t="s">
        <v>179</v>
      </c>
      <c r="D22" s="285" t="n">
        <v>0</v>
      </c>
      <c r="E22" s="286" t="n">
        <f aca="false">D22*B22</f>
        <v>0</v>
      </c>
      <c r="F22" s="287" t="n">
        <f aca="false">+E22/$B$10</f>
        <v>0</v>
      </c>
      <c r="G22" s="286" t="n">
        <f aca="false">+E22*AdjRate</f>
        <v>0</v>
      </c>
      <c r="H22" s="287" t="n">
        <f aca="false">+G22/B$10</f>
        <v>0</v>
      </c>
    </row>
    <row r="23" customFormat="false" ht="12.75" hidden="false" customHeight="false" outlineLevel="0" collapsed="false">
      <c r="A23" s="280"/>
      <c r="B23" s="280"/>
      <c r="C23" s="280"/>
      <c r="D23" s="285"/>
      <c r="E23" s="286"/>
      <c r="F23" s="287"/>
      <c r="G23" s="286"/>
      <c r="H23" s="287"/>
    </row>
    <row r="24" customFormat="false" ht="12.75" hidden="false" customHeight="false" outlineLevel="0" collapsed="false">
      <c r="A24" s="279" t="s">
        <v>335</v>
      </c>
      <c r="B24" s="280"/>
      <c r="C24" s="280"/>
      <c r="D24" s="285"/>
      <c r="E24" s="286"/>
      <c r="F24" s="287"/>
      <c r="G24" s="286"/>
      <c r="H24" s="287"/>
    </row>
    <row r="25" customFormat="false" ht="12.75" hidden="false" customHeight="false" outlineLevel="0" collapsed="false">
      <c r="A25" s="280" t="s">
        <v>336</v>
      </c>
      <c r="B25" s="280" t="n">
        <v>1</v>
      </c>
      <c r="C25" s="280" t="s">
        <v>179</v>
      </c>
      <c r="D25" s="285" t="n">
        <v>150</v>
      </c>
      <c r="E25" s="286" t="n">
        <f aca="false">D25*B25</f>
        <v>150</v>
      </c>
      <c r="F25" s="287" t="n">
        <f aca="false">+E25/$B$10</f>
        <v>0.128865979381443</v>
      </c>
      <c r="G25" s="286" t="n">
        <f aca="false">+E25*AdjRate</f>
        <v>180</v>
      </c>
      <c r="H25" s="287" t="n">
        <f aca="false">+G25/B$10</f>
        <v>0.154639175257732</v>
      </c>
    </row>
    <row r="26" customFormat="false" ht="12.75" hidden="false" customHeight="false" outlineLevel="0" collapsed="false">
      <c r="A26" s="280" t="s">
        <v>337</v>
      </c>
      <c r="B26" s="280" t="n">
        <v>1</v>
      </c>
      <c r="C26" s="280" t="s">
        <v>179</v>
      </c>
      <c r="D26" s="285" t="n">
        <v>100</v>
      </c>
      <c r="E26" s="286" t="n">
        <f aca="false">D26*B26</f>
        <v>100</v>
      </c>
      <c r="F26" s="287" t="n">
        <f aca="false">+E26/$B$10</f>
        <v>0.0859106529209622</v>
      </c>
      <c r="G26" s="286" t="n">
        <f aca="false">+E26*AdjRate</f>
        <v>120</v>
      </c>
      <c r="H26" s="287" t="n">
        <f aca="false">+G26/B$10</f>
        <v>0.103092783505155</v>
      </c>
    </row>
    <row r="27" customFormat="false" ht="12.75" hidden="false" customHeight="false" outlineLevel="0" collapsed="false">
      <c r="A27" s="280" t="s">
        <v>338</v>
      </c>
      <c r="B27" s="280" t="n">
        <v>1</v>
      </c>
      <c r="C27" s="280" t="s">
        <v>179</v>
      </c>
      <c r="D27" s="285" t="n">
        <v>0</v>
      </c>
      <c r="E27" s="286" t="n">
        <f aca="false">D27*B27</f>
        <v>0</v>
      </c>
      <c r="F27" s="287" t="n">
        <f aca="false">+E27/$B$10</f>
        <v>0</v>
      </c>
      <c r="G27" s="286" t="n">
        <f aca="false">+E27*AdjRate</f>
        <v>0</v>
      </c>
      <c r="H27" s="287" t="n">
        <f aca="false">+G27/B$10</f>
        <v>0</v>
      </c>
    </row>
    <row r="28" customFormat="false" ht="12.75" hidden="false" customHeight="false" outlineLevel="0" collapsed="false">
      <c r="A28" s="280"/>
      <c r="B28" s="280"/>
      <c r="C28" s="280"/>
      <c r="D28" s="285"/>
      <c r="E28" s="286"/>
      <c r="F28" s="287"/>
      <c r="G28" s="286"/>
      <c r="H28" s="287"/>
    </row>
    <row r="29" customFormat="false" ht="12.75" hidden="false" customHeight="false" outlineLevel="0" collapsed="false">
      <c r="A29" s="279" t="s">
        <v>339</v>
      </c>
      <c r="B29" s="280"/>
      <c r="C29" s="280"/>
      <c r="D29" s="285"/>
      <c r="E29" s="286"/>
      <c r="F29" s="287"/>
      <c r="G29" s="286"/>
      <c r="H29" s="287"/>
    </row>
    <row r="30" customFormat="false" ht="12.75" hidden="false" customHeight="false" outlineLevel="0" collapsed="false">
      <c r="A30" s="280" t="s">
        <v>340</v>
      </c>
      <c r="B30" s="280" t="n">
        <f aca="false">ConstTime</f>
        <v>6</v>
      </c>
      <c r="C30" s="280" t="s">
        <v>274</v>
      </c>
      <c r="D30" s="285" t="n">
        <f aca="false">56</f>
        <v>56</v>
      </c>
      <c r="E30" s="286" t="n">
        <f aca="false">D30*B30</f>
        <v>336</v>
      </c>
      <c r="F30" s="287" t="n">
        <f aca="false">+E30/$B$10</f>
        <v>0.288659793814433</v>
      </c>
      <c r="G30" s="286" t="n">
        <f aca="false">+E30*AdjRate</f>
        <v>403.2</v>
      </c>
      <c r="H30" s="287" t="n">
        <f aca="false">+G30/B$10</f>
        <v>0.34639175257732</v>
      </c>
    </row>
    <row r="31" customFormat="false" ht="12.75" hidden="false" customHeight="false" outlineLevel="0" collapsed="false">
      <c r="A31" s="280" t="s">
        <v>341</v>
      </c>
      <c r="B31" s="280" t="n">
        <v>1</v>
      </c>
      <c r="C31" s="280" t="s">
        <v>179</v>
      </c>
      <c r="D31" s="285" t="n">
        <v>500</v>
      </c>
      <c r="E31" s="286" t="n">
        <f aca="false">D31*B31</f>
        <v>500</v>
      </c>
      <c r="F31" s="287" t="n">
        <f aca="false">+E31/$B$10</f>
        <v>0.429553264604811</v>
      </c>
      <c r="G31" s="286" t="n">
        <f aca="false">+E31*AdjRate</f>
        <v>600</v>
      </c>
      <c r="H31" s="287" t="n">
        <f aca="false">+G31/B$10</f>
        <v>0.515463917525773</v>
      </c>
    </row>
    <row r="32" customFormat="false" ht="12.75" hidden="false" customHeight="false" outlineLevel="0" collapsed="false">
      <c r="A32" s="280"/>
      <c r="B32" s="280"/>
      <c r="C32" s="280"/>
      <c r="D32" s="285"/>
      <c r="E32" s="286"/>
      <c r="F32" s="287"/>
      <c r="G32" s="286"/>
      <c r="H32" s="287"/>
    </row>
    <row r="33" customFormat="false" ht="12.75" hidden="false" customHeight="false" outlineLevel="0" collapsed="false">
      <c r="A33" s="279" t="s">
        <v>342</v>
      </c>
      <c r="B33" s="280"/>
      <c r="C33" s="280"/>
      <c r="D33" s="285"/>
      <c r="E33" s="286"/>
      <c r="F33" s="287"/>
      <c r="G33" s="286"/>
      <c r="H33" s="287"/>
    </row>
    <row r="34" customFormat="false" ht="12.75" hidden="false" customHeight="false" outlineLevel="0" collapsed="false">
      <c r="A34" s="280" t="s">
        <v>343</v>
      </c>
      <c r="B34" s="280" t="n">
        <f aca="false">ConstTime</f>
        <v>6</v>
      </c>
      <c r="C34" s="280" t="s">
        <v>274</v>
      </c>
      <c r="D34" s="285" t="n">
        <v>30</v>
      </c>
      <c r="E34" s="286" t="n">
        <f aca="false">D34*B34</f>
        <v>180</v>
      </c>
      <c r="F34" s="287" t="n">
        <f aca="false">+E34/$B$10</f>
        <v>0.154639175257732</v>
      </c>
      <c r="G34" s="286" t="n">
        <f aca="false">+E34*AdjRate</f>
        <v>216</v>
      </c>
      <c r="H34" s="287" t="n">
        <f aca="false">+G34/B$10</f>
        <v>0.185567010309278</v>
      </c>
    </row>
    <row r="35" customFormat="false" ht="12.75" hidden="false" customHeight="false" outlineLevel="0" collapsed="false">
      <c r="A35" s="280" t="s">
        <v>344</v>
      </c>
      <c r="B35" s="280" t="n">
        <f aca="false">ConstTime</f>
        <v>6</v>
      </c>
      <c r="C35" s="280" t="s">
        <v>274</v>
      </c>
      <c r="D35" s="285" t="n">
        <v>30</v>
      </c>
      <c r="E35" s="286" t="n">
        <f aca="false">D35*B35</f>
        <v>180</v>
      </c>
      <c r="F35" s="287" t="n">
        <f aca="false">+E35/$B$10</f>
        <v>0.154639175257732</v>
      </c>
      <c r="G35" s="286" t="n">
        <f aca="false">+E35*AdjRate</f>
        <v>216</v>
      </c>
      <c r="H35" s="287" t="n">
        <f aca="false">+G35/B$10</f>
        <v>0.185567010309278</v>
      </c>
    </row>
    <row r="36" customFormat="false" ht="12.75" hidden="false" customHeight="false" outlineLevel="0" collapsed="false">
      <c r="A36" s="280" t="s">
        <v>345</v>
      </c>
      <c r="B36" s="280" t="n">
        <f aca="false">ConstTime</f>
        <v>6</v>
      </c>
      <c r="C36" s="280" t="s">
        <v>274</v>
      </c>
      <c r="D36" s="285" t="n">
        <f aca="false">85/2</f>
        <v>42.5</v>
      </c>
      <c r="E36" s="286" t="n">
        <f aca="false">D36*B36</f>
        <v>255</v>
      </c>
      <c r="F36" s="287" t="n">
        <f aca="false">+E36/$B$10</f>
        <v>0.219072164948454</v>
      </c>
      <c r="G36" s="286" t="n">
        <f aca="false">+E36*AdjRate</f>
        <v>306</v>
      </c>
      <c r="H36" s="287" t="n">
        <f aca="false">+G36/B$10</f>
        <v>0.262886597938144</v>
      </c>
    </row>
    <row r="37" customFormat="false" ht="12.75" hidden="false" customHeight="false" outlineLevel="0" collapsed="false">
      <c r="A37" s="280"/>
      <c r="B37" s="280"/>
      <c r="C37" s="280"/>
      <c r="D37" s="285"/>
      <c r="E37" s="286"/>
      <c r="F37" s="287"/>
      <c r="G37" s="286"/>
      <c r="H37" s="287"/>
    </row>
    <row r="38" customFormat="false" ht="12.75" hidden="false" customHeight="false" outlineLevel="0" collapsed="false">
      <c r="A38" s="279" t="s">
        <v>346</v>
      </c>
      <c r="B38" s="280"/>
      <c r="C38" s="280"/>
      <c r="D38" s="285"/>
      <c r="E38" s="286"/>
      <c r="F38" s="287"/>
      <c r="G38" s="286"/>
      <c r="H38" s="287"/>
    </row>
    <row r="39" customFormat="false" ht="12.75" hidden="false" customHeight="false" outlineLevel="0" collapsed="false">
      <c r="A39" s="280" t="s">
        <v>347</v>
      </c>
      <c r="B39" s="280" t="n">
        <v>1</v>
      </c>
      <c r="C39" s="280" t="s">
        <v>179</v>
      </c>
      <c r="D39" s="285" t="n">
        <v>750</v>
      </c>
      <c r="E39" s="286" t="n">
        <f aca="false">D39*B39</f>
        <v>750</v>
      </c>
      <c r="F39" s="287" t="n">
        <f aca="false">+E39/$B$10</f>
        <v>0.644329896907217</v>
      </c>
      <c r="G39" s="286" t="n">
        <f aca="false">+E39*AdjRate</f>
        <v>900</v>
      </c>
      <c r="H39" s="287" t="n">
        <f aca="false">+G39/B$10</f>
        <v>0.77319587628866</v>
      </c>
    </row>
    <row r="40" customFormat="false" ht="12.75" hidden="false" customHeight="false" outlineLevel="0" collapsed="false">
      <c r="A40" s="280" t="s">
        <v>348</v>
      </c>
      <c r="B40" s="280" t="n">
        <f aca="false">+B$10</f>
        <v>1164</v>
      </c>
      <c r="C40" s="280" t="s">
        <v>258</v>
      </c>
      <c r="D40" s="285" t="n">
        <v>0.1</v>
      </c>
      <c r="E40" s="286" t="n">
        <f aca="false">D40*B40</f>
        <v>116.4</v>
      </c>
      <c r="F40" s="287" t="n">
        <f aca="false">+E40/$B$10</f>
        <v>0.1</v>
      </c>
      <c r="G40" s="286" t="n">
        <f aca="false">+E40*AdjRate</f>
        <v>139.68</v>
      </c>
      <c r="H40" s="287" t="n">
        <f aca="false">+G40/B$10</f>
        <v>0.12</v>
      </c>
    </row>
    <row r="41" customFormat="false" ht="12.75" hidden="false" customHeight="false" outlineLevel="0" collapsed="false">
      <c r="A41" s="280"/>
      <c r="B41" s="280"/>
      <c r="C41" s="280"/>
      <c r="D41" s="285"/>
      <c r="E41" s="286"/>
      <c r="F41" s="287"/>
      <c r="G41" s="286"/>
      <c r="H41" s="287"/>
    </row>
    <row r="42" customFormat="false" ht="12.75" hidden="false" customHeight="false" outlineLevel="0" collapsed="false">
      <c r="A42" s="279" t="s">
        <v>349</v>
      </c>
      <c r="B42" s="280"/>
      <c r="C42" s="280"/>
      <c r="D42" s="285"/>
      <c r="E42" s="286"/>
      <c r="F42" s="287"/>
      <c r="G42" s="286"/>
      <c r="H42" s="287"/>
    </row>
    <row r="43" customFormat="false" ht="12.75" hidden="false" customHeight="false" outlineLevel="0" collapsed="false">
      <c r="A43" s="280" t="s">
        <v>350</v>
      </c>
      <c r="B43" s="280" t="n">
        <v>0</v>
      </c>
      <c r="C43" s="280" t="s">
        <v>179</v>
      </c>
      <c r="D43" s="285" t="n">
        <v>0</v>
      </c>
      <c r="E43" s="286" t="n">
        <f aca="false">D43*B43</f>
        <v>0</v>
      </c>
      <c r="F43" s="287" t="n">
        <f aca="false">+E43/$B$10</f>
        <v>0</v>
      </c>
      <c r="G43" s="286" t="n">
        <f aca="false">+E43*AdjRate</f>
        <v>0</v>
      </c>
      <c r="H43" s="287" t="n">
        <f aca="false">+G43/B$10</f>
        <v>0</v>
      </c>
    </row>
    <row r="44" customFormat="false" ht="12.75" hidden="false" customHeight="false" outlineLevel="0" collapsed="false">
      <c r="A44" s="280" t="s">
        <v>351</v>
      </c>
      <c r="B44" s="280" t="n">
        <v>1</v>
      </c>
      <c r="C44" s="280" t="s">
        <v>195</v>
      </c>
      <c r="D44" s="285" t="n">
        <v>150</v>
      </c>
      <c r="E44" s="286" t="n">
        <f aca="false">D44*B44</f>
        <v>150</v>
      </c>
      <c r="F44" s="287" t="n">
        <f aca="false">+E44/$B$10</f>
        <v>0.128865979381443</v>
      </c>
      <c r="G44" s="286" t="n">
        <f aca="false">+E44*AdjRate</f>
        <v>180</v>
      </c>
      <c r="H44" s="287" t="n">
        <f aca="false">+G44/B$10</f>
        <v>0.154639175257732</v>
      </c>
    </row>
    <row r="45" customFormat="false" ht="12.75" hidden="false" customHeight="false" outlineLevel="0" collapsed="false">
      <c r="A45" s="280" t="s">
        <v>352</v>
      </c>
      <c r="B45" s="280" t="n">
        <v>1</v>
      </c>
      <c r="C45" s="280" t="s">
        <v>179</v>
      </c>
      <c r="D45" s="285" t="n">
        <v>150</v>
      </c>
      <c r="E45" s="286" t="n">
        <f aca="false">D45*B45</f>
        <v>150</v>
      </c>
      <c r="F45" s="287" t="n">
        <f aca="false">+E45/$B$10</f>
        <v>0.128865979381443</v>
      </c>
      <c r="G45" s="286" t="n">
        <f aca="false">+E45*AdjRate</f>
        <v>180</v>
      </c>
      <c r="H45" s="287" t="n">
        <f aca="false">+G45/B$10</f>
        <v>0.154639175257732</v>
      </c>
    </row>
    <row r="46" customFormat="false" ht="12.75" hidden="false" customHeight="false" outlineLevel="0" collapsed="false">
      <c r="A46" s="280" t="s">
        <v>353</v>
      </c>
      <c r="B46" s="280" t="n">
        <v>1</v>
      </c>
      <c r="C46" s="280" t="s">
        <v>179</v>
      </c>
      <c r="D46" s="285" t="n">
        <v>0</v>
      </c>
      <c r="E46" s="286" t="n">
        <f aca="false">D46*B46</f>
        <v>0</v>
      </c>
      <c r="F46" s="287" t="n">
        <f aca="false">+E46/$B$10</f>
        <v>0</v>
      </c>
      <c r="G46" s="286" t="n">
        <f aca="false">+E46*AdjRate</f>
        <v>0</v>
      </c>
      <c r="H46" s="287" t="n">
        <f aca="false">+G46/B$10</f>
        <v>0</v>
      </c>
    </row>
    <row r="47" customFormat="false" ht="12.75" hidden="false" customHeight="false" outlineLevel="0" collapsed="false">
      <c r="A47" s="280" t="s">
        <v>267</v>
      </c>
      <c r="B47" s="280" t="n">
        <v>1</v>
      </c>
      <c r="C47" s="280" t="s">
        <v>179</v>
      </c>
      <c r="D47" s="285" t="n">
        <v>0</v>
      </c>
      <c r="E47" s="286" t="n">
        <f aca="false">D47*B47</f>
        <v>0</v>
      </c>
      <c r="F47" s="288" t="s">
        <v>354</v>
      </c>
      <c r="G47" s="286" t="n">
        <f aca="false">+E47*AdjRate</f>
        <v>0</v>
      </c>
      <c r="H47" s="287" t="n">
        <f aca="false">+G47/B$10</f>
        <v>0</v>
      </c>
    </row>
    <row r="48" customFormat="false" ht="12.75" hidden="false" customHeight="false" outlineLevel="0" collapsed="false">
      <c r="A48" s="280" t="s">
        <v>355</v>
      </c>
      <c r="B48" s="280" t="n">
        <v>100</v>
      </c>
      <c r="C48" s="280" t="s">
        <v>200</v>
      </c>
      <c r="D48" s="285" t="n">
        <v>15</v>
      </c>
      <c r="E48" s="286" t="n">
        <f aca="false">D48*B48</f>
        <v>1500</v>
      </c>
      <c r="F48" s="287" t="n">
        <f aca="false">+E48/$B$10</f>
        <v>1.28865979381443</v>
      </c>
      <c r="G48" s="286" t="n">
        <f aca="false">+E48*AdjRate</f>
        <v>1800</v>
      </c>
      <c r="H48" s="287" t="n">
        <f aca="false">+G48/B$10</f>
        <v>1.54639175257732</v>
      </c>
    </row>
    <row r="49" customFormat="false" ht="12.75" hidden="false" customHeight="false" outlineLevel="0" collapsed="false">
      <c r="A49" s="280" t="s">
        <v>356</v>
      </c>
      <c r="B49" s="280" t="n">
        <v>1</v>
      </c>
      <c r="C49" s="280" t="s">
        <v>179</v>
      </c>
      <c r="D49" s="285" t="n">
        <v>100</v>
      </c>
      <c r="E49" s="286" t="n">
        <f aca="false">D49*B49</f>
        <v>100</v>
      </c>
      <c r="F49" s="287" t="n">
        <f aca="false">+E49/$B$10</f>
        <v>0.0859106529209622</v>
      </c>
      <c r="G49" s="286" t="n">
        <f aca="false">+E49*AdjRate</f>
        <v>120</v>
      </c>
      <c r="H49" s="287" t="n">
        <f aca="false">+G49/B$10</f>
        <v>0.103092783505155</v>
      </c>
    </row>
    <row r="50" customFormat="false" ht="12.75" hidden="false" customHeight="false" outlineLevel="0" collapsed="false">
      <c r="A50" s="280"/>
      <c r="B50" s="280"/>
      <c r="C50" s="280"/>
      <c r="D50" s="285"/>
      <c r="E50" s="286"/>
      <c r="F50" s="287"/>
      <c r="G50" s="286"/>
      <c r="H50" s="287"/>
    </row>
    <row r="51" customFormat="false" ht="12.75" hidden="false" customHeight="false" outlineLevel="0" collapsed="false">
      <c r="A51" s="279" t="s">
        <v>357</v>
      </c>
      <c r="B51" s="280"/>
      <c r="C51" s="280"/>
      <c r="D51" s="285"/>
      <c r="E51" s="286"/>
      <c r="F51" s="287"/>
      <c r="G51" s="286"/>
      <c r="H51" s="287"/>
    </row>
    <row r="52" customFormat="false" ht="12.75" hidden="false" customHeight="false" outlineLevel="0" collapsed="false">
      <c r="A52" s="280" t="s">
        <v>313</v>
      </c>
      <c r="B52" s="280" t="n">
        <f aca="false">+G7</f>
        <v>900</v>
      </c>
      <c r="C52" s="280" t="s">
        <v>258</v>
      </c>
      <c r="D52" s="285" t="n">
        <v>5.75</v>
      </c>
      <c r="E52" s="286" t="n">
        <f aca="false">D52*B52</f>
        <v>5175</v>
      </c>
      <c r="F52" s="287" t="n">
        <f aca="false">+E52/$B$10</f>
        <v>4.44587628865979</v>
      </c>
      <c r="G52" s="286" t="n">
        <f aca="false">+E52*AdjRate</f>
        <v>6210</v>
      </c>
      <c r="H52" s="287" t="n">
        <f aca="false">+G52/B$10</f>
        <v>5.33505154639175</v>
      </c>
    </row>
    <row r="53" customFormat="false" ht="12.75" hidden="false" customHeight="false" outlineLevel="0" collapsed="false">
      <c r="A53" s="280" t="s">
        <v>358</v>
      </c>
      <c r="B53" s="280" t="n">
        <v>1</v>
      </c>
      <c r="C53" s="280" t="s">
        <v>179</v>
      </c>
      <c r="D53" s="285" t="n">
        <v>100</v>
      </c>
      <c r="E53" s="286" t="n">
        <f aca="false">D53*B53</f>
        <v>100</v>
      </c>
      <c r="F53" s="287" t="n">
        <f aca="false">+E53/$B$10</f>
        <v>0.0859106529209622</v>
      </c>
      <c r="G53" s="286" t="n">
        <f aca="false">+E53*AdjRate</f>
        <v>120</v>
      </c>
      <c r="H53" s="287" t="n">
        <f aca="false">+G53/B$10</f>
        <v>0.103092783505155</v>
      </c>
    </row>
    <row r="54" customFormat="false" ht="12.75" hidden="false" customHeight="false" outlineLevel="0" collapsed="false">
      <c r="A54" s="280" t="s">
        <v>315</v>
      </c>
      <c r="B54" s="280" t="n">
        <f aca="false">+G8</f>
        <v>178.5</v>
      </c>
      <c r="C54" s="280" t="s">
        <v>258</v>
      </c>
      <c r="D54" s="285" t="n">
        <v>2</v>
      </c>
      <c r="E54" s="286" t="n">
        <f aca="false">D54*B54</f>
        <v>357</v>
      </c>
      <c r="F54" s="287" t="n">
        <f aca="false">+E54/$B$10</f>
        <v>0.306701030927835</v>
      </c>
      <c r="G54" s="286" t="n">
        <f aca="false">+E54*AdjRate</f>
        <v>428.4</v>
      </c>
      <c r="H54" s="287" t="n">
        <f aca="false">+G54/B$10</f>
        <v>0.368041237113402</v>
      </c>
    </row>
    <row r="55" customFormat="false" ht="12.75" hidden="false" customHeight="false" outlineLevel="0" collapsed="false">
      <c r="A55" s="280" t="s">
        <v>359</v>
      </c>
      <c r="B55" s="280" t="n">
        <f aca="false">+G12</f>
        <v>450</v>
      </c>
      <c r="C55" s="280" t="s">
        <v>258</v>
      </c>
      <c r="D55" s="285" t="n">
        <v>2.25</v>
      </c>
      <c r="E55" s="286" t="n">
        <f aca="false">D55*B55</f>
        <v>1012.5</v>
      </c>
      <c r="F55" s="287" t="n">
        <f aca="false">+E55/$B$10</f>
        <v>0.869845360824742</v>
      </c>
      <c r="G55" s="286" t="n">
        <f aca="false">+E55*AdjRate</f>
        <v>1215</v>
      </c>
      <c r="H55" s="287" t="n">
        <f aca="false">+G55/B$10</f>
        <v>1.04381443298969</v>
      </c>
    </row>
    <row r="56" customFormat="false" ht="12.75" hidden="false" customHeight="false" outlineLevel="0" collapsed="false">
      <c r="A56" s="280"/>
      <c r="B56" s="280"/>
      <c r="C56" s="280"/>
      <c r="D56" s="285"/>
      <c r="E56" s="286"/>
      <c r="F56" s="287"/>
      <c r="G56" s="286"/>
      <c r="H56" s="287"/>
    </row>
    <row r="57" customFormat="false" ht="12.75" hidden="false" customHeight="false" outlineLevel="0" collapsed="false">
      <c r="A57" s="279" t="s">
        <v>360</v>
      </c>
      <c r="B57" s="280"/>
      <c r="C57" s="280"/>
      <c r="D57" s="285"/>
      <c r="E57" s="286"/>
      <c r="F57" s="287"/>
      <c r="G57" s="286" t="s">
        <v>127</v>
      </c>
      <c r="H57" s="287"/>
    </row>
    <row r="58" customFormat="false" ht="12.75" hidden="false" customHeight="false" outlineLevel="0" collapsed="false">
      <c r="A58" s="280" t="s">
        <v>361</v>
      </c>
      <c r="B58" s="280" t="n">
        <f aca="false">B$16</f>
        <v>1572</v>
      </c>
      <c r="C58" s="280" t="s">
        <v>258</v>
      </c>
      <c r="D58" s="285" t="n">
        <v>2.5</v>
      </c>
      <c r="E58" s="286" t="n">
        <f aca="false">D58*B58</f>
        <v>3930</v>
      </c>
      <c r="F58" s="287" t="n">
        <f aca="false">+E58/$B$10</f>
        <v>3.37628865979381</v>
      </c>
      <c r="G58" s="286" t="n">
        <f aca="false">+E58*AdjRate</f>
        <v>4716</v>
      </c>
      <c r="H58" s="287" t="n">
        <f aca="false">+G58/B$10</f>
        <v>4.05154639175258</v>
      </c>
    </row>
    <row r="59" customFormat="false" ht="12.75" hidden="false" customHeight="false" outlineLevel="0" collapsed="false">
      <c r="A59" s="280" t="s">
        <v>362</v>
      </c>
      <c r="B59" s="280" t="n">
        <f aca="false">+B9</f>
        <v>672</v>
      </c>
      <c r="C59" s="280" t="s">
        <v>258</v>
      </c>
      <c r="D59" s="285" t="n">
        <v>1.9</v>
      </c>
      <c r="E59" s="286" t="n">
        <f aca="false">D59*B59</f>
        <v>1276.8</v>
      </c>
      <c r="F59" s="287" t="n">
        <f aca="false">+E59/$B$10</f>
        <v>1.09690721649485</v>
      </c>
      <c r="G59" s="286" t="n">
        <f aca="false">+E59*AdjRate</f>
        <v>1532.16</v>
      </c>
      <c r="H59" s="287" t="n">
        <f aca="false">+G59/B$10</f>
        <v>1.31628865979381</v>
      </c>
    </row>
    <row r="60" customFormat="false" ht="12.75" hidden="false" customHeight="false" outlineLevel="0" collapsed="false">
      <c r="A60" s="280" t="s">
        <v>363</v>
      </c>
      <c r="B60" s="280" t="n">
        <f aca="false">+G$7</f>
        <v>900</v>
      </c>
      <c r="C60" s="280" t="s">
        <v>258</v>
      </c>
      <c r="D60" s="285" t="n">
        <v>1.2</v>
      </c>
      <c r="E60" s="286" t="n">
        <f aca="false">D60*B60</f>
        <v>1080</v>
      </c>
      <c r="F60" s="287" t="n">
        <f aca="false">+E60/$B$10</f>
        <v>0.927835051546392</v>
      </c>
      <c r="G60" s="286" t="n">
        <f aca="false">+E60*AdjRate</f>
        <v>1296</v>
      </c>
      <c r="H60" s="287" t="n">
        <f aca="false">+G60/B$10</f>
        <v>1.11340206185567</v>
      </c>
    </row>
    <row r="61" customFormat="false" ht="12.75" hidden="false" customHeight="false" outlineLevel="0" collapsed="false">
      <c r="A61" s="280" t="s">
        <v>364</v>
      </c>
      <c r="B61" s="280" t="n">
        <f aca="false">B$16</f>
        <v>1572</v>
      </c>
      <c r="C61" s="280" t="s">
        <v>258</v>
      </c>
      <c r="D61" s="285" t="n">
        <v>3.5</v>
      </c>
      <c r="E61" s="286" t="n">
        <f aca="false">D61*B61</f>
        <v>5502</v>
      </c>
      <c r="F61" s="287" t="n">
        <f aca="false">+E61/$B$10</f>
        <v>4.72680412371134</v>
      </c>
      <c r="G61" s="286" t="n">
        <f aca="false">+E61*AdjRate</f>
        <v>6602.4</v>
      </c>
      <c r="H61" s="287" t="n">
        <f aca="false">+G61/B$10</f>
        <v>5.67216494845361</v>
      </c>
    </row>
    <row r="62" customFormat="false" ht="12.75" hidden="false" customHeight="false" outlineLevel="0" collapsed="false">
      <c r="A62" s="280" t="s">
        <v>365</v>
      </c>
      <c r="B62" s="280" t="n">
        <v>1</v>
      </c>
      <c r="C62" s="280" t="s">
        <v>179</v>
      </c>
      <c r="D62" s="285" t="n">
        <v>285</v>
      </c>
      <c r="E62" s="286" t="n">
        <f aca="false">D62*B62</f>
        <v>285</v>
      </c>
      <c r="F62" s="287" t="n">
        <f aca="false">+E62/$B$10</f>
        <v>0.244845360824742</v>
      </c>
      <c r="G62" s="286" t="n">
        <f aca="false">+E62*AdjRate</f>
        <v>342</v>
      </c>
      <c r="H62" s="287" t="n">
        <f aca="false">+G62/B$10</f>
        <v>0.293814432989691</v>
      </c>
    </row>
    <row r="63" customFormat="false" ht="12.75" hidden="false" customHeight="false" outlineLevel="0" collapsed="false">
      <c r="A63" s="280" t="s">
        <v>366</v>
      </c>
      <c r="B63" s="280" t="n">
        <f aca="false">+G14</f>
        <v>1</v>
      </c>
      <c r="C63" s="280" t="s">
        <v>367</v>
      </c>
      <c r="D63" s="285" t="n">
        <v>285</v>
      </c>
      <c r="E63" s="286" t="n">
        <f aca="false">D63*B63</f>
        <v>285</v>
      </c>
      <c r="F63" s="287" t="n">
        <f aca="false">+E63/$B$10</f>
        <v>0.244845360824742</v>
      </c>
      <c r="G63" s="286" t="n">
        <f aca="false">+E63*AdjRate</f>
        <v>342</v>
      </c>
      <c r="H63" s="287" t="n">
        <f aca="false">+G63/B$10</f>
        <v>0.293814432989691</v>
      </c>
    </row>
    <row r="64" customFormat="false" ht="12.75" hidden="false" customHeight="false" outlineLevel="0" collapsed="false">
      <c r="A64" s="280" t="s">
        <v>368</v>
      </c>
      <c r="B64" s="280" t="n">
        <f aca="false">B$10</f>
        <v>1164</v>
      </c>
      <c r="C64" s="280" t="s">
        <v>258</v>
      </c>
      <c r="D64" s="285" t="n">
        <v>0.6</v>
      </c>
      <c r="E64" s="286" t="n">
        <f aca="false">D64*B64</f>
        <v>698.4</v>
      </c>
      <c r="F64" s="287" t="n">
        <f aca="false">+E64/$B$10</f>
        <v>0.6</v>
      </c>
      <c r="G64" s="286" t="n">
        <f aca="false">+E64*AdjRate</f>
        <v>838.08</v>
      </c>
      <c r="H64" s="287" t="n">
        <f aca="false">+G64/B$10</f>
        <v>0.72</v>
      </c>
    </row>
    <row r="65" customFormat="false" ht="12.75" hidden="false" customHeight="false" outlineLevel="0" collapsed="false">
      <c r="A65" s="280" t="s">
        <v>328</v>
      </c>
      <c r="B65" s="280" t="n">
        <f aca="false">+G15</f>
        <v>8</v>
      </c>
      <c r="C65" s="280" t="s">
        <v>369</v>
      </c>
      <c r="D65" s="285" t="n">
        <v>85</v>
      </c>
      <c r="E65" s="286" t="n">
        <f aca="false">D65*B65</f>
        <v>680</v>
      </c>
      <c r="F65" s="287" t="n">
        <f aca="false">+E65/$B$10</f>
        <v>0.584192439862543</v>
      </c>
      <c r="G65" s="286" t="n">
        <f aca="false">+E65*AdjRate</f>
        <v>816</v>
      </c>
      <c r="H65" s="287" t="n">
        <f aca="false">+G65/B$10</f>
        <v>0.701030927835052</v>
      </c>
    </row>
    <row r="66" customFormat="false" ht="12.75" hidden="false" customHeight="false" outlineLevel="0" collapsed="false">
      <c r="A66" s="280" t="s">
        <v>370</v>
      </c>
      <c r="B66" s="280" t="n">
        <f aca="false">B$10</f>
        <v>1164</v>
      </c>
      <c r="C66" s="280" t="s">
        <v>258</v>
      </c>
      <c r="D66" s="285" t="n">
        <v>0.6</v>
      </c>
      <c r="E66" s="286" t="n">
        <f aca="false">D66*B66</f>
        <v>698.4</v>
      </c>
      <c r="F66" s="287" t="n">
        <f aca="false">+E66/$B$10</f>
        <v>0.6</v>
      </c>
      <c r="G66" s="286" t="n">
        <f aca="false">+E66*AdjRate</f>
        <v>838.08</v>
      </c>
      <c r="H66" s="287" t="n">
        <f aca="false">+G66/B$10</f>
        <v>0.72</v>
      </c>
    </row>
    <row r="67" customFormat="false" ht="12.75" hidden="false" customHeight="false" outlineLevel="0" collapsed="false">
      <c r="A67" s="280" t="s">
        <v>371</v>
      </c>
      <c r="B67" s="280" t="n">
        <v>33</v>
      </c>
      <c r="C67" s="280" t="s">
        <v>200</v>
      </c>
      <c r="D67" s="285" t="n">
        <v>60</v>
      </c>
      <c r="E67" s="286" t="n">
        <f aca="false">D67*B67</f>
        <v>1980</v>
      </c>
      <c r="F67" s="287" t="n">
        <f aca="false">+E67/$B$10</f>
        <v>1.70103092783505</v>
      </c>
      <c r="G67" s="286" t="n">
        <f aca="false">+E67*AdjRate</f>
        <v>2376</v>
      </c>
      <c r="H67" s="287" t="n">
        <f aca="false">+G67/B$10</f>
        <v>2.04123711340206</v>
      </c>
    </row>
    <row r="68" customFormat="false" ht="12.75" hidden="false" customHeight="false" outlineLevel="0" collapsed="false">
      <c r="A68" s="280" t="s">
        <v>372</v>
      </c>
      <c r="B68" s="280" t="n">
        <v>16</v>
      </c>
      <c r="C68" s="280" t="s">
        <v>200</v>
      </c>
      <c r="D68" s="285" t="n">
        <v>30</v>
      </c>
      <c r="E68" s="286" t="n">
        <f aca="false">D68*B68</f>
        <v>480</v>
      </c>
      <c r="F68" s="287" t="n">
        <f aca="false">+E68/$B$10</f>
        <v>0.412371134020619</v>
      </c>
      <c r="G68" s="286" t="n">
        <f aca="false">+E68*AdjRate</f>
        <v>576</v>
      </c>
      <c r="H68" s="287" t="n">
        <f aca="false">+G68/B$10</f>
        <v>0.494845360824742</v>
      </c>
    </row>
    <row r="69" customFormat="false" ht="12.75" hidden="false" customHeight="false" outlineLevel="0" collapsed="false">
      <c r="A69" s="280"/>
      <c r="B69" s="280"/>
      <c r="C69" s="280"/>
      <c r="D69" s="285"/>
      <c r="E69" s="286"/>
      <c r="F69" s="287"/>
      <c r="G69" s="286"/>
      <c r="H69" s="287"/>
    </row>
    <row r="70" customFormat="false" ht="12.75" hidden="false" customHeight="false" outlineLevel="0" collapsed="false">
      <c r="A70" s="279" t="s">
        <v>373</v>
      </c>
      <c r="B70" s="280"/>
      <c r="C70" s="280"/>
      <c r="D70" s="285"/>
      <c r="E70" s="286"/>
      <c r="F70" s="287"/>
      <c r="G70" s="286"/>
      <c r="H70" s="287"/>
    </row>
    <row r="71" customFormat="false" ht="12.75" hidden="false" customHeight="false" outlineLevel="0" collapsed="false">
      <c r="A71" s="280" t="s">
        <v>324</v>
      </c>
      <c r="B71" s="280" t="n">
        <f aca="false">+G13</f>
        <v>9</v>
      </c>
      <c r="C71" s="280" t="s">
        <v>374</v>
      </c>
      <c r="D71" s="285" t="n">
        <v>85</v>
      </c>
      <c r="E71" s="286" t="n">
        <f aca="false">D71*B71</f>
        <v>765</v>
      </c>
      <c r="F71" s="287" t="n">
        <f aca="false">+E71/$B$10</f>
        <v>0.657216494845361</v>
      </c>
      <c r="G71" s="286" t="n">
        <f aca="false">+E71*AdjRate</f>
        <v>918</v>
      </c>
      <c r="H71" s="287" t="n">
        <f aca="false">+G71/B$10</f>
        <v>0.788659793814433</v>
      </c>
    </row>
    <row r="72" customFormat="false" ht="12.75" hidden="false" customHeight="false" outlineLevel="0" collapsed="false">
      <c r="A72" s="280" t="s">
        <v>375</v>
      </c>
      <c r="B72" s="280" t="n">
        <v>0</v>
      </c>
      <c r="C72" s="280" t="s">
        <v>179</v>
      </c>
      <c r="D72" s="285" t="n">
        <v>0</v>
      </c>
      <c r="E72" s="286" t="n">
        <f aca="false">D72*B72</f>
        <v>0</v>
      </c>
      <c r="F72" s="287" t="n">
        <f aca="false">+E72/$B$10</f>
        <v>0</v>
      </c>
      <c r="G72" s="286" t="n">
        <f aca="false">+E72*AdjRate</f>
        <v>0</v>
      </c>
      <c r="H72" s="287" t="n">
        <f aca="false">+G72/B$10</f>
        <v>0</v>
      </c>
    </row>
    <row r="73" customFormat="false" ht="12.75" hidden="false" customHeight="false" outlineLevel="0" collapsed="false">
      <c r="A73" s="280" t="s">
        <v>376</v>
      </c>
      <c r="B73" s="280" t="n">
        <v>36</v>
      </c>
      <c r="C73" s="280" t="s">
        <v>258</v>
      </c>
      <c r="D73" s="285" t="n">
        <v>5</v>
      </c>
      <c r="E73" s="286" t="n">
        <f aca="false">D73*B73</f>
        <v>180</v>
      </c>
      <c r="F73" s="287" t="n">
        <f aca="false">+E73/$B$10</f>
        <v>0.154639175257732</v>
      </c>
      <c r="G73" s="286" t="n">
        <f aca="false">+E73*AdjRate</f>
        <v>216</v>
      </c>
      <c r="H73" s="287" t="n">
        <f aca="false">+G73/B$10</f>
        <v>0.185567010309278</v>
      </c>
    </row>
    <row r="74" customFormat="false" ht="12.75" hidden="false" customHeight="false" outlineLevel="0" collapsed="false">
      <c r="A74" s="280"/>
      <c r="B74" s="280"/>
      <c r="C74" s="280"/>
      <c r="D74" s="285"/>
      <c r="E74" s="286"/>
      <c r="F74" s="287"/>
      <c r="G74" s="286"/>
      <c r="H74" s="287"/>
    </row>
    <row r="75" customFormat="false" ht="12.75" hidden="false" customHeight="false" outlineLevel="0" collapsed="false">
      <c r="A75" s="279" t="s">
        <v>377</v>
      </c>
      <c r="B75" s="280"/>
      <c r="C75" s="280"/>
      <c r="D75" s="285"/>
      <c r="E75" s="286"/>
      <c r="F75" s="287"/>
      <c r="G75" s="286"/>
      <c r="H75" s="287"/>
    </row>
    <row r="76" customFormat="false" ht="12.75" hidden="false" customHeight="false" outlineLevel="0" collapsed="false">
      <c r="A76" s="280" t="s">
        <v>378</v>
      </c>
      <c r="B76" s="280" t="n">
        <f aca="false">1.3*1164/100</f>
        <v>15.132</v>
      </c>
      <c r="C76" s="280" t="s">
        <v>379</v>
      </c>
      <c r="D76" s="285" t="n">
        <v>52</v>
      </c>
      <c r="E76" s="286" t="n">
        <f aca="false">D76*B76</f>
        <v>786.864</v>
      </c>
      <c r="F76" s="287" t="n">
        <f aca="false">+E76/$B$10</f>
        <v>0.676</v>
      </c>
      <c r="G76" s="286" t="n">
        <f aca="false">+E76*AdjRate</f>
        <v>944.2368</v>
      </c>
      <c r="H76" s="287" t="n">
        <f aca="false">+G76/B$10</f>
        <v>0.8112</v>
      </c>
    </row>
    <row r="77" customFormat="false" ht="12.75" hidden="false" customHeight="false" outlineLevel="0" collapsed="false">
      <c r="A77" s="280" t="s">
        <v>380</v>
      </c>
      <c r="B77" s="280" t="n">
        <v>1</v>
      </c>
      <c r="C77" s="280" t="s">
        <v>179</v>
      </c>
      <c r="D77" s="285" t="n">
        <v>200</v>
      </c>
      <c r="E77" s="286" t="n">
        <f aca="false">D77*B77</f>
        <v>200</v>
      </c>
      <c r="F77" s="287" t="n">
        <f aca="false">+E77/$B$10</f>
        <v>0.171821305841924</v>
      </c>
      <c r="G77" s="286" t="n">
        <f aca="false">+E77*AdjRate</f>
        <v>240</v>
      </c>
      <c r="H77" s="287" t="n">
        <f aca="false">+G77/B$10</f>
        <v>0.206185567010309</v>
      </c>
    </row>
    <row r="78" customFormat="false" ht="12.75" hidden="false" customHeight="false" outlineLevel="0" collapsed="false">
      <c r="A78" s="280" t="s">
        <v>381</v>
      </c>
      <c r="B78" s="280" t="n">
        <f aca="false">B$10</f>
        <v>1164</v>
      </c>
      <c r="C78" s="280" t="s">
        <v>258</v>
      </c>
      <c r="D78" s="285" t="n">
        <v>0.7</v>
      </c>
      <c r="E78" s="286" t="n">
        <f aca="false">D78*B78</f>
        <v>814.8</v>
      </c>
      <c r="F78" s="287" t="n">
        <f aca="false">+E78/$B$10</f>
        <v>0.7</v>
      </c>
      <c r="G78" s="286" t="n">
        <f aca="false">+E78*AdjRate</f>
        <v>977.76</v>
      </c>
      <c r="H78" s="287" t="n">
        <f aca="false">+G78/B$10</f>
        <v>0.84</v>
      </c>
    </row>
    <row r="79" customFormat="false" ht="12.75" hidden="false" customHeight="false" outlineLevel="0" collapsed="false">
      <c r="A79" s="280" t="s">
        <v>382</v>
      </c>
      <c r="B79" s="280" t="n">
        <f aca="false">B$10</f>
        <v>1164</v>
      </c>
      <c r="C79" s="280" t="s">
        <v>258</v>
      </c>
      <c r="D79" s="285" t="n">
        <v>3</v>
      </c>
      <c r="E79" s="286" t="n">
        <f aca="false">D79*B79</f>
        <v>3492</v>
      </c>
      <c r="F79" s="287" t="n">
        <f aca="false">+E79/$B$10</f>
        <v>3</v>
      </c>
      <c r="G79" s="286" t="n">
        <f aca="false">+E79*AdjRate</f>
        <v>4190.4</v>
      </c>
      <c r="H79" s="287" t="n">
        <f aca="false">+G79/B$10</f>
        <v>3.6</v>
      </c>
    </row>
    <row r="80" customFormat="false" ht="12.75" hidden="false" customHeight="false" outlineLevel="0" collapsed="false">
      <c r="A80" s="280"/>
      <c r="B80" s="280"/>
      <c r="C80" s="280"/>
      <c r="D80" s="285"/>
      <c r="E80" s="286"/>
      <c r="F80" s="287"/>
      <c r="G80" s="286"/>
      <c r="H80" s="287"/>
    </row>
    <row r="81" customFormat="false" ht="12.75" hidden="false" customHeight="false" outlineLevel="0" collapsed="false">
      <c r="A81" s="279" t="s">
        <v>311</v>
      </c>
      <c r="B81" s="280"/>
      <c r="C81" s="280"/>
      <c r="D81" s="285"/>
      <c r="E81" s="286"/>
      <c r="F81" s="287"/>
      <c r="G81" s="286"/>
      <c r="H81" s="287"/>
    </row>
    <row r="82" customFormat="false" ht="12.75" hidden="false" customHeight="false" outlineLevel="0" collapsed="false">
      <c r="A82" s="280" t="s">
        <v>383</v>
      </c>
      <c r="B82" s="280" t="n">
        <f aca="false">+G6</f>
        <v>315</v>
      </c>
      <c r="C82" s="280" t="s">
        <v>258</v>
      </c>
      <c r="D82" s="285" t="n">
        <v>5.5</v>
      </c>
      <c r="E82" s="286" t="n">
        <f aca="false">D82*B82</f>
        <v>1732.5</v>
      </c>
      <c r="F82" s="287" t="n">
        <f aca="false">+E82/$B$10</f>
        <v>1.48840206185567</v>
      </c>
      <c r="G82" s="286" t="n">
        <f aca="false">+E82*AdjRate</f>
        <v>2079</v>
      </c>
      <c r="H82" s="287" t="n">
        <f aca="false">+G82/B$10</f>
        <v>1.7860824742268</v>
      </c>
    </row>
    <row r="83" customFormat="false" ht="12.75" hidden="false" customHeight="false" outlineLevel="0" collapsed="false">
      <c r="A83" s="280" t="s">
        <v>384</v>
      </c>
      <c r="B83" s="280" t="n">
        <f aca="false">B$10</f>
        <v>1164</v>
      </c>
      <c r="C83" s="280" t="s">
        <v>258</v>
      </c>
      <c r="D83" s="285" t="n">
        <v>2</v>
      </c>
      <c r="E83" s="286" t="n">
        <f aca="false">D83*B83</f>
        <v>2328</v>
      </c>
      <c r="F83" s="287" t="n">
        <f aca="false">+E83/$B$10</f>
        <v>2</v>
      </c>
      <c r="G83" s="286" t="n">
        <f aca="false">+E83*AdjRate</f>
        <v>2793.6</v>
      </c>
      <c r="H83" s="287" t="n">
        <f aca="false">+G83/B$10</f>
        <v>2.4</v>
      </c>
    </row>
    <row r="84" customFormat="false" ht="12.75" hidden="false" customHeight="false" outlineLevel="0" collapsed="false">
      <c r="A84" s="280" t="s">
        <v>385</v>
      </c>
      <c r="B84" s="280" t="n">
        <f aca="false">B$16</f>
        <v>1572</v>
      </c>
      <c r="C84" s="280" t="s">
        <v>258</v>
      </c>
      <c r="D84" s="285" t="n">
        <v>0.6</v>
      </c>
      <c r="E84" s="286" t="n">
        <f aca="false">D84*B84</f>
        <v>943.2</v>
      </c>
      <c r="F84" s="287" t="n">
        <f aca="false">+E84/$B$10</f>
        <v>0.810309278350515</v>
      </c>
      <c r="G84" s="286" t="n">
        <f aca="false">+E84*AdjRate</f>
        <v>1131.84</v>
      </c>
      <c r="H84" s="287" t="n">
        <f aca="false">+G84/B$10</f>
        <v>0.972371134020619</v>
      </c>
    </row>
    <row r="85" customFormat="false" ht="12.75" hidden="false" customHeight="false" outlineLevel="0" collapsed="false">
      <c r="A85" s="280" t="s">
        <v>386</v>
      </c>
      <c r="B85" s="280" t="n">
        <v>48</v>
      </c>
      <c r="C85" s="280" t="s">
        <v>258</v>
      </c>
      <c r="D85" s="285" t="n">
        <v>5.5</v>
      </c>
      <c r="E85" s="286" t="n">
        <f aca="false">D85*B85</f>
        <v>264</v>
      </c>
      <c r="F85" s="287" t="n">
        <f aca="false">+E85/$B$10</f>
        <v>0.22680412371134</v>
      </c>
      <c r="G85" s="286" t="n">
        <f aca="false">+E85*AdjRate</f>
        <v>316.8</v>
      </c>
      <c r="H85" s="287" t="n">
        <f aca="false">+G85/B$10</f>
        <v>0.272164948453608</v>
      </c>
    </row>
    <row r="86" customFormat="false" ht="12.75" hidden="false" customHeight="false" outlineLevel="0" collapsed="false">
      <c r="A86" s="280" t="s">
        <v>387</v>
      </c>
      <c r="B86" s="280" t="n">
        <f aca="false">(B10-35-150-150-100)/9</f>
        <v>81</v>
      </c>
      <c r="C86" s="280" t="s">
        <v>388</v>
      </c>
      <c r="D86" s="285" t="n">
        <v>14</v>
      </c>
      <c r="E86" s="286" t="n">
        <f aca="false">D86*B86</f>
        <v>1134</v>
      </c>
      <c r="F86" s="287" t="n">
        <f aca="false">+E86/$B$10</f>
        <v>0.974226804123711</v>
      </c>
      <c r="G86" s="286" t="n">
        <f aca="false">+E86*AdjRate</f>
        <v>1360.8</v>
      </c>
      <c r="H86" s="287" t="n">
        <f aca="false">+G86/B$10</f>
        <v>1.16907216494845</v>
      </c>
    </row>
    <row r="87" customFormat="false" ht="12.75" hidden="false" customHeight="false" outlineLevel="0" collapsed="false">
      <c r="A87" s="280" t="s">
        <v>389</v>
      </c>
      <c r="B87" s="280" t="n">
        <v>27</v>
      </c>
      <c r="C87" s="280" t="s">
        <v>200</v>
      </c>
      <c r="D87" s="285" t="n">
        <v>24</v>
      </c>
      <c r="E87" s="286" t="n">
        <f aca="false">D87*B87</f>
        <v>648</v>
      </c>
      <c r="F87" s="287" t="n">
        <f aca="false">+E87/$B$10</f>
        <v>0.556701030927835</v>
      </c>
      <c r="G87" s="286" t="n">
        <f aca="false">+E87*AdjRate</f>
        <v>777.6</v>
      </c>
      <c r="H87" s="287" t="n">
        <f aca="false">+G87/B$10</f>
        <v>0.668041237113402</v>
      </c>
    </row>
    <row r="88" customFormat="false" ht="12.75" hidden="false" customHeight="false" outlineLevel="0" collapsed="false">
      <c r="A88" s="280" t="s">
        <v>390</v>
      </c>
      <c r="B88" s="280" t="n">
        <v>9</v>
      </c>
      <c r="C88" s="280" t="s">
        <v>200</v>
      </c>
      <c r="D88" s="285" t="n">
        <v>24</v>
      </c>
      <c r="E88" s="286" t="n">
        <f aca="false">D88*B88</f>
        <v>216</v>
      </c>
      <c r="F88" s="287" t="n">
        <f aca="false">+E88/$B$10</f>
        <v>0.185567010309278</v>
      </c>
      <c r="G88" s="286" t="n">
        <f aca="false">+E88*AdjRate</f>
        <v>259.2</v>
      </c>
      <c r="H88" s="287" t="n">
        <f aca="false">+G88/B$10</f>
        <v>0.222680412371134</v>
      </c>
    </row>
    <row r="89" customFormat="false" ht="12.75" hidden="false" customHeight="false" outlineLevel="0" collapsed="false">
      <c r="A89" s="280" t="s">
        <v>391</v>
      </c>
      <c r="B89" s="280" t="n">
        <v>2</v>
      </c>
      <c r="C89" s="280" t="s">
        <v>392</v>
      </c>
      <c r="D89" s="285" t="n">
        <v>40</v>
      </c>
      <c r="E89" s="286" t="n">
        <f aca="false">D89*B89</f>
        <v>80</v>
      </c>
      <c r="F89" s="287" t="n">
        <f aca="false">+E89/$B$10</f>
        <v>0.0687285223367698</v>
      </c>
      <c r="G89" s="286" t="n">
        <f aca="false">+E89*AdjRate</f>
        <v>96</v>
      </c>
      <c r="H89" s="287" t="n">
        <f aca="false">+G89/B$10</f>
        <v>0.0824742268041237</v>
      </c>
    </row>
    <row r="90" customFormat="false" ht="12.75" hidden="false" customHeight="false" outlineLevel="0" collapsed="false">
      <c r="A90" s="280" t="s">
        <v>393</v>
      </c>
      <c r="B90" s="280" t="n">
        <v>0</v>
      </c>
      <c r="C90" s="280" t="s">
        <v>394</v>
      </c>
      <c r="D90" s="285" t="n">
        <v>750</v>
      </c>
      <c r="E90" s="286" t="n">
        <f aca="false">D90*B90</f>
        <v>0</v>
      </c>
      <c r="F90" s="287" t="n">
        <f aca="false">+E90/$B$10</f>
        <v>0</v>
      </c>
      <c r="G90" s="286" t="n">
        <f aca="false">+E90*AdjRate</f>
        <v>0</v>
      </c>
      <c r="H90" s="287" t="n">
        <f aca="false">+G90/B$10</f>
        <v>0</v>
      </c>
    </row>
    <row r="91" customFormat="false" ht="12.75" hidden="false" customHeight="false" outlineLevel="0" collapsed="false">
      <c r="A91" s="280" t="s">
        <v>395</v>
      </c>
      <c r="B91" s="280" t="n">
        <v>1</v>
      </c>
      <c r="C91" s="280" t="s">
        <v>394</v>
      </c>
      <c r="D91" s="285" t="n">
        <v>300</v>
      </c>
      <c r="E91" s="286" t="n">
        <f aca="false">D91*B91</f>
        <v>300</v>
      </c>
      <c r="F91" s="287" t="n">
        <f aca="false">+E91/$B$10</f>
        <v>0.257731958762887</v>
      </c>
      <c r="G91" s="286" t="n">
        <f aca="false">+E91*AdjRate</f>
        <v>360</v>
      </c>
      <c r="H91" s="287" t="n">
        <f aca="false">+G91/B$10</f>
        <v>0.309278350515464</v>
      </c>
    </row>
    <row r="92" customFormat="false" ht="12.75" hidden="false" customHeight="false" outlineLevel="0" collapsed="false">
      <c r="A92" s="280" t="s">
        <v>396</v>
      </c>
      <c r="B92" s="280" t="n">
        <f aca="false">+B71</f>
        <v>9</v>
      </c>
      <c r="C92" s="280" t="s">
        <v>397</v>
      </c>
      <c r="D92" s="285" t="n">
        <v>35</v>
      </c>
      <c r="E92" s="286" t="n">
        <f aca="false">D92*B92</f>
        <v>315</v>
      </c>
      <c r="F92" s="287" t="n">
        <f aca="false">+E92/$B$10</f>
        <v>0.270618556701031</v>
      </c>
      <c r="G92" s="286" t="n">
        <f aca="false">+E92*AdjRate</f>
        <v>378</v>
      </c>
      <c r="H92" s="287" t="n">
        <f aca="false">+G92/B$10</f>
        <v>0.324742268041237</v>
      </c>
    </row>
    <row r="93" customFormat="false" ht="12.75" hidden="false" customHeight="false" outlineLevel="0" collapsed="false">
      <c r="A93" s="280" t="s">
        <v>398</v>
      </c>
      <c r="B93" s="280" t="n">
        <v>0</v>
      </c>
      <c r="C93" s="280" t="s">
        <v>179</v>
      </c>
      <c r="D93" s="285" t="n">
        <v>0</v>
      </c>
      <c r="E93" s="286" t="n">
        <f aca="false">D93*B93</f>
        <v>0</v>
      </c>
      <c r="F93" s="287" t="n">
        <f aca="false">+E93/$B$10</f>
        <v>0</v>
      </c>
      <c r="G93" s="286" t="n">
        <f aca="false">+E93*AdjRate</f>
        <v>0</v>
      </c>
      <c r="H93" s="287" t="n">
        <f aca="false">+G93/B$10</f>
        <v>0</v>
      </c>
    </row>
    <row r="94" customFormat="false" ht="12.75" hidden="false" customHeight="false" outlineLevel="0" collapsed="false">
      <c r="A94" s="280"/>
      <c r="B94" s="280"/>
      <c r="C94" s="280"/>
      <c r="D94" s="285"/>
      <c r="E94" s="286"/>
      <c r="F94" s="287"/>
      <c r="G94" s="286"/>
      <c r="H94" s="287"/>
    </row>
    <row r="95" customFormat="false" ht="12.75" hidden="false" customHeight="false" outlineLevel="0" collapsed="false">
      <c r="A95" s="279" t="s">
        <v>399</v>
      </c>
      <c r="B95" s="280"/>
      <c r="C95" s="280"/>
      <c r="D95" s="285"/>
      <c r="E95" s="286"/>
      <c r="F95" s="287"/>
      <c r="G95" s="286"/>
      <c r="H95" s="287"/>
    </row>
    <row r="96" customFormat="false" ht="12.75" hidden="false" customHeight="false" outlineLevel="0" collapsed="false">
      <c r="A96" s="280" t="s">
        <v>400</v>
      </c>
      <c r="B96" s="280" t="n">
        <v>1</v>
      </c>
      <c r="C96" s="280" t="s">
        <v>179</v>
      </c>
      <c r="D96" s="285" t="n">
        <v>500</v>
      </c>
      <c r="E96" s="286" t="n">
        <f aca="false">D96*B96</f>
        <v>500</v>
      </c>
      <c r="F96" s="287" t="n">
        <f aca="false">+E96/$B$10</f>
        <v>0.429553264604811</v>
      </c>
      <c r="G96" s="286" t="n">
        <f aca="false">+E96*AdjRate</f>
        <v>600</v>
      </c>
      <c r="H96" s="287" t="n">
        <f aca="false">+G96/B$10</f>
        <v>0.515463917525773</v>
      </c>
    </row>
    <row r="97" customFormat="false" ht="12.75" hidden="false" customHeight="false" outlineLevel="0" collapsed="false">
      <c r="A97" s="280" t="s">
        <v>401</v>
      </c>
      <c r="B97" s="280" t="n">
        <v>0</v>
      </c>
      <c r="C97" s="280" t="s">
        <v>402</v>
      </c>
      <c r="D97" s="285" t="n">
        <v>650</v>
      </c>
      <c r="E97" s="286" t="n">
        <f aca="false">D97*B97</f>
        <v>0</v>
      </c>
      <c r="F97" s="287" t="n">
        <f aca="false">+E97/$B$10</f>
        <v>0</v>
      </c>
      <c r="G97" s="286" t="n">
        <f aca="false">+E97*AdjRate</f>
        <v>0</v>
      </c>
      <c r="H97" s="287" t="n">
        <f aca="false">+G97/B$10</f>
        <v>0</v>
      </c>
    </row>
    <row r="98" customFormat="false" ht="12.75" hidden="false" customHeight="false" outlineLevel="0" collapsed="false">
      <c r="A98" s="280" t="s">
        <v>403</v>
      </c>
      <c r="B98" s="280" t="n">
        <v>1</v>
      </c>
      <c r="C98" s="280" t="s">
        <v>404</v>
      </c>
      <c r="D98" s="285" t="n">
        <v>790</v>
      </c>
      <c r="E98" s="286" t="n">
        <f aca="false">D98*B98</f>
        <v>790</v>
      </c>
      <c r="F98" s="287" t="n">
        <f aca="false">+E98/$B$10</f>
        <v>0.678694158075601</v>
      </c>
      <c r="G98" s="286" t="n">
        <f aca="false">+E98*AdjRate</f>
        <v>948</v>
      </c>
      <c r="H98" s="287" t="n">
        <f aca="false">+G98/B$10</f>
        <v>0.814432989690722</v>
      </c>
    </row>
    <row r="99" customFormat="false" ht="12.75" hidden="false" customHeight="false" outlineLevel="0" collapsed="false">
      <c r="A99" s="280"/>
      <c r="B99" s="280"/>
      <c r="C99" s="280"/>
      <c r="D99" s="285"/>
      <c r="E99" s="286"/>
      <c r="F99" s="287"/>
      <c r="G99" s="286"/>
      <c r="H99" s="287"/>
    </row>
    <row r="100" customFormat="false" ht="12.75" hidden="false" customHeight="false" outlineLevel="0" collapsed="false">
      <c r="A100" s="279" t="s">
        <v>405</v>
      </c>
      <c r="B100" s="280"/>
      <c r="C100" s="280"/>
      <c r="D100" s="285"/>
      <c r="E100" s="286"/>
      <c r="F100" s="287"/>
      <c r="G100" s="286"/>
      <c r="H100" s="287"/>
    </row>
    <row r="101" customFormat="false" ht="12.75" hidden="false" customHeight="false" outlineLevel="0" collapsed="false">
      <c r="A101" s="280" t="s">
        <v>406</v>
      </c>
      <c r="B101" s="280" t="n">
        <f aca="false">B$16</f>
        <v>1572</v>
      </c>
      <c r="C101" s="280" t="s">
        <v>258</v>
      </c>
      <c r="D101" s="285" t="n">
        <v>2.25</v>
      </c>
      <c r="E101" s="286" t="n">
        <f aca="false">D101*B101</f>
        <v>3537</v>
      </c>
      <c r="F101" s="287" t="n">
        <f aca="false">+E101/$B$10</f>
        <v>3.03865979381443</v>
      </c>
      <c r="G101" s="286" t="n">
        <f aca="false">+E101*AdjRate</f>
        <v>4244.4</v>
      </c>
      <c r="H101" s="287" t="n">
        <f aca="false">+G101/B$10</f>
        <v>3.64639175257732</v>
      </c>
    </row>
    <row r="102" customFormat="false" ht="12.75" hidden="false" customHeight="false" outlineLevel="0" collapsed="false">
      <c r="A102" s="280" t="s">
        <v>407</v>
      </c>
      <c r="B102" s="280" t="n">
        <v>1</v>
      </c>
      <c r="C102" s="280" t="s">
        <v>179</v>
      </c>
      <c r="D102" s="285" t="n">
        <v>750</v>
      </c>
      <c r="E102" s="286" t="n">
        <f aca="false">D102*B102</f>
        <v>750</v>
      </c>
      <c r="F102" s="287" t="n">
        <f aca="false">+E102/$B$10</f>
        <v>0.644329896907217</v>
      </c>
      <c r="G102" s="286" t="n">
        <f aca="false">+E102*AdjRate</f>
        <v>900</v>
      </c>
      <c r="H102" s="287" t="n">
        <f aca="false">+G102/B$10</f>
        <v>0.77319587628866</v>
      </c>
    </row>
    <row r="103" customFormat="false" ht="12.75" hidden="false" customHeight="false" outlineLevel="0" collapsed="false">
      <c r="A103" s="280" t="s">
        <v>408</v>
      </c>
      <c r="B103" s="280" t="n">
        <v>1</v>
      </c>
      <c r="C103" s="280" t="s">
        <v>179</v>
      </c>
      <c r="D103" s="285" t="n">
        <v>200</v>
      </c>
      <c r="E103" s="286" t="n">
        <f aca="false">D103*B103</f>
        <v>200</v>
      </c>
      <c r="F103" s="287" t="n">
        <f aca="false">+E103/$B$10</f>
        <v>0.171821305841924</v>
      </c>
      <c r="G103" s="286" t="n">
        <f aca="false">+E103*AdjRate</f>
        <v>240</v>
      </c>
      <c r="H103" s="287" t="n">
        <f aca="false">+G103/B$10</f>
        <v>0.206185567010309</v>
      </c>
    </row>
    <row r="104" customFormat="false" ht="12.75" hidden="false" customHeight="false" outlineLevel="0" collapsed="false">
      <c r="A104" s="280"/>
      <c r="B104" s="280"/>
      <c r="C104" s="280"/>
      <c r="D104" s="285"/>
      <c r="E104" s="286"/>
      <c r="F104" s="287"/>
      <c r="G104" s="286"/>
      <c r="H104" s="287"/>
    </row>
    <row r="105" customFormat="false" ht="12.75" hidden="false" customHeight="false" outlineLevel="0" collapsed="false">
      <c r="A105" s="279" t="s">
        <v>409</v>
      </c>
      <c r="B105" s="280"/>
      <c r="C105" s="280"/>
      <c r="D105" s="285"/>
      <c r="E105" s="286"/>
      <c r="F105" s="287"/>
      <c r="G105" s="286"/>
      <c r="H105" s="287"/>
    </row>
    <row r="106" customFormat="false" ht="12.75" hidden="false" customHeight="false" outlineLevel="0" collapsed="false">
      <c r="A106" s="280" t="s">
        <v>410</v>
      </c>
      <c r="B106" s="280" t="n">
        <v>1</v>
      </c>
      <c r="C106" s="280" t="s">
        <v>179</v>
      </c>
      <c r="D106" s="285" t="n">
        <v>4200</v>
      </c>
      <c r="E106" s="286" t="n">
        <f aca="false">D106*B106</f>
        <v>4200</v>
      </c>
      <c r="F106" s="287" t="n">
        <f aca="false">+E106/$B$10</f>
        <v>3.60824742268041</v>
      </c>
      <c r="G106" s="286" t="n">
        <f aca="false">+E106*AdjRate</f>
        <v>5040</v>
      </c>
      <c r="H106" s="287" t="n">
        <f aca="false">+G106/B$10</f>
        <v>4.3298969072165</v>
      </c>
    </row>
    <row r="107" customFormat="false" ht="12.75" hidden="false" customHeight="false" outlineLevel="0" collapsed="false">
      <c r="A107" s="280" t="s">
        <v>411</v>
      </c>
      <c r="B107" s="280" t="n">
        <v>25</v>
      </c>
      <c r="C107" s="280" t="s">
        <v>200</v>
      </c>
      <c r="D107" s="285" t="n">
        <v>15</v>
      </c>
      <c r="E107" s="286" t="n">
        <f aca="false">D107*B107</f>
        <v>375</v>
      </c>
      <c r="F107" s="287" t="n">
        <f aca="false">+E107/$B$10</f>
        <v>0.322164948453608</v>
      </c>
      <c r="G107" s="286" t="n">
        <f aca="false">+E107*AdjRate</f>
        <v>450</v>
      </c>
      <c r="H107" s="287" t="n">
        <f aca="false">+G107/B$10</f>
        <v>0.38659793814433</v>
      </c>
    </row>
    <row r="108" customFormat="false" ht="12.75" hidden="false" customHeight="false" outlineLevel="0" collapsed="false">
      <c r="A108" s="280" t="s">
        <v>412</v>
      </c>
      <c r="B108" s="280" t="n">
        <v>1</v>
      </c>
      <c r="C108" s="280" t="s">
        <v>179</v>
      </c>
      <c r="D108" s="285" t="n">
        <v>2000</v>
      </c>
      <c r="E108" s="286" t="n">
        <f aca="false">D108*B108</f>
        <v>2000</v>
      </c>
      <c r="F108" s="287" t="n">
        <f aca="false">+E108/$B$10</f>
        <v>1.71821305841924</v>
      </c>
      <c r="G108" s="286" t="n">
        <f aca="false">+E108*AdjRate</f>
        <v>2400</v>
      </c>
      <c r="H108" s="287" t="n">
        <f aca="false">+G108/B$10</f>
        <v>2.06185567010309</v>
      </c>
    </row>
    <row r="109" customFormat="false" ht="12.75" hidden="false" customHeight="false" outlineLevel="0" collapsed="false">
      <c r="A109" s="280" t="s">
        <v>413</v>
      </c>
      <c r="B109" s="280" t="n">
        <v>1</v>
      </c>
      <c r="C109" s="280" t="s">
        <v>179</v>
      </c>
      <c r="D109" s="285" t="n">
        <v>990</v>
      </c>
      <c r="E109" s="286" t="n">
        <f aca="false">D109*B109</f>
        <v>990</v>
      </c>
      <c r="F109" s="287" t="n">
        <f aca="false">+E109/$B$10</f>
        <v>0.850515463917526</v>
      </c>
      <c r="G109" s="286" t="n">
        <f aca="false">+E109*AdjRate</f>
        <v>1188</v>
      </c>
      <c r="H109" s="287" t="n">
        <f aca="false">+G109/B$10</f>
        <v>1.02061855670103</v>
      </c>
    </row>
    <row r="110" customFormat="false" ht="12.75" hidden="false" customHeight="false" outlineLevel="0" collapsed="false">
      <c r="A110" s="280" t="s">
        <v>414</v>
      </c>
      <c r="B110" s="280" t="n">
        <f aca="false">B10</f>
        <v>1164</v>
      </c>
      <c r="C110" s="280" t="s">
        <v>179</v>
      </c>
      <c r="D110" s="285" t="n">
        <v>2.85</v>
      </c>
      <c r="E110" s="286" t="n">
        <f aca="false">D110*B110</f>
        <v>3317.4</v>
      </c>
      <c r="F110" s="287" t="n">
        <f aca="false">+E110/$B$10</f>
        <v>2.85</v>
      </c>
      <c r="G110" s="286" t="n">
        <f aca="false">+E110*AdjRate</f>
        <v>3980.88</v>
      </c>
      <c r="H110" s="287" t="n">
        <f aca="false">+G110/B$10</f>
        <v>3.42</v>
      </c>
    </row>
    <row r="111" customFormat="false" ht="12.75" hidden="false" customHeight="false" outlineLevel="0" collapsed="false">
      <c r="A111" s="280" t="s">
        <v>273</v>
      </c>
      <c r="B111" s="280" t="n">
        <f aca="false">ConstTime</f>
        <v>6</v>
      </c>
      <c r="C111" s="280" t="s">
        <v>274</v>
      </c>
      <c r="D111" s="285" t="n">
        <f aca="false">((1000*52)/12+250+100)/4</f>
        <v>1170.83333333333</v>
      </c>
      <c r="E111" s="286" t="n">
        <f aca="false">D111*B111</f>
        <v>7025</v>
      </c>
      <c r="F111" s="287" t="n">
        <f aca="false">+E111/$B$10</f>
        <v>6.03522336769759</v>
      </c>
      <c r="G111" s="286" t="n">
        <f aca="false">+E111*AdjRate</f>
        <v>8430</v>
      </c>
      <c r="H111" s="287" t="n">
        <f aca="false">+G111/B$10</f>
        <v>7.24226804123711</v>
      </c>
    </row>
    <row r="112" customFormat="false" ht="13.5" hidden="false" customHeight="false" outlineLevel="0" collapsed="false">
      <c r="A112" s="289" t="s">
        <v>415</v>
      </c>
      <c r="B112" s="289"/>
      <c r="C112" s="289"/>
      <c r="D112" s="289"/>
      <c r="E112" s="290" t="n">
        <f aca="false">SUM(E19:E111)</f>
        <v>66026.264</v>
      </c>
      <c r="F112" s="291" t="n">
        <f aca="false">+E112/$B$10</f>
        <v>56.7235945017182</v>
      </c>
      <c r="G112" s="290" t="n">
        <f aca="false">SUM(G19:G111)</f>
        <v>79231.5168</v>
      </c>
      <c r="H112" s="291" t="n">
        <f aca="false">SUM(H19:H111)</f>
        <v>68.0683134020619</v>
      </c>
    </row>
    <row r="113" customFormat="false" ht="13.5" hidden="false" customHeight="false" outlineLevel="0" collapsed="false">
      <c r="A113" s="280"/>
      <c r="B113" s="280"/>
      <c r="C113" s="280"/>
      <c r="D113" s="280"/>
      <c r="E113" s="286" t="n">
        <f aca="false">+G112-E112</f>
        <v>13205.2528</v>
      </c>
      <c r="F113" s="286"/>
      <c r="G113" s="280"/>
      <c r="H113" s="280"/>
    </row>
    <row r="114" customFormat="false" ht="12.75" hidden="false" customHeight="false" outlineLevel="0" collapsed="false">
      <c r="B114" s="276"/>
      <c r="D114" s="57"/>
      <c r="E114" s="292"/>
      <c r="F114" s="292"/>
      <c r="G114" s="21"/>
      <c r="H114" s="57"/>
    </row>
    <row r="115" customFormat="false" ht="12.75" hidden="false" customHeight="false" outlineLevel="0" collapsed="false">
      <c r="D115" s="57"/>
      <c r="E115" s="57"/>
      <c r="F115" s="57"/>
    </row>
    <row r="116" customFormat="false" ht="12.75" hidden="false" customHeight="false" outlineLevel="0" collapsed="false">
      <c r="D116" s="57"/>
      <c r="E116" s="57"/>
      <c r="F116" s="57"/>
    </row>
    <row r="117" customFormat="false" ht="12.75" hidden="false" customHeight="false" outlineLevel="0" collapsed="false">
      <c r="D117" s="57"/>
      <c r="E117" s="57"/>
      <c r="F117" s="57"/>
    </row>
    <row r="118" customFormat="false" ht="12.75" hidden="false" customHeight="false" outlineLevel="0" collapsed="false">
      <c r="D118" s="57"/>
      <c r="E118" s="57"/>
      <c r="F118" s="57"/>
    </row>
    <row r="119" customFormat="false" ht="12.75" hidden="false" customHeight="false" outlineLevel="0" collapsed="false">
      <c r="D119" s="57"/>
      <c r="E119" s="57"/>
      <c r="F119" s="57"/>
    </row>
    <row r="120" customFormat="false" ht="12.75" hidden="false" customHeight="false" outlineLevel="0" collapsed="false">
      <c r="D120" s="57"/>
      <c r="E120" s="57"/>
      <c r="F120" s="57"/>
    </row>
    <row r="121" customFormat="false" ht="12.75" hidden="false" customHeight="false" outlineLevel="0" collapsed="false">
      <c r="D121" s="57"/>
      <c r="E121" s="57"/>
      <c r="F121" s="57"/>
    </row>
    <row r="122" customFormat="false" ht="12.75" hidden="false" customHeight="false" outlineLevel="0" collapsed="false">
      <c r="D122" s="57"/>
      <c r="E122" s="57"/>
      <c r="F122" s="57"/>
    </row>
    <row r="123" customFormat="false" ht="12.75" hidden="false" customHeight="false" outlineLevel="0" collapsed="false">
      <c r="D123" s="57"/>
      <c r="E123" s="57"/>
      <c r="F123" s="57"/>
    </row>
    <row r="124" customFormat="false" ht="12.75" hidden="false" customHeight="false" outlineLevel="0" collapsed="false">
      <c r="D124" s="57"/>
      <c r="E124" s="57"/>
      <c r="F124" s="57"/>
    </row>
    <row r="125" customFormat="false" ht="12.75" hidden="false" customHeight="false" outlineLevel="0" collapsed="false">
      <c r="D125" s="57"/>
      <c r="E125" s="57"/>
      <c r="F125" s="57"/>
    </row>
    <row r="126" customFormat="false" ht="12.75" hidden="false" customHeight="false" outlineLevel="0" collapsed="false">
      <c r="D126" s="57"/>
      <c r="E126" s="57"/>
      <c r="F126" s="57"/>
    </row>
    <row r="127" customFormat="false" ht="12.75" hidden="false" customHeight="false" outlineLevel="0" collapsed="false">
      <c r="D127" s="57"/>
      <c r="E127" s="57"/>
      <c r="F127" s="57"/>
    </row>
    <row r="128" customFormat="false" ht="12.75" hidden="false" customHeight="false" outlineLevel="0" collapsed="false">
      <c r="D128" s="57"/>
      <c r="E128" s="57"/>
      <c r="F128" s="57"/>
    </row>
    <row r="129" customFormat="false" ht="12.75" hidden="false" customHeight="false" outlineLevel="0" collapsed="false">
      <c r="D129" s="57"/>
      <c r="E129" s="57"/>
      <c r="F129" s="57"/>
    </row>
    <row r="130" customFormat="false" ht="12.75" hidden="false" customHeight="false" outlineLevel="0" collapsed="false">
      <c r="D130" s="57"/>
      <c r="E130" s="57"/>
      <c r="F130" s="57"/>
    </row>
    <row r="131" customFormat="false" ht="12.75" hidden="false" customHeight="false" outlineLevel="0" collapsed="false">
      <c r="D131" s="57"/>
      <c r="E131" s="57"/>
      <c r="F131" s="57"/>
    </row>
    <row r="132" customFormat="false" ht="12.75" hidden="false" customHeight="false" outlineLevel="0" collapsed="false">
      <c r="D132" s="57"/>
      <c r="E132" s="57"/>
      <c r="F132" s="57"/>
    </row>
    <row r="133" customFormat="false" ht="12.75" hidden="false" customHeight="false" outlineLevel="0" collapsed="false">
      <c r="D133" s="57"/>
      <c r="E133" s="57"/>
      <c r="F133" s="57"/>
    </row>
    <row r="134" customFormat="false" ht="12.75" hidden="false" customHeight="false" outlineLevel="0" collapsed="false">
      <c r="D134" s="57"/>
      <c r="E134" s="57"/>
      <c r="F134" s="57"/>
    </row>
    <row r="135" customFormat="false" ht="12.75" hidden="false" customHeight="false" outlineLevel="0" collapsed="false">
      <c r="D135" s="57"/>
      <c r="E135" s="57"/>
      <c r="F135" s="57"/>
    </row>
    <row r="136" customFormat="false" ht="12.75" hidden="false" customHeight="false" outlineLevel="0" collapsed="false">
      <c r="D136" s="57"/>
      <c r="E136" s="57"/>
      <c r="F136" s="57"/>
    </row>
    <row r="137" customFormat="false" ht="12.75" hidden="false" customHeight="false" outlineLevel="0" collapsed="false">
      <c r="D137" s="57"/>
      <c r="E137" s="57"/>
      <c r="F137" s="57"/>
    </row>
    <row r="138" customFormat="false" ht="12.75" hidden="false" customHeight="false" outlineLevel="0" collapsed="false">
      <c r="D138" s="57"/>
      <c r="E138" s="57"/>
      <c r="F138" s="57"/>
    </row>
    <row r="139" customFormat="false" ht="12.75" hidden="false" customHeight="false" outlineLevel="0" collapsed="false">
      <c r="D139" s="57"/>
      <c r="E139" s="57"/>
      <c r="F139" s="57"/>
    </row>
    <row r="140" customFormat="false" ht="12.75" hidden="false" customHeight="false" outlineLevel="0" collapsed="false">
      <c r="D140" s="57"/>
      <c r="E140" s="57"/>
      <c r="F140" s="57"/>
    </row>
    <row r="141" customFormat="false" ht="12.75" hidden="false" customHeight="false" outlineLevel="0" collapsed="false">
      <c r="D141" s="57"/>
      <c r="E141" s="57"/>
      <c r="F141" s="57"/>
    </row>
    <row r="142" customFormat="false" ht="12.75" hidden="false" customHeight="false" outlineLevel="0" collapsed="false">
      <c r="D142" s="57"/>
      <c r="E142" s="57"/>
      <c r="F142" s="57"/>
    </row>
    <row r="143" customFormat="false" ht="12.75" hidden="false" customHeight="false" outlineLevel="0" collapsed="false">
      <c r="D143" s="57"/>
      <c r="E143" s="57"/>
      <c r="F143" s="57"/>
    </row>
  </sheetData>
  <mergeCells count="1">
    <mergeCell ref="A1:H1"/>
  </mergeCells>
  <printOptions headings="false" gridLines="false" gridLinesSet="true" horizontalCentered="true" verticalCentered="false"/>
  <pageMargins left="0.25" right="0.25" top="0.984027777777778" bottom="0.984027777777778" header="0.5" footer="0.5"/>
  <pageSetup paperSize="1" scale="100" fitToWidth="1" fitToHeight="2" pageOrder="downThenOver" orientation="portrait" blackAndWhite="false" draft="false" cellComments="none" horizontalDpi="300" verticalDpi="300" copies="1"/>
  <headerFooter differentFirst="false" differentOddEven="false">
    <oddHeader>&amp;C&amp;"Garamond,Bold"&amp;12WESTGATE &amp;&amp; CAMERON LOOP
96 CONDOMINIUMS</oddHeader>
    <oddFooter>&amp;L&amp;"Garamond,Regular"&amp;8&amp;F&amp;C&amp;"Garamond,Regular"&amp;8&amp;P Of &amp;N&amp;R&amp;"Garamond,Regular"&amp;8&amp;D</oddFooter>
  </headerFooter>
  <colBreaks count="1" manualBreakCount="1">
    <brk id="8" man="true" max="65535" min="0"/>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1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47" activeCellId="1" sqref="B36 F47:F50"/>
    </sheetView>
  </sheetViews>
  <sheetFormatPr defaultColWidth="10.5625" defaultRowHeight="12.75" customHeight="true" zeroHeight="false" outlineLevelRow="0" outlineLevelCol="0"/>
  <cols>
    <col collapsed="false" customWidth="true" hidden="false" outlineLevel="0" max="1" min="1" style="14" width="16.56"/>
    <col collapsed="false" customWidth="true" hidden="false" outlineLevel="0" max="2" min="2" style="14" width="6.13"/>
    <col collapsed="false" customWidth="true" hidden="false" outlineLevel="0" max="3" min="3" style="14" width="5.85"/>
    <col collapsed="false" customWidth="true" hidden="false" outlineLevel="0" max="4" min="4" style="14" width="10.42"/>
    <col collapsed="false" customWidth="true" hidden="false" outlineLevel="0" max="6" min="5" style="14" width="7.99"/>
    <col collapsed="false" customWidth="true" hidden="false" outlineLevel="0" max="7" min="7" style="14" width="9.56"/>
    <col collapsed="false" customWidth="true" hidden="false" outlineLevel="0" max="8" min="8" style="14" width="10.42"/>
    <col collapsed="false" customWidth="false" hidden="false" outlineLevel="0" max="257" min="9" style="14" width="10.56"/>
  </cols>
  <sheetData>
    <row r="1" customFormat="false" ht="13.5" hidden="false" customHeight="true" outlineLevel="0" collapsed="false">
      <c r="A1" s="275" t="s">
        <v>416</v>
      </c>
      <c r="B1" s="275"/>
      <c r="C1" s="275"/>
      <c r="D1" s="275"/>
      <c r="E1" s="275"/>
      <c r="F1" s="275"/>
      <c r="G1" s="275"/>
      <c r="H1" s="275"/>
    </row>
    <row r="2" customFormat="false" ht="12.75" hidden="false" customHeight="false" outlineLevel="0" collapsed="false">
      <c r="A2" s="293"/>
      <c r="B2" s="294"/>
      <c r="C2" s="294"/>
      <c r="D2" s="294"/>
      <c r="E2" s="294"/>
      <c r="F2" s="294"/>
      <c r="G2" s="276"/>
      <c r="H2" s="276"/>
    </row>
    <row r="3" customFormat="false" ht="25.5" hidden="false" customHeight="false" outlineLevel="0" collapsed="false">
      <c r="A3" s="278" t="s">
        <v>306</v>
      </c>
      <c r="B3" s="278" t="s">
        <v>148</v>
      </c>
      <c r="C3" s="278" t="s">
        <v>307</v>
      </c>
      <c r="D3" s="278" t="s">
        <v>146</v>
      </c>
      <c r="E3" s="278" t="s">
        <v>308</v>
      </c>
      <c r="F3" s="278" t="s">
        <v>42</v>
      </c>
      <c r="G3" s="278" t="s">
        <v>417</v>
      </c>
      <c r="H3" s="278" t="s">
        <v>42</v>
      </c>
      <c r="I3" s="278"/>
    </row>
    <row r="4" customFormat="false" ht="12.75" hidden="false" customHeight="false" outlineLevel="0" collapsed="false">
      <c r="E4" s="295"/>
      <c r="F4" s="295"/>
      <c r="H4" s="276"/>
    </row>
    <row r="5" customFormat="false" ht="12.75" hidden="false" customHeight="false" outlineLevel="0" collapsed="false">
      <c r="A5" s="279" t="s">
        <v>310</v>
      </c>
      <c r="B5" s="280"/>
      <c r="C5" s="280"/>
      <c r="E5" s="280" t="s">
        <v>311</v>
      </c>
      <c r="F5" s="280"/>
      <c r="G5" s="280" t="n">
        <f aca="false">35*9</f>
        <v>315</v>
      </c>
      <c r="H5" s="280" t="s">
        <v>258</v>
      </c>
    </row>
    <row r="6" customFormat="false" ht="12.75" hidden="false" customHeight="false" outlineLevel="0" collapsed="false">
      <c r="A6" s="279" t="s">
        <v>312</v>
      </c>
      <c r="B6" s="280"/>
      <c r="C6" s="280"/>
      <c r="E6" s="280" t="s">
        <v>313</v>
      </c>
      <c r="F6" s="280"/>
      <c r="G6" s="280" t="n">
        <f aca="false">B7+B14</f>
        <v>1274</v>
      </c>
      <c r="H6" s="280" t="s">
        <v>258</v>
      </c>
    </row>
    <row r="7" customFormat="false" ht="12.75" hidden="false" customHeight="false" outlineLevel="0" collapsed="false">
      <c r="A7" s="280" t="s">
        <v>314</v>
      </c>
      <c r="B7" s="280" t="n">
        <v>866</v>
      </c>
      <c r="C7" s="280" t="s">
        <v>258</v>
      </c>
      <c r="E7" s="279" t="s">
        <v>315</v>
      </c>
      <c r="F7" s="280"/>
      <c r="G7" s="280" t="n">
        <f aca="false">+G8+G9+G10</f>
        <v>178.5</v>
      </c>
      <c r="H7" s="280"/>
    </row>
    <row r="8" customFormat="false" ht="12.75" hidden="false" customHeight="false" outlineLevel="0" collapsed="false">
      <c r="A8" s="281" t="s">
        <v>316</v>
      </c>
      <c r="B8" s="281" t="n">
        <v>436</v>
      </c>
      <c r="C8" s="281" t="s">
        <v>258</v>
      </c>
      <c r="E8" s="282" t="s">
        <v>317</v>
      </c>
      <c r="F8" s="280"/>
      <c r="G8" s="280" t="n">
        <f aca="false">8*7</f>
        <v>56</v>
      </c>
      <c r="H8" s="280" t="s">
        <v>258</v>
      </c>
    </row>
    <row r="9" customFormat="false" ht="12.75" hidden="false" customHeight="false" outlineLevel="0" collapsed="false">
      <c r="A9" s="280" t="s">
        <v>318</v>
      </c>
      <c r="B9" s="280" t="n">
        <f aca="false">+B8+B7</f>
        <v>1302</v>
      </c>
      <c r="C9" s="280" t="s">
        <v>258</v>
      </c>
      <c r="E9" s="282" t="s">
        <v>319</v>
      </c>
      <c r="F9" s="280"/>
      <c r="G9" s="280" t="n">
        <v>0</v>
      </c>
      <c r="H9" s="280"/>
    </row>
    <row r="10" customFormat="false" ht="12.75" hidden="false" customHeight="false" outlineLevel="0" collapsed="false">
      <c r="A10" s="280"/>
      <c r="B10" s="280"/>
      <c r="C10" s="280"/>
      <c r="E10" s="282" t="s">
        <v>320</v>
      </c>
      <c r="F10" s="280"/>
      <c r="G10" s="280" t="n">
        <f aca="false">3.5*(25+10)</f>
        <v>122.5</v>
      </c>
      <c r="H10" s="280"/>
    </row>
    <row r="11" customFormat="false" ht="12.75" hidden="false" customHeight="false" outlineLevel="0" collapsed="false">
      <c r="A11" s="279" t="s">
        <v>321</v>
      </c>
      <c r="B11" s="280"/>
      <c r="C11" s="280"/>
      <c r="E11" s="280" t="s">
        <v>322</v>
      </c>
      <c r="F11" s="280"/>
      <c r="G11" s="280" t="n">
        <f aca="false">25*18</f>
        <v>450</v>
      </c>
      <c r="H11" s="280"/>
    </row>
    <row r="12" customFormat="false" ht="12.75" hidden="false" customHeight="false" outlineLevel="0" collapsed="false">
      <c r="A12" s="280" t="s">
        <v>323</v>
      </c>
      <c r="B12" s="280" t="n">
        <v>386</v>
      </c>
      <c r="C12" s="280" t="s">
        <v>258</v>
      </c>
      <c r="E12" s="280" t="s">
        <v>324</v>
      </c>
      <c r="F12" s="280"/>
      <c r="G12" s="280" t="n">
        <v>9</v>
      </c>
      <c r="H12" s="280"/>
    </row>
    <row r="13" customFormat="false" ht="12.75" hidden="false" customHeight="false" outlineLevel="0" collapsed="false">
      <c r="A13" s="280" t="s">
        <v>325</v>
      </c>
      <c r="B13" s="280" t="n">
        <v>22</v>
      </c>
      <c r="C13" s="280" t="s">
        <v>258</v>
      </c>
      <c r="E13" s="280" t="s">
        <v>326</v>
      </c>
      <c r="F13" s="280"/>
      <c r="G13" s="280" t="n">
        <v>1</v>
      </c>
      <c r="H13" s="280"/>
    </row>
    <row r="14" customFormat="false" ht="12.75" hidden="false" customHeight="false" outlineLevel="0" collapsed="false">
      <c r="A14" s="283" t="s">
        <v>327</v>
      </c>
      <c r="B14" s="283" t="n">
        <f aca="false">+B13+B12</f>
        <v>408</v>
      </c>
      <c r="C14" s="283" t="s">
        <v>258</v>
      </c>
      <c r="E14" s="280" t="s">
        <v>328</v>
      </c>
      <c r="F14" s="280"/>
      <c r="G14" s="280" t="n">
        <v>9</v>
      </c>
      <c r="H14" s="280"/>
    </row>
    <row r="15" customFormat="false" ht="12.75" hidden="false" customHeight="false" outlineLevel="0" collapsed="false">
      <c r="A15" s="284" t="s">
        <v>329</v>
      </c>
      <c r="B15" s="284" t="n">
        <f aca="false">+B14+B9</f>
        <v>1710</v>
      </c>
      <c r="C15" s="284" t="s">
        <v>258</v>
      </c>
      <c r="E15" s="280" t="s">
        <v>330</v>
      </c>
      <c r="F15" s="280"/>
      <c r="G15" s="280" t="n">
        <f aca="false">ConstTime</f>
        <v>6</v>
      </c>
      <c r="H15" s="280" t="s">
        <v>4</v>
      </c>
    </row>
    <row r="16" customFormat="false" ht="12.75" hidden="false" customHeight="false" outlineLevel="0" collapsed="false">
      <c r="A16" s="280"/>
      <c r="B16" s="280"/>
      <c r="C16" s="280"/>
      <c r="D16" s="280"/>
      <c r="E16" s="280"/>
      <c r="F16" s="280"/>
      <c r="G16" s="280"/>
      <c r="H16" s="280"/>
    </row>
    <row r="17" customFormat="false" ht="12.75" hidden="false" customHeight="false" outlineLevel="0" collapsed="false">
      <c r="A17" s="279" t="s">
        <v>184</v>
      </c>
      <c r="B17" s="280"/>
      <c r="C17" s="280"/>
      <c r="D17" s="280"/>
      <c r="E17" s="280"/>
      <c r="F17" s="280"/>
      <c r="G17" s="280"/>
      <c r="H17" s="280"/>
    </row>
    <row r="18" customFormat="false" ht="12.75" hidden="false" customHeight="false" outlineLevel="0" collapsed="false">
      <c r="A18" s="280" t="s">
        <v>331</v>
      </c>
      <c r="B18" s="280" t="n">
        <v>0</v>
      </c>
      <c r="C18" s="280" t="s">
        <v>179</v>
      </c>
      <c r="D18" s="285" t="n">
        <f aca="false">1000/4</f>
        <v>250</v>
      </c>
      <c r="E18" s="286" t="n">
        <f aca="false">D18*B18</f>
        <v>0</v>
      </c>
      <c r="F18" s="287" t="n">
        <f aca="false">+E18/$B$9</f>
        <v>0</v>
      </c>
      <c r="G18" s="286" t="n">
        <f aca="false">+E18*AdjRate</f>
        <v>0</v>
      </c>
      <c r="H18" s="287" t="n">
        <f aca="false">+G18/B$9</f>
        <v>0</v>
      </c>
      <c r="I18" s="1" t="s">
        <v>418</v>
      </c>
      <c r="J18" s="296" t="n">
        <f aca="false">+K18*L18</f>
        <v>28.6875</v>
      </c>
      <c r="K18" s="296" t="n">
        <f aca="false">(2+1/8)*Assumptions!C5*0.5</f>
        <v>6.375</v>
      </c>
      <c r="L18" s="296" t="n">
        <f aca="false">6/8*Assumptions!C5</f>
        <v>4.5</v>
      </c>
    </row>
    <row r="19" customFormat="false" ht="12.75" hidden="false" customHeight="false" outlineLevel="0" collapsed="false">
      <c r="A19" s="280" t="s">
        <v>332</v>
      </c>
      <c r="B19" s="280" t="n">
        <f aca="false">+$G$6</f>
        <v>1274</v>
      </c>
      <c r="C19" s="280" t="s">
        <v>258</v>
      </c>
      <c r="D19" s="285" t="n">
        <v>0.15</v>
      </c>
      <c r="E19" s="286" t="n">
        <f aca="false">D19*B19</f>
        <v>191.1</v>
      </c>
      <c r="F19" s="287" t="n">
        <f aca="false">+E19/$B$9</f>
        <v>0.146774193548387</v>
      </c>
      <c r="G19" s="286" t="n">
        <f aca="false">+E19*AdjRate</f>
        <v>229.32</v>
      </c>
      <c r="H19" s="287" t="n">
        <f aca="false">+G19/B$9</f>
        <v>0.176129032258065</v>
      </c>
      <c r="I19" s="1" t="s">
        <v>419</v>
      </c>
      <c r="J19" s="296" t="n">
        <v>0</v>
      </c>
      <c r="K19" s="296" t="n">
        <f aca="false">(1+3.5/8)*Assumptions!C5</f>
        <v>8.625</v>
      </c>
      <c r="L19" s="296" t="n">
        <f aca="false">2*Assumptions!C5</f>
        <v>12</v>
      </c>
    </row>
    <row r="20" customFormat="false" ht="12.75" hidden="false" customHeight="false" outlineLevel="0" collapsed="false">
      <c r="A20" s="280" t="s">
        <v>333</v>
      </c>
      <c r="B20" s="280" t="n">
        <v>0</v>
      </c>
      <c r="C20" s="280" t="s">
        <v>179</v>
      </c>
      <c r="D20" s="285" t="n">
        <v>315</v>
      </c>
      <c r="E20" s="286" t="n">
        <f aca="false">D20*B20</f>
        <v>0</v>
      </c>
      <c r="F20" s="287" t="n">
        <f aca="false">+E20/$B$9</f>
        <v>0</v>
      </c>
      <c r="G20" s="286" t="n">
        <f aca="false">+E20*AdjRate</f>
        <v>0</v>
      </c>
      <c r="H20" s="287" t="n">
        <f aca="false">+G20/B$9</f>
        <v>0</v>
      </c>
      <c r="I20" s="1" t="s">
        <v>420</v>
      </c>
      <c r="J20" s="296" t="n">
        <f aca="false">+K20*L20</f>
        <v>116.375</v>
      </c>
      <c r="K20" s="296" t="n">
        <f aca="false">(Assumptions!C5*(1+3/8))+25</f>
        <v>33.25</v>
      </c>
      <c r="L20" s="296" t="n">
        <v>3.5</v>
      </c>
    </row>
    <row r="21" customFormat="false" ht="12.75" hidden="false" customHeight="false" outlineLevel="0" collapsed="false">
      <c r="A21" s="280" t="s">
        <v>334</v>
      </c>
      <c r="B21" s="280" t="n">
        <v>1</v>
      </c>
      <c r="C21" s="280" t="s">
        <v>179</v>
      </c>
      <c r="D21" s="285" t="n">
        <v>0</v>
      </c>
      <c r="E21" s="286" t="n">
        <f aca="false">D21*B21</f>
        <v>0</v>
      </c>
      <c r="F21" s="287" t="n">
        <f aca="false">+E21/$B$9</f>
        <v>0</v>
      </c>
      <c r="G21" s="286" t="n">
        <f aca="false">+E21*AdjRate</f>
        <v>0</v>
      </c>
      <c r="H21" s="287" t="n">
        <f aca="false">+G21/B$9</f>
        <v>0</v>
      </c>
    </row>
    <row r="22" customFormat="false" ht="12.75" hidden="false" customHeight="false" outlineLevel="0" collapsed="false">
      <c r="A22" s="280"/>
      <c r="B22" s="280"/>
      <c r="C22" s="280"/>
      <c r="D22" s="285"/>
      <c r="E22" s="286"/>
      <c r="F22" s="287"/>
      <c r="G22" s="286"/>
      <c r="H22" s="287"/>
    </row>
    <row r="23" customFormat="false" ht="12.75" hidden="false" customHeight="false" outlineLevel="0" collapsed="false">
      <c r="A23" s="279" t="s">
        <v>335</v>
      </c>
      <c r="B23" s="280"/>
      <c r="C23" s="280"/>
      <c r="D23" s="285"/>
      <c r="E23" s="286"/>
      <c r="F23" s="287"/>
      <c r="G23" s="286"/>
      <c r="H23" s="287"/>
    </row>
    <row r="24" customFormat="false" ht="12.75" hidden="false" customHeight="false" outlineLevel="0" collapsed="false">
      <c r="A24" s="280" t="s">
        <v>336</v>
      </c>
      <c r="B24" s="280" t="n">
        <v>1</v>
      </c>
      <c r="C24" s="280" t="s">
        <v>179</v>
      </c>
      <c r="D24" s="285" t="n">
        <v>150</v>
      </c>
      <c r="E24" s="286" t="n">
        <f aca="false">D24*B24</f>
        <v>150</v>
      </c>
      <c r="F24" s="287" t="n">
        <f aca="false">+E24/$B$9</f>
        <v>0.115207373271889</v>
      </c>
      <c r="G24" s="286" t="n">
        <f aca="false">+D24*B24*AdjRate</f>
        <v>180</v>
      </c>
      <c r="H24" s="287" t="n">
        <f aca="false">+G24/B$9</f>
        <v>0.138248847926267</v>
      </c>
    </row>
    <row r="25" customFormat="false" ht="12.75" hidden="false" customHeight="false" outlineLevel="0" collapsed="false">
      <c r="A25" s="280" t="s">
        <v>337</v>
      </c>
      <c r="B25" s="280" t="n">
        <v>1</v>
      </c>
      <c r="C25" s="280" t="s">
        <v>179</v>
      </c>
      <c r="D25" s="285" t="n">
        <v>100</v>
      </c>
      <c r="E25" s="286" t="n">
        <f aca="false">D25*B25</f>
        <v>100</v>
      </c>
      <c r="F25" s="287" t="n">
        <f aca="false">+E25/$B$9</f>
        <v>0.0768049155145929</v>
      </c>
      <c r="G25" s="286" t="n">
        <f aca="false">+D25*B25*AdjRate</f>
        <v>120</v>
      </c>
      <c r="H25" s="287" t="n">
        <f aca="false">+G25/B$9</f>
        <v>0.0921658986175115</v>
      </c>
    </row>
    <row r="26" customFormat="false" ht="12.75" hidden="false" customHeight="false" outlineLevel="0" collapsed="false">
      <c r="A26" s="280" t="s">
        <v>338</v>
      </c>
      <c r="B26" s="280" t="n">
        <v>1</v>
      </c>
      <c r="C26" s="280" t="s">
        <v>179</v>
      </c>
      <c r="D26" s="285" t="n">
        <v>0</v>
      </c>
      <c r="E26" s="286" t="n">
        <f aca="false">D26*B26</f>
        <v>0</v>
      </c>
      <c r="F26" s="287" t="n">
        <f aca="false">+E26/$B$9</f>
        <v>0</v>
      </c>
      <c r="G26" s="286" t="n">
        <f aca="false">+E26*AdjRate</f>
        <v>0</v>
      </c>
      <c r="H26" s="287" t="n">
        <f aca="false">+G26/B$9</f>
        <v>0</v>
      </c>
    </row>
    <row r="27" customFormat="false" ht="12.75" hidden="false" customHeight="false" outlineLevel="0" collapsed="false">
      <c r="A27" s="280"/>
      <c r="B27" s="280"/>
      <c r="C27" s="280"/>
      <c r="D27" s="285"/>
      <c r="E27" s="286"/>
      <c r="F27" s="287"/>
      <c r="G27" s="286"/>
      <c r="H27" s="287"/>
    </row>
    <row r="28" customFormat="false" ht="12.75" hidden="false" customHeight="false" outlineLevel="0" collapsed="false">
      <c r="A28" s="279" t="s">
        <v>339</v>
      </c>
      <c r="B28" s="280"/>
      <c r="C28" s="280"/>
      <c r="D28" s="285"/>
      <c r="E28" s="286"/>
      <c r="F28" s="287"/>
      <c r="G28" s="286"/>
      <c r="H28" s="287"/>
    </row>
    <row r="29" customFormat="false" ht="12.75" hidden="false" customHeight="false" outlineLevel="0" collapsed="false">
      <c r="A29" s="280" t="s">
        <v>340</v>
      </c>
      <c r="B29" s="280" t="n">
        <f aca="false">ConstTime</f>
        <v>6</v>
      </c>
      <c r="C29" s="280" t="s">
        <v>274</v>
      </c>
      <c r="D29" s="285" t="n">
        <f aca="false">56</f>
        <v>56</v>
      </c>
      <c r="E29" s="286" t="n">
        <f aca="false">D29*B29</f>
        <v>336</v>
      </c>
      <c r="F29" s="287" t="n">
        <f aca="false">+E29/$B$9</f>
        <v>0.258064516129032</v>
      </c>
      <c r="G29" s="286" t="n">
        <f aca="false">+D29*B29*AdjRate</f>
        <v>403.2</v>
      </c>
      <c r="H29" s="287" t="n">
        <f aca="false">+G29/B$9</f>
        <v>0.309677419354839</v>
      </c>
    </row>
    <row r="30" customFormat="false" ht="12.75" hidden="false" customHeight="false" outlineLevel="0" collapsed="false">
      <c r="A30" s="280" t="s">
        <v>341</v>
      </c>
      <c r="B30" s="280" t="n">
        <v>1</v>
      </c>
      <c r="C30" s="280" t="s">
        <v>179</v>
      </c>
      <c r="D30" s="285" t="n">
        <v>500</v>
      </c>
      <c r="E30" s="286" t="n">
        <f aca="false">D30*B30</f>
        <v>500</v>
      </c>
      <c r="F30" s="287" t="n">
        <f aca="false">+E30/$B$9</f>
        <v>0.384024577572965</v>
      </c>
      <c r="G30" s="286" t="n">
        <f aca="false">+E30*AdjRate</f>
        <v>600</v>
      </c>
      <c r="H30" s="287" t="n">
        <f aca="false">+G30/B$9</f>
        <v>0.460829493087558</v>
      </c>
    </row>
    <row r="31" customFormat="false" ht="12.75" hidden="false" customHeight="false" outlineLevel="0" collapsed="false">
      <c r="A31" s="280"/>
      <c r="B31" s="280"/>
      <c r="C31" s="280"/>
      <c r="D31" s="285"/>
      <c r="E31" s="286"/>
      <c r="F31" s="287"/>
      <c r="G31" s="286"/>
      <c r="H31" s="287"/>
    </row>
    <row r="32" customFormat="false" ht="12.75" hidden="false" customHeight="false" outlineLevel="0" collapsed="false">
      <c r="A32" s="279" t="s">
        <v>342</v>
      </c>
      <c r="B32" s="280"/>
      <c r="C32" s="280"/>
      <c r="D32" s="285"/>
      <c r="E32" s="286"/>
      <c r="F32" s="287"/>
      <c r="G32" s="286"/>
      <c r="H32" s="287"/>
    </row>
    <row r="33" customFormat="false" ht="12.75" hidden="false" customHeight="false" outlineLevel="0" collapsed="false">
      <c r="A33" s="280" t="s">
        <v>343</v>
      </c>
      <c r="B33" s="280" t="n">
        <f aca="false">ConstTime</f>
        <v>6</v>
      </c>
      <c r="C33" s="280" t="s">
        <v>274</v>
      </c>
      <c r="D33" s="285" t="n">
        <v>30</v>
      </c>
      <c r="E33" s="286" t="n">
        <f aca="false">D33*B33</f>
        <v>180</v>
      </c>
      <c r="F33" s="287" t="n">
        <f aca="false">+E33/$B$9</f>
        <v>0.138248847926267</v>
      </c>
      <c r="G33" s="286" t="n">
        <f aca="false">+D33*B33*AdjRate</f>
        <v>216</v>
      </c>
      <c r="H33" s="287" t="n">
        <f aca="false">+G33/B$9</f>
        <v>0.165898617511521</v>
      </c>
    </row>
    <row r="34" customFormat="false" ht="12.75" hidden="false" customHeight="false" outlineLevel="0" collapsed="false">
      <c r="A34" s="280" t="s">
        <v>344</v>
      </c>
      <c r="B34" s="280" t="n">
        <f aca="false">ConstTime</f>
        <v>6</v>
      </c>
      <c r="C34" s="280" t="s">
        <v>274</v>
      </c>
      <c r="D34" s="285" t="n">
        <v>30</v>
      </c>
      <c r="E34" s="286" t="n">
        <f aca="false">D34*B34</f>
        <v>180</v>
      </c>
      <c r="F34" s="287" t="n">
        <f aca="false">+E34/$B$9</f>
        <v>0.138248847926267</v>
      </c>
      <c r="G34" s="286" t="n">
        <f aca="false">+D34*B34*AdjRate</f>
        <v>216</v>
      </c>
      <c r="H34" s="287" t="n">
        <f aca="false">+G34/B$9</f>
        <v>0.165898617511521</v>
      </c>
    </row>
    <row r="35" customFormat="false" ht="12.75" hidden="false" customHeight="false" outlineLevel="0" collapsed="false">
      <c r="A35" s="280" t="s">
        <v>345</v>
      </c>
      <c r="B35" s="280" t="n">
        <f aca="false">ConstTime</f>
        <v>6</v>
      </c>
      <c r="C35" s="280" t="s">
        <v>274</v>
      </c>
      <c r="D35" s="285" t="n">
        <v>10</v>
      </c>
      <c r="E35" s="286" t="n">
        <f aca="false">D35*B35</f>
        <v>60</v>
      </c>
      <c r="F35" s="287" t="n">
        <f aca="false">+E35/$B$9</f>
        <v>0.0460829493087558</v>
      </c>
      <c r="G35" s="286" t="n">
        <f aca="false">+E35*AdjRate</f>
        <v>72</v>
      </c>
      <c r="H35" s="287" t="n">
        <f aca="false">+G35/B$9</f>
        <v>0.0552995391705069</v>
      </c>
    </row>
    <row r="36" customFormat="false" ht="12.75" hidden="false" customHeight="false" outlineLevel="0" collapsed="false">
      <c r="A36" s="280"/>
      <c r="B36" s="280"/>
      <c r="C36" s="280"/>
      <c r="D36" s="285"/>
      <c r="E36" s="286"/>
      <c r="F36" s="287"/>
      <c r="G36" s="286"/>
      <c r="H36" s="287"/>
    </row>
    <row r="37" customFormat="false" ht="12.75" hidden="false" customHeight="false" outlineLevel="0" collapsed="false">
      <c r="A37" s="279" t="s">
        <v>346</v>
      </c>
      <c r="B37" s="280"/>
      <c r="C37" s="280"/>
      <c r="D37" s="285"/>
      <c r="E37" s="286"/>
      <c r="F37" s="287"/>
      <c r="G37" s="286"/>
      <c r="H37" s="287"/>
    </row>
    <row r="38" customFormat="false" ht="12.75" hidden="false" customHeight="false" outlineLevel="0" collapsed="false">
      <c r="A38" s="280" t="s">
        <v>347</v>
      </c>
      <c r="B38" s="280" t="n">
        <v>1</v>
      </c>
      <c r="C38" s="280" t="s">
        <v>179</v>
      </c>
      <c r="D38" s="285" t="n">
        <v>750</v>
      </c>
      <c r="E38" s="286" t="n">
        <f aca="false">D38*B38</f>
        <v>750</v>
      </c>
      <c r="F38" s="287" t="n">
        <f aca="false">+E38/$B$9</f>
        <v>0.576036866359447</v>
      </c>
      <c r="G38" s="286" t="n">
        <f aca="false">+D38*B38*AdjRate</f>
        <v>900</v>
      </c>
      <c r="H38" s="287" t="n">
        <f aca="false">+G38/B$9</f>
        <v>0.691244239631336</v>
      </c>
    </row>
    <row r="39" customFormat="false" ht="12.75" hidden="false" customHeight="false" outlineLevel="0" collapsed="false">
      <c r="A39" s="280" t="s">
        <v>348</v>
      </c>
      <c r="B39" s="280" t="n">
        <f aca="false">+B$9</f>
        <v>1302</v>
      </c>
      <c r="C39" s="280" t="s">
        <v>258</v>
      </c>
      <c r="D39" s="285" t="n">
        <v>0.1</v>
      </c>
      <c r="E39" s="286" t="n">
        <f aca="false">D39*B39</f>
        <v>130.2</v>
      </c>
      <c r="F39" s="287" t="n">
        <f aca="false">+E39/$B$9</f>
        <v>0.1</v>
      </c>
      <c r="G39" s="286" t="n">
        <f aca="false">+E39*AdjRate</f>
        <v>156.24</v>
      </c>
      <c r="H39" s="287" t="n">
        <f aca="false">+G39/B$9</f>
        <v>0.12</v>
      </c>
    </row>
    <row r="40" customFormat="false" ht="12.75" hidden="false" customHeight="false" outlineLevel="0" collapsed="false">
      <c r="A40" s="280"/>
      <c r="B40" s="280"/>
      <c r="C40" s="280"/>
      <c r="D40" s="285"/>
      <c r="E40" s="286"/>
      <c r="F40" s="287"/>
      <c r="G40" s="286"/>
      <c r="H40" s="287"/>
    </row>
    <row r="41" customFormat="false" ht="12.75" hidden="false" customHeight="false" outlineLevel="0" collapsed="false">
      <c r="A41" s="279" t="s">
        <v>349</v>
      </c>
      <c r="B41" s="280"/>
      <c r="C41" s="280"/>
      <c r="D41" s="285"/>
      <c r="E41" s="286"/>
      <c r="F41" s="287"/>
      <c r="G41" s="286"/>
      <c r="H41" s="287"/>
    </row>
    <row r="42" customFormat="false" ht="12.75" hidden="false" customHeight="false" outlineLevel="0" collapsed="false">
      <c r="A42" s="280" t="s">
        <v>350</v>
      </c>
      <c r="B42" s="280" t="n">
        <v>0</v>
      </c>
      <c r="C42" s="280" t="s">
        <v>179</v>
      </c>
      <c r="D42" s="285" t="n">
        <v>0</v>
      </c>
      <c r="E42" s="286" t="n">
        <f aca="false">D42*B42</f>
        <v>0</v>
      </c>
      <c r="F42" s="287" t="n">
        <f aca="false">+E42/$B$9</f>
        <v>0</v>
      </c>
      <c r="G42" s="286" t="n">
        <f aca="false">+E42*AdjRate</f>
        <v>0</v>
      </c>
      <c r="H42" s="287" t="n">
        <f aca="false">+G42/B$9</f>
        <v>0</v>
      </c>
    </row>
    <row r="43" customFormat="false" ht="12.75" hidden="false" customHeight="false" outlineLevel="0" collapsed="false">
      <c r="A43" s="280" t="s">
        <v>351</v>
      </c>
      <c r="B43" s="280" t="n">
        <v>1</v>
      </c>
      <c r="C43" s="280" t="s">
        <v>195</v>
      </c>
      <c r="D43" s="285" t="n">
        <v>150</v>
      </c>
      <c r="E43" s="286" t="n">
        <f aca="false">D43*B43</f>
        <v>150</v>
      </c>
      <c r="F43" s="287" t="n">
        <f aca="false">+E43/$B$9</f>
        <v>0.115207373271889</v>
      </c>
      <c r="G43" s="286" t="n">
        <f aca="false">+E43*AdjRate</f>
        <v>180</v>
      </c>
      <c r="H43" s="287" t="n">
        <f aca="false">+G43/B$9</f>
        <v>0.138248847926267</v>
      </c>
    </row>
    <row r="44" customFormat="false" ht="12.75" hidden="false" customHeight="false" outlineLevel="0" collapsed="false">
      <c r="A44" s="280" t="s">
        <v>352</v>
      </c>
      <c r="B44" s="280" t="n">
        <v>1</v>
      </c>
      <c r="C44" s="280" t="s">
        <v>179</v>
      </c>
      <c r="D44" s="285" t="n">
        <v>150</v>
      </c>
      <c r="E44" s="286" t="n">
        <f aca="false">D44*B44</f>
        <v>150</v>
      </c>
      <c r="F44" s="287" t="n">
        <f aca="false">+E44/$B$9</f>
        <v>0.115207373271889</v>
      </c>
      <c r="G44" s="286" t="n">
        <f aca="false">+E44*AdjRate</f>
        <v>180</v>
      </c>
      <c r="H44" s="287" t="n">
        <f aca="false">+G44/B$9</f>
        <v>0.138248847926267</v>
      </c>
    </row>
    <row r="45" customFormat="false" ht="12.75" hidden="false" customHeight="false" outlineLevel="0" collapsed="false">
      <c r="A45" s="280" t="s">
        <v>353</v>
      </c>
      <c r="B45" s="280" t="n">
        <v>1</v>
      </c>
      <c r="C45" s="280" t="s">
        <v>179</v>
      </c>
      <c r="D45" s="285" t="n">
        <v>0</v>
      </c>
      <c r="E45" s="286" t="n">
        <f aca="false">D45*B45</f>
        <v>0</v>
      </c>
      <c r="F45" s="287" t="n">
        <f aca="false">+E45/$B$9</f>
        <v>0</v>
      </c>
      <c r="G45" s="286" t="n">
        <f aca="false">+E45*AdjRate</f>
        <v>0</v>
      </c>
      <c r="H45" s="287" t="n">
        <f aca="false">+G45/B$9</f>
        <v>0</v>
      </c>
    </row>
    <row r="46" customFormat="false" ht="12.75" hidden="false" customHeight="false" outlineLevel="0" collapsed="false">
      <c r="A46" s="280" t="s">
        <v>267</v>
      </c>
      <c r="B46" s="280" t="n">
        <v>1</v>
      </c>
      <c r="C46" s="280" t="s">
        <v>179</v>
      </c>
      <c r="D46" s="285" t="n">
        <v>0</v>
      </c>
      <c r="E46" s="286" t="n">
        <f aca="false">D46*B46</f>
        <v>0</v>
      </c>
      <c r="F46" s="287" t="n">
        <f aca="false">+E46/$B$9</f>
        <v>0</v>
      </c>
      <c r="G46" s="286" t="n">
        <f aca="false">+D46*B46*AdjRate</f>
        <v>0</v>
      </c>
      <c r="H46" s="287" t="n">
        <f aca="false">+G46/B$9</f>
        <v>0</v>
      </c>
    </row>
    <row r="47" customFormat="false" ht="12.75" hidden="false" customHeight="false" outlineLevel="0" collapsed="false">
      <c r="A47" s="280" t="s">
        <v>355</v>
      </c>
      <c r="B47" s="280" t="n">
        <v>0</v>
      </c>
      <c r="C47" s="280" t="s">
        <v>200</v>
      </c>
      <c r="D47" s="285" t="n">
        <v>15</v>
      </c>
      <c r="E47" s="286" t="n">
        <f aca="false">D47*B47</f>
        <v>0</v>
      </c>
      <c r="F47" s="287" t="n">
        <f aca="false">+E47/$B$9</f>
        <v>0</v>
      </c>
      <c r="G47" s="286" t="n">
        <f aca="false">+D47*B47*AdjRate</f>
        <v>0</v>
      </c>
      <c r="H47" s="287" t="n">
        <f aca="false">+G47/B$9</f>
        <v>0</v>
      </c>
    </row>
    <row r="48" customFormat="false" ht="12.75" hidden="false" customHeight="false" outlineLevel="0" collapsed="false">
      <c r="A48" s="280" t="s">
        <v>356</v>
      </c>
      <c r="B48" s="280" t="n">
        <v>0</v>
      </c>
      <c r="C48" s="280" t="s">
        <v>179</v>
      </c>
      <c r="D48" s="285" t="n">
        <v>100</v>
      </c>
      <c r="E48" s="286" t="n">
        <f aca="false">D48*B48</f>
        <v>0</v>
      </c>
      <c r="F48" s="287" t="n">
        <f aca="false">+E48/$B$9</f>
        <v>0</v>
      </c>
      <c r="G48" s="286" t="n">
        <f aca="false">+E48*AdjRate</f>
        <v>0</v>
      </c>
      <c r="H48" s="287" t="n">
        <f aca="false">+G48/B$9</f>
        <v>0</v>
      </c>
    </row>
    <row r="49" customFormat="false" ht="12.75" hidden="false" customHeight="false" outlineLevel="0" collapsed="false">
      <c r="A49" s="280"/>
      <c r="B49" s="280"/>
      <c r="C49" s="280"/>
      <c r="D49" s="285"/>
      <c r="E49" s="286"/>
      <c r="F49" s="287"/>
      <c r="G49" s="286"/>
      <c r="H49" s="287"/>
    </row>
    <row r="50" customFormat="false" ht="12.75" hidden="false" customHeight="false" outlineLevel="0" collapsed="false">
      <c r="A50" s="279" t="s">
        <v>357</v>
      </c>
      <c r="B50" s="280"/>
      <c r="C50" s="280"/>
      <c r="D50" s="285"/>
      <c r="E50" s="286"/>
      <c r="F50" s="287"/>
      <c r="G50" s="286"/>
      <c r="H50" s="287"/>
    </row>
    <row r="51" customFormat="false" ht="12.75" hidden="false" customHeight="false" outlineLevel="0" collapsed="false">
      <c r="A51" s="280" t="s">
        <v>313</v>
      </c>
      <c r="B51" s="280" t="n">
        <f aca="false">G$6</f>
        <v>1274</v>
      </c>
      <c r="C51" s="280" t="s">
        <v>258</v>
      </c>
      <c r="D51" s="285" t="n">
        <v>5.75</v>
      </c>
      <c r="E51" s="286" t="n">
        <f aca="false">D51*B51</f>
        <v>7325.5</v>
      </c>
      <c r="F51" s="287" t="n">
        <f aca="false">+E51/$B$9</f>
        <v>5.62634408602151</v>
      </c>
      <c r="G51" s="286" t="n">
        <f aca="false">+E51*AdjRate</f>
        <v>8790.6</v>
      </c>
      <c r="H51" s="287" t="n">
        <f aca="false">+G51/B$9</f>
        <v>6.75161290322581</v>
      </c>
    </row>
    <row r="52" customFormat="false" ht="12.75" hidden="false" customHeight="false" outlineLevel="0" collapsed="false">
      <c r="A52" s="280" t="s">
        <v>358</v>
      </c>
      <c r="B52" s="280" t="n">
        <v>1</v>
      </c>
      <c r="C52" s="280" t="s">
        <v>179</v>
      </c>
      <c r="D52" s="285" t="n">
        <v>100</v>
      </c>
      <c r="E52" s="286" t="n">
        <f aca="false">D52*B52</f>
        <v>100</v>
      </c>
      <c r="F52" s="287" t="n">
        <f aca="false">+E52/$B$9</f>
        <v>0.0768049155145929</v>
      </c>
      <c r="G52" s="286" t="n">
        <f aca="false">+D52*B52*AdjRate</f>
        <v>120</v>
      </c>
      <c r="H52" s="287" t="n">
        <f aca="false">+G52/B$9</f>
        <v>0.0921658986175115</v>
      </c>
    </row>
    <row r="53" customFormat="false" ht="12.75" hidden="false" customHeight="false" outlineLevel="0" collapsed="false">
      <c r="A53" s="280" t="s">
        <v>315</v>
      </c>
      <c r="B53" s="280" t="n">
        <f aca="false">G$7</f>
        <v>178.5</v>
      </c>
      <c r="C53" s="280" t="s">
        <v>258</v>
      </c>
      <c r="D53" s="285" t="n">
        <v>2</v>
      </c>
      <c r="E53" s="286" t="n">
        <f aca="false">D53*B53</f>
        <v>357</v>
      </c>
      <c r="F53" s="287" t="n">
        <f aca="false">+E53/$B$9</f>
        <v>0.274193548387097</v>
      </c>
      <c r="G53" s="286" t="n">
        <f aca="false">+D53*B53*AdjRate</f>
        <v>428.4</v>
      </c>
      <c r="H53" s="287" t="n">
        <f aca="false">+G53/B$9</f>
        <v>0.329032258064516</v>
      </c>
    </row>
    <row r="54" customFormat="false" ht="12.75" hidden="false" customHeight="false" outlineLevel="0" collapsed="false">
      <c r="A54" s="280" t="s">
        <v>322</v>
      </c>
      <c r="B54" s="280" t="n">
        <f aca="false">G11</f>
        <v>450</v>
      </c>
      <c r="C54" s="280" t="s">
        <v>258</v>
      </c>
      <c r="D54" s="285" t="n">
        <v>2.25</v>
      </c>
      <c r="E54" s="286" t="n">
        <f aca="false">D54*B54</f>
        <v>1012.5</v>
      </c>
      <c r="F54" s="287" t="n">
        <f aca="false">+E54/$B$9</f>
        <v>0.777649769585253</v>
      </c>
      <c r="G54" s="286" t="n">
        <f aca="false">+E54*AdjRate</f>
        <v>1215</v>
      </c>
      <c r="H54" s="287" t="n">
        <f aca="false">+G54/B$9</f>
        <v>0.933179723502304</v>
      </c>
    </row>
    <row r="55" customFormat="false" ht="12.75" hidden="false" customHeight="false" outlineLevel="0" collapsed="false">
      <c r="A55" s="280"/>
      <c r="B55" s="280"/>
      <c r="C55" s="280"/>
      <c r="D55" s="285"/>
      <c r="E55" s="286"/>
      <c r="F55" s="287"/>
      <c r="G55" s="286"/>
      <c r="H55" s="287"/>
    </row>
    <row r="56" customFormat="false" ht="12.75" hidden="false" customHeight="false" outlineLevel="0" collapsed="false">
      <c r="A56" s="279" t="s">
        <v>360</v>
      </c>
      <c r="B56" s="280"/>
      <c r="C56" s="280"/>
      <c r="D56" s="285"/>
      <c r="E56" s="286"/>
      <c r="F56" s="287"/>
      <c r="G56" s="286"/>
      <c r="H56" s="287"/>
    </row>
    <row r="57" customFormat="false" ht="12.75" hidden="false" customHeight="false" outlineLevel="0" collapsed="false">
      <c r="A57" s="280" t="s">
        <v>361</v>
      </c>
      <c r="B57" s="280" t="n">
        <f aca="false">B$15</f>
        <v>1710</v>
      </c>
      <c r="C57" s="280" t="s">
        <v>258</v>
      </c>
      <c r="D57" s="285" t="n">
        <v>2.5</v>
      </c>
      <c r="E57" s="286" t="n">
        <f aca="false">D57*B57</f>
        <v>4275</v>
      </c>
      <c r="F57" s="287" t="n">
        <f aca="false">+E57/$B$9</f>
        <v>3.28341013824885</v>
      </c>
      <c r="G57" s="286" t="n">
        <f aca="false">+E57*AdjRate</f>
        <v>5130</v>
      </c>
      <c r="H57" s="287" t="n">
        <f aca="false">+G57/B$9</f>
        <v>3.94009216589862</v>
      </c>
    </row>
    <row r="58" customFormat="false" ht="12.75" hidden="false" customHeight="false" outlineLevel="0" collapsed="false">
      <c r="A58" s="280" t="s">
        <v>362</v>
      </c>
      <c r="B58" s="280" t="n">
        <f aca="false">+B8</f>
        <v>436</v>
      </c>
      <c r="C58" s="280" t="s">
        <v>258</v>
      </c>
      <c r="D58" s="285" t="n">
        <v>1.9</v>
      </c>
      <c r="E58" s="286" t="n">
        <f aca="false">D58*B58</f>
        <v>828.4</v>
      </c>
      <c r="F58" s="287" t="n">
        <f aca="false">+E58/$B$9</f>
        <v>0.636251920122888</v>
      </c>
      <c r="G58" s="286" t="n">
        <f aca="false">+E58*AdjRate</f>
        <v>994.08</v>
      </c>
      <c r="H58" s="287" t="n">
        <f aca="false">+G58/B$9</f>
        <v>0.763502304147465</v>
      </c>
    </row>
    <row r="59" customFormat="false" ht="12.75" hidden="false" customHeight="false" outlineLevel="0" collapsed="false">
      <c r="A59" s="280" t="s">
        <v>363</v>
      </c>
      <c r="B59" s="280" t="n">
        <f aca="false">G$6</f>
        <v>1274</v>
      </c>
      <c r="C59" s="280" t="s">
        <v>258</v>
      </c>
      <c r="D59" s="285" t="n">
        <v>1.2</v>
      </c>
      <c r="E59" s="286" t="n">
        <f aca="false">D59*B59</f>
        <v>1528.8</v>
      </c>
      <c r="F59" s="287" t="n">
        <f aca="false">+E59/$B$9</f>
        <v>1.1741935483871</v>
      </c>
      <c r="G59" s="286" t="n">
        <f aca="false">+E59*AdjRate</f>
        <v>1834.56</v>
      </c>
      <c r="H59" s="287" t="n">
        <f aca="false">+G59/B$9</f>
        <v>1.40903225806452</v>
      </c>
    </row>
    <row r="60" customFormat="false" ht="12.75" hidden="false" customHeight="false" outlineLevel="0" collapsed="false">
      <c r="A60" s="280" t="s">
        <v>364</v>
      </c>
      <c r="B60" s="280" t="n">
        <f aca="false">B$15</f>
        <v>1710</v>
      </c>
      <c r="C60" s="280" t="s">
        <v>258</v>
      </c>
      <c r="D60" s="285" t="n">
        <v>3.5</v>
      </c>
      <c r="E60" s="286" t="n">
        <f aca="false">D60*B60</f>
        <v>5985</v>
      </c>
      <c r="F60" s="287" t="n">
        <f aca="false">+E60/$B$9</f>
        <v>4.59677419354839</v>
      </c>
      <c r="G60" s="286" t="n">
        <f aca="false">+E60*AdjRate</f>
        <v>7182</v>
      </c>
      <c r="H60" s="287" t="n">
        <f aca="false">+G60/B$9</f>
        <v>5.51612903225807</v>
      </c>
    </row>
    <row r="61" customFormat="false" ht="12.75" hidden="false" customHeight="false" outlineLevel="0" collapsed="false">
      <c r="A61" s="280" t="s">
        <v>365</v>
      </c>
      <c r="B61" s="280" t="n">
        <v>1</v>
      </c>
      <c r="C61" s="280" t="s">
        <v>179</v>
      </c>
      <c r="D61" s="285" t="n">
        <v>285</v>
      </c>
      <c r="E61" s="286" t="n">
        <f aca="false">D61*B61</f>
        <v>285</v>
      </c>
      <c r="F61" s="287" t="n">
        <f aca="false">+E61/$B$9</f>
        <v>0.21889400921659</v>
      </c>
      <c r="G61" s="286" t="n">
        <f aca="false">+E61*AdjRate</f>
        <v>342</v>
      </c>
      <c r="H61" s="287" t="n">
        <f aca="false">+G61/B$9</f>
        <v>0.262672811059908</v>
      </c>
    </row>
    <row r="62" customFormat="false" ht="12.75" hidden="false" customHeight="false" outlineLevel="0" collapsed="false">
      <c r="A62" s="280" t="s">
        <v>366</v>
      </c>
      <c r="B62" s="280" t="n">
        <f aca="false">G13</f>
        <v>1</v>
      </c>
      <c r="C62" s="280" t="s">
        <v>367</v>
      </c>
      <c r="D62" s="285" t="n">
        <v>285</v>
      </c>
      <c r="E62" s="286" t="n">
        <f aca="false">D62*B62</f>
        <v>285</v>
      </c>
      <c r="F62" s="287" t="n">
        <f aca="false">+E62/$B$9</f>
        <v>0.21889400921659</v>
      </c>
      <c r="G62" s="286" t="n">
        <f aca="false">+E62*AdjRate</f>
        <v>342</v>
      </c>
      <c r="H62" s="287" t="n">
        <f aca="false">+G62/B$9</f>
        <v>0.262672811059908</v>
      </c>
    </row>
    <row r="63" customFormat="false" ht="12.75" hidden="false" customHeight="false" outlineLevel="0" collapsed="false">
      <c r="A63" s="280" t="s">
        <v>368</v>
      </c>
      <c r="B63" s="280" t="n">
        <f aca="false">B$9</f>
        <v>1302</v>
      </c>
      <c r="C63" s="280" t="s">
        <v>258</v>
      </c>
      <c r="D63" s="285" t="n">
        <v>0.6</v>
      </c>
      <c r="E63" s="286" t="n">
        <f aca="false">D63*B63</f>
        <v>781.2</v>
      </c>
      <c r="F63" s="287" t="n">
        <f aca="false">+E63/$B$9</f>
        <v>0.6</v>
      </c>
      <c r="G63" s="286" t="n">
        <f aca="false">+E63*AdjRate</f>
        <v>937.44</v>
      </c>
      <c r="H63" s="287" t="n">
        <f aca="false">+G63/B$9</f>
        <v>0.72</v>
      </c>
    </row>
    <row r="64" customFormat="false" ht="12.75" hidden="false" customHeight="false" outlineLevel="0" collapsed="false">
      <c r="A64" s="280" t="s">
        <v>328</v>
      </c>
      <c r="B64" s="280" t="n">
        <f aca="false">G14</f>
        <v>9</v>
      </c>
      <c r="C64" s="280" t="s">
        <v>369</v>
      </c>
      <c r="D64" s="285" t="n">
        <v>85</v>
      </c>
      <c r="E64" s="286" t="n">
        <f aca="false">D64*B64</f>
        <v>765</v>
      </c>
      <c r="F64" s="287" t="n">
        <f aca="false">+E64/$B$9</f>
        <v>0.587557603686636</v>
      </c>
      <c r="G64" s="286" t="n">
        <f aca="false">+E64*AdjRate</f>
        <v>918</v>
      </c>
      <c r="H64" s="287" t="n">
        <f aca="false">+G64/B$9</f>
        <v>0.705069124423963</v>
      </c>
    </row>
    <row r="65" customFormat="false" ht="12.75" hidden="false" customHeight="false" outlineLevel="0" collapsed="false">
      <c r="A65" s="280" t="s">
        <v>370</v>
      </c>
      <c r="B65" s="280" t="n">
        <f aca="false">B$9</f>
        <v>1302</v>
      </c>
      <c r="C65" s="280" t="s">
        <v>258</v>
      </c>
      <c r="D65" s="285" t="n">
        <v>0.6</v>
      </c>
      <c r="E65" s="286" t="n">
        <f aca="false">D65*B65</f>
        <v>781.2</v>
      </c>
      <c r="F65" s="287" t="n">
        <f aca="false">+E65/$B$9</f>
        <v>0.6</v>
      </c>
      <c r="G65" s="286" t="n">
        <f aca="false">+D65*B65*AdjRate</f>
        <v>937.44</v>
      </c>
      <c r="H65" s="287" t="n">
        <f aca="false">+G65/B$9</f>
        <v>0.72</v>
      </c>
    </row>
    <row r="66" customFormat="false" ht="12.75" hidden="false" customHeight="false" outlineLevel="0" collapsed="false">
      <c r="A66" s="280" t="s">
        <v>371</v>
      </c>
      <c r="B66" s="280" t="n">
        <v>33</v>
      </c>
      <c r="C66" s="280" t="s">
        <v>200</v>
      </c>
      <c r="D66" s="285" t="n">
        <v>60</v>
      </c>
      <c r="E66" s="286" t="n">
        <f aca="false">D66*B66</f>
        <v>1980</v>
      </c>
      <c r="F66" s="287" t="n">
        <f aca="false">+E66/$B$9</f>
        <v>1.52073732718894</v>
      </c>
      <c r="G66" s="286" t="n">
        <f aca="false">+D66*B66*AdjRate</f>
        <v>2376</v>
      </c>
      <c r="H66" s="287" t="n">
        <f aca="false">+G66/B$9</f>
        <v>1.82488479262673</v>
      </c>
    </row>
    <row r="67" customFormat="false" ht="12.75" hidden="false" customHeight="false" outlineLevel="0" collapsed="false">
      <c r="A67" s="280" t="s">
        <v>372</v>
      </c>
      <c r="B67" s="280" t="n">
        <v>16</v>
      </c>
      <c r="C67" s="280" t="s">
        <v>200</v>
      </c>
      <c r="D67" s="285" t="n">
        <v>30</v>
      </c>
      <c r="E67" s="286" t="n">
        <f aca="false">D67*B67</f>
        <v>480</v>
      </c>
      <c r="F67" s="287" t="n">
        <f aca="false">+E67/$B$9</f>
        <v>0.368663594470046</v>
      </c>
      <c r="G67" s="286" t="n">
        <f aca="false">+E67*AdjRate</f>
        <v>576</v>
      </c>
      <c r="H67" s="287" t="n">
        <f aca="false">+G67/B$9</f>
        <v>0.442396313364055</v>
      </c>
    </row>
    <row r="68" customFormat="false" ht="12.75" hidden="false" customHeight="false" outlineLevel="0" collapsed="false">
      <c r="A68" s="280"/>
      <c r="B68" s="280"/>
      <c r="C68" s="280"/>
      <c r="D68" s="285"/>
      <c r="E68" s="286"/>
      <c r="F68" s="287"/>
      <c r="G68" s="286"/>
      <c r="H68" s="287"/>
    </row>
    <row r="69" customFormat="false" ht="12.75" hidden="false" customHeight="false" outlineLevel="0" collapsed="false">
      <c r="A69" s="279" t="s">
        <v>373</v>
      </c>
      <c r="B69" s="280"/>
      <c r="C69" s="280"/>
      <c r="D69" s="285"/>
      <c r="E69" s="286"/>
      <c r="F69" s="287"/>
      <c r="G69" s="286"/>
      <c r="H69" s="287"/>
    </row>
    <row r="70" customFormat="false" ht="12.75" hidden="false" customHeight="false" outlineLevel="0" collapsed="false">
      <c r="A70" s="280" t="s">
        <v>324</v>
      </c>
      <c r="B70" s="280" t="n">
        <f aca="false">G12</f>
        <v>9</v>
      </c>
      <c r="C70" s="280" t="s">
        <v>374</v>
      </c>
      <c r="D70" s="285" t="n">
        <v>85</v>
      </c>
      <c r="E70" s="286" t="n">
        <f aca="false">D70*B70</f>
        <v>765</v>
      </c>
      <c r="F70" s="287" t="n">
        <f aca="false">+E70/$B$9</f>
        <v>0.587557603686636</v>
      </c>
      <c r="G70" s="286" t="n">
        <f aca="false">+D70*B70*AdjRate</f>
        <v>918</v>
      </c>
      <c r="H70" s="287" t="n">
        <f aca="false">+G70/B$9</f>
        <v>0.705069124423963</v>
      </c>
    </row>
    <row r="71" customFormat="false" ht="12.75" hidden="false" customHeight="false" outlineLevel="0" collapsed="false">
      <c r="A71" s="280" t="s">
        <v>375</v>
      </c>
      <c r="B71" s="280" t="n">
        <v>0</v>
      </c>
      <c r="C71" s="280" t="s">
        <v>179</v>
      </c>
      <c r="D71" s="285" t="n">
        <v>0</v>
      </c>
      <c r="E71" s="286" t="n">
        <f aca="false">D71*B71</f>
        <v>0</v>
      </c>
      <c r="F71" s="287" t="n">
        <f aca="false">+E71/$B$9</f>
        <v>0</v>
      </c>
      <c r="G71" s="286" t="n">
        <f aca="false">+D71*B71*AdjRate</f>
        <v>0</v>
      </c>
      <c r="H71" s="287" t="n">
        <f aca="false">+G71/B$9</f>
        <v>0</v>
      </c>
    </row>
    <row r="72" customFormat="false" ht="12.75" hidden="false" customHeight="false" outlineLevel="0" collapsed="false">
      <c r="A72" s="280" t="s">
        <v>376</v>
      </c>
      <c r="B72" s="280" t="n">
        <v>36</v>
      </c>
      <c r="C72" s="280" t="s">
        <v>258</v>
      </c>
      <c r="D72" s="285" t="n">
        <v>5</v>
      </c>
      <c r="E72" s="286" t="n">
        <f aca="false">D72*B72</f>
        <v>180</v>
      </c>
      <c r="F72" s="287" t="n">
        <f aca="false">+E72/$B$9</f>
        <v>0.138248847926267</v>
      </c>
      <c r="G72" s="286" t="n">
        <f aca="false">+E72*AdjRate</f>
        <v>216</v>
      </c>
      <c r="H72" s="287" t="n">
        <f aca="false">+G72/B$9</f>
        <v>0.165898617511521</v>
      </c>
    </row>
    <row r="73" customFormat="false" ht="12.75" hidden="false" customHeight="false" outlineLevel="0" collapsed="false">
      <c r="A73" s="280"/>
      <c r="B73" s="280"/>
      <c r="C73" s="280"/>
      <c r="D73" s="285"/>
      <c r="E73" s="286"/>
      <c r="F73" s="287"/>
      <c r="G73" s="286"/>
      <c r="H73" s="287"/>
    </row>
    <row r="74" customFormat="false" ht="12.75" hidden="false" customHeight="false" outlineLevel="0" collapsed="false">
      <c r="A74" s="279" t="s">
        <v>377</v>
      </c>
      <c r="B74" s="280"/>
      <c r="C74" s="280"/>
      <c r="D74" s="285"/>
      <c r="E74" s="286"/>
      <c r="F74" s="287"/>
      <c r="G74" s="286"/>
      <c r="H74" s="287"/>
    </row>
    <row r="75" customFormat="false" ht="12.75" hidden="false" customHeight="false" outlineLevel="0" collapsed="false">
      <c r="A75" s="280" t="s">
        <v>378</v>
      </c>
      <c r="B75" s="280" t="n">
        <f aca="false">1.3*B9/100</f>
        <v>16.926</v>
      </c>
      <c r="C75" s="280" t="s">
        <v>379</v>
      </c>
      <c r="D75" s="285" t="n">
        <v>52</v>
      </c>
      <c r="E75" s="286" t="n">
        <f aca="false">D75*B75</f>
        <v>880.152</v>
      </c>
      <c r="F75" s="287" t="n">
        <f aca="false">+E75/$B$9</f>
        <v>0.676</v>
      </c>
      <c r="G75" s="286" t="n">
        <f aca="false">+E75*AdjRate</f>
        <v>1056.1824</v>
      </c>
      <c r="H75" s="287" t="n">
        <f aca="false">+G75/B$9</f>
        <v>0.8112</v>
      </c>
    </row>
    <row r="76" customFormat="false" ht="12.75" hidden="false" customHeight="false" outlineLevel="0" collapsed="false">
      <c r="A76" s="280" t="s">
        <v>380</v>
      </c>
      <c r="B76" s="280" t="n">
        <v>1</v>
      </c>
      <c r="C76" s="280" t="s">
        <v>179</v>
      </c>
      <c r="D76" s="285" t="n">
        <v>200</v>
      </c>
      <c r="E76" s="286" t="n">
        <f aca="false">D76*B76</f>
        <v>200</v>
      </c>
      <c r="F76" s="287" t="n">
        <f aca="false">+E76/$B$9</f>
        <v>0.153609831029186</v>
      </c>
      <c r="G76" s="286" t="n">
        <f aca="false">+D76*B76*AdjRate</f>
        <v>240</v>
      </c>
      <c r="H76" s="287" t="n">
        <f aca="false">+G76/B$9</f>
        <v>0.184331797235023</v>
      </c>
    </row>
    <row r="77" customFormat="false" ht="12.75" hidden="false" customHeight="false" outlineLevel="0" collapsed="false">
      <c r="A77" s="280" t="s">
        <v>381</v>
      </c>
      <c r="B77" s="280" t="n">
        <f aca="false">B$9</f>
        <v>1302</v>
      </c>
      <c r="C77" s="280" t="s">
        <v>258</v>
      </c>
      <c r="D77" s="285" t="n">
        <v>0.75</v>
      </c>
      <c r="E77" s="286" t="n">
        <f aca="false">D77*B77</f>
        <v>976.5</v>
      </c>
      <c r="F77" s="287" t="n">
        <f aca="false">+E77/$B$9</f>
        <v>0.75</v>
      </c>
      <c r="G77" s="286" t="n">
        <f aca="false">+D77*B77*AdjRate</f>
        <v>1171.8</v>
      </c>
      <c r="H77" s="287" t="n">
        <f aca="false">+G77/B$9</f>
        <v>0.9</v>
      </c>
    </row>
    <row r="78" customFormat="false" ht="12.75" hidden="false" customHeight="false" outlineLevel="0" collapsed="false">
      <c r="A78" s="280" t="s">
        <v>382</v>
      </c>
      <c r="B78" s="280" t="n">
        <f aca="false">B$9</f>
        <v>1302</v>
      </c>
      <c r="C78" s="280" t="s">
        <v>258</v>
      </c>
      <c r="D78" s="285" t="n">
        <v>3</v>
      </c>
      <c r="E78" s="286" t="n">
        <f aca="false">D78*B78</f>
        <v>3906</v>
      </c>
      <c r="F78" s="287" t="n">
        <f aca="false">+E78/$B$9</f>
        <v>3</v>
      </c>
      <c r="G78" s="286" t="n">
        <f aca="false">+E78*AdjRate</f>
        <v>4687.2</v>
      </c>
      <c r="H78" s="287" t="n">
        <f aca="false">+G78/B$9</f>
        <v>3.6</v>
      </c>
    </row>
    <row r="79" customFormat="false" ht="12.75" hidden="false" customHeight="false" outlineLevel="0" collapsed="false">
      <c r="A79" s="280"/>
      <c r="B79" s="280"/>
      <c r="C79" s="280"/>
      <c r="D79" s="285"/>
      <c r="E79" s="286"/>
      <c r="F79" s="287"/>
      <c r="G79" s="286"/>
      <c r="H79" s="287"/>
    </row>
    <row r="80" customFormat="false" ht="12.75" hidden="false" customHeight="false" outlineLevel="0" collapsed="false">
      <c r="A80" s="279" t="s">
        <v>311</v>
      </c>
      <c r="B80" s="280"/>
      <c r="C80" s="280"/>
      <c r="D80" s="285"/>
      <c r="E80" s="286"/>
      <c r="F80" s="287"/>
      <c r="G80" s="286"/>
      <c r="H80" s="287"/>
    </row>
    <row r="81" customFormat="false" ht="12.75" hidden="false" customHeight="false" outlineLevel="0" collapsed="false">
      <c r="A81" s="280" t="s">
        <v>383</v>
      </c>
      <c r="B81" s="280" t="n">
        <f aca="false">+G5</f>
        <v>315</v>
      </c>
      <c r="C81" s="280" t="s">
        <v>258</v>
      </c>
      <c r="D81" s="285" t="n">
        <v>5.5</v>
      </c>
      <c r="E81" s="286" t="n">
        <f aca="false">D81*B81</f>
        <v>1732.5</v>
      </c>
      <c r="F81" s="287" t="n">
        <f aca="false">+E81/$B$9</f>
        <v>1.33064516129032</v>
      </c>
      <c r="G81" s="286" t="n">
        <f aca="false">+E81*AdjRate</f>
        <v>2079</v>
      </c>
      <c r="H81" s="287" t="n">
        <f aca="false">+G81/B$9</f>
        <v>1.59677419354839</v>
      </c>
    </row>
    <row r="82" customFormat="false" ht="12.75" hidden="false" customHeight="false" outlineLevel="0" collapsed="false">
      <c r="A82" s="280" t="s">
        <v>384</v>
      </c>
      <c r="B82" s="280" t="n">
        <f aca="false">B$9</f>
        <v>1302</v>
      </c>
      <c r="C82" s="280" t="s">
        <v>258</v>
      </c>
      <c r="D82" s="285" t="n">
        <v>2</v>
      </c>
      <c r="E82" s="286" t="n">
        <f aca="false">D82*B82</f>
        <v>2604</v>
      </c>
      <c r="F82" s="287" t="n">
        <f aca="false">+E82/$B$9</f>
        <v>2</v>
      </c>
      <c r="G82" s="286" t="n">
        <f aca="false">+E82*AdjRate</f>
        <v>3124.8</v>
      </c>
      <c r="H82" s="287" t="n">
        <f aca="false">+G82/B$9</f>
        <v>2.4</v>
      </c>
    </row>
    <row r="83" customFormat="false" ht="12.75" hidden="false" customHeight="false" outlineLevel="0" collapsed="false">
      <c r="A83" s="280" t="s">
        <v>385</v>
      </c>
      <c r="B83" s="280" t="n">
        <f aca="false">B$15</f>
        <v>1710</v>
      </c>
      <c r="C83" s="280" t="s">
        <v>258</v>
      </c>
      <c r="D83" s="285" t="n">
        <v>0.6</v>
      </c>
      <c r="E83" s="286" t="n">
        <f aca="false">D83*B83</f>
        <v>1026</v>
      </c>
      <c r="F83" s="287" t="n">
        <f aca="false">+E83/$B$9</f>
        <v>0.788018433179724</v>
      </c>
      <c r="G83" s="286" t="n">
        <f aca="false">+E83*AdjRate</f>
        <v>1231.2</v>
      </c>
      <c r="H83" s="287" t="n">
        <f aca="false">+G83/B$9</f>
        <v>0.945622119815668</v>
      </c>
    </row>
    <row r="84" customFormat="false" ht="12.75" hidden="false" customHeight="false" outlineLevel="0" collapsed="false">
      <c r="A84" s="280" t="s">
        <v>421</v>
      </c>
      <c r="B84" s="280" t="n">
        <v>48</v>
      </c>
      <c r="C84" s="280" t="s">
        <v>258</v>
      </c>
      <c r="D84" s="285" t="n">
        <v>5.5</v>
      </c>
      <c r="E84" s="286" t="n">
        <f aca="false">D84*B84</f>
        <v>264</v>
      </c>
      <c r="F84" s="287" t="n">
        <f aca="false">+E84/$B$9</f>
        <v>0.202764976958525</v>
      </c>
      <c r="G84" s="286" t="n">
        <f aca="false">+E84*AdjRate</f>
        <v>316.8</v>
      </c>
      <c r="H84" s="287" t="n">
        <f aca="false">+G84/B$9</f>
        <v>0.24331797235023</v>
      </c>
    </row>
    <row r="85" customFormat="false" ht="12.75" hidden="false" customHeight="false" outlineLevel="0" collapsed="false">
      <c r="A85" s="280" t="s">
        <v>387</v>
      </c>
      <c r="B85" s="280" t="n">
        <f aca="false">(B9-35-150-150-100)/9</f>
        <v>96.3333333333333</v>
      </c>
      <c r="C85" s="280" t="s">
        <v>388</v>
      </c>
      <c r="D85" s="285" t="n">
        <v>15</v>
      </c>
      <c r="E85" s="286" t="n">
        <f aca="false">D85*B85</f>
        <v>1445</v>
      </c>
      <c r="F85" s="287" t="n">
        <f aca="false">+E85/$B$9</f>
        <v>1.10983102918587</v>
      </c>
      <c r="G85" s="286" t="n">
        <f aca="false">+E85*AdjRate</f>
        <v>1734</v>
      </c>
      <c r="H85" s="287" t="n">
        <f aca="false">+G85/B$9</f>
        <v>1.33179723502304</v>
      </c>
    </row>
    <row r="86" customFormat="false" ht="12.75" hidden="false" customHeight="false" outlineLevel="0" collapsed="false">
      <c r="A86" s="280" t="s">
        <v>389</v>
      </c>
      <c r="B86" s="280" t="n">
        <v>27</v>
      </c>
      <c r="C86" s="280" t="s">
        <v>200</v>
      </c>
      <c r="D86" s="285" t="n">
        <v>24</v>
      </c>
      <c r="E86" s="286" t="n">
        <f aca="false">D86*B86</f>
        <v>648</v>
      </c>
      <c r="F86" s="287" t="n">
        <f aca="false">+E86/$B$9</f>
        <v>0.497695852534562</v>
      </c>
      <c r="G86" s="286" t="n">
        <f aca="false">+E86*AdjRate</f>
        <v>777.6</v>
      </c>
      <c r="H86" s="287" t="n">
        <f aca="false">+G86/B$9</f>
        <v>0.597235023041475</v>
      </c>
    </row>
    <row r="87" customFormat="false" ht="12.75" hidden="false" customHeight="false" outlineLevel="0" collapsed="false">
      <c r="A87" s="280" t="s">
        <v>390</v>
      </c>
      <c r="B87" s="280" t="n">
        <v>9</v>
      </c>
      <c r="C87" s="280" t="s">
        <v>200</v>
      </c>
      <c r="D87" s="285" t="n">
        <v>24</v>
      </c>
      <c r="E87" s="286" t="n">
        <f aca="false">D87*B87</f>
        <v>216</v>
      </c>
      <c r="F87" s="287" t="n">
        <f aca="false">+E87/$B$9</f>
        <v>0.165898617511521</v>
      </c>
      <c r="G87" s="286" t="n">
        <f aca="false">+E87*AdjRate</f>
        <v>259.2</v>
      </c>
      <c r="H87" s="287" t="n">
        <f aca="false">+G87/B$9</f>
        <v>0.199078341013825</v>
      </c>
    </row>
    <row r="88" customFormat="false" ht="12.75" hidden="false" customHeight="false" outlineLevel="0" collapsed="false">
      <c r="A88" s="280" t="s">
        <v>391</v>
      </c>
      <c r="B88" s="280" t="n">
        <v>2</v>
      </c>
      <c r="C88" s="280" t="s">
        <v>392</v>
      </c>
      <c r="D88" s="285" t="n">
        <v>40</v>
      </c>
      <c r="E88" s="286" t="n">
        <f aca="false">D88*B88</f>
        <v>80</v>
      </c>
      <c r="F88" s="287" t="n">
        <f aca="false">+E88/$B$9</f>
        <v>0.0614439324116744</v>
      </c>
      <c r="G88" s="286" t="n">
        <f aca="false">+E88*AdjRate</f>
        <v>96</v>
      </c>
      <c r="H88" s="287" t="n">
        <f aca="false">+G88/B$9</f>
        <v>0.0737327188940092</v>
      </c>
    </row>
    <row r="89" customFormat="false" ht="12.75" hidden="false" customHeight="false" outlineLevel="0" collapsed="false">
      <c r="A89" s="280" t="s">
        <v>393</v>
      </c>
      <c r="B89" s="280" t="n">
        <v>0</v>
      </c>
      <c r="C89" s="280" t="s">
        <v>394</v>
      </c>
      <c r="D89" s="285" t="n">
        <v>750</v>
      </c>
      <c r="E89" s="286" t="n">
        <f aca="false">D89*B89</f>
        <v>0</v>
      </c>
      <c r="F89" s="287" t="n">
        <f aca="false">+E89/$B$9</f>
        <v>0</v>
      </c>
      <c r="G89" s="286" t="n">
        <f aca="false">+E89*AdjRate</f>
        <v>0</v>
      </c>
      <c r="H89" s="287" t="n">
        <f aca="false">+G89/B$9</f>
        <v>0</v>
      </c>
    </row>
    <row r="90" customFormat="false" ht="12.75" hidden="false" customHeight="false" outlineLevel="0" collapsed="false">
      <c r="A90" s="280" t="s">
        <v>395</v>
      </c>
      <c r="B90" s="280" t="n">
        <v>1</v>
      </c>
      <c r="C90" s="280" t="s">
        <v>394</v>
      </c>
      <c r="D90" s="285" t="n">
        <v>300</v>
      </c>
      <c r="E90" s="286" t="n">
        <f aca="false">D90*B90</f>
        <v>300</v>
      </c>
      <c r="F90" s="287" t="n">
        <f aca="false">+E90/$B$9</f>
        <v>0.230414746543779</v>
      </c>
      <c r="G90" s="286" t="n">
        <f aca="false">+D90*B90*AdjRate</f>
        <v>360</v>
      </c>
      <c r="H90" s="287" t="n">
        <f aca="false">+G90/B$9</f>
        <v>0.276497695852535</v>
      </c>
    </row>
    <row r="91" customFormat="false" ht="12.75" hidden="false" customHeight="false" outlineLevel="0" collapsed="false">
      <c r="A91" s="280" t="s">
        <v>396</v>
      </c>
      <c r="B91" s="280" t="n">
        <f aca="false">+B70</f>
        <v>9</v>
      </c>
      <c r="C91" s="280" t="s">
        <v>397</v>
      </c>
      <c r="D91" s="285" t="n">
        <v>35</v>
      </c>
      <c r="E91" s="286" t="n">
        <f aca="false">D91*B91</f>
        <v>315</v>
      </c>
      <c r="F91" s="287" t="n">
        <f aca="false">+E91/$B$9</f>
        <v>0.241935483870968</v>
      </c>
      <c r="G91" s="286" t="n">
        <f aca="false">+D91*B91*AdjRate</f>
        <v>378</v>
      </c>
      <c r="H91" s="287" t="n">
        <f aca="false">+G91/B$9</f>
        <v>0.290322580645161</v>
      </c>
    </row>
    <row r="92" customFormat="false" ht="12.75" hidden="false" customHeight="false" outlineLevel="0" collapsed="false">
      <c r="A92" s="280" t="s">
        <v>398</v>
      </c>
      <c r="B92" s="280" t="n">
        <v>0</v>
      </c>
      <c r="C92" s="280" t="s">
        <v>179</v>
      </c>
      <c r="D92" s="285" t="n">
        <v>0</v>
      </c>
      <c r="E92" s="286" t="n">
        <f aca="false">D92*B92</f>
        <v>0</v>
      </c>
      <c r="F92" s="287" t="n">
        <f aca="false">+E92/$B$9</f>
        <v>0</v>
      </c>
      <c r="G92" s="286" t="n">
        <f aca="false">+E92*AdjRate</f>
        <v>0</v>
      </c>
      <c r="H92" s="287" t="n">
        <f aca="false">+G92/B$9</f>
        <v>0</v>
      </c>
    </row>
    <row r="93" customFormat="false" ht="12.75" hidden="false" customHeight="false" outlineLevel="0" collapsed="false">
      <c r="A93" s="280"/>
      <c r="B93" s="280"/>
      <c r="C93" s="280"/>
      <c r="D93" s="285"/>
      <c r="E93" s="286"/>
      <c r="F93" s="287"/>
      <c r="G93" s="286"/>
      <c r="H93" s="287"/>
    </row>
    <row r="94" customFormat="false" ht="12.75" hidden="false" customHeight="false" outlineLevel="0" collapsed="false">
      <c r="A94" s="279" t="s">
        <v>399</v>
      </c>
      <c r="B94" s="280"/>
      <c r="C94" s="280"/>
      <c r="D94" s="285"/>
      <c r="E94" s="286"/>
      <c r="F94" s="287"/>
      <c r="G94" s="286"/>
      <c r="H94" s="287"/>
    </row>
    <row r="95" customFormat="false" ht="12.75" hidden="false" customHeight="false" outlineLevel="0" collapsed="false">
      <c r="A95" s="280" t="s">
        <v>400</v>
      </c>
      <c r="B95" s="280" t="n">
        <v>1</v>
      </c>
      <c r="C95" s="280" t="s">
        <v>179</v>
      </c>
      <c r="D95" s="285" t="n">
        <v>500</v>
      </c>
      <c r="E95" s="286" t="n">
        <f aca="false">D95*B95</f>
        <v>500</v>
      </c>
      <c r="F95" s="287" t="n">
        <f aca="false">+E95/$B$9</f>
        <v>0.384024577572965</v>
      </c>
      <c r="G95" s="286" t="n">
        <f aca="false">+D95*B95*AdjRate</f>
        <v>600</v>
      </c>
      <c r="H95" s="287" t="n">
        <f aca="false">+G95/B$9</f>
        <v>0.460829493087558</v>
      </c>
    </row>
    <row r="96" customFormat="false" ht="12.75" hidden="false" customHeight="false" outlineLevel="0" collapsed="false">
      <c r="A96" s="280" t="s">
        <v>401</v>
      </c>
      <c r="B96" s="280" t="n">
        <v>0</v>
      </c>
      <c r="C96" s="280" t="s">
        <v>402</v>
      </c>
      <c r="D96" s="285" t="n">
        <v>650</v>
      </c>
      <c r="E96" s="286" t="n">
        <f aca="false">D96*B96</f>
        <v>0</v>
      </c>
      <c r="F96" s="287" t="n">
        <f aca="false">+E96/$B$9</f>
        <v>0</v>
      </c>
      <c r="G96" s="286" t="n">
        <f aca="false">+D96*B96*AdjRate</f>
        <v>0</v>
      </c>
      <c r="H96" s="287" t="n">
        <f aca="false">+G96/B$9</f>
        <v>0</v>
      </c>
    </row>
    <row r="97" customFormat="false" ht="12.75" hidden="false" customHeight="false" outlineLevel="0" collapsed="false">
      <c r="A97" s="280" t="s">
        <v>403</v>
      </c>
      <c r="B97" s="280" t="n">
        <v>1</v>
      </c>
      <c r="C97" s="280" t="s">
        <v>404</v>
      </c>
      <c r="D97" s="285" t="n">
        <v>700</v>
      </c>
      <c r="E97" s="286" t="n">
        <f aca="false">D97*B97</f>
        <v>700</v>
      </c>
      <c r="F97" s="287" t="n">
        <f aca="false">+E97/$B$9</f>
        <v>0.537634408602151</v>
      </c>
      <c r="G97" s="286" t="n">
        <f aca="false">+E97*AdjRate</f>
        <v>840</v>
      </c>
      <c r="H97" s="287" t="n">
        <f aca="false">+G97/B$9</f>
        <v>0.645161290322581</v>
      </c>
    </row>
    <row r="98" customFormat="false" ht="12.75" hidden="false" customHeight="false" outlineLevel="0" collapsed="false">
      <c r="A98" s="280"/>
      <c r="B98" s="280"/>
      <c r="C98" s="280"/>
      <c r="D98" s="285"/>
      <c r="E98" s="286"/>
      <c r="F98" s="287"/>
      <c r="G98" s="286"/>
      <c r="H98" s="287"/>
    </row>
    <row r="99" customFormat="false" ht="12.75" hidden="false" customHeight="false" outlineLevel="0" collapsed="false">
      <c r="A99" s="279" t="s">
        <v>405</v>
      </c>
      <c r="B99" s="280"/>
      <c r="C99" s="280"/>
      <c r="D99" s="285"/>
      <c r="E99" s="286"/>
      <c r="F99" s="287"/>
      <c r="G99" s="286"/>
      <c r="H99" s="287"/>
    </row>
    <row r="100" customFormat="false" ht="12.75" hidden="false" customHeight="false" outlineLevel="0" collapsed="false">
      <c r="A100" s="280" t="s">
        <v>406</v>
      </c>
      <c r="B100" s="280" t="n">
        <f aca="false">B$15</f>
        <v>1710</v>
      </c>
      <c r="C100" s="280" t="s">
        <v>258</v>
      </c>
      <c r="D100" s="285" t="n">
        <v>2.25</v>
      </c>
      <c r="E100" s="286" t="n">
        <f aca="false">D100*B100</f>
        <v>3847.5</v>
      </c>
      <c r="F100" s="287" t="n">
        <f aca="false">+E100/$B$9</f>
        <v>2.95506912442396</v>
      </c>
      <c r="G100" s="286" t="n">
        <f aca="false">+D100*B100*AdjRate</f>
        <v>4617</v>
      </c>
      <c r="H100" s="287" t="n">
        <f aca="false">+G100/B$9</f>
        <v>3.54608294930876</v>
      </c>
    </row>
    <row r="101" customFormat="false" ht="12.75" hidden="false" customHeight="false" outlineLevel="0" collapsed="false">
      <c r="A101" s="280" t="s">
        <v>407</v>
      </c>
      <c r="B101" s="280" t="n">
        <v>1</v>
      </c>
      <c r="C101" s="280" t="s">
        <v>179</v>
      </c>
      <c r="D101" s="285" t="n">
        <v>750</v>
      </c>
      <c r="E101" s="286" t="n">
        <f aca="false">D101*B101</f>
        <v>750</v>
      </c>
      <c r="F101" s="287" t="n">
        <f aca="false">+E101/$B$9</f>
        <v>0.576036866359447</v>
      </c>
      <c r="G101" s="286" t="n">
        <f aca="false">+D101*B101*AdjRate</f>
        <v>900</v>
      </c>
      <c r="H101" s="287" t="n">
        <f aca="false">+G101/B$9</f>
        <v>0.691244239631336</v>
      </c>
    </row>
    <row r="102" customFormat="false" ht="12.75" hidden="false" customHeight="false" outlineLevel="0" collapsed="false">
      <c r="A102" s="280" t="s">
        <v>408</v>
      </c>
      <c r="B102" s="280" t="n">
        <v>1</v>
      </c>
      <c r="C102" s="280" t="s">
        <v>179</v>
      </c>
      <c r="D102" s="285" t="n">
        <v>150</v>
      </c>
      <c r="E102" s="286" t="n">
        <f aca="false">D102*B102</f>
        <v>150</v>
      </c>
      <c r="F102" s="287" t="n">
        <f aca="false">+E102/$B$9</f>
        <v>0.115207373271889</v>
      </c>
      <c r="G102" s="286" t="n">
        <f aca="false">+E102*AdjRate</f>
        <v>180</v>
      </c>
      <c r="H102" s="287" t="n">
        <f aca="false">+G102/B$9</f>
        <v>0.138248847926267</v>
      </c>
    </row>
    <row r="103" customFormat="false" ht="12.75" hidden="false" customHeight="false" outlineLevel="0" collapsed="false">
      <c r="A103" s="280"/>
      <c r="B103" s="280"/>
      <c r="C103" s="280"/>
      <c r="D103" s="285"/>
      <c r="E103" s="286"/>
      <c r="F103" s="287"/>
      <c r="G103" s="286"/>
      <c r="H103" s="287"/>
    </row>
    <row r="104" customFormat="false" ht="12.75" hidden="false" customHeight="false" outlineLevel="0" collapsed="false">
      <c r="A104" s="279" t="s">
        <v>409</v>
      </c>
      <c r="B104" s="280"/>
      <c r="C104" s="280"/>
      <c r="D104" s="285"/>
      <c r="E104" s="286"/>
      <c r="F104" s="287"/>
      <c r="G104" s="286"/>
      <c r="H104" s="287"/>
    </row>
    <row r="105" customFormat="false" ht="12.75" hidden="false" customHeight="false" outlineLevel="0" collapsed="false">
      <c r="A105" s="280" t="s">
        <v>410</v>
      </c>
      <c r="B105" s="280" t="n">
        <v>1</v>
      </c>
      <c r="C105" s="280" t="s">
        <v>179</v>
      </c>
      <c r="D105" s="285" t="n">
        <v>4200</v>
      </c>
      <c r="E105" s="286" t="n">
        <f aca="false">D105*B105</f>
        <v>4200</v>
      </c>
      <c r="F105" s="287" t="n">
        <f aca="false">+E105/$B$9</f>
        <v>3.2258064516129</v>
      </c>
      <c r="G105" s="286" t="n">
        <f aca="false">+E105*AdjRate</f>
        <v>5040</v>
      </c>
      <c r="H105" s="287" t="n">
        <f aca="false">+G105/B$9</f>
        <v>3.87096774193548</v>
      </c>
    </row>
    <row r="106" customFormat="false" ht="12.75" hidden="false" customHeight="false" outlineLevel="0" collapsed="false">
      <c r="A106" s="280" t="s">
        <v>411</v>
      </c>
      <c r="B106" s="280" t="n">
        <v>25</v>
      </c>
      <c r="C106" s="280" t="s">
        <v>200</v>
      </c>
      <c r="D106" s="285" t="n">
        <v>15</v>
      </c>
      <c r="E106" s="286" t="n">
        <f aca="false">D106*B106</f>
        <v>375</v>
      </c>
      <c r="F106" s="287" t="n">
        <f aca="false">+E106/$B$9</f>
        <v>0.288018433179724</v>
      </c>
      <c r="G106" s="286" t="n">
        <f aca="false">+E106*AdjRate</f>
        <v>450</v>
      </c>
      <c r="H106" s="287" t="n">
        <f aca="false">+G106/B$9</f>
        <v>0.345622119815668</v>
      </c>
    </row>
    <row r="107" customFormat="false" ht="12.75" hidden="false" customHeight="false" outlineLevel="0" collapsed="false">
      <c r="A107" s="280" t="s">
        <v>412</v>
      </c>
      <c r="B107" s="280" t="n">
        <v>1</v>
      </c>
      <c r="C107" s="280" t="s">
        <v>179</v>
      </c>
      <c r="D107" s="285" t="n">
        <v>2000</v>
      </c>
      <c r="E107" s="286" t="n">
        <f aca="false">D107*B107</f>
        <v>2000</v>
      </c>
      <c r="F107" s="287" t="n">
        <f aca="false">+E107/$B$9</f>
        <v>1.53609831029186</v>
      </c>
      <c r="G107" s="286" t="n">
        <f aca="false">+E107*AdjRate</f>
        <v>2400</v>
      </c>
      <c r="H107" s="287" t="n">
        <f aca="false">+G107/B$9</f>
        <v>1.84331797235023</v>
      </c>
    </row>
    <row r="108" customFormat="false" ht="12.75" hidden="false" customHeight="false" outlineLevel="0" collapsed="false">
      <c r="A108" s="280" t="s">
        <v>413</v>
      </c>
      <c r="B108" s="280" t="n">
        <v>1</v>
      </c>
      <c r="C108" s="280" t="s">
        <v>179</v>
      </c>
      <c r="D108" s="285" t="n">
        <v>990</v>
      </c>
      <c r="E108" s="286" t="n">
        <f aca="false">D108*B108</f>
        <v>990</v>
      </c>
      <c r="F108" s="287" t="n">
        <f aca="false">+E108/$B$9</f>
        <v>0.76036866359447</v>
      </c>
      <c r="G108" s="286" t="n">
        <f aca="false">+D108*B108*AdjRate</f>
        <v>1188</v>
      </c>
      <c r="H108" s="287" t="n">
        <f aca="false">+G108/B$9</f>
        <v>0.912442396313364</v>
      </c>
    </row>
    <row r="109" customFormat="false" ht="12.75" hidden="false" customHeight="false" outlineLevel="0" collapsed="false">
      <c r="A109" s="280" t="s">
        <v>414</v>
      </c>
      <c r="B109" s="280" t="n">
        <f aca="false">B9</f>
        <v>1302</v>
      </c>
      <c r="C109" s="280" t="s">
        <v>179</v>
      </c>
      <c r="D109" s="285" t="n">
        <v>2.85</v>
      </c>
      <c r="E109" s="286" t="n">
        <f aca="false">D109*B109</f>
        <v>3710.7</v>
      </c>
      <c r="F109" s="287" t="n">
        <f aca="false">+E109/$B$9</f>
        <v>2.85</v>
      </c>
      <c r="G109" s="286" t="n">
        <f aca="false">+D109*B109*AdjRate</f>
        <v>4452.84</v>
      </c>
      <c r="H109" s="287" t="n">
        <f aca="false">+G109/B$9</f>
        <v>3.42</v>
      </c>
    </row>
    <row r="110" customFormat="false" ht="12.75" hidden="false" customHeight="false" outlineLevel="0" collapsed="false">
      <c r="A110" s="280" t="s">
        <v>273</v>
      </c>
      <c r="B110" s="280" t="n">
        <f aca="false">ConstTime</f>
        <v>6</v>
      </c>
      <c r="C110" s="280" t="s">
        <v>274</v>
      </c>
      <c r="D110" s="285" t="n">
        <f aca="false">((1000*52)/12+250+100)/4</f>
        <v>1170.83333333333</v>
      </c>
      <c r="E110" s="286" t="n">
        <f aca="false">D110*B110</f>
        <v>7025</v>
      </c>
      <c r="F110" s="287" t="n">
        <f aca="false">+E110/$B$9</f>
        <v>5.39554531490015</v>
      </c>
      <c r="G110" s="286" t="n">
        <f aca="false">+(D110*B110)*AdjRate</f>
        <v>8430</v>
      </c>
      <c r="H110" s="287" t="n">
        <f aca="false">+G110/B$9</f>
        <v>6.47465437788018</v>
      </c>
    </row>
    <row r="111" customFormat="false" ht="13.5" hidden="false" customHeight="false" outlineLevel="0" collapsed="false">
      <c r="A111" s="289" t="s">
        <v>415</v>
      </c>
      <c r="B111" s="289"/>
      <c r="C111" s="289"/>
      <c r="D111" s="289"/>
      <c r="E111" s="290" t="n">
        <f aca="false">SUM(E18:E110)</f>
        <v>69433.252</v>
      </c>
      <c r="F111" s="291" t="n">
        <f aca="false">+E111/$B$9</f>
        <v>53.3281505376344</v>
      </c>
      <c r="G111" s="290" t="n">
        <f aca="false">SUM(G18:G110)</f>
        <v>83319.9024</v>
      </c>
      <c r="H111" s="291" t="n">
        <f aca="false">SUM(H18:H110)</f>
        <v>63.9937806451613</v>
      </c>
    </row>
    <row r="112" customFormat="false" ht="13.5" hidden="false" customHeight="false" outlineLevel="0" collapsed="false">
      <c r="A112" s="280"/>
      <c r="B112" s="280"/>
      <c r="C112" s="280"/>
      <c r="D112" s="280"/>
      <c r="E112" s="286" t="n">
        <f aca="false">+G111-E111</f>
        <v>13886.6504</v>
      </c>
      <c r="F112" s="286"/>
      <c r="G112" s="280"/>
      <c r="H112" s="280"/>
    </row>
    <row r="113" customFormat="false" ht="12.75" hidden="false" customHeight="false" outlineLevel="0" collapsed="false">
      <c r="D113" s="57"/>
      <c r="E113" s="57"/>
      <c r="F113" s="57"/>
    </row>
    <row r="114" customFormat="false" ht="12.75" hidden="false" customHeight="false" outlineLevel="0" collapsed="false">
      <c r="D114" s="57"/>
      <c r="E114" s="57"/>
      <c r="F114" s="57"/>
    </row>
    <row r="115" customFormat="false" ht="12.75" hidden="false" customHeight="false" outlineLevel="0" collapsed="false">
      <c r="D115" s="57"/>
      <c r="E115" s="57"/>
      <c r="F115" s="57"/>
    </row>
    <row r="116" customFormat="false" ht="12.75" hidden="false" customHeight="false" outlineLevel="0" collapsed="false">
      <c r="D116" s="57"/>
      <c r="E116" s="57"/>
      <c r="F116" s="57"/>
    </row>
    <row r="117" customFormat="false" ht="12.75" hidden="false" customHeight="false" outlineLevel="0" collapsed="false">
      <c r="D117" s="57"/>
      <c r="E117" s="57"/>
      <c r="F117" s="57"/>
    </row>
    <row r="118" customFormat="false" ht="12.75" hidden="false" customHeight="false" outlineLevel="0" collapsed="false">
      <c r="D118" s="57"/>
      <c r="E118" s="57"/>
      <c r="F118" s="57"/>
    </row>
    <row r="119" customFormat="false" ht="12.75" hidden="false" customHeight="false" outlineLevel="0" collapsed="false">
      <c r="D119" s="57"/>
      <c r="E119" s="57"/>
      <c r="F119" s="57"/>
    </row>
    <row r="120" customFormat="false" ht="12.75" hidden="false" customHeight="false" outlineLevel="0" collapsed="false">
      <c r="D120" s="57"/>
      <c r="E120" s="57"/>
      <c r="F120" s="57"/>
    </row>
    <row r="121" customFormat="false" ht="12.75" hidden="false" customHeight="false" outlineLevel="0" collapsed="false">
      <c r="D121" s="57"/>
      <c r="E121" s="57"/>
      <c r="F121" s="57"/>
    </row>
    <row r="122" customFormat="false" ht="12.75" hidden="false" customHeight="false" outlineLevel="0" collapsed="false">
      <c r="D122" s="57"/>
      <c r="E122" s="57"/>
      <c r="F122" s="57"/>
    </row>
    <row r="123" customFormat="false" ht="12.75" hidden="false" customHeight="false" outlineLevel="0" collapsed="false">
      <c r="D123" s="57"/>
      <c r="E123" s="57"/>
      <c r="F123" s="57"/>
    </row>
    <row r="124" customFormat="false" ht="12.75" hidden="false" customHeight="false" outlineLevel="0" collapsed="false">
      <c r="D124" s="57"/>
      <c r="E124" s="57"/>
      <c r="F124" s="57"/>
    </row>
    <row r="125" customFormat="false" ht="12.75" hidden="false" customHeight="false" outlineLevel="0" collapsed="false">
      <c r="D125" s="57"/>
      <c r="E125" s="57"/>
      <c r="F125" s="57"/>
    </row>
    <row r="126" customFormat="false" ht="12.75" hidden="false" customHeight="false" outlineLevel="0" collapsed="false">
      <c r="D126" s="57"/>
      <c r="E126" s="57"/>
      <c r="F126" s="57"/>
    </row>
    <row r="127" customFormat="false" ht="12.75" hidden="false" customHeight="false" outlineLevel="0" collapsed="false">
      <c r="D127" s="57"/>
      <c r="E127" s="57"/>
      <c r="F127" s="57"/>
    </row>
    <row r="128" customFormat="false" ht="12.75" hidden="false" customHeight="false" outlineLevel="0" collapsed="false">
      <c r="D128" s="57"/>
      <c r="E128" s="57"/>
      <c r="F128" s="57"/>
    </row>
    <row r="129" customFormat="false" ht="12.75" hidden="false" customHeight="false" outlineLevel="0" collapsed="false">
      <c r="D129" s="57"/>
      <c r="E129" s="57"/>
      <c r="F129" s="57"/>
    </row>
    <row r="130" customFormat="false" ht="12.75" hidden="false" customHeight="false" outlineLevel="0" collapsed="false">
      <c r="D130" s="57"/>
      <c r="E130" s="57"/>
      <c r="F130" s="57"/>
    </row>
    <row r="131" customFormat="false" ht="12.75" hidden="false" customHeight="false" outlineLevel="0" collapsed="false">
      <c r="D131" s="57"/>
      <c r="E131" s="57"/>
      <c r="F131" s="57"/>
    </row>
    <row r="132" customFormat="false" ht="12.75" hidden="false" customHeight="false" outlineLevel="0" collapsed="false">
      <c r="D132" s="57"/>
      <c r="E132" s="57"/>
      <c r="F132" s="57"/>
    </row>
    <row r="133" customFormat="false" ht="12.75" hidden="false" customHeight="false" outlineLevel="0" collapsed="false">
      <c r="D133" s="57"/>
      <c r="E133" s="57"/>
      <c r="F133" s="57"/>
    </row>
    <row r="134" customFormat="false" ht="12.75" hidden="false" customHeight="false" outlineLevel="0" collapsed="false">
      <c r="D134" s="57"/>
      <c r="E134" s="57"/>
      <c r="F134" s="57"/>
    </row>
    <row r="135" customFormat="false" ht="12.75" hidden="false" customHeight="false" outlineLevel="0" collapsed="false">
      <c r="D135" s="57"/>
      <c r="E135" s="57"/>
      <c r="F135" s="57"/>
    </row>
    <row r="136" customFormat="false" ht="12.75" hidden="false" customHeight="false" outlineLevel="0" collapsed="false">
      <c r="D136" s="57"/>
      <c r="E136" s="57"/>
      <c r="F136" s="57"/>
    </row>
    <row r="137" customFormat="false" ht="12.75" hidden="false" customHeight="false" outlineLevel="0" collapsed="false">
      <c r="D137" s="57"/>
      <c r="E137" s="57"/>
      <c r="F137" s="57"/>
    </row>
    <row r="138" customFormat="false" ht="12.75" hidden="false" customHeight="false" outlineLevel="0" collapsed="false">
      <c r="D138" s="57"/>
      <c r="E138" s="57"/>
      <c r="F138" s="57"/>
    </row>
    <row r="139" customFormat="false" ht="12.75" hidden="false" customHeight="false" outlineLevel="0" collapsed="false">
      <c r="D139" s="57"/>
      <c r="E139" s="57"/>
      <c r="F139" s="57"/>
    </row>
    <row r="140" customFormat="false" ht="12.75" hidden="false" customHeight="false" outlineLevel="0" collapsed="false">
      <c r="D140" s="57"/>
      <c r="E140" s="57"/>
      <c r="F140" s="57"/>
    </row>
    <row r="141" customFormat="false" ht="12.75" hidden="false" customHeight="false" outlineLevel="0" collapsed="false">
      <c r="D141" s="57"/>
      <c r="E141" s="57"/>
      <c r="F141" s="57"/>
    </row>
    <row r="142" customFormat="false" ht="12.75" hidden="false" customHeight="false" outlineLevel="0" collapsed="false">
      <c r="D142" s="57"/>
      <c r="E142" s="57"/>
      <c r="F142" s="57"/>
    </row>
  </sheetData>
  <mergeCells count="1">
    <mergeCell ref="A1:H1"/>
  </mergeCells>
  <printOptions headings="false" gridLines="false" gridLinesSet="true" horizontalCentered="true" verticalCentered="false"/>
  <pageMargins left="0.25" right="0.25" top="1.17013888888889" bottom="0.984027777777778" header="0.5" footer="0.5"/>
  <pageSetup paperSize="1" scale="100" fitToWidth="1" fitToHeight="2" pageOrder="downThenOver" orientation="portrait" blackAndWhite="false" draft="false" cellComments="none" horizontalDpi="300" verticalDpi="300" copies="1"/>
  <headerFooter differentFirst="false" differentOddEven="false">
    <oddHeader>&amp;C&amp;"Garamond,Bold"&amp;12WESTGATE &amp;&amp; CAMERON LOOP
96 CONDOMINIUMS</oddHeader>
    <oddFooter>&amp;L&amp;"Garamond,Regular"&amp;8&amp;F&amp;C&amp;"Garamond,Regular"&amp;8&amp;P OF &amp;N&amp;R&amp;"Garamond,Regular"&amp;8&amp;D</oddFooter>
  </headerFooter>
  <colBreaks count="1" manualBreakCount="1">
    <brk id="8" man="true" max="65535" min="0"/>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47" activeCellId="1" sqref="B36 F47:F50"/>
    </sheetView>
  </sheetViews>
  <sheetFormatPr defaultColWidth="10.5625" defaultRowHeight="12.75" customHeight="true" zeroHeight="false" outlineLevelRow="0" outlineLevelCol="0"/>
  <cols>
    <col collapsed="false" customWidth="true" hidden="false" outlineLevel="0" max="1" min="1" style="14" width="16.56"/>
    <col collapsed="false" customWidth="true" hidden="false" outlineLevel="0" max="2" min="2" style="14" width="10.42"/>
    <col collapsed="false" customWidth="true" hidden="false" outlineLevel="0" max="3" min="3" style="14" width="5.85"/>
    <col collapsed="false" customWidth="true" hidden="false" outlineLevel="0" max="4" min="4" style="14" width="5.13"/>
    <col collapsed="false" customWidth="true" hidden="false" outlineLevel="0" max="6" min="5" style="14" width="7.99"/>
    <col collapsed="false" customWidth="true" hidden="false" outlineLevel="0" max="7" min="7" style="14" width="10.42"/>
    <col collapsed="false" customWidth="true" hidden="false" outlineLevel="0" max="8" min="8" style="14" width="8.13"/>
    <col collapsed="false" customWidth="false" hidden="false" outlineLevel="0" max="257" min="9" style="14" width="10.56"/>
  </cols>
  <sheetData>
    <row r="1" customFormat="false" ht="13.5" hidden="false" customHeight="true" outlineLevel="0" collapsed="false">
      <c r="A1" s="275" t="s">
        <v>422</v>
      </c>
      <c r="B1" s="275"/>
      <c r="C1" s="275"/>
      <c r="D1" s="275"/>
      <c r="E1" s="275"/>
      <c r="F1" s="275"/>
      <c r="G1" s="275"/>
      <c r="H1" s="275"/>
    </row>
    <row r="2" customFormat="false" ht="12.75" hidden="false" customHeight="false" outlineLevel="0" collapsed="false">
      <c r="A2" s="293"/>
      <c r="B2" s="294"/>
      <c r="C2" s="294"/>
      <c r="D2" s="294"/>
      <c r="E2" s="294"/>
      <c r="F2" s="294"/>
      <c r="G2" s="276"/>
      <c r="H2" s="276"/>
    </row>
    <row r="3" customFormat="false" ht="25.5" hidden="false" customHeight="false" outlineLevel="0" collapsed="false">
      <c r="A3" s="278" t="s">
        <v>306</v>
      </c>
      <c r="B3" s="278" t="s">
        <v>148</v>
      </c>
      <c r="C3" s="278" t="s">
        <v>307</v>
      </c>
      <c r="D3" s="278" t="s">
        <v>146</v>
      </c>
      <c r="E3" s="278" t="s">
        <v>308</v>
      </c>
      <c r="F3" s="278" t="s">
        <v>42</v>
      </c>
      <c r="G3" s="278" t="s">
        <v>417</v>
      </c>
      <c r="H3" s="278" t="s">
        <v>42</v>
      </c>
      <c r="I3" s="278"/>
    </row>
    <row r="4" customFormat="false" ht="12.75" hidden="false" customHeight="false" outlineLevel="0" collapsed="false">
      <c r="E4" s="295"/>
      <c r="F4" s="295"/>
      <c r="H4" s="276"/>
    </row>
    <row r="5" customFormat="false" ht="12.75" hidden="false" customHeight="false" outlineLevel="0" collapsed="false">
      <c r="A5" s="279" t="s">
        <v>310</v>
      </c>
      <c r="B5" s="280"/>
      <c r="C5" s="280"/>
      <c r="E5" s="280" t="s">
        <v>311</v>
      </c>
      <c r="F5" s="280"/>
      <c r="G5" s="280" t="n">
        <f aca="false">35*9</f>
        <v>315</v>
      </c>
      <c r="H5" s="280" t="s">
        <v>258</v>
      </c>
    </row>
    <row r="6" customFormat="false" ht="12.75" hidden="false" customHeight="false" outlineLevel="0" collapsed="false">
      <c r="A6" s="279" t="s">
        <v>312</v>
      </c>
      <c r="B6" s="280"/>
      <c r="C6" s="280"/>
      <c r="E6" s="280" t="s">
        <v>313</v>
      </c>
      <c r="F6" s="280"/>
      <c r="G6" s="280" t="n">
        <f aca="false">B7+B14</f>
        <v>872.6525</v>
      </c>
      <c r="H6" s="280" t="s">
        <v>258</v>
      </c>
    </row>
    <row r="7" customFormat="false" ht="12.75" hidden="false" customHeight="false" outlineLevel="0" collapsed="false">
      <c r="A7" s="280" t="s">
        <v>314</v>
      </c>
      <c r="B7" s="297" t="n">
        <f aca="false">22.67*(24+11/12)-(6*15.33)</f>
        <v>472.880833333333</v>
      </c>
      <c r="C7" s="280" t="s">
        <v>258</v>
      </c>
      <c r="E7" s="279" t="s">
        <v>315</v>
      </c>
      <c r="F7" s="280"/>
      <c r="G7" s="280" t="n">
        <f aca="false">+G8+G9+G10</f>
        <v>178.5</v>
      </c>
      <c r="H7" s="280"/>
    </row>
    <row r="8" customFormat="false" ht="12.75" hidden="false" customHeight="false" outlineLevel="0" collapsed="false">
      <c r="A8" s="281" t="s">
        <v>316</v>
      </c>
      <c r="B8" s="298" t="n">
        <f aca="false">1358-B7</f>
        <v>885.119166666667</v>
      </c>
      <c r="C8" s="281" t="s">
        <v>258</v>
      </c>
      <c r="E8" s="282" t="s">
        <v>317</v>
      </c>
      <c r="F8" s="280"/>
      <c r="G8" s="280" t="n">
        <f aca="false">8*7</f>
        <v>56</v>
      </c>
      <c r="H8" s="280" t="s">
        <v>258</v>
      </c>
    </row>
    <row r="9" customFormat="false" ht="12.75" hidden="false" customHeight="false" outlineLevel="0" collapsed="false">
      <c r="A9" s="280" t="s">
        <v>318</v>
      </c>
      <c r="B9" s="297" t="n">
        <f aca="false">+B8+B7</f>
        <v>1358</v>
      </c>
      <c r="C9" s="280" t="s">
        <v>258</v>
      </c>
      <c r="E9" s="282" t="s">
        <v>319</v>
      </c>
      <c r="F9" s="280"/>
      <c r="G9" s="280" t="n">
        <v>0</v>
      </c>
      <c r="H9" s="280"/>
    </row>
    <row r="10" customFormat="false" ht="12.75" hidden="false" customHeight="false" outlineLevel="0" collapsed="false">
      <c r="A10" s="280"/>
      <c r="B10" s="297"/>
      <c r="C10" s="280"/>
      <c r="E10" s="282" t="s">
        <v>320</v>
      </c>
      <c r="F10" s="280"/>
      <c r="G10" s="280" t="n">
        <f aca="false">3.5*(25+10)</f>
        <v>122.5</v>
      </c>
      <c r="H10" s="280"/>
    </row>
    <row r="11" customFormat="false" ht="12.75" hidden="false" customHeight="false" outlineLevel="0" collapsed="false">
      <c r="A11" s="279" t="s">
        <v>321</v>
      </c>
      <c r="B11" s="297"/>
      <c r="C11" s="280"/>
      <c r="E11" s="280" t="s">
        <v>322</v>
      </c>
      <c r="F11" s="280"/>
      <c r="G11" s="280" t="n">
        <f aca="false">25*18</f>
        <v>450</v>
      </c>
      <c r="H11" s="280"/>
    </row>
    <row r="12" customFormat="false" ht="12.75" hidden="false" customHeight="false" outlineLevel="0" collapsed="false">
      <c r="A12" s="280" t="s">
        <v>323</v>
      </c>
      <c r="B12" s="297" t="n">
        <f aca="false">18.5*20.33</f>
        <v>376.105</v>
      </c>
      <c r="C12" s="280" t="s">
        <v>258</v>
      </c>
      <c r="E12" s="280" t="s">
        <v>324</v>
      </c>
      <c r="F12" s="280"/>
      <c r="G12" s="280" t="n">
        <v>9</v>
      </c>
      <c r="H12" s="280"/>
    </row>
    <row r="13" customFormat="false" ht="12.75" hidden="false" customHeight="false" outlineLevel="0" collapsed="false">
      <c r="A13" s="280" t="s">
        <v>325</v>
      </c>
      <c r="B13" s="297" t="n">
        <f aca="false">4*(5+11/12)</f>
        <v>23.6666666666667</v>
      </c>
      <c r="C13" s="280" t="s">
        <v>258</v>
      </c>
      <c r="E13" s="280" t="s">
        <v>326</v>
      </c>
      <c r="F13" s="280"/>
      <c r="G13" s="280" t="n">
        <v>1</v>
      </c>
      <c r="H13" s="280"/>
    </row>
    <row r="14" customFormat="false" ht="12.75" hidden="false" customHeight="false" outlineLevel="0" collapsed="false">
      <c r="A14" s="283" t="s">
        <v>327</v>
      </c>
      <c r="B14" s="299" t="n">
        <f aca="false">+B13+B12</f>
        <v>399.771666666667</v>
      </c>
      <c r="C14" s="283" t="s">
        <v>258</v>
      </c>
      <c r="E14" s="280" t="s">
        <v>328</v>
      </c>
      <c r="F14" s="280"/>
      <c r="G14" s="280" t="n">
        <v>9</v>
      </c>
      <c r="H14" s="280"/>
    </row>
    <row r="15" customFormat="false" ht="12.75" hidden="false" customHeight="false" outlineLevel="0" collapsed="false">
      <c r="A15" s="284" t="s">
        <v>329</v>
      </c>
      <c r="B15" s="300" t="n">
        <f aca="false">+B14+B9</f>
        <v>1757.77166666667</v>
      </c>
      <c r="C15" s="284" t="s">
        <v>258</v>
      </c>
      <c r="E15" s="280" t="s">
        <v>330</v>
      </c>
      <c r="F15" s="280"/>
      <c r="G15" s="280" t="n">
        <f aca="false">ConstTime</f>
        <v>6</v>
      </c>
      <c r="H15" s="280" t="s">
        <v>4</v>
      </c>
    </row>
    <row r="16" customFormat="false" ht="12.75" hidden="false" customHeight="false" outlineLevel="0" collapsed="false">
      <c r="A16" s="280"/>
      <c r="B16" s="280"/>
      <c r="C16" s="280"/>
      <c r="D16" s="280"/>
      <c r="E16" s="280"/>
      <c r="F16" s="280"/>
      <c r="G16" s="280"/>
      <c r="H16" s="280"/>
    </row>
    <row r="17" customFormat="false" ht="12.75" hidden="false" customHeight="false" outlineLevel="0" collapsed="false">
      <c r="A17" s="279" t="s">
        <v>184</v>
      </c>
      <c r="B17" s="280"/>
      <c r="C17" s="280"/>
      <c r="D17" s="280"/>
      <c r="E17" s="280"/>
      <c r="F17" s="280"/>
      <c r="G17" s="280"/>
      <c r="H17" s="280"/>
    </row>
    <row r="18" customFormat="false" ht="12.75" hidden="false" customHeight="false" outlineLevel="0" collapsed="false">
      <c r="A18" s="280" t="s">
        <v>331</v>
      </c>
      <c r="B18" s="280" t="n">
        <v>0</v>
      </c>
      <c r="C18" s="280" t="s">
        <v>179</v>
      </c>
      <c r="D18" s="285" t="n">
        <f aca="false">1000/4</f>
        <v>250</v>
      </c>
      <c r="E18" s="286" t="n">
        <f aca="false">D18*B18</f>
        <v>0</v>
      </c>
      <c r="F18" s="287" t="n">
        <f aca="false">+E18/$B$9</f>
        <v>0</v>
      </c>
      <c r="G18" s="286" t="n">
        <f aca="false">+E18*AdjRate</f>
        <v>0</v>
      </c>
      <c r="H18" s="287" t="n">
        <f aca="false">+G18/B$9</f>
        <v>0</v>
      </c>
    </row>
    <row r="19" customFormat="false" ht="12.75" hidden="false" customHeight="false" outlineLevel="0" collapsed="false">
      <c r="A19" s="280" t="s">
        <v>332</v>
      </c>
      <c r="B19" s="301" t="n">
        <f aca="false">+$G$6</f>
        <v>872.6525</v>
      </c>
      <c r="C19" s="280" t="s">
        <v>258</v>
      </c>
      <c r="D19" s="285" t="n">
        <v>0.15</v>
      </c>
      <c r="E19" s="286" t="n">
        <f aca="false">D19*B19</f>
        <v>130.897875</v>
      </c>
      <c r="F19" s="287" t="n">
        <f aca="false">+E19/$B$9</f>
        <v>0.0963901877761414</v>
      </c>
      <c r="G19" s="286" t="n">
        <f aca="false">+E19*AdjRate</f>
        <v>157.07745</v>
      </c>
      <c r="H19" s="287" t="n">
        <f aca="false">+G19/B$9</f>
        <v>0.11566822533137</v>
      </c>
    </row>
    <row r="20" customFormat="false" ht="12.75" hidden="false" customHeight="false" outlineLevel="0" collapsed="false">
      <c r="A20" s="280" t="s">
        <v>333</v>
      </c>
      <c r="B20" s="280" t="n">
        <v>0</v>
      </c>
      <c r="C20" s="280" t="s">
        <v>179</v>
      </c>
      <c r="D20" s="285" t="n">
        <v>315</v>
      </c>
      <c r="E20" s="286" t="n">
        <f aca="false">D20*B20</f>
        <v>0</v>
      </c>
      <c r="F20" s="287" t="n">
        <f aca="false">+E20/$B$9</f>
        <v>0</v>
      </c>
      <c r="G20" s="286" t="n">
        <f aca="false">+E20*AdjRate</f>
        <v>0</v>
      </c>
      <c r="H20" s="287" t="n">
        <f aca="false">+G20/B$9</f>
        <v>0</v>
      </c>
    </row>
    <row r="21" customFormat="false" ht="12.75" hidden="false" customHeight="false" outlineLevel="0" collapsed="false">
      <c r="A21" s="280" t="s">
        <v>334</v>
      </c>
      <c r="B21" s="280" t="n">
        <v>1</v>
      </c>
      <c r="C21" s="280" t="s">
        <v>179</v>
      </c>
      <c r="D21" s="285" t="n">
        <v>0</v>
      </c>
      <c r="E21" s="286" t="n">
        <f aca="false">D21*B21</f>
        <v>0</v>
      </c>
      <c r="F21" s="287" t="n">
        <f aca="false">+E21/$B$9</f>
        <v>0</v>
      </c>
      <c r="G21" s="286" t="n">
        <f aca="false">+E21*AdjRate</f>
        <v>0</v>
      </c>
      <c r="H21" s="287" t="n">
        <f aca="false">+G21/B$9</f>
        <v>0</v>
      </c>
    </row>
    <row r="22" customFormat="false" ht="12.75" hidden="false" customHeight="false" outlineLevel="0" collapsed="false">
      <c r="A22" s="280"/>
      <c r="B22" s="280"/>
      <c r="C22" s="280"/>
      <c r="D22" s="285"/>
      <c r="E22" s="286"/>
      <c r="F22" s="287"/>
      <c r="G22" s="286"/>
      <c r="H22" s="287"/>
    </row>
    <row r="23" customFormat="false" ht="12.75" hidden="false" customHeight="false" outlineLevel="0" collapsed="false">
      <c r="A23" s="279" t="s">
        <v>335</v>
      </c>
      <c r="B23" s="280"/>
      <c r="C23" s="280"/>
      <c r="D23" s="285"/>
      <c r="E23" s="286"/>
      <c r="F23" s="287"/>
      <c r="G23" s="286"/>
      <c r="H23" s="287"/>
    </row>
    <row r="24" customFormat="false" ht="12.75" hidden="false" customHeight="false" outlineLevel="0" collapsed="false">
      <c r="A24" s="280" t="s">
        <v>336</v>
      </c>
      <c r="B24" s="280" t="n">
        <v>1</v>
      </c>
      <c r="C24" s="280" t="s">
        <v>179</v>
      </c>
      <c r="D24" s="285" t="n">
        <v>150</v>
      </c>
      <c r="E24" s="286" t="n">
        <f aca="false">D24*B24</f>
        <v>150</v>
      </c>
      <c r="F24" s="287" t="n">
        <f aca="false">+E24/$B$9</f>
        <v>0.110456553755523</v>
      </c>
      <c r="G24" s="286" t="n">
        <f aca="false">+D24*B24*AdjRate</f>
        <v>180</v>
      </c>
      <c r="H24" s="287" t="n">
        <f aca="false">+G24/B$9</f>
        <v>0.132547864506627</v>
      </c>
    </row>
    <row r="25" customFormat="false" ht="12.75" hidden="false" customHeight="false" outlineLevel="0" collapsed="false">
      <c r="A25" s="280" t="s">
        <v>337</v>
      </c>
      <c r="B25" s="280" t="n">
        <v>1</v>
      </c>
      <c r="C25" s="280" t="s">
        <v>179</v>
      </c>
      <c r="D25" s="285" t="n">
        <v>100</v>
      </c>
      <c r="E25" s="286" t="n">
        <f aca="false">D25*B25</f>
        <v>100</v>
      </c>
      <c r="F25" s="287" t="n">
        <f aca="false">+E25/$B$9</f>
        <v>0.0736377025036819</v>
      </c>
      <c r="G25" s="286" t="n">
        <f aca="false">+D25*B25*AdjRate</f>
        <v>120</v>
      </c>
      <c r="H25" s="287" t="n">
        <f aca="false">+G25/B$9</f>
        <v>0.0883652430044183</v>
      </c>
    </row>
    <row r="26" customFormat="false" ht="12.75" hidden="false" customHeight="false" outlineLevel="0" collapsed="false">
      <c r="A26" s="280" t="s">
        <v>338</v>
      </c>
      <c r="B26" s="280" t="n">
        <v>1</v>
      </c>
      <c r="C26" s="280" t="s">
        <v>179</v>
      </c>
      <c r="D26" s="285" t="n">
        <v>0</v>
      </c>
      <c r="E26" s="286" t="n">
        <f aca="false">D26*B26</f>
        <v>0</v>
      </c>
      <c r="F26" s="287" t="n">
        <f aca="false">+E26/$B$9</f>
        <v>0</v>
      </c>
      <c r="G26" s="286" t="n">
        <f aca="false">+E26*AdjRate</f>
        <v>0</v>
      </c>
      <c r="H26" s="287" t="n">
        <f aca="false">+G26/B$9</f>
        <v>0</v>
      </c>
    </row>
    <row r="27" customFormat="false" ht="12.75" hidden="false" customHeight="false" outlineLevel="0" collapsed="false">
      <c r="A27" s="280"/>
      <c r="B27" s="280"/>
      <c r="C27" s="280"/>
      <c r="D27" s="285"/>
      <c r="E27" s="286"/>
      <c r="F27" s="287"/>
      <c r="G27" s="286"/>
      <c r="H27" s="287"/>
    </row>
    <row r="28" customFormat="false" ht="12.75" hidden="false" customHeight="false" outlineLevel="0" collapsed="false">
      <c r="A28" s="279" t="s">
        <v>339</v>
      </c>
      <c r="B28" s="280"/>
      <c r="C28" s="280"/>
      <c r="D28" s="285"/>
      <c r="E28" s="286"/>
      <c r="F28" s="287"/>
      <c r="G28" s="286"/>
      <c r="H28" s="287"/>
    </row>
    <row r="29" customFormat="false" ht="12.75" hidden="false" customHeight="false" outlineLevel="0" collapsed="false">
      <c r="A29" s="280" t="s">
        <v>340</v>
      </c>
      <c r="B29" s="280" t="n">
        <f aca="false">ConstTime</f>
        <v>6</v>
      </c>
      <c r="C29" s="280" t="s">
        <v>274</v>
      </c>
      <c r="D29" s="285" t="n">
        <f aca="false">56</f>
        <v>56</v>
      </c>
      <c r="E29" s="286" t="n">
        <f aca="false">D29*B29</f>
        <v>336</v>
      </c>
      <c r="F29" s="287" t="n">
        <f aca="false">+E29/$B$9</f>
        <v>0.247422680412371</v>
      </c>
      <c r="G29" s="286" t="n">
        <f aca="false">+D29*B29*AdjRate</f>
        <v>403.2</v>
      </c>
      <c r="H29" s="287" t="n">
        <f aca="false">+G29/B$9</f>
        <v>0.296907216494845</v>
      </c>
    </row>
    <row r="30" customFormat="false" ht="12.75" hidden="false" customHeight="false" outlineLevel="0" collapsed="false">
      <c r="A30" s="280" t="s">
        <v>341</v>
      </c>
      <c r="B30" s="280" t="n">
        <v>1</v>
      </c>
      <c r="C30" s="280" t="s">
        <v>179</v>
      </c>
      <c r="D30" s="285" t="n">
        <v>500</v>
      </c>
      <c r="E30" s="286" t="n">
        <f aca="false">D30*B30</f>
        <v>500</v>
      </c>
      <c r="F30" s="287" t="n">
        <f aca="false">+E30/$B$9</f>
        <v>0.368188512518409</v>
      </c>
      <c r="G30" s="286" t="n">
        <f aca="false">+E30*AdjRate</f>
        <v>600</v>
      </c>
      <c r="H30" s="287" t="n">
        <f aca="false">+G30/B$9</f>
        <v>0.441826215022091</v>
      </c>
    </row>
    <row r="31" customFormat="false" ht="12.75" hidden="false" customHeight="false" outlineLevel="0" collapsed="false">
      <c r="A31" s="280"/>
      <c r="B31" s="280"/>
      <c r="C31" s="280"/>
      <c r="D31" s="285"/>
      <c r="E31" s="286"/>
      <c r="F31" s="287"/>
      <c r="G31" s="286"/>
      <c r="H31" s="287"/>
    </row>
    <row r="32" customFormat="false" ht="12.75" hidden="false" customHeight="false" outlineLevel="0" collapsed="false">
      <c r="A32" s="279" t="s">
        <v>342</v>
      </c>
      <c r="B32" s="280"/>
      <c r="C32" s="280"/>
      <c r="D32" s="285"/>
      <c r="E32" s="286"/>
      <c r="F32" s="287"/>
      <c r="G32" s="286"/>
      <c r="H32" s="287"/>
    </row>
    <row r="33" customFormat="false" ht="12.75" hidden="false" customHeight="false" outlineLevel="0" collapsed="false">
      <c r="A33" s="280" t="s">
        <v>343</v>
      </c>
      <c r="B33" s="280" t="n">
        <f aca="false">ConstTime</f>
        <v>6</v>
      </c>
      <c r="C33" s="280" t="s">
        <v>274</v>
      </c>
      <c r="D33" s="285" t="n">
        <v>30</v>
      </c>
      <c r="E33" s="286" t="n">
        <f aca="false">D33*B33</f>
        <v>180</v>
      </c>
      <c r="F33" s="287" t="n">
        <f aca="false">+E33/$B$9</f>
        <v>0.132547864506627</v>
      </c>
      <c r="G33" s="286" t="n">
        <f aca="false">+D33*B33*AdjRate</f>
        <v>216</v>
      </c>
      <c r="H33" s="287" t="n">
        <f aca="false">+G33/B$9</f>
        <v>0.159057437407953</v>
      </c>
    </row>
    <row r="34" customFormat="false" ht="12.75" hidden="false" customHeight="false" outlineLevel="0" collapsed="false">
      <c r="A34" s="280" t="s">
        <v>344</v>
      </c>
      <c r="B34" s="280" t="n">
        <f aca="false">ConstTime</f>
        <v>6</v>
      </c>
      <c r="C34" s="280" t="s">
        <v>274</v>
      </c>
      <c r="D34" s="285" t="n">
        <v>30</v>
      </c>
      <c r="E34" s="286" t="n">
        <f aca="false">D34*B34</f>
        <v>180</v>
      </c>
      <c r="F34" s="287" t="n">
        <f aca="false">+E34/$B$9</f>
        <v>0.132547864506627</v>
      </c>
      <c r="G34" s="286" t="n">
        <f aca="false">+D34*B34*AdjRate</f>
        <v>216</v>
      </c>
      <c r="H34" s="287" t="n">
        <f aca="false">+G34/B$9</f>
        <v>0.159057437407953</v>
      </c>
    </row>
    <row r="35" customFormat="false" ht="12.75" hidden="false" customHeight="false" outlineLevel="0" collapsed="false">
      <c r="A35" s="280" t="s">
        <v>345</v>
      </c>
      <c r="B35" s="280" t="n">
        <f aca="false">ConstTime</f>
        <v>6</v>
      </c>
      <c r="C35" s="280" t="s">
        <v>274</v>
      </c>
      <c r="D35" s="285" t="n">
        <v>10</v>
      </c>
      <c r="E35" s="286" t="n">
        <f aca="false">D35*B35</f>
        <v>60</v>
      </c>
      <c r="F35" s="287" t="n">
        <f aca="false">+E35/$B$9</f>
        <v>0.0441826215022091</v>
      </c>
      <c r="G35" s="286" t="n">
        <f aca="false">+E35*AdjRate</f>
        <v>72</v>
      </c>
      <c r="H35" s="287" t="n">
        <f aca="false">+G35/B$9</f>
        <v>0.053019145802651</v>
      </c>
    </row>
    <row r="36" customFormat="false" ht="12.75" hidden="false" customHeight="false" outlineLevel="0" collapsed="false">
      <c r="A36" s="280"/>
      <c r="B36" s="280"/>
      <c r="C36" s="280"/>
      <c r="D36" s="285"/>
      <c r="E36" s="286"/>
      <c r="F36" s="287"/>
      <c r="G36" s="286"/>
      <c r="H36" s="287"/>
    </row>
    <row r="37" customFormat="false" ht="12.75" hidden="false" customHeight="false" outlineLevel="0" collapsed="false">
      <c r="A37" s="279" t="s">
        <v>346</v>
      </c>
      <c r="B37" s="280"/>
      <c r="C37" s="280"/>
      <c r="D37" s="285"/>
      <c r="E37" s="286"/>
      <c r="F37" s="287"/>
      <c r="G37" s="286"/>
      <c r="H37" s="287"/>
    </row>
    <row r="38" customFormat="false" ht="12.75" hidden="false" customHeight="false" outlineLevel="0" collapsed="false">
      <c r="A38" s="280" t="s">
        <v>347</v>
      </c>
      <c r="B38" s="280" t="n">
        <v>1</v>
      </c>
      <c r="C38" s="280" t="s">
        <v>179</v>
      </c>
      <c r="D38" s="285" t="n">
        <v>750</v>
      </c>
      <c r="E38" s="286" t="n">
        <f aca="false">D38*B38</f>
        <v>750</v>
      </c>
      <c r="F38" s="287" t="n">
        <f aca="false">+E38/$B$9</f>
        <v>0.552282768777614</v>
      </c>
      <c r="G38" s="286" t="n">
        <f aca="false">+D38*B38*AdjRate</f>
        <v>900</v>
      </c>
      <c r="H38" s="287" t="n">
        <f aca="false">+G38/B$9</f>
        <v>0.662739322533137</v>
      </c>
    </row>
    <row r="39" customFormat="false" ht="12.75" hidden="false" customHeight="false" outlineLevel="0" collapsed="false">
      <c r="A39" s="280" t="s">
        <v>348</v>
      </c>
      <c r="B39" s="280" t="n">
        <f aca="false">+B$9</f>
        <v>1358</v>
      </c>
      <c r="C39" s="280" t="s">
        <v>258</v>
      </c>
      <c r="D39" s="285" t="n">
        <v>0.1</v>
      </c>
      <c r="E39" s="286" t="n">
        <f aca="false">D39*B39</f>
        <v>135.8</v>
      </c>
      <c r="F39" s="287" t="n">
        <f aca="false">+E39/$B$9</f>
        <v>0.1</v>
      </c>
      <c r="G39" s="286" t="n">
        <f aca="false">+E39*AdjRate</f>
        <v>162.96</v>
      </c>
      <c r="H39" s="287" t="n">
        <f aca="false">+G39/B$9</f>
        <v>0.12</v>
      </c>
    </row>
    <row r="40" customFormat="false" ht="12.75" hidden="false" customHeight="false" outlineLevel="0" collapsed="false">
      <c r="A40" s="280"/>
      <c r="B40" s="280"/>
      <c r="C40" s="280"/>
      <c r="D40" s="285"/>
      <c r="E40" s="286"/>
      <c r="F40" s="287"/>
      <c r="G40" s="286"/>
      <c r="H40" s="287"/>
    </row>
    <row r="41" customFormat="false" ht="12.75" hidden="false" customHeight="false" outlineLevel="0" collapsed="false">
      <c r="A41" s="279" t="s">
        <v>349</v>
      </c>
      <c r="B41" s="280"/>
      <c r="C41" s="280"/>
      <c r="D41" s="285"/>
      <c r="E41" s="286"/>
      <c r="F41" s="287"/>
      <c r="G41" s="286"/>
      <c r="H41" s="287"/>
    </row>
    <row r="42" customFormat="false" ht="12.75" hidden="false" customHeight="false" outlineLevel="0" collapsed="false">
      <c r="A42" s="280" t="s">
        <v>350</v>
      </c>
      <c r="B42" s="280" t="n">
        <v>0</v>
      </c>
      <c r="C42" s="280" t="s">
        <v>179</v>
      </c>
      <c r="D42" s="285" t="n">
        <v>0</v>
      </c>
      <c r="E42" s="286" t="n">
        <f aca="false">D42*B42</f>
        <v>0</v>
      </c>
      <c r="F42" s="287" t="n">
        <f aca="false">+E42/$B$9</f>
        <v>0</v>
      </c>
      <c r="G42" s="286" t="n">
        <f aca="false">+E42*AdjRate</f>
        <v>0</v>
      </c>
      <c r="H42" s="287" t="n">
        <f aca="false">+G42/B$9</f>
        <v>0</v>
      </c>
    </row>
    <row r="43" customFormat="false" ht="12.75" hidden="false" customHeight="false" outlineLevel="0" collapsed="false">
      <c r="A43" s="280" t="s">
        <v>351</v>
      </c>
      <c r="B43" s="280" t="n">
        <v>1</v>
      </c>
      <c r="C43" s="280" t="s">
        <v>195</v>
      </c>
      <c r="D43" s="285" t="n">
        <v>150</v>
      </c>
      <c r="E43" s="286" t="n">
        <f aca="false">D43*B43</f>
        <v>150</v>
      </c>
      <c r="F43" s="287" t="n">
        <f aca="false">+E43/$B$9</f>
        <v>0.110456553755523</v>
      </c>
      <c r="G43" s="286" t="n">
        <f aca="false">+E43*AdjRate</f>
        <v>180</v>
      </c>
      <c r="H43" s="287" t="n">
        <f aca="false">+G43/B$9</f>
        <v>0.132547864506627</v>
      </c>
    </row>
    <row r="44" customFormat="false" ht="12.75" hidden="false" customHeight="false" outlineLevel="0" collapsed="false">
      <c r="A44" s="280" t="s">
        <v>352</v>
      </c>
      <c r="B44" s="280" t="n">
        <v>1</v>
      </c>
      <c r="C44" s="280" t="s">
        <v>179</v>
      </c>
      <c r="D44" s="285" t="n">
        <v>150</v>
      </c>
      <c r="E44" s="286" t="n">
        <f aca="false">D44*B44</f>
        <v>150</v>
      </c>
      <c r="F44" s="287" t="n">
        <f aca="false">+E44/$B$9</f>
        <v>0.110456553755523</v>
      </c>
      <c r="G44" s="286" t="n">
        <f aca="false">+E44*AdjRate</f>
        <v>180</v>
      </c>
      <c r="H44" s="287" t="n">
        <f aca="false">+G44/B$9</f>
        <v>0.132547864506627</v>
      </c>
    </row>
    <row r="45" customFormat="false" ht="12.75" hidden="false" customHeight="false" outlineLevel="0" collapsed="false">
      <c r="A45" s="280" t="s">
        <v>353</v>
      </c>
      <c r="B45" s="280" t="n">
        <v>1</v>
      </c>
      <c r="C45" s="280" t="s">
        <v>179</v>
      </c>
      <c r="D45" s="285" t="n">
        <v>0</v>
      </c>
      <c r="E45" s="286" t="n">
        <f aca="false">D45*B45</f>
        <v>0</v>
      </c>
      <c r="F45" s="287" t="n">
        <f aca="false">+E45/$B$9</f>
        <v>0</v>
      </c>
      <c r="G45" s="286" t="n">
        <f aca="false">+E45*AdjRate</f>
        <v>0</v>
      </c>
      <c r="H45" s="287" t="n">
        <f aca="false">+G45/B$9</f>
        <v>0</v>
      </c>
    </row>
    <row r="46" customFormat="false" ht="12.75" hidden="false" customHeight="false" outlineLevel="0" collapsed="false">
      <c r="A46" s="280" t="s">
        <v>267</v>
      </c>
      <c r="B46" s="280" t="n">
        <v>1</v>
      </c>
      <c r="C46" s="280" t="s">
        <v>179</v>
      </c>
      <c r="D46" s="285" t="n">
        <v>0</v>
      </c>
      <c r="E46" s="286" t="n">
        <f aca="false">D46*B46</f>
        <v>0</v>
      </c>
      <c r="F46" s="287" t="n">
        <f aca="false">+E46/$B$9</f>
        <v>0</v>
      </c>
      <c r="G46" s="286" t="n">
        <f aca="false">+D46*B46*AdjRate</f>
        <v>0</v>
      </c>
      <c r="H46" s="287" t="n">
        <f aca="false">+G46/B$9</f>
        <v>0</v>
      </c>
    </row>
    <row r="47" customFormat="false" ht="12.75" hidden="false" customHeight="false" outlineLevel="0" collapsed="false">
      <c r="A47" s="280" t="s">
        <v>355</v>
      </c>
      <c r="B47" s="280" t="n">
        <v>0</v>
      </c>
      <c r="C47" s="280" t="s">
        <v>200</v>
      </c>
      <c r="D47" s="285" t="n">
        <v>15</v>
      </c>
      <c r="E47" s="286" t="n">
        <f aca="false">D47*B47</f>
        <v>0</v>
      </c>
      <c r="F47" s="287" t="n">
        <f aca="false">+E47/$B$9</f>
        <v>0</v>
      </c>
      <c r="G47" s="286" t="n">
        <f aca="false">+D47*B47*AdjRate</f>
        <v>0</v>
      </c>
      <c r="H47" s="287" t="n">
        <f aca="false">+G47/B$9</f>
        <v>0</v>
      </c>
    </row>
    <row r="48" customFormat="false" ht="12.75" hidden="false" customHeight="false" outlineLevel="0" collapsed="false">
      <c r="A48" s="280" t="s">
        <v>356</v>
      </c>
      <c r="B48" s="280" t="n">
        <v>0</v>
      </c>
      <c r="C48" s="280" t="s">
        <v>179</v>
      </c>
      <c r="D48" s="285" t="n">
        <v>100</v>
      </c>
      <c r="E48" s="286" t="n">
        <f aca="false">D48*B48</f>
        <v>0</v>
      </c>
      <c r="F48" s="287" t="n">
        <f aca="false">+E48/$B$9</f>
        <v>0</v>
      </c>
      <c r="G48" s="286" t="n">
        <f aca="false">+E48*AdjRate</f>
        <v>0</v>
      </c>
      <c r="H48" s="287" t="n">
        <f aca="false">+G48/B$9</f>
        <v>0</v>
      </c>
    </row>
    <row r="49" customFormat="false" ht="12.75" hidden="false" customHeight="false" outlineLevel="0" collapsed="false">
      <c r="A49" s="280"/>
      <c r="B49" s="280"/>
      <c r="C49" s="280"/>
      <c r="D49" s="285"/>
      <c r="E49" s="286"/>
      <c r="F49" s="287"/>
      <c r="G49" s="286"/>
      <c r="H49" s="287"/>
    </row>
    <row r="50" customFormat="false" ht="12.75" hidden="false" customHeight="false" outlineLevel="0" collapsed="false">
      <c r="A50" s="279" t="s">
        <v>357</v>
      </c>
      <c r="B50" s="280"/>
      <c r="C50" s="280"/>
      <c r="D50" s="285"/>
      <c r="E50" s="286"/>
      <c r="F50" s="287"/>
      <c r="G50" s="286"/>
      <c r="H50" s="287"/>
    </row>
    <row r="51" customFormat="false" ht="12.75" hidden="false" customHeight="false" outlineLevel="0" collapsed="false">
      <c r="A51" s="280" t="s">
        <v>313</v>
      </c>
      <c r="B51" s="297" t="n">
        <f aca="false">G$6</f>
        <v>872.6525</v>
      </c>
      <c r="C51" s="280" t="s">
        <v>258</v>
      </c>
      <c r="D51" s="285" t="n">
        <v>5.75</v>
      </c>
      <c r="E51" s="286" t="n">
        <f aca="false">D51*B51</f>
        <v>5017.751875</v>
      </c>
      <c r="F51" s="287" t="n">
        <f aca="false">+E51/$B$9</f>
        <v>3.69495719808542</v>
      </c>
      <c r="G51" s="286" t="n">
        <f aca="false">+E51*AdjRate</f>
        <v>6021.30225</v>
      </c>
      <c r="H51" s="287" t="n">
        <f aca="false">+G51/B$9</f>
        <v>4.4339486377025</v>
      </c>
    </row>
    <row r="52" customFormat="false" ht="12.75" hidden="false" customHeight="false" outlineLevel="0" collapsed="false">
      <c r="A52" s="280" t="s">
        <v>358</v>
      </c>
      <c r="B52" s="280" t="n">
        <v>1</v>
      </c>
      <c r="C52" s="280" t="s">
        <v>179</v>
      </c>
      <c r="D52" s="285" t="n">
        <v>100</v>
      </c>
      <c r="E52" s="286" t="n">
        <f aca="false">D52*B52</f>
        <v>100</v>
      </c>
      <c r="F52" s="287" t="n">
        <f aca="false">+E52/$B$9</f>
        <v>0.0736377025036819</v>
      </c>
      <c r="G52" s="286" t="n">
        <f aca="false">+D52*B52*AdjRate</f>
        <v>120</v>
      </c>
      <c r="H52" s="287" t="n">
        <f aca="false">+G52/B$9</f>
        <v>0.0883652430044183</v>
      </c>
    </row>
    <row r="53" customFormat="false" ht="12.75" hidden="false" customHeight="false" outlineLevel="0" collapsed="false">
      <c r="A53" s="280" t="s">
        <v>315</v>
      </c>
      <c r="B53" s="280" t="n">
        <f aca="false">G$7</f>
        <v>178.5</v>
      </c>
      <c r="C53" s="280" t="s">
        <v>258</v>
      </c>
      <c r="D53" s="285" t="n">
        <v>2</v>
      </c>
      <c r="E53" s="286" t="n">
        <f aca="false">D53*B53</f>
        <v>357</v>
      </c>
      <c r="F53" s="287" t="n">
        <f aca="false">+E53/$B$9</f>
        <v>0.262886597938144</v>
      </c>
      <c r="G53" s="286" t="n">
        <f aca="false">+D53*B53*AdjRate</f>
        <v>428.4</v>
      </c>
      <c r="H53" s="287" t="n">
        <f aca="false">+G53/B$9</f>
        <v>0.315463917525773</v>
      </c>
    </row>
    <row r="54" customFormat="false" ht="12.75" hidden="false" customHeight="false" outlineLevel="0" collapsed="false">
      <c r="A54" s="280" t="s">
        <v>322</v>
      </c>
      <c r="B54" s="280" t="n">
        <f aca="false">G$11</f>
        <v>450</v>
      </c>
      <c r="C54" s="280" t="s">
        <v>258</v>
      </c>
      <c r="D54" s="285" t="n">
        <v>2.25</v>
      </c>
      <c r="E54" s="286" t="n">
        <f aca="false">D54*B54</f>
        <v>1012.5</v>
      </c>
      <c r="F54" s="287" t="n">
        <f aca="false">+E54/$B$9</f>
        <v>0.745581737849779</v>
      </c>
      <c r="G54" s="286" t="n">
        <f aca="false">+E54*AdjRate</f>
        <v>1215</v>
      </c>
      <c r="H54" s="287" t="n">
        <f aca="false">+G54/B$9</f>
        <v>0.894698085419735</v>
      </c>
    </row>
    <row r="55" customFormat="false" ht="12.75" hidden="false" customHeight="false" outlineLevel="0" collapsed="false">
      <c r="A55" s="280"/>
      <c r="B55" s="280"/>
      <c r="C55" s="280"/>
      <c r="D55" s="285"/>
      <c r="E55" s="286"/>
      <c r="F55" s="287"/>
      <c r="G55" s="286"/>
      <c r="H55" s="287"/>
    </row>
    <row r="56" customFormat="false" ht="12.75" hidden="false" customHeight="false" outlineLevel="0" collapsed="false">
      <c r="A56" s="279" t="s">
        <v>360</v>
      </c>
      <c r="B56" s="280"/>
      <c r="C56" s="280"/>
      <c r="D56" s="285"/>
      <c r="E56" s="286"/>
      <c r="F56" s="287"/>
      <c r="G56" s="286"/>
      <c r="H56" s="287"/>
    </row>
    <row r="57" customFormat="false" ht="12.75" hidden="false" customHeight="false" outlineLevel="0" collapsed="false">
      <c r="A57" s="280" t="s">
        <v>361</v>
      </c>
      <c r="B57" s="297" t="n">
        <f aca="false">B$15</f>
        <v>1757.77166666667</v>
      </c>
      <c r="C57" s="280" t="s">
        <v>258</v>
      </c>
      <c r="D57" s="285" t="n">
        <v>2.5</v>
      </c>
      <c r="E57" s="286" t="n">
        <f aca="false">D57*B57</f>
        <v>4394.42916666667</v>
      </c>
      <c r="F57" s="287" t="n">
        <f aca="false">+E57/$B$9</f>
        <v>3.23595667648503</v>
      </c>
      <c r="G57" s="286" t="n">
        <f aca="false">+E57*AdjRate</f>
        <v>5273.315</v>
      </c>
      <c r="H57" s="287" t="n">
        <f aca="false">+G57/B$9</f>
        <v>3.88314801178203</v>
      </c>
    </row>
    <row r="58" customFormat="false" ht="12.75" hidden="false" customHeight="false" outlineLevel="0" collapsed="false">
      <c r="A58" s="280" t="s">
        <v>362</v>
      </c>
      <c r="B58" s="297" t="n">
        <f aca="false">+B8</f>
        <v>885.119166666667</v>
      </c>
      <c r="C58" s="280" t="s">
        <v>258</v>
      </c>
      <c r="D58" s="285" t="n">
        <v>1.9</v>
      </c>
      <c r="E58" s="286" t="n">
        <f aca="false">D58*B58</f>
        <v>1681.72641666667</v>
      </c>
      <c r="F58" s="287" t="n">
        <f aca="false">+E58/$B$9</f>
        <v>1.23838469563083</v>
      </c>
      <c r="G58" s="286" t="n">
        <f aca="false">+E58*AdjRate</f>
        <v>2018.0717</v>
      </c>
      <c r="H58" s="287" t="n">
        <f aca="false">+G58/B$9</f>
        <v>1.486061634757</v>
      </c>
    </row>
    <row r="59" customFormat="false" ht="12.75" hidden="false" customHeight="false" outlineLevel="0" collapsed="false">
      <c r="A59" s="280" t="s">
        <v>363</v>
      </c>
      <c r="B59" s="297" t="n">
        <f aca="false">G$6</f>
        <v>872.6525</v>
      </c>
      <c r="C59" s="280" t="s">
        <v>258</v>
      </c>
      <c r="D59" s="285" t="n">
        <v>1.2</v>
      </c>
      <c r="E59" s="286" t="n">
        <f aca="false">D59*B59</f>
        <v>1047.183</v>
      </c>
      <c r="F59" s="287" t="n">
        <f aca="false">+E59/$B$9</f>
        <v>0.771121502209131</v>
      </c>
      <c r="G59" s="286" t="n">
        <f aca="false">+E59*AdjRate</f>
        <v>1256.6196</v>
      </c>
      <c r="H59" s="287" t="n">
        <f aca="false">+G59/B$9</f>
        <v>0.925345802650957</v>
      </c>
    </row>
    <row r="60" customFormat="false" ht="12.75" hidden="false" customHeight="false" outlineLevel="0" collapsed="false">
      <c r="A60" s="280" t="s">
        <v>364</v>
      </c>
      <c r="B60" s="297" t="n">
        <f aca="false">B$15</f>
        <v>1757.77166666667</v>
      </c>
      <c r="C60" s="280" t="s">
        <v>258</v>
      </c>
      <c r="D60" s="285" t="n">
        <v>3.5</v>
      </c>
      <c r="E60" s="286" t="n">
        <f aca="false">D60*B60</f>
        <v>6152.20083333333</v>
      </c>
      <c r="F60" s="287" t="n">
        <f aca="false">+E60/$B$9</f>
        <v>4.53033934707904</v>
      </c>
      <c r="G60" s="286" t="n">
        <f aca="false">+E60*AdjRate</f>
        <v>7382.641</v>
      </c>
      <c r="H60" s="287" t="n">
        <f aca="false">+G60/B$9</f>
        <v>5.43640721649484</v>
      </c>
    </row>
    <row r="61" customFormat="false" ht="12.75" hidden="false" customHeight="false" outlineLevel="0" collapsed="false">
      <c r="A61" s="280" t="s">
        <v>365</v>
      </c>
      <c r="B61" s="280" t="n">
        <v>1</v>
      </c>
      <c r="C61" s="280" t="s">
        <v>179</v>
      </c>
      <c r="D61" s="285" t="n">
        <v>285</v>
      </c>
      <c r="E61" s="286" t="n">
        <f aca="false">D61*B61</f>
        <v>285</v>
      </c>
      <c r="F61" s="287" t="n">
        <f aca="false">+E61/$B$9</f>
        <v>0.209867452135493</v>
      </c>
      <c r="G61" s="286" t="n">
        <f aca="false">+E61*AdjRate</f>
        <v>342</v>
      </c>
      <c r="H61" s="287" t="n">
        <f aca="false">+G61/B$9</f>
        <v>0.251840942562592</v>
      </c>
    </row>
    <row r="62" customFormat="false" ht="12.75" hidden="false" customHeight="false" outlineLevel="0" collapsed="false">
      <c r="A62" s="280" t="s">
        <v>366</v>
      </c>
      <c r="B62" s="280" t="n">
        <f aca="false">G13</f>
        <v>1</v>
      </c>
      <c r="C62" s="280" t="s">
        <v>367</v>
      </c>
      <c r="D62" s="285" t="n">
        <v>285</v>
      </c>
      <c r="E62" s="286" t="n">
        <f aca="false">D62*B62</f>
        <v>285</v>
      </c>
      <c r="F62" s="287" t="n">
        <f aca="false">+E62/$B$9</f>
        <v>0.209867452135493</v>
      </c>
      <c r="G62" s="286" t="n">
        <f aca="false">+E62*AdjRate</f>
        <v>342</v>
      </c>
      <c r="H62" s="287" t="n">
        <f aca="false">+G62/B$9</f>
        <v>0.251840942562592</v>
      </c>
    </row>
    <row r="63" customFormat="false" ht="12.75" hidden="false" customHeight="false" outlineLevel="0" collapsed="false">
      <c r="A63" s="280" t="s">
        <v>368</v>
      </c>
      <c r="B63" s="280" t="n">
        <f aca="false">B$9</f>
        <v>1358</v>
      </c>
      <c r="C63" s="280" t="s">
        <v>258</v>
      </c>
      <c r="D63" s="285" t="n">
        <v>0.6</v>
      </c>
      <c r="E63" s="286" t="n">
        <f aca="false">D63*B63</f>
        <v>814.8</v>
      </c>
      <c r="F63" s="287" t="n">
        <f aca="false">+E63/$B$9</f>
        <v>0.6</v>
      </c>
      <c r="G63" s="286" t="n">
        <f aca="false">+E63*AdjRate</f>
        <v>977.76</v>
      </c>
      <c r="H63" s="287" t="n">
        <f aca="false">+G63/B$9</f>
        <v>0.72</v>
      </c>
    </row>
    <row r="64" customFormat="false" ht="12.75" hidden="false" customHeight="false" outlineLevel="0" collapsed="false">
      <c r="A64" s="280" t="s">
        <v>328</v>
      </c>
      <c r="B64" s="280" t="n">
        <f aca="false">G14</f>
        <v>9</v>
      </c>
      <c r="C64" s="280" t="s">
        <v>369</v>
      </c>
      <c r="D64" s="285" t="n">
        <v>85</v>
      </c>
      <c r="E64" s="286" t="n">
        <f aca="false">D64*B64</f>
        <v>765</v>
      </c>
      <c r="F64" s="287" t="n">
        <f aca="false">+E64/$B$9</f>
        <v>0.563328424153166</v>
      </c>
      <c r="G64" s="286" t="n">
        <f aca="false">+E64*AdjRate</f>
        <v>918</v>
      </c>
      <c r="H64" s="287" t="n">
        <f aca="false">+G64/B$9</f>
        <v>0.6759941089838</v>
      </c>
    </row>
    <row r="65" customFormat="false" ht="12.75" hidden="false" customHeight="false" outlineLevel="0" collapsed="false">
      <c r="A65" s="280" t="s">
        <v>370</v>
      </c>
      <c r="B65" s="280" t="n">
        <f aca="false">B$9</f>
        <v>1358</v>
      </c>
      <c r="C65" s="280" t="s">
        <v>258</v>
      </c>
      <c r="D65" s="285" t="n">
        <v>0.6</v>
      </c>
      <c r="E65" s="286" t="n">
        <f aca="false">D65*B65</f>
        <v>814.8</v>
      </c>
      <c r="F65" s="287" t="n">
        <f aca="false">+E65/$B$9</f>
        <v>0.6</v>
      </c>
      <c r="G65" s="286" t="n">
        <f aca="false">+D65*B65*AdjRate</f>
        <v>977.76</v>
      </c>
      <c r="H65" s="287" t="n">
        <f aca="false">+G65/B$9</f>
        <v>0.72</v>
      </c>
    </row>
    <row r="66" customFormat="false" ht="12.75" hidden="false" customHeight="false" outlineLevel="0" collapsed="false">
      <c r="A66" s="280" t="s">
        <v>371</v>
      </c>
      <c r="B66" s="280" t="n">
        <v>33</v>
      </c>
      <c r="C66" s="280" t="s">
        <v>200</v>
      </c>
      <c r="D66" s="285" t="n">
        <v>60</v>
      </c>
      <c r="E66" s="286" t="n">
        <f aca="false">D66*B66</f>
        <v>1980</v>
      </c>
      <c r="F66" s="287" t="n">
        <f aca="false">+E66/$B$9</f>
        <v>1.4580265095729</v>
      </c>
      <c r="G66" s="286" t="n">
        <f aca="false">+D66*B66*AdjRate</f>
        <v>2376</v>
      </c>
      <c r="H66" s="287" t="n">
        <f aca="false">+G66/B$9</f>
        <v>1.74963181148748</v>
      </c>
    </row>
    <row r="67" customFormat="false" ht="12.75" hidden="false" customHeight="false" outlineLevel="0" collapsed="false">
      <c r="A67" s="280" t="s">
        <v>372</v>
      </c>
      <c r="B67" s="280" t="n">
        <v>16</v>
      </c>
      <c r="C67" s="280" t="s">
        <v>200</v>
      </c>
      <c r="D67" s="285" t="n">
        <v>30</v>
      </c>
      <c r="E67" s="286" t="n">
        <f aca="false">D67*B67</f>
        <v>480</v>
      </c>
      <c r="F67" s="287" t="n">
        <f aca="false">+E67/$B$9</f>
        <v>0.353460972017673</v>
      </c>
      <c r="G67" s="286" t="n">
        <f aca="false">+E67*AdjRate</f>
        <v>576</v>
      </c>
      <c r="H67" s="287" t="n">
        <f aca="false">+G67/B$9</f>
        <v>0.424153166421208</v>
      </c>
    </row>
    <row r="68" customFormat="false" ht="12.75" hidden="false" customHeight="false" outlineLevel="0" collapsed="false">
      <c r="A68" s="280"/>
      <c r="B68" s="280"/>
      <c r="C68" s="280"/>
      <c r="D68" s="285"/>
      <c r="E68" s="286"/>
      <c r="F68" s="287"/>
      <c r="G68" s="286"/>
      <c r="H68" s="287"/>
    </row>
    <row r="69" customFormat="false" ht="12.75" hidden="false" customHeight="false" outlineLevel="0" collapsed="false">
      <c r="A69" s="279" t="s">
        <v>373</v>
      </c>
      <c r="B69" s="280"/>
      <c r="C69" s="280"/>
      <c r="D69" s="285"/>
      <c r="E69" s="286"/>
      <c r="F69" s="287"/>
      <c r="G69" s="286"/>
      <c r="H69" s="287"/>
    </row>
    <row r="70" customFormat="false" ht="12.75" hidden="false" customHeight="false" outlineLevel="0" collapsed="false">
      <c r="A70" s="280" t="s">
        <v>324</v>
      </c>
      <c r="B70" s="280" t="n">
        <f aca="false">G12</f>
        <v>9</v>
      </c>
      <c r="C70" s="280" t="s">
        <v>374</v>
      </c>
      <c r="D70" s="285" t="n">
        <v>85</v>
      </c>
      <c r="E70" s="286" t="n">
        <f aca="false">D70*B70</f>
        <v>765</v>
      </c>
      <c r="F70" s="287" t="n">
        <f aca="false">+E70/$B$9</f>
        <v>0.563328424153166</v>
      </c>
      <c r="G70" s="286" t="n">
        <f aca="false">+D70*B70*AdjRate</f>
        <v>918</v>
      </c>
      <c r="H70" s="287" t="n">
        <f aca="false">+G70/B$9</f>
        <v>0.6759941089838</v>
      </c>
    </row>
    <row r="71" customFormat="false" ht="12.75" hidden="false" customHeight="false" outlineLevel="0" collapsed="false">
      <c r="A71" s="280" t="s">
        <v>375</v>
      </c>
      <c r="B71" s="280" t="n">
        <v>0</v>
      </c>
      <c r="C71" s="280" t="s">
        <v>179</v>
      </c>
      <c r="D71" s="285" t="n">
        <v>0</v>
      </c>
      <c r="E71" s="286" t="n">
        <f aca="false">D71*B71</f>
        <v>0</v>
      </c>
      <c r="F71" s="287" t="n">
        <f aca="false">+E71/$B$9</f>
        <v>0</v>
      </c>
      <c r="G71" s="286" t="n">
        <f aca="false">+D71*B71*AdjRate</f>
        <v>0</v>
      </c>
      <c r="H71" s="287" t="n">
        <f aca="false">+G71/B$9</f>
        <v>0</v>
      </c>
    </row>
    <row r="72" customFormat="false" ht="12.75" hidden="false" customHeight="false" outlineLevel="0" collapsed="false">
      <c r="A72" s="280" t="s">
        <v>376</v>
      </c>
      <c r="B72" s="280" t="n">
        <v>36</v>
      </c>
      <c r="C72" s="280" t="s">
        <v>258</v>
      </c>
      <c r="D72" s="285" t="n">
        <v>5</v>
      </c>
      <c r="E72" s="286" t="n">
        <f aca="false">D72*B72</f>
        <v>180</v>
      </c>
      <c r="F72" s="287" t="n">
        <f aca="false">+E72/$B$9</f>
        <v>0.132547864506627</v>
      </c>
      <c r="G72" s="286" t="n">
        <f aca="false">+E72*AdjRate</f>
        <v>216</v>
      </c>
      <c r="H72" s="287" t="n">
        <f aca="false">+G72/B$9</f>
        <v>0.159057437407953</v>
      </c>
    </row>
    <row r="73" customFormat="false" ht="12.75" hidden="false" customHeight="false" outlineLevel="0" collapsed="false">
      <c r="A73" s="280"/>
      <c r="B73" s="280"/>
      <c r="C73" s="280"/>
      <c r="D73" s="285"/>
      <c r="E73" s="286"/>
      <c r="F73" s="287"/>
      <c r="G73" s="286"/>
      <c r="H73" s="287"/>
    </row>
    <row r="74" customFormat="false" ht="12.75" hidden="false" customHeight="false" outlineLevel="0" collapsed="false">
      <c r="A74" s="279" t="s">
        <v>377</v>
      </c>
      <c r="B74" s="280"/>
      <c r="C74" s="280"/>
      <c r="D74" s="285"/>
      <c r="E74" s="286"/>
      <c r="F74" s="287"/>
      <c r="G74" s="286"/>
      <c r="H74" s="287"/>
    </row>
    <row r="75" customFormat="false" ht="12.75" hidden="false" customHeight="false" outlineLevel="0" collapsed="false">
      <c r="A75" s="280" t="s">
        <v>378</v>
      </c>
      <c r="B75" s="280" t="n">
        <f aca="false">B9*1.3/100</f>
        <v>17.654</v>
      </c>
      <c r="C75" s="280" t="s">
        <v>379</v>
      </c>
      <c r="D75" s="285" t="n">
        <v>52</v>
      </c>
      <c r="E75" s="286" t="n">
        <f aca="false">D75*B75</f>
        <v>918.008</v>
      </c>
      <c r="F75" s="287" t="n">
        <f aca="false">+E75/$B$9</f>
        <v>0.676</v>
      </c>
      <c r="G75" s="286" t="n">
        <f aca="false">+E75*AdjRate</f>
        <v>1101.6096</v>
      </c>
      <c r="H75" s="287" t="n">
        <f aca="false">+G75/B$9</f>
        <v>0.8112</v>
      </c>
    </row>
    <row r="76" customFormat="false" ht="12.75" hidden="false" customHeight="false" outlineLevel="0" collapsed="false">
      <c r="A76" s="280" t="s">
        <v>380</v>
      </c>
      <c r="B76" s="280" t="n">
        <v>1</v>
      </c>
      <c r="C76" s="280" t="s">
        <v>179</v>
      </c>
      <c r="D76" s="285" t="n">
        <v>200</v>
      </c>
      <c r="E76" s="286" t="n">
        <f aca="false">D76*B76</f>
        <v>200</v>
      </c>
      <c r="F76" s="287" t="n">
        <f aca="false">+E76/$B$9</f>
        <v>0.147275405007364</v>
      </c>
      <c r="G76" s="286" t="n">
        <f aca="false">+D76*B76*AdjRate</f>
        <v>240</v>
      </c>
      <c r="H76" s="287" t="n">
        <f aca="false">+G76/B$9</f>
        <v>0.176730486008837</v>
      </c>
    </row>
    <row r="77" customFormat="false" ht="12.75" hidden="false" customHeight="false" outlineLevel="0" collapsed="false">
      <c r="A77" s="280" t="s">
        <v>381</v>
      </c>
      <c r="B77" s="280" t="n">
        <f aca="false">B$9</f>
        <v>1358</v>
      </c>
      <c r="C77" s="280" t="s">
        <v>258</v>
      </c>
      <c r="D77" s="285" t="n">
        <v>0.75</v>
      </c>
      <c r="E77" s="286" t="n">
        <f aca="false">D77*B77</f>
        <v>1018.5</v>
      </c>
      <c r="F77" s="287" t="n">
        <f aca="false">+E77/$B$9</f>
        <v>0.75</v>
      </c>
      <c r="G77" s="286" t="n">
        <f aca="false">+D77*B77*AdjRate</f>
        <v>1222.2</v>
      </c>
      <c r="H77" s="287" t="n">
        <f aca="false">+G77/B$9</f>
        <v>0.9</v>
      </c>
    </row>
    <row r="78" customFormat="false" ht="12.75" hidden="false" customHeight="false" outlineLevel="0" collapsed="false">
      <c r="A78" s="280" t="s">
        <v>382</v>
      </c>
      <c r="B78" s="280" t="n">
        <f aca="false">B$9</f>
        <v>1358</v>
      </c>
      <c r="C78" s="280" t="s">
        <v>258</v>
      </c>
      <c r="D78" s="285" t="n">
        <v>3</v>
      </c>
      <c r="E78" s="286" t="n">
        <f aca="false">D78*B78</f>
        <v>4074</v>
      </c>
      <c r="F78" s="287" t="n">
        <f aca="false">+E78/$B$9</f>
        <v>3</v>
      </c>
      <c r="G78" s="286" t="n">
        <f aca="false">+E78*AdjRate</f>
        <v>4888.8</v>
      </c>
      <c r="H78" s="287" t="n">
        <f aca="false">+G78/B$9</f>
        <v>3.6</v>
      </c>
    </row>
    <row r="79" customFormat="false" ht="12.75" hidden="false" customHeight="false" outlineLevel="0" collapsed="false">
      <c r="A79" s="280"/>
      <c r="B79" s="280"/>
      <c r="C79" s="280"/>
      <c r="D79" s="285"/>
      <c r="E79" s="286"/>
      <c r="F79" s="287"/>
      <c r="G79" s="286"/>
      <c r="H79" s="287"/>
    </row>
    <row r="80" customFormat="false" ht="12.75" hidden="false" customHeight="false" outlineLevel="0" collapsed="false">
      <c r="A80" s="279" t="s">
        <v>311</v>
      </c>
      <c r="B80" s="280"/>
      <c r="C80" s="280"/>
      <c r="D80" s="285"/>
      <c r="E80" s="286"/>
      <c r="F80" s="287"/>
      <c r="G80" s="286"/>
      <c r="H80" s="287"/>
    </row>
    <row r="81" customFormat="false" ht="12.75" hidden="false" customHeight="false" outlineLevel="0" collapsed="false">
      <c r="A81" s="280" t="s">
        <v>383</v>
      </c>
      <c r="B81" s="280" t="n">
        <f aca="false">+G5</f>
        <v>315</v>
      </c>
      <c r="C81" s="280"/>
      <c r="D81" s="285" t="n">
        <v>5.5</v>
      </c>
      <c r="E81" s="286" t="n">
        <f aca="false">D81*B81</f>
        <v>1732.5</v>
      </c>
      <c r="F81" s="287" t="n">
        <f aca="false">+E81/$B$9</f>
        <v>1.27577319587629</v>
      </c>
      <c r="G81" s="286" t="n">
        <f aca="false">+E81*AdjRate</f>
        <v>2079</v>
      </c>
      <c r="H81" s="287" t="n">
        <f aca="false">+G81/B$9</f>
        <v>1.53092783505155</v>
      </c>
    </row>
    <row r="82" customFormat="false" ht="12.75" hidden="false" customHeight="false" outlineLevel="0" collapsed="false">
      <c r="A82" s="280" t="s">
        <v>384</v>
      </c>
      <c r="B82" s="280" t="n">
        <f aca="false">B$9</f>
        <v>1358</v>
      </c>
      <c r="C82" s="280"/>
      <c r="D82" s="285" t="n">
        <v>2</v>
      </c>
      <c r="E82" s="286" t="n">
        <f aca="false">D82*B82</f>
        <v>2716</v>
      </c>
      <c r="F82" s="287" t="n">
        <f aca="false">+E82/$B$9</f>
        <v>2</v>
      </c>
      <c r="G82" s="286" t="n">
        <f aca="false">+E82*AdjRate</f>
        <v>3259.2</v>
      </c>
      <c r="H82" s="287" t="n">
        <f aca="false">+G82/B$9</f>
        <v>2.4</v>
      </c>
    </row>
    <row r="83" customFormat="false" ht="12.75" hidden="false" customHeight="false" outlineLevel="0" collapsed="false">
      <c r="A83" s="280" t="s">
        <v>385</v>
      </c>
      <c r="B83" s="302" t="n">
        <f aca="false">B$15</f>
        <v>1757.77166666667</v>
      </c>
      <c r="C83" s="280"/>
      <c r="D83" s="285" t="n">
        <v>0.6</v>
      </c>
      <c r="E83" s="286" t="n">
        <f aca="false">D83*B83</f>
        <v>1054.663</v>
      </c>
      <c r="F83" s="287" t="n">
        <f aca="false">+E83/$B$9</f>
        <v>0.776629602356406</v>
      </c>
      <c r="G83" s="286" t="n">
        <f aca="false">+E83*AdjRate</f>
        <v>1265.5956</v>
      </c>
      <c r="H83" s="287" t="n">
        <f aca="false">+G83/B$9</f>
        <v>0.931955522827688</v>
      </c>
    </row>
    <row r="84" customFormat="false" ht="12.75" hidden="false" customHeight="false" outlineLevel="0" collapsed="false">
      <c r="A84" s="280" t="s">
        <v>421</v>
      </c>
      <c r="B84" s="302" t="n">
        <v>48</v>
      </c>
      <c r="C84" s="280" t="s">
        <v>258</v>
      </c>
      <c r="D84" s="285" t="n">
        <v>5.5</v>
      </c>
      <c r="E84" s="286" t="n">
        <f aca="false">D84*B84</f>
        <v>264</v>
      </c>
      <c r="F84" s="287" t="n">
        <f aca="false">+E84/$B$9</f>
        <v>0.19440353460972</v>
      </c>
      <c r="G84" s="286" t="n">
        <f aca="false">+E84*AdjRate</f>
        <v>316.8</v>
      </c>
      <c r="H84" s="287" t="n">
        <f aca="false">+G84/B$9</f>
        <v>0.233284241531664</v>
      </c>
    </row>
    <row r="85" customFormat="false" ht="12.75" hidden="false" customHeight="false" outlineLevel="0" collapsed="false">
      <c r="A85" s="280" t="s">
        <v>387</v>
      </c>
      <c r="B85" s="302" t="n">
        <f aca="false">(B9-35-150-150-100)/9</f>
        <v>102.555555555556</v>
      </c>
      <c r="C85" s="280" t="s">
        <v>388</v>
      </c>
      <c r="D85" s="285" t="n">
        <v>15</v>
      </c>
      <c r="E85" s="286" t="n">
        <f aca="false">D85*B85</f>
        <v>1538.33333333333</v>
      </c>
      <c r="F85" s="287" t="n">
        <f aca="false">+E85/$B$9</f>
        <v>1.13279332351497</v>
      </c>
      <c r="G85" s="286" t="n">
        <f aca="false">+E85*AdjRate</f>
        <v>1846</v>
      </c>
      <c r="H85" s="287" t="n">
        <f aca="false">+G85/B$9</f>
        <v>1.35935198821797</v>
      </c>
    </row>
    <row r="86" customFormat="false" ht="12.75" hidden="false" customHeight="false" outlineLevel="0" collapsed="false">
      <c r="A86" s="280" t="s">
        <v>389</v>
      </c>
      <c r="B86" s="302" t="n">
        <v>27</v>
      </c>
      <c r="C86" s="280" t="s">
        <v>200</v>
      </c>
      <c r="D86" s="285" t="n">
        <v>24</v>
      </c>
      <c r="E86" s="286" t="n">
        <f aca="false">D86*B86</f>
        <v>648</v>
      </c>
      <c r="F86" s="287" t="n">
        <f aca="false">+E86/$B$9</f>
        <v>0.477172312223859</v>
      </c>
      <c r="G86" s="286" t="n">
        <f aca="false">+E86*AdjRate</f>
        <v>777.6</v>
      </c>
      <c r="H86" s="287" t="n">
        <f aca="false">+G86/B$9</f>
        <v>0.57260677466863</v>
      </c>
    </row>
    <row r="87" customFormat="false" ht="12.75" hidden="false" customHeight="false" outlineLevel="0" collapsed="false">
      <c r="A87" s="280" t="s">
        <v>390</v>
      </c>
      <c r="B87" s="302" t="n">
        <v>9</v>
      </c>
      <c r="C87" s="280" t="s">
        <v>200</v>
      </c>
      <c r="D87" s="285" t="n">
        <v>24</v>
      </c>
      <c r="E87" s="286" t="n">
        <f aca="false">D87*B87</f>
        <v>216</v>
      </c>
      <c r="F87" s="287" t="n">
        <f aca="false">+E87/$B$9</f>
        <v>0.159057437407953</v>
      </c>
      <c r="G87" s="286" t="n">
        <f aca="false">+E87*AdjRate</f>
        <v>259.2</v>
      </c>
      <c r="H87" s="287" t="n">
        <f aca="false">+G87/B$9</f>
        <v>0.190868924889543</v>
      </c>
    </row>
    <row r="88" customFormat="false" ht="12.75" hidden="false" customHeight="false" outlineLevel="0" collapsed="false">
      <c r="A88" s="280" t="s">
        <v>391</v>
      </c>
      <c r="B88" s="302" t="n">
        <v>2</v>
      </c>
      <c r="C88" s="280" t="s">
        <v>392</v>
      </c>
      <c r="D88" s="285" t="n">
        <v>40</v>
      </c>
      <c r="E88" s="286" t="n">
        <f aca="false">D88*B88</f>
        <v>80</v>
      </c>
      <c r="F88" s="287" t="n">
        <f aca="false">+E88/$B$9</f>
        <v>0.0589101620029455</v>
      </c>
      <c r="G88" s="286" t="n">
        <f aca="false">+E88*AdjRate</f>
        <v>96</v>
      </c>
      <c r="H88" s="287" t="n">
        <f aca="false">+G88/B$9</f>
        <v>0.0706921944035346</v>
      </c>
    </row>
    <row r="89" customFormat="false" ht="12.75" hidden="false" customHeight="false" outlineLevel="0" collapsed="false">
      <c r="A89" s="280" t="s">
        <v>393</v>
      </c>
      <c r="B89" s="302" t="n">
        <v>0</v>
      </c>
      <c r="C89" s="280" t="s">
        <v>394</v>
      </c>
      <c r="D89" s="285" t="n">
        <v>750</v>
      </c>
      <c r="E89" s="286" t="n">
        <f aca="false">D89*B89</f>
        <v>0</v>
      </c>
      <c r="F89" s="287" t="n">
        <f aca="false">+E89/$B$9</f>
        <v>0</v>
      </c>
      <c r="G89" s="286" t="n">
        <f aca="false">+E89*AdjRate</f>
        <v>0</v>
      </c>
      <c r="H89" s="287" t="n">
        <f aca="false">+G89/B$9</f>
        <v>0</v>
      </c>
    </row>
    <row r="90" customFormat="false" ht="12.75" hidden="false" customHeight="false" outlineLevel="0" collapsed="false">
      <c r="A90" s="280" t="s">
        <v>395</v>
      </c>
      <c r="B90" s="302" t="n">
        <v>1</v>
      </c>
      <c r="C90" s="280" t="s">
        <v>394</v>
      </c>
      <c r="D90" s="285" t="n">
        <v>300</v>
      </c>
      <c r="E90" s="286" t="n">
        <f aca="false">D90*B90</f>
        <v>300</v>
      </c>
      <c r="F90" s="287" t="n">
        <f aca="false">+E90/$B$9</f>
        <v>0.220913107511046</v>
      </c>
      <c r="G90" s="286" t="n">
        <f aca="false">+D90*B90*AdjRate</f>
        <v>360</v>
      </c>
      <c r="H90" s="287" t="n">
        <f aca="false">+G90/B$9</f>
        <v>0.265095729013255</v>
      </c>
    </row>
    <row r="91" customFormat="false" ht="12.75" hidden="false" customHeight="false" outlineLevel="0" collapsed="false">
      <c r="A91" s="280" t="s">
        <v>396</v>
      </c>
      <c r="B91" s="302" t="n">
        <f aca="false">G12</f>
        <v>9</v>
      </c>
      <c r="C91" s="280" t="s">
        <v>397</v>
      </c>
      <c r="D91" s="285" t="n">
        <v>35</v>
      </c>
      <c r="E91" s="286" t="n">
        <f aca="false">D91*B91</f>
        <v>315</v>
      </c>
      <c r="F91" s="287" t="n">
        <f aca="false">+E91/$B$9</f>
        <v>0.231958762886598</v>
      </c>
      <c r="G91" s="286" t="n">
        <f aca="false">+D91*B91*AdjRate</f>
        <v>378</v>
      </c>
      <c r="H91" s="287" t="n">
        <f aca="false">+G91/B$9</f>
        <v>0.278350515463918</v>
      </c>
    </row>
    <row r="92" customFormat="false" ht="12.75" hidden="false" customHeight="false" outlineLevel="0" collapsed="false">
      <c r="A92" s="280" t="s">
        <v>398</v>
      </c>
      <c r="B92" s="302" t="n">
        <v>0</v>
      </c>
      <c r="C92" s="280" t="s">
        <v>179</v>
      </c>
      <c r="D92" s="285" t="n">
        <v>0</v>
      </c>
      <c r="E92" s="286" t="n">
        <f aca="false">D92*B92</f>
        <v>0</v>
      </c>
      <c r="F92" s="287" t="n">
        <f aca="false">+E92/$B$9</f>
        <v>0</v>
      </c>
      <c r="G92" s="286" t="n">
        <f aca="false">+E92*AdjRate</f>
        <v>0</v>
      </c>
      <c r="H92" s="287" t="n">
        <f aca="false">+G92/B$9</f>
        <v>0</v>
      </c>
    </row>
    <row r="93" customFormat="false" ht="12.75" hidden="false" customHeight="false" outlineLevel="0" collapsed="false">
      <c r="A93" s="280"/>
      <c r="B93" s="302"/>
      <c r="C93" s="280"/>
      <c r="D93" s="285"/>
      <c r="E93" s="286"/>
      <c r="F93" s="287"/>
      <c r="G93" s="286"/>
      <c r="H93" s="287"/>
    </row>
    <row r="94" customFormat="false" ht="12.75" hidden="false" customHeight="false" outlineLevel="0" collapsed="false">
      <c r="A94" s="279" t="s">
        <v>399</v>
      </c>
      <c r="B94" s="302"/>
      <c r="C94" s="280"/>
      <c r="D94" s="285"/>
      <c r="E94" s="286"/>
      <c r="F94" s="287"/>
      <c r="G94" s="286"/>
      <c r="H94" s="287"/>
    </row>
    <row r="95" customFormat="false" ht="12.75" hidden="false" customHeight="false" outlineLevel="0" collapsed="false">
      <c r="A95" s="280" t="s">
        <v>400</v>
      </c>
      <c r="B95" s="302" t="n">
        <v>1</v>
      </c>
      <c r="C95" s="280" t="s">
        <v>179</v>
      </c>
      <c r="D95" s="285" t="n">
        <v>500</v>
      </c>
      <c r="E95" s="286" t="n">
        <f aca="false">D95*B95</f>
        <v>500</v>
      </c>
      <c r="F95" s="287" t="n">
        <f aca="false">+E95/$B$9</f>
        <v>0.368188512518409</v>
      </c>
      <c r="G95" s="286" t="n">
        <f aca="false">+D95*B95*AdjRate</f>
        <v>600</v>
      </c>
      <c r="H95" s="287" t="n">
        <f aca="false">+G95/B$9</f>
        <v>0.441826215022091</v>
      </c>
    </row>
    <row r="96" customFormat="false" ht="12.75" hidden="false" customHeight="false" outlineLevel="0" collapsed="false">
      <c r="A96" s="280" t="s">
        <v>401</v>
      </c>
      <c r="B96" s="302" t="n">
        <v>0</v>
      </c>
      <c r="C96" s="280" t="s">
        <v>402</v>
      </c>
      <c r="D96" s="285" t="n">
        <v>650</v>
      </c>
      <c r="E96" s="286" t="n">
        <f aca="false">D96*B96</f>
        <v>0</v>
      </c>
      <c r="F96" s="287" t="n">
        <f aca="false">+E96/$B$9</f>
        <v>0</v>
      </c>
      <c r="G96" s="286" t="n">
        <f aca="false">+D96*B96*AdjRate</f>
        <v>0</v>
      </c>
      <c r="H96" s="287" t="n">
        <f aca="false">+G96/B$9</f>
        <v>0</v>
      </c>
    </row>
    <row r="97" customFormat="false" ht="12.75" hidden="false" customHeight="false" outlineLevel="0" collapsed="false">
      <c r="A97" s="280" t="s">
        <v>403</v>
      </c>
      <c r="B97" s="302" t="n">
        <v>1</v>
      </c>
      <c r="C97" s="280" t="s">
        <v>404</v>
      </c>
      <c r="D97" s="285" t="n">
        <v>700</v>
      </c>
      <c r="E97" s="286" t="n">
        <f aca="false">D97*B97</f>
        <v>700</v>
      </c>
      <c r="F97" s="287" t="n">
        <f aca="false">+E97/$B$9</f>
        <v>0.515463917525773</v>
      </c>
      <c r="G97" s="286" t="n">
        <f aca="false">+E97*AdjRate</f>
        <v>840</v>
      </c>
      <c r="H97" s="287" t="n">
        <f aca="false">+G97/B$9</f>
        <v>0.618556701030928</v>
      </c>
    </row>
    <row r="98" customFormat="false" ht="12.75" hidden="false" customHeight="false" outlineLevel="0" collapsed="false">
      <c r="A98" s="280"/>
      <c r="B98" s="302"/>
      <c r="C98" s="280"/>
      <c r="D98" s="285"/>
      <c r="E98" s="286"/>
      <c r="F98" s="287"/>
      <c r="G98" s="286"/>
      <c r="H98" s="287"/>
    </row>
    <row r="99" customFormat="false" ht="12.75" hidden="false" customHeight="false" outlineLevel="0" collapsed="false">
      <c r="A99" s="279" t="s">
        <v>405</v>
      </c>
      <c r="B99" s="302"/>
      <c r="C99" s="280"/>
      <c r="D99" s="285"/>
      <c r="E99" s="286"/>
      <c r="F99" s="287"/>
      <c r="G99" s="286"/>
      <c r="H99" s="287"/>
    </row>
    <row r="100" customFormat="false" ht="12.75" hidden="false" customHeight="false" outlineLevel="0" collapsed="false">
      <c r="A100" s="280" t="s">
        <v>406</v>
      </c>
      <c r="B100" s="302" t="n">
        <f aca="false">B$15</f>
        <v>1757.77166666667</v>
      </c>
      <c r="C100" s="280" t="s">
        <v>258</v>
      </c>
      <c r="D100" s="285" t="n">
        <v>2.25</v>
      </c>
      <c r="E100" s="286" t="n">
        <f aca="false">D100*B100</f>
        <v>3954.98625</v>
      </c>
      <c r="F100" s="287" t="n">
        <f aca="false">+E100/$B$9</f>
        <v>2.91236100883652</v>
      </c>
      <c r="G100" s="286" t="n">
        <f aca="false">+D100*B100*AdjRate</f>
        <v>4745.9835</v>
      </c>
      <c r="H100" s="287" t="n">
        <f aca="false">+G100/B$9</f>
        <v>3.49483321060383</v>
      </c>
    </row>
    <row r="101" customFormat="false" ht="12.75" hidden="false" customHeight="false" outlineLevel="0" collapsed="false">
      <c r="A101" s="280" t="s">
        <v>407</v>
      </c>
      <c r="B101" s="280" t="n">
        <v>1</v>
      </c>
      <c r="C101" s="280" t="s">
        <v>179</v>
      </c>
      <c r="D101" s="285" t="n">
        <v>750</v>
      </c>
      <c r="E101" s="286" t="n">
        <f aca="false">D101*B101</f>
        <v>750</v>
      </c>
      <c r="F101" s="287" t="n">
        <f aca="false">+E101/$B$9</f>
        <v>0.552282768777614</v>
      </c>
      <c r="G101" s="286" t="n">
        <f aca="false">+D101*B101*AdjRate</f>
        <v>900</v>
      </c>
      <c r="H101" s="287" t="n">
        <f aca="false">+G101/B$9</f>
        <v>0.662739322533137</v>
      </c>
    </row>
    <row r="102" customFormat="false" ht="12.75" hidden="false" customHeight="false" outlineLevel="0" collapsed="false">
      <c r="A102" s="280" t="s">
        <v>408</v>
      </c>
      <c r="B102" s="280" t="n">
        <v>1</v>
      </c>
      <c r="C102" s="280" t="s">
        <v>179</v>
      </c>
      <c r="D102" s="285" t="n">
        <v>150</v>
      </c>
      <c r="E102" s="286" t="n">
        <f aca="false">D102*B102</f>
        <v>150</v>
      </c>
      <c r="F102" s="287" t="n">
        <f aca="false">+E102/$B$9</f>
        <v>0.110456553755523</v>
      </c>
      <c r="G102" s="286" t="n">
        <f aca="false">+E102*AdjRate</f>
        <v>180</v>
      </c>
      <c r="H102" s="287" t="n">
        <f aca="false">+G102/B$9</f>
        <v>0.132547864506627</v>
      </c>
    </row>
    <row r="103" customFormat="false" ht="12.75" hidden="false" customHeight="false" outlineLevel="0" collapsed="false">
      <c r="A103" s="280"/>
      <c r="B103" s="280"/>
      <c r="C103" s="280"/>
      <c r="D103" s="285"/>
      <c r="E103" s="286"/>
      <c r="F103" s="287"/>
      <c r="G103" s="286"/>
      <c r="H103" s="287"/>
    </row>
    <row r="104" customFormat="false" ht="12.75" hidden="false" customHeight="false" outlineLevel="0" collapsed="false">
      <c r="A104" s="279" t="s">
        <v>409</v>
      </c>
      <c r="B104" s="280"/>
      <c r="C104" s="280"/>
      <c r="D104" s="285"/>
      <c r="E104" s="286"/>
      <c r="F104" s="287"/>
      <c r="G104" s="286"/>
      <c r="H104" s="287"/>
    </row>
    <row r="105" customFormat="false" ht="12.75" hidden="false" customHeight="false" outlineLevel="0" collapsed="false">
      <c r="A105" s="280" t="s">
        <v>410</v>
      </c>
      <c r="B105" s="280" t="n">
        <v>1</v>
      </c>
      <c r="C105" s="280" t="s">
        <v>179</v>
      </c>
      <c r="D105" s="285" t="n">
        <v>4200</v>
      </c>
      <c r="E105" s="286" t="n">
        <f aca="false">D105*B105</f>
        <v>4200</v>
      </c>
      <c r="F105" s="287" t="n">
        <f aca="false">+E105/$B$9</f>
        <v>3.09278350515464</v>
      </c>
      <c r="G105" s="286" t="n">
        <f aca="false">+E105*AdjRate</f>
        <v>5040</v>
      </c>
      <c r="H105" s="287" t="n">
        <f aca="false">+G105/B$9</f>
        <v>3.71134020618557</v>
      </c>
    </row>
    <row r="106" customFormat="false" ht="12.75" hidden="false" customHeight="false" outlineLevel="0" collapsed="false">
      <c r="A106" s="280" t="s">
        <v>411</v>
      </c>
      <c r="B106" s="280" t="n">
        <v>25</v>
      </c>
      <c r="C106" s="280" t="s">
        <v>200</v>
      </c>
      <c r="D106" s="285" t="n">
        <v>15</v>
      </c>
      <c r="E106" s="286" t="n">
        <f aca="false">D106*B106</f>
        <v>375</v>
      </c>
      <c r="F106" s="287" t="n">
        <f aca="false">+E106/$B$9</f>
        <v>0.276141384388807</v>
      </c>
      <c r="G106" s="286" t="n">
        <f aca="false">+E106*AdjRate</f>
        <v>450</v>
      </c>
      <c r="H106" s="287" t="n">
        <f aca="false">+G106/B$9</f>
        <v>0.331369661266568</v>
      </c>
    </row>
    <row r="107" customFormat="false" ht="12.75" hidden="false" customHeight="false" outlineLevel="0" collapsed="false">
      <c r="A107" s="280" t="s">
        <v>412</v>
      </c>
      <c r="B107" s="280" t="n">
        <v>1</v>
      </c>
      <c r="C107" s="280" t="s">
        <v>179</v>
      </c>
      <c r="D107" s="285" t="n">
        <v>2000</v>
      </c>
      <c r="E107" s="286" t="n">
        <f aca="false">D107*B107</f>
        <v>2000</v>
      </c>
      <c r="F107" s="287" t="n">
        <f aca="false">+E107/$B$9</f>
        <v>1.47275405007364</v>
      </c>
      <c r="G107" s="286" t="n">
        <f aca="false">+E107*AdjRate</f>
        <v>2400</v>
      </c>
      <c r="H107" s="287" t="n">
        <f aca="false">+G107/B$9</f>
        <v>1.76730486008837</v>
      </c>
    </row>
    <row r="108" customFormat="false" ht="12.75" hidden="false" customHeight="false" outlineLevel="0" collapsed="false">
      <c r="A108" s="280" t="s">
        <v>413</v>
      </c>
      <c r="B108" s="280" t="n">
        <v>1</v>
      </c>
      <c r="C108" s="280" t="s">
        <v>179</v>
      </c>
      <c r="D108" s="285" t="n">
        <v>990</v>
      </c>
      <c r="E108" s="286" t="n">
        <f aca="false">D108*B108</f>
        <v>990</v>
      </c>
      <c r="F108" s="287" t="n">
        <f aca="false">+E108/$B$9</f>
        <v>0.729013254786451</v>
      </c>
      <c r="G108" s="286" t="n">
        <f aca="false">+D108*B108*AdjRate</f>
        <v>1188</v>
      </c>
      <c r="H108" s="287" t="n">
        <f aca="false">+G108/B$9</f>
        <v>0.874815905743741</v>
      </c>
    </row>
    <row r="109" customFormat="false" ht="12.75" hidden="false" customHeight="false" outlineLevel="0" collapsed="false">
      <c r="A109" s="280" t="s">
        <v>414</v>
      </c>
      <c r="B109" s="280" t="n">
        <f aca="false">B$9</f>
        <v>1358</v>
      </c>
      <c r="C109" s="280" t="s">
        <v>179</v>
      </c>
      <c r="D109" s="285" t="n">
        <v>2.85</v>
      </c>
      <c r="E109" s="286" t="n">
        <f aca="false">D109*B109</f>
        <v>3870.3</v>
      </c>
      <c r="F109" s="287" t="n">
        <f aca="false">+E109/$B$9</f>
        <v>2.85</v>
      </c>
      <c r="G109" s="286" t="n">
        <f aca="false">+D109*B109*AdjRate</f>
        <v>4644.36</v>
      </c>
      <c r="H109" s="287" t="n">
        <f aca="false">+G109/B$9</f>
        <v>3.42</v>
      </c>
    </row>
    <row r="110" customFormat="false" ht="12.75" hidden="false" customHeight="false" outlineLevel="0" collapsed="false">
      <c r="A110" s="280" t="s">
        <v>273</v>
      </c>
      <c r="B110" s="280" t="n">
        <f aca="false">ConstTime</f>
        <v>6</v>
      </c>
      <c r="C110" s="280" t="s">
        <v>274</v>
      </c>
      <c r="D110" s="285" t="n">
        <f aca="false">((1000*52)/12+250+100)/4</f>
        <v>1170.83333333333</v>
      </c>
      <c r="E110" s="286" t="n">
        <f aca="false">D110*B110</f>
        <v>7025</v>
      </c>
      <c r="F110" s="287" t="n">
        <f aca="false">+E110/$B$9</f>
        <v>5.17304860088365</v>
      </c>
      <c r="G110" s="286" t="n">
        <f aca="false">+(D110*B110)*AdjRate</f>
        <v>8430</v>
      </c>
      <c r="H110" s="287" t="n">
        <f aca="false">+G110/B$9</f>
        <v>6.20765832106038</v>
      </c>
    </row>
    <row r="111" customFormat="false" ht="13.5" hidden="false" customHeight="false" outlineLevel="0" collapsed="false">
      <c r="A111" s="289" t="s">
        <v>415</v>
      </c>
      <c r="B111" s="289"/>
      <c r="C111" s="289"/>
      <c r="D111" s="289"/>
      <c r="E111" s="290" t="n">
        <f aca="false">SUM(E18:E110)</f>
        <v>68545.37975</v>
      </c>
      <c r="F111" s="291" t="n">
        <f aca="false">+E111/$B$9</f>
        <v>50.475242820324</v>
      </c>
      <c r="G111" s="290" t="n">
        <f aca="false">SUM(G18:G110)</f>
        <v>82254.4557</v>
      </c>
      <c r="H111" s="291" t="n">
        <f aca="false">SUM(H18:H110)</f>
        <v>60.5702913843888</v>
      </c>
    </row>
    <row r="112" customFormat="false" ht="13.5" hidden="false" customHeight="false" outlineLevel="0" collapsed="false">
      <c r="A112" s="280"/>
      <c r="B112" s="280"/>
      <c r="C112" s="280"/>
      <c r="D112" s="280"/>
      <c r="E112" s="286" t="n">
        <f aca="false">+G111-E111</f>
        <v>13709.07595</v>
      </c>
      <c r="F112" s="286"/>
      <c r="G112" s="280"/>
      <c r="H112" s="280"/>
    </row>
    <row r="113" customFormat="false" ht="12.75" hidden="false" customHeight="false" outlineLevel="0" collapsed="false">
      <c r="D113" s="57"/>
      <c r="E113" s="57"/>
      <c r="F113" s="57"/>
    </row>
    <row r="114" customFormat="false" ht="12.75" hidden="false" customHeight="false" outlineLevel="0" collapsed="false">
      <c r="D114" s="57"/>
      <c r="E114" s="57"/>
      <c r="F114" s="57"/>
    </row>
    <row r="115" customFormat="false" ht="12.75" hidden="false" customHeight="false" outlineLevel="0" collapsed="false">
      <c r="D115" s="57"/>
      <c r="E115" s="57"/>
      <c r="F115" s="57"/>
    </row>
    <row r="116" customFormat="false" ht="12.75" hidden="false" customHeight="false" outlineLevel="0" collapsed="false">
      <c r="D116" s="57"/>
      <c r="E116" s="57"/>
      <c r="F116" s="57"/>
    </row>
    <row r="117" customFormat="false" ht="12.75" hidden="false" customHeight="false" outlineLevel="0" collapsed="false">
      <c r="D117" s="57"/>
      <c r="E117" s="57"/>
      <c r="F117" s="57"/>
    </row>
    <row r="118" customFormat="false" ht="12.75" hidden="false" customHeight="false" outlineLevel="0" collapsed="false">
      <c r="D118" s="57"/>
      <c r="E118" s="57"/>
      <c r="F118" s="57"/>
    </row>
    <row r="119" customFormat="false" ht="12.75" hidden="false" customHeight="false" outlineLevel="0" collapsed="false">
      <c r="D119" s="57"/>
      <c r="E119" s="57"/>
      <c r="F119" s="57"/>
    </row>
    <row r="120" customFormat="false" ht="12.75" hidden="false" customHeight="false" outlineLevel="0" collapsed="false">
      <c r="D120" s="57"/>
      <c r="E120" s="57"/>
      <c r="F120" s="57"/>
    </row>
    <row r="121" customFormat="false" ht="12.75" hidden="false" customHeight="false" outlineLevel="0" collapsed="false">
      <c r="D121" s="57"/>
      <c r="E121" s="57"/>
      <c r="F121" s="57"/>
    </row>
    <row r="122" customFormat="false" ht="12.75" hidden="false" customHeight="false" outlineLevel="0" collapsed="false">
      <c r="D122" s="57"/>
      <c r="E122" s="57"/>
      <c r="F122" s="57"/>
    </row>
    <row r="123" customFormat="false" ht="12.75" hidden="false" customHeight="false" outlineLevel="0" collapsed="false">
      <c r="D123" s="57"/>
      <c r="E123" s="57"/>
      <c r="F123" s="57"/>
    </row>
    <row r="124" customFormat="false" ht="12.75" hidden="false" customHeight="false" outlineLevel="0" collapsed="false">
      <c r="D124" s="57"/>
      <c r="E124" s="57"/>
      <c r="F124" s="57"/>
    </row>
    <row r="125" customFormat="false" ht="12.75" hidden="false" customHeight="false" outlineLevel="0" collapsed="false">
      <c r="D125" s="57"/>
      <c r="E125" s="57"/>
      <c r="F125" s="57"/>
    </row>
    <row r="126" customFormat="false" ht="12.75" hidden="false" customHeight="false" outlineLevel="0" collapsed="false">
      <c r="D126" s="57"/>
      <c r="E126" s="57"/>
      <c r="F126" s="57"/>
    </row>
    <row r="127" customFormat="false" ht="12.75" hidden="false" customHeight="false" outlineLevel="0" collapsed="false">
      <c r="D127" s="57"/>
      <c r="E127" s="57"/>
      <c r="F127" s="57"/>
    </row>
    <row r="128" customFormat="false" ht="12.75" hidden="false" customHeight="false" outlineLevel="0" collapsed="false">
      <c r="D128" s="57"/>
      <c r="E128" s="57"/>
      <c r="F128" s="57"/>
    </row>
    <row r="129" customFormat="false" ht="12.75" hidden="false" customHeight="false" outlineLevel="0" collapsed="false">
      <c r="D129" s="57"/>
      <c r="E129" s="57"/>
      <c r="F129" s="57"/>
    </row>
    <row r="130" customFormat="false" ht="12.75" hidden="false" customHeight="false" outlineLevel="0" collapsed="false">
      <c r="D130" s="57"/>
      <c r="E130" s="57"/>
      <c r="F130" s="57"/>
    </row>
    <row r="131" customFormat="false" ht="12.75" hidden="false" customHeight="false" outlineLevel="0" collapsed="false">
      <c r="D131" s="57"/>
      <c r="E131" s="57"/>
      <c r="F131" s="57"/>
    </row>
    <row r="132" customFormat="false" ht="12.75" hidden="false" customHeight="false" outlineLevel="0" collapsed="false">
      <c r="D132" s="57"/>
      <c r="E132" s="57"/>
      <c r="F132" s="57"/>
    </row>
    <row r="133" customFormat="false" ht="12.75" hidden="false" customHeight="false" outlineLevel="0" collapsed="false">
      <c r="D133" s="57"/>
      <c r="E133" s="57"/>
      <c r="F133" s="57"/>
    </row>
    <row r="134" customFormat="false" ht="12.75" hidden="false" customHeight="false" outlineLevel="0" collapsed="false">
      <c r="D134" s="57"/>
      <c r="E134" s="57"/>
      <c r="F134" s="57"/>
    </row>
    <row r="135" customFormat="false" ht="12.75" hidden="false" customHeight="false" outlineLevel="0" collapsed="false">
      <c r="D135" s="57"/>
      <c r="E135" s="57"/>
      <c r="F135" s="57"/>
    </row>
    <row r="136" customFormat="false" ht="12.75" hidden="false" customHeight="false" outlineLevel="0" collapsed="false">
      <c r="D136" s="57"/>
      <c r="E136" s="57"/>
      <c r="F136" s="57"/>
    </row>
    <row r="137" customFormat="false" ht="12.75" hidden="false" customHeight="false" outlineLevel="0" collapsed="false">
      <c r="D137" s="57"/>
      <c r="E137" s="57"/>
      <c r="F137" s="57"/>
    </row>
    <row r="138" customFormat="false" ht="12.75" hidden="false" customHeight="false" outlineLevel="0" collapsed="false">
      <c r="D138" s="57"/>
      <c r="E138" s="57"/>
      <c r="F138" s="57"/>
    </row>
    <row r="139" customFormat="false" ht="12.75" hidden="false" customHeight="false" outlineLevel="0" collapsed="false">
      <c r="D139" s="57"/>
      <c r="E139" s="57"/>
      <c r="F139" s="57"/>
    </row>
    <row r="140" customFormat="false" ht="12.75" hidden="false" customHeight="false" outlineLevel="0" collapsed="false">
      <c r="D140" s="57"/>
      <c r="E140" s="57"/>
      <c r="F140" s="57"/>
    </row>
    <row r="141" customFormat="false" ht="12.75" hidden="false" customHeight="false" outlineLevel="0" collapsed="false">
      <c r="D141" s="57"/>
      <c r="E141" s="57"/>
      <c r="F141" s="57"/>
    </row>
    <row r="142" customFormat="false" ht="12.75" hidden="false" customHeight="false" outlineLevel="0" collapsed="false">
      <c r="D142" s="57"/>
      <c r="E142" s="57"/>
      <c r="F142" s="57"/>
    </row>
  </sheetData>
  <mergeCells count="1">
    <mergeCell ref="A1:H1"/>
  </mergeCells>
  <printOptions headings="false" gridLines="false" gridLinesSet="true" horizontalCentered="true" verticalCentered="false"/>
  <pageMargins left="0.25" right="0.25" top="0.984027777777778" bottom="0.984027777777778" header="0.5" footer="0.5"/>
  <pageSetup paperSize="1" scale="100" fitToWidth="1" fitToHeight="2" pageOrder="downThenOver" orientation="portrait" blackAndWhite="false" draft="false" cellComments="none" horizontalDpi="300" verticalDpi="300" copies="1"/>
  <headerFooter differentFirst="false" differentOddEven="false">
    <oddHeader>&amp;C&amp;"Garamond,Bold"&amp;12WESTGATE &amp;&amp; CAMERON LOOP
96 CONDOMINIUMS</oddHeader>
    <oddFooter>&amp;L&amp;"Garamond,Regular"&amp;8&amp;F&amp;C&amp;"Garamond,Regular"&amp;8&amp;P Of &amp;N&amp;R&amp;"Garamond,Regular"&amp;8&amp;D</oddFooter>
  </headerFooter>
  <colBreaks count="1" manualBreakCount="1">
    <brk id="8" man="true" max="65535" min="0"/>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47" activeCellId="1" sqref="B36 F47:F50"/>
    </sheetView>
  </sheetViews>
  <sheetFormatPr defaultColWidth="10.5625" defaultRowHeight="12.75" customHeight="true" zeroHeight="false" outlineLevelRow="0" outlineLevelCol="0"/>
  <cols>
    <col collapsed="false" customWidth="true" hidden="false" outlineLevel="0" max="1" min="1" style="14" width="16.56"/>
    <col collapsed="false" customWidth="true" hidden="false" outlineLevel="0" max="2" min="2" style="14" width="10.42"/>
    <col collapsed="false" customWidth="true" hidden="false" outlineLevel="0" max="3" min="3" style="14" width="5.85"/>
    <col collapsed="false" customWidth="true" hidden="false" outlineLevel="0" max="4" min="4" style="14" width="10.42"/>
    <col collapsed="false" customWidth="true" hidden="false" outlineLevel="0" max="6" min="5" style="14" width="8.99"/>
    <col collapsed="false" customWidth="true" hidden="false" outlineLevel="0" max="8" min="7" style="14" width="10.42"/>
    <col collapsed="false" customWidth="false" hidden="false" outlineLevel="0" max="257" min="9" style="14" width="10.56"/>
  </cols>
  <sheetData>
    <row r="1" customFormat="false" ht="13.5" hidden="false" customHeight="true" outlineLevel="0" collapsed="false">
      <c r="A1" s="275" t="s">
        <v>423</v>
      </c>
      <c r="B1" s="275"/>
      <c r="C1" s="275"/>
      <c r="D1" s="275"/>
      <c r="E1" s="275"/>
      <c r="F1" s="275"/>
      <c r="G1" s="275"/>
      <c r="H1" s="275"/>
    </row>
    <row r="2" customFormat="false" ht="12.75" hidden="false" customHeight="false" outlineLevel="0" collapsed="false">
      <c r="A2" s="293"/>
      <c r="B2" s="294"/>
      <c r="C2" s="294"/>
      <c r="D2" s="294"/>
      <c r="E2" s="294"/>
      <c r="F2" s="294"/>
      <c r="G2" s="276"/>
      <c r="H2" s="276"/>
    </row>
    <row r="3" customFormat="false" ht="25.5" hidden="false" customHeight="false" outlineLevel="0" collapsed="false">
      <c r="A3" s="278" t="s">
        <v>306</v>
      </c>
      <c r="B3" s="278" t="s">
        <v>148</v>
      </c>
      <c r="C3" s="278" t="s">
        <v>307</v>
      </c>
      <c r="D3" s="278" t="s">
        <v>146</v>
      </c>
      <c r="E3" s="278" t="s">
        <v>308</v>
      </c>
      <c r="F3" s="278" t="s">
        <v>42</v>
      </c>
      <c r="G3" s="278" t="s">
        <v>417</v>
      </c>
      <c r="H3" s="278" t="s">
        <v>42</v>
      </c>
      <c r="I3" s="278"/>
    </row>
    <row r="4" customFormat="false" ht="12.75" hidden="false" customHeight="false" outlineLevel="0" collapsed="false">
      <c r="E4" s="295"/>
      <c r="F4" s="295"/>
      <c r="H4" s="276"/>
    </row>
    <row r="5" customFormat="false" ht="12.75" hidden="false" customHeight="false" outlineLevel="0" collapsed="false">
      <c r="A5" s="279" t="s">
        <v>310</v>
      </c>
      <c r="B5" s="280"/>
      <c r="C5" s="280"/>
      <c r="E5" s="280" t="s">
        <v>311</v>
      </c>
      <c r="F5" s="280"/>
      <c r="G5" s="280" t="n">
        <f aca="false">35*9</f>
        <v>315</v>
      </c>
      <c r="H5" s="280" t="s">
        <v>258</v>
      </c>
    </row>
    <row r="6" customFormat="false" ht="12.75" hidden="false" customHeight="false" outlineLevel="0" collapsed="false">
      <c r="A6" s="279" t="s">
        <v>312</v>
      </c>
      <c r="B6" s="280"/>
      <c r="C6" s="280"/>
      <c r="E6" s="280" t="s">
        <v>313</v>
      </c>
      <c r="F6" s="280"/>
      <c r="G6" s="280" t="n">
        <f aca="false">B7+B14</f>
        <v>872.771666666667</v>
      </c>
      <c r="H6" s="280" t="s">
        <v>258</v>
      </c>
    </row>
    <row r="7" customFormat="false" ht="12.75" hidden="false" customHeight="false" outlineLevel="0" collapsed="false">
      <c r="A7" s="280" t="s">
        <v>314</v>
      </c>
      <c r="B7" s="297" t="n">
        <v>473</v>
      </c>
      <c r="C7" s="280" t="s">
        <v>258</v>
      </c>
      <c r="E7" s="279" t="s">
        <v>315</v>
      </c>
      <c r="F7" s="280"/>
      <c r="G7" s="280" t="n">
        <f aca="false">+G8+G9+G10</f>
        <v>178.5</v>
      </c>
      <c r="H7" s="280"/>
    </row>
    <row r="8" customFormat="false" ht="12.75" hidden="false" customHeight="false" outlineLevel="0" collapsed="false">
      <c r="A8" s="281" t="s">
        <v>316</v>
      </c>
      <c r="B8" s="298" t="n">
        <f aca="false">1240-B7</f>
        <v>767</v>
      </c>
      <c r="C8" s="281" t="s">
        <v>258</v>
      </c>
      <c r="E8" s="282" t="s">
        <v>317</v>
      </c>
      <c r="F8" s="280"/>
      <c r="G8" s="280" t="n">
        <f aca="false">8*7</f>
        <v>56</v>
      </c>
      <c r="H8" s="280" t="s">
        <v>258</v>
      </c>
    </row>
    <row r="9" customFormat="false" ht="12.75" hidden="false" customHeight="false" outlineLevel="0" collapsed="false">
      <c r="A9" s="280" t="s">
        <v>318</v>
      </c>
      <c r="B9" s="297" t="n">
        <f aca="false">+B8+B7</f>
        <v>1240</v>
      </c>
      <c r="C9" s="280" t="s">
        <v>258</v>
      </c>
      <c r="E9" s="282" t="s">
        <v>319</v>
      </c>
      <c r="F9" s="280"/>
      <c r="G9" s="280" t="n">
        <v>0</v>
      </c>
      <c r="H9" s="280"/>
    </row>
    <row r="10" customFormat="false" ht="12.75" hidden="false" customHeight="false" outlineLevel="0" collapsed="false">
      <c r="A10" s="280"/>
      <c r="B10" s="297"/>
      <c r="C10" s="280"/>
      <c r="E10" s="282" t="s">
        <v>320</v>
      </c>
      <c r="F10" s="280"/>
      <c r="G10" s="280" t="n">
        <f aca="false">3.5*(25+10)</f>
        <v>122.5</v>
      </c>
      <c r="H10" s="280"/>
    </row>
    <row r="11" customFormat="false" ht="12.75" hidden="false" customHeight="false" outlineLevel="0" collapsed="false">
      <c r="A11" s="279" t="s">
        <v>321</v>
      </c>
      <c r="B11" s="297"/>
      <c r="C11" s="280"/>
      <c r="E11" s="280" t="s">
        <v>322</v>
      </c>
      <c r="F11" s="280"/>
      <c r="G11" s="280" t="n">
        <f aca="false">25*18</f>
        <v>450</v>
      </c>
      <c r="H11" s="280"/>
    </row>
    <row r="12" customFormat="false" ht="12.75" hidden="false" customHeight="false" outlineLevel="0" collapsed="false">
      <c r="A12" s="280" t="s">
        <v>323</v>
      </c>
      <c r="B12" s="297" t="n">
        <f aca="false">18.5*20.33</f>
        <v>376.105</v>
      </c>
      <c r="C12" s="280" t="s">
        <v>258</v>
      </c>
      <c r="E12" s="280" t="s">
        <v>324</v>
      </c>
      <c r="F12" s="280"/>
      <c r="G12" s="280" t="n">
        <v>9</v>
      </c>
      <c r="H12" s="280"/>
    </row>
    <row r="13" customFormat="false" ht="12.75" hidden="false" customHeight="false" outlineLevel="0" collapsed="false">
      <c r="A13" s="280" t="s">
        <v>325</v>
      </c>
      <c r="B13" s="297" t="n">
        <f aca="false">4*(5+11/12)</f>
        <v>23.6666666666667</v>
      </c>
      <c r="C13" s="280" t="s">
        <v>258</v>
      </c>
      <c r="E13" s="280" t="s">
        <v>326</v>
      </c>
      <c r="F13" s="280"/>
      <c r="G13" s="280" t="n">
        <v>1</v>
      </c>
      <c r="H13" s="280"/>
    </row>
    <row r="14" customFormat="false" ht="12.75" hidden="false" customHeight="false" outlineLevel="0" collapsed="false">
      <c r="A14" s="283" t="s">
        <v>327</v>
      </c>
      <c r="B14" s="299" t="n">
        <f aca="false">+B13+B12</f>
        <v>399.771666666667</v>
      </c>
      <c r="C14" s="283" t="s">
        <v>258</v>
      </c>
      <c r="E14" s="280" t="s">
        <v>328</v>
      </c>
      <c r="F14" s="280"/>
      <c r="G14" s="280" t="n">
        <v>9</v>
      </c>
      <c r="H14" s="280"/>
    </row>
    <row r="15" customFormat="false" ht="12.75" hidden="false" customHeight="false" outlineLevel="0" collapsed="false">
      <c r="A15" s="284" t="s">
        <v>329</v>
      </c>
      <c r="B15" s="300" t="n">
        <f aca="false">+B14+B9</f>
        <v>1639.77166666667</v>
      </c>
      <c r="C15" s="284" t="s">
        <v>258</v>
      </c>
      <c r="E15" s="280" t="s">
        <v>330</v>
      </c>
      <c r="F15" s="280"/>
      <c r="G15" s="280" t="n">
        <f aca="false">ConstTime</f>
        <v>6</v>
      </c>
      <c r="H15" s="280" t="s">
        <v>4</v>
      </c>
    </row>
    <row r="16" customFormat="false" ht="12.75" hidden="false" customHeight="false" outlineLevel="0" collapsed="false">
      <c r="A16" s="280"/>
      <c r="B16" s="280"/>
      <c r="C16" s="280"/>
      <c r="D16" s="280"/>
      <c r="E16" s="280"/>
      <c r="F16" s="280"/>
      <c r="G16" s="280"/>
      <c r="H16" s="280"/>
    </row>
    <row r="17" customFormat="false" ht="12.75" hidden="false" customHeight="false" outlineLevel="0" collapsed="false">
      <c r="A17" s="279" t="s">
        <v>184</v>
      </c>
      <c r="B17" s="280"/>
      <c r="C17" s="280"/>
      <c r="D17" s="280"/>
      <c r="E17" s="280"/>
      <c r="F17" s="280"/>
      <c r="G17" s="280"/>
      <c r="H17" s="280"/>
    </row>
    <row r="18" customFormat="false" ht="12.75" hidden="false" customHeight="false" outlineLevel="0" collapsed="false">
      <c r="A18" s="280" t="s">
        <v>331</v>
      </c>
      <c r="B18" s="297" t="n">
        <v>0</v>
      </c>
      <c r="C18" s="280" t="s">
        <v>179</v>
      </c>
      <c r="D18" s="285" t="n">
        <f aca="false">1000/4</f>
        <v>250</v>
      </c>
      <c r="E18" s="286" t="n">
        <f aca="false">D18*B18</f>
        <v>0</v>
      </c>
      <c r="F18" s="287" t="n">
        <f aca="false">+E18/$B$9</f>
        <v>0</v>
      </c>
      <c r="G18" s="286" t="n">
        <f aca="false">+E18*AdjRate</f>
        <v>0</v>
      </c>
      <c r="H18" s="287" t="n">
        <f aca="false">+G18/B$9</f>
        <v>0</v>
      </c>
    </row>
    <row r="19" customFormat="false" ht="12.75" hidden="false" customHeight="false" outlineLevel="0" collapsed="false">
      <c r="A19" s="280" t="s">
        <v>332</v>
      </c>
      <c r="B19" s="297" t="n">
        <f aca="false">+$G$6</f>
        <v>872.771666666667</v>
      </c>
      <c r="C19" s="280" t="s">
        <v>258</v>
      </c>
      <c r="D19" s="285" t="n">
        <v>0.15</v>
      </c>
      <c r="E19" s="286" t="n">
        <f aca="false">D19*B19</f>
        <v>130.91575</v>
      </c>
      <c r="F19" s="287" t="n">
        <f aca="false">+E19/$B$9</f>
        <v>0.105577217741935</v>
      </c>
      <c r="G19" s="286" t="n">
        <f aca="false">+E19*AdjRate</f>
        <v>157.0989</v>
      </c>
      <c r="H19" s="287" t="n">
        <f aca="false">+G19/B$9</f>
        <v>0.126692661290323</v>
      </c>
    </row>
    <row r="20" customFormat="false" ht="12.75" hidden="false" customHeight="false" outlineLevel="0" collapsed="false">
      <c r="A20" s="280" t="s">
        <v>333</v>
      </c>
      <c r="B20" s="297" t="n">
        <v>0</v>
      </c>
      <c r="C20" s="280" t="s">
        <v>179</v>
      </c>
      <c r="D20" s="285" t="n">
        <v>315</v>
      </c>
      <c r="E20" s="286" t="n">
        <f aca="false">D20*B20</f>
        <v>0</v>
      </c>
      <c r="F20" s="287" t="n">
        <f aca="false">+E20/$B$9</f>
        <v>0</v>
      </c>
      <c r="G20" s="286" t="n">
        <f aca="false">+E20*AdjRate</f>
        <v>0</v>
      </c>
      <c r="H20" s="287" t="n">
        <f aca="false">+G20/B$9</f>
        <v>0</v>
      </c>
    </row>
    <row r="21" customFormat="false" ht="12.75" hidden="false" customHeight="false" outlineLevel="0" collapsed="false">
      <c r="A21" s="280" t="s">
        <v>334</v>
      </c>
      <c r="B21" s="297" t="n">
        <v>1</v>
      </c>
      <c r="C21" s="280" t="s">
        <v>179</v>
      </c>
      <c r="D21" s="285" t="n">
        <v>0</v>
      </c>
      <c r="E21" s="286" t="n">
        <f aca="false">D21*B21</f>
        <v>0</v>
      </c>
      <c r="F21" s="287" t="n">
        <f aca="false">+E21/$B$9</f>
        <v>0</v>
      </c>
      <c r="G21" s="286" t="n">
        <f aca="false">+E21*AdjRate</f>
        <v>0</v>
      </c>
      <c r="H21" s="287" t="n">
        <f aca="false">+G21/B$9</f>
        <v>0</v>
      </c>
    </row>
    <row r="22" customFormat="false" ht="12.75" hidden="false" customHeight="false" outlineLevel="0" collapsed="false">
      <c r="A22" s="280"/>
      <c r="B22" s="297"/>
      <c r="C22" s="280"/>
      <c r="D22" s="285"/>
      <c r="E22" s="286"/>
      <c r="F22" s="287"/>
      <c r="G22" s="286"/>
      <c r="H22" s="287"/>
    </row>
    <row r="23" customFormat="false" ht="12.75" hidden="false" customHeight="false" outlineLevel="0" collapsed="false">
      <c r="A23" s="279" t="s">
        <v>335</v>
      </c>
      <c r="B23" s="297"/>
      <c r="C23" s="280"/>
      <c r="D23" s="285"/>
      <c r="E23" s="286"/>
      <c r="F23" s="287"/>
      <c r="G23" s="286"/>
      <c r="H23" s="287"/>
    </row>
    <row r="24" customFormat="false" ht="12.75" hidden="false" customHeight="false" outlineLevel="0" collapsed="false">
      <c r="A24" s="280" t="s">
        <v>336</v>
      </c>
      <c r="B24" s="297" t="n">
        <v>1</v>
      </c>
      <c r="C24" s="280" t="s">
        <v>179</v>
      </c>
      <c r="D24" s="285" t="n">
        <v>150</v>
      </c>
      <c r="E24" s="286" t="n">
        <f aca="false">D24*B24</f>
        <v>150</v>
      </c>
      <c r="F24" s="287" t="n">
        <f aca="false">+E24/$B$9</f>
        <v>0.120967741935484</v>
      </c>
      <c r="G24" s="286" t="n">
        <f aca="false">+D24*B24*AdjRate</f>
        <v>180</v>
      </c>
      <c r="H24" s="287" t="n">
        <f aca="false">+G24/B$9</f>
        <v>0.145161290322581</v>
      </c>
    </row>
    <row r="25" customFormat="false" ht="12.75" hidden="false" customHeight="false" outlineLevel="0" collapsed="false">
      <c r="A25" s="280" t="s">
        <v>337</v>
      </c>
      <c r="B25" s="297" t="n">
        <v>1</v>
      </c>
      <c r="C25" s="280" t="s">
        <v>179</v>
      </c>
      <c r="D25" s="285" t="n">
        <v>100</v>
      </c>
      <c r="E25" s="286" t="n">
        <f aca="false">D25*B25</f>
        <v>100</v>
      </c>
      <c r="F25" s="287" t="n">
        <f aca="false">+E25/$B$9</f>
        <v>0.0806451612903226</v>
      </c>
      <c r="G25" s="286" t="n">
        <f aca="false">+D25*B25*AdjRate</f>
        <v>120</v>
      </c>
      <c r="H25" s="287" t="n">
        <f aca="false">+G25/B$9</f>
        <v>0.0967741935483871</v>
      </c>
    </row>
    <row r="26" customFormat="false" ht="12.75" hidden="false" customHeight="false" outlineLevel="0" collapsed="false">
      <c r="A26" s="280" t="s">
        <v>338</v>
      </c>
      <c r="B26" s="297" t="n">
        <v>1</v>
      </c>
      <c r="C26" s="280" t="s">
        <v>179</v>
      </c>
      <c r="D26" s="285" t="n">
        <v>0</v>
      </c>
      <c r="E26" s="286" t="n">
        <f aca="false">D26*B26</f>
        <v>0</v>
      </c>
      <c r="F26" s="287" t="n">
        <f aca="false">+E26/$B$9</f>
        <v>0</v>
      </c>
      <c r="G26" s="286" t="n">
        <f aca="false">+E26*AdjRate</f>
        <v>0</v>
      </c>
      <c r="H26" s="287" t="n">
        <f aca="false">+G26/B$9</f>
        <v>0</v>
      </c>
    </row>
    <row r="27" customFormat="false" ht="12.75" hidden="false" customHeight="false" outlineLevel="0" collapsed="false">
      <c r="A27" s="280"/>
      <c r="B27" s="297"/>
      <c r="C27" s="280"/>
      <c r="D27" s="285"/>
      <c r="E27" s="286"/>
      <c r="F27" s="287"/>
      <c r="G27" s="286"/>
      <c r="H27" s="287"/>
    </row>
    <row r="28" customFormat="false" ht="12.75" hidden="false" customHeight="false" outlineLevel="0" collapsed="false">
      <c r="A28" s="279" t="s">
        <v>339</v>
      </c>
      <c r="B28" s="297"/>
      <c r="C28" s="280"/>
      <c r="D28" s="285"/>
      <c r="E28" s="286"/>
      <c r="F28" s="287"/>
      <c r="G28" s="286"/>
      <c r="H28" s="287"/>
    </row>
    <row r="29" customFormat="false" ht="12.75" hidden="false" customHeight="false" outlineLevel="0" collapsed="false">
      <c r="A29" s="280" t="s">
        <v>340</v>
      </c>
      <c r="B29" s="297" t="n">
        <f aca="false">ConstTime</f>
        <v>6</v>
      </c>
      <c r="C29" s="280" t="s">
        <v>274</v>
      </c>
      <c r="D29" s="285" t="n">
        <f aca="false">56</f>
        <v>56</v>
      </c>
      <c r="E29" s="286" t="n">
        <f aca="false">D29*B29</f>
        <v>336</v>
      </c>
      <c r="F29" s="287" t="n">
        <f aca="false">+E29/$B$9</f>
        <v>0.270967741935484</v>
      </c>
      <c r="G29" s="286" t="n">
        <f aca="false">+D29*B29*AdjRate</f>
        <v>403.2</v>
      </c>
      <c r="H29" s="287" t="n">
        <f aca="false">+G29/B$9</f>
        <v>0.325161290322581</v>
      </c>
    </row>
    <row r="30" customFormat="false" ht="12.75" hidden="false" customHeight="false" outlineLevel="0" collapsed="false">
      <c r="A30" s="280" t="s">
        <v>341</v>
      </c>
      <c r="B30" s="297" t="n">
        <v>1</v>
      </c>
      <c r="C30" s="280" t="s">
        <v>179</v>
      </c>
      <c r="D30" s="285" t="n">
        <v>500</v>
      </c>
      <c r="E30" s="286" t="n">
        <f aca="false">D30*B30</f>
        <v>500</v>
      </c>
      <c r="F30" s="287" t="n">
        <f aca="false">+E30/$B$9</f>
        <v>0.403225806451613</v>
      </c>
      <c r="G30" s="286" t="n">
        <f aca="false">+E30*AdjRate</f>
        <v>600</v>
      </c>
      <c r="H30" s="287" t="n">
        <f aca="false">+G30/B$9</f>
        <v>0.483870967741936</v>
      </c>
    </row>
    <row r="31" customFormat="false" ht="12.75" hidden="false" customHeight="false" outlineLevel="0" collapsed="false">
      <c r="A31" s="280"/>
      <c r="B31" s="297"/>
      <c r="C31" s="280"/>
      <c r="D31" s="285"/>
      <c r="E31" s="286"/>
      <c r="F31" s="287"/>
      <c r="G31" s="286"/>
      <c r="H31" s="287"/>
    </row>
    <row r="32" customFormat="false" ht="12.75" hidden="false" customHeight="false" outlineLevel="0" collapsed="false">
      <c r="A32" s="279" t="s">
        <v>342</v>
      </c>
      <c r="B32" s="297"/>
      <c r="C32" s="280"/>
      <c r="D32" s="285"/>
      <c r="E32" s="286"/>
      <c r="F32" s="287"/>
      <c r="G32" s="286"/>
      <c r="H32" s="287"/>
    </row>
    <row r="33" customFormat="false" ht="12.75" hidden="false" customHeight="false" outlineLevel="0" collapsed="false">
      <c r="A33" s="280" t="s">
        <v>343</v>
      </c>
      <c r="B33" s="297" t="n">
        <f aca="false">ConstTime</f>
        <v>6</v>
      </c>
      <c r="C33" s="280" t="s">
        <v>274</v>
      </c>
      <c r="D33" s="285" t="n">
        <v>30</v>
      </c>
      <c r="E33" s="286" t="n">
        <f aca="false">D33*B33</f>
        <v>180</v>
      </c>
      <c r="F33" s="287" t="n">
        <f aca="false">+E33/$B$9</f>
        <v>0.145161290322581</v>
      </c>
      <c r="G33" s="286" t="n">
        <f aca="false">+D33*B33*AdjRate</f>
        <v>216</v>
      </c>
      <c r="H33" s="287" t="n">
        <f aca="false">+G33/B$9</f>
        <v>0.174193548387097</v>
      </c>
    </row>
    <row r="34" customFormat="false" ht="12.75" hidden="false" customHeight="false" outlineLevel="0" collapsed="false">
      <c r="A34" s="280" t="s">
        <v>344</v>
      </c>
      <c r="B34" s="297" t="n">
        <f aca="false">ConstTime</f>
        <v>6</v>
      </c>
      <c r="C34" s="280" t="s">
        <v>274</v>
      </c>
      <c r="D34" s="285" t="n">
        <v>30</v>
      </c>
      <c r="E34" s="286" t="n">
        <f aca="false">D34*B34</f>
        <v>180</v>
      </c>
      <c r="F34" s="287" t="n">
        <f aca="false">+E34/$B$9</f>
        <v>0.145161290322581</v>
      </c>
      <c r="G34" s="286" t="n">
        <f aca="false">+D34*B34*AdjRate</f>
        <v>216</v>
      </c>
      <c r="H34" s="287" t="n">
        <f aca="false">+G34/B$9</f>
        <v>0.174193548387097</v>
      </c>
    </row>
    <row r="35" customFormat="false" ht="12.75" hidden="false" customHeight="false" outlineLevel="0" collapsed="false">
      <c r="A35" s="280" t="s">
        <v>345</v>
      </c>
      <c r="B35" s="297" t="n">
        <f aca="false">ConstTime</f>
        <v>6</v>
      </c>
      <c r="C35" s="280" t="s">
        <v>274</v>
      </c>
      <c r="D35" s="285" t="n">
        <v>10</v>
      </c>
      <c r="E35" s="286" t="n">
        <f aca="false">D35*B35</f>
        <v>60</v>
      </c>
      <c r="F35" s="287" t="n">
        <f aca="false">+E35/$B$9</f>
        <v>0.0483870967741936</v>
      </c>
      <c r="G35" s="286" t="n">
        <f aca="false">+E35*AdjRate</f>
        <v>72</v>
      </c>
      <c r="H35" s="287" t="n">
        <f aca="false">+G35/B$9</f>
        <v>0.0580645161290323</v>
      </c>
    </row>
    <row r="36" customFormat="false" ht="12.75" hidden="false" customHeight="false" outlineLevel="0" collapsed="false">
      <c r="A36" s="280"/>
      <c r="B36" s="297"/>
      <c r="C36" s="280"/>
      <c r="D36" s="285"/>
      <c r="E36" s="286"/>
      <c r="F36" s="287"/>
      <c r="G36" s="286"/>
      <c r="H36" s="287"/>
    </row>
    <row r="37" customFormat="false" ht="12.75" hidden="false" customHeight="false" outlineLevel="0" collapsed="false">
      <c r="A37" s="279" t="s">
        <v>346</v>
      </c>
      <c r="B37" s="297"/>
      <c r="C37" s="280"/>
      <c r="D37" s="285"/>
      <c r="E37" s="286"/>
      <c r="F37" s="287"/>
      <c r="G37" s="286"/>
      <c r="H37" s="287"/>
    </row>
    <row r="38" customFormat="false" ht="12.75" hidden="false" customHeight="false" outlineLevel="0" collapsed="false">
      <c r="A38" s="280" t="s">
        <v>347</v>
      </c>
      <c r="B38" s="297" t="n">
        <v>1</v>
      </c>
      <c r="C38" s="280" t="s">
        <v>179</v>
      </c>
      <c r="D38" s="285" t="n">
        <v>750</v>
      </c>
      <c r="E38" s="286" t="n">
        <f aca="false">D38*B38</f>
        <v>750</v>
      </c>
      <c r="F38" s="287" t="n">
        <f aca="false">+E38/$B$9</f>
        <v>0.604838709677419</v>
      </c>
      <c r="G38" s="286" t="n">
        <f aca="false">+D38*B38*AdjRate</f>
        <v>900</v>
      </c>
      <c r="H38" s="287" t="n">
        <f aca="false">+G38/B$9</f>
        <v>0.725806451612903</v>
      </c>
    </row>
    <row r="39" customFormat="false" ht="12.75" hidden="false" customHeight="false" outlineLevel="0" collapsed="false">
      <c r="A39" s="280" t="s">
        <v>348</v>
      </c>
      <c r="B39" s="297" t="n">
        <f aca="false">+B$9</f>
        <v>1240</v>
      </c>
      <c r="C39" s="280" t="s">
        <v>258</v>
      </c>
      <c r="D39" s="285" t="n">
        <v>0.1</v>
      </c>
      <c r="E39" s="286" t="n">
        <f aca="false">D39*B39</f>
        <v>124</v>
      </c>
      <c r="F39" s="287" t="n">
        <f aca="false">+E39/$B$9</f>
        <v>0.1</v>
      </c>
      <c r="G39" s="286" t="n">
        <f aca="false">+E39*AdjRate</f>
        <v>148.8</v>
      </c>
      <c r="H39" s="287" t="n">
        <f aca="false">+G39/B$9</f>
        <v>0.12</v>
      </c>
    </row>
    <row r="40" customFormat="false" ht="12.75" hidden="false" customHeight="false" outlineLevel="0" collapsed="false">
      <c r="A40" s="280"/>
      <c r="B40" s="297"/>
      <c r="C40" s="280"/>
      <c r="D40" s="285"/>
      <c r="E40" s="286"/>
      <c r="F40" s="287"/>
      <c r="G40" s="286"/>
      <c r="H40" s="287"/>
    </row>
    <row r="41" customFormat="false" ht="12.75" hidden="false" customHeight="false" outlineLevel="0" collapsed="false">
      <c r="A41" s="279" t="s">
        <v>349</v>
      </c>
      <c r="B41" s="297"/>
      <c r="C41" s="280"/>
      <c r="D41" s="285"/>
      <c r="E41" s="286"/>
      <c r="F41" s="287"/>
      <c r="G41" s="286"/>
      <c r="H41" s="287"/>
    </row>
    <row r="42" customFormat="false" ht="12.75" hidden="false" customHeight="false" outlineLevel="0" collapsed="false">
      <c r="A42" s="280" t="s">
        <v>350</v>
      </c>
      <c r="B42" s="297" t="n">
        <v>0</v>
      </c>
      <c r="C42" s="280" t="s">
        <v>179</v>
      </c>
      <c r="D42" s="285" t="n">
        <v>0</v>
      </c>
      <c r="E42" s="286" t="n">
        <f aca="false">D42*B42</f>
        <v>0</v>
      </c>
      <c r="F42" s="287" t="n">
        <f aca="false">+E42/$B$9</f>
        <v>0</v>
      </c>
      <c r="G42" s="286" t="n">
        <f aca="false">+E42*AdjRate</f>
        <v>0</v>
      </c>
      <c r="H42" s="287" t="n">
        <f aca="false">+G42/B$9</f>
        <v>0</v>
      </c>
    </row>
    <row r="43" customFormat="false" ht="12.75" hidden="false" customHeight="false" outlineLevel="0" collapsed="false">
      <c r="A43" s="280" t="s">
        <v>351</v>
      </c>
      <c r="B43" s="297" t="n">
        <v>1</v>
      </c>
      <c r="C43" s="280" t="s">
        <v>195</v>
      </c>
      <c r="D43" s="285" t="n">
        <v>150</v>
      </c>
      <c r="E43" s="286" t="n">
        <f aca="false">D43*B43</f>
        <v>150</v>
      </c>
      <c r="F43" s="287" t="n">
        <f aca="false">+E43/$B$9</f>
        <v>0.120967741935484</v>
      </c>
      <c r="G43" s="286" t="n">
        <f aca="false">+E43*AdjRate</f>
        <v>180</v>
      </c>
      <c r="H43" s="287" t="n">
        <f aca="false">+G43/B$9</f>
        <v>0.145161290322581</v>
      </c>
    </row>
    <row r="44" customFormat="false" ht="12.75" hidden="false" customHeight="false" outlineLevel="0" collapsed="false">
      <c r="A44" s="280" t="s">
        <v>352</v>
      </c>
      <c r="B44" s="297" t="n">
        <v>1</v>
      </c>
      <c r="C44" s="280" t="s">
        <v>179</v>
      </c>
      <c r="D44" s="285" t="n">
        <v>150</v>
      </c>
      <c r="E44" s="286" t="n">
        <f aca="false">D44*B44</f>
        <v>150</v>
      </c>
      <c r="F44" s="287" t="n">
        <f aca="false">+E44/$B$9</f>
        <v>0.120967741935484</v>
      </c>
      <c r="G44" s="286" t="n">
        <f aca="false">+E44*AdjRate</f>
        <v>180</v>
      </c>
      <c r="H44" s="287" t="n">
        <f aca="false">+G44/B$9</f>
        <v>0.145161290322581</v>
      </c>
    </row>
    <row r="45" customFormat="false" ht="12.75" hidden="false" customHeight="false" outlineLevel="0" collapsed="false">
      <c r="A45" s="280" t="s">
        <v>353</v>
      </c>
      <c r="B45" s="297" t="n">
        <v>1</v>
      </c>
      <c r="C45" s="280" t="s">
        <v>179</v>
      </c>
      <c r="D45" s="285" t="n">
        <v>0</v>
      </c>
      <c r="E45" s="286" t="n">
        <f aca="false">D45*B45</f>
        <v>0</v>
      </c>
      <c r="F45" s="287" t="n">
        <f aca="false">+E45/$B$9</f>
        <v>0</v>
      </c>
      <c r="G45" s="286" t="n">
        <f aca="false">+E45*AdjRate</f>
        <v>0</v>
      </c>
      <c r="H45" s="287" t="n">
        <f aca="false">+G45/B$9</f>
        <v>0</v>
      </c>
    </row>
    <row r="46" customFormat="false" ht="12.75" hidden="false" customHeight="false" outlineLevel="0" collapsed="false">
      <c r="A46" s="280" t="s">
        <v>267</v>
      </c>
      <c r="B46" s="297" t="n">
        <v>1</v>
      </c>
      <c r="C46" s="280" t="s">
        <v>179</v>
      </c>
      <c r="D46" s="285" t="n">
        <v>0</v>
      </c>
      <c r="E46" s="286" t="n">
        <f aca="false">D46*B46</f>
        <v>0</v>
      </c>
      <c r="F46" s="287" t="n">
        <f aca="false">+E46/$B$9</f>
        <v>0</v>
      </c>
      <c r="G46" s="286" t="n">
        <f aca="false">+D46*B46*AdjRate</f>
        <v>0</v>
      </c>
      <c r="H46" s="287" t="n">
        <f aca="false">+G46/B$9</f>
        <v>0</v>
      </c>
    </row>
    <row r="47" customFormat="false" ht="12.75" hidden="false" customHeight="false" outlineLevel="0" collapsed="false">
      <c r="A47" s="280" t="s">
        <v>355</v>
      </c>
      <c r="B47" s="297" t="n">
        <v>0</v>
      </c>
      <c r="C47" s="280" t="s">
        <v>200</v>
      </c>
      <c r="D47" s="285" t="n">
        <v>15</v>
      </c>
      <c r="E47" s="286" t="n">
        <f aca="false">D47*B47</f>
        <v>0</v>
      </c>
      <c r="F47" s="287" t="n">
        <f aca="false">+E47/$B$9</f>
        <v>0</v>
      </c>
      <c r="G47" s="286" t="n">
        <f aca="false">+D47*B47*AdjRate</f>
        <v>0</v>
      </c>
      <c r="H47" s="287" t="n">
        <f aca="false">+G47/B$9</f>
        <v>0</v>
      </c>
    </row>
    <row r="48" customFormat="false" ht="12.75" hidden="false" customHeight="false" outlineLevel="0" collapsed="false">
      <c r="A48" s="280" t="s">
        <v>356</v>
      </c>
      <c r="B48" s="297" t="n">
        <v>0</v>
      </c>
      <c r="C48" s="280" t="s">
        <v>179</v>
      </c>
      <c r="D48" s="285" t="n">
        <v>100</v>
      </c>
      <c r="E48" s="286" t="n">
        <f aca="false">D48*B48</f>
        <v>0</v>
      </c>
      <c r="F48" s="287" t="n">
        <f aca="false">+E48/$B$9</f>
        <v>0</v>
      </c>
      <c r="G48" s="286" t="n">
        <f aca="false">+E48*AdjRate</f>
        <v>0</v>
      </c>
      <c r="H48" s="287" t="n">
        <f aca="false">+G48/B$9</f>
        <v>0</v>
      </c>
    </row>
    <row r="49" customFormat="false" ht="12.75" hidden="false" customHeight="false" outlineLevel="0" collapsed="false">
      <c r="A49" s="280"/>
      <c r="B49" s="297"/>
      <c r="C49" s="280"/>
      <c r="D49" s="285"/>
      <c r="E49" s="286"/>
      <c r="F49" s="287"/>
      <c r="G49" s="286"/>
      <c r="H49" s="287"/>
    </row>
    <row r="50" customFormat="false" ht="12.75" hidden="false" customHeight="false" outlineLevel="0" collapsed="false">
      <c r="A50" s="279" t="s">
        <v>357</v>
      </c>
      <c r="B50" s="297"/>
      <c r="C50" s="280"/>
      <c r="D50" s="285"/>
      <c r="E50" s="286"/>
      <c r="F50" s="287"/>
      <c r="G50" s="286"/>
      <c r="H50" s="287"/>
    </row>
    <row r="51" customFormat="false" ht="12.75" hidden="false" customHeight="false" outlineLevel="0" collapsed="false">
      <c r="A51" s="280" t="s">
        <v>313</v>
      </c>
      <c r="B51" s="297" t="n">
        <f aca="false">G$6</f>
        <v>872.771666666667</v>
      </c>
      <c r="C51" s="280" t="s">
        <v>258</v>
      </c>
      <c r="D51" s="285" t="n">
        <v>5.75</v>
      </c>
      <c r="E51" s="286" t="n">
        <f aca="false">D51*B51</f>
        <v>5018.43708333333</v>
      </c>
      <c r="F51" s="287" t="n">
        <f aca="false">+E51/$B$9</f>
        <v>4.04712668010753</v>
      </c>
      <c r="G51" s="286" t="n">
        <f aca="false">+E51*AdjRate</f>
        <v>6022.1245</v>
      </c>
      <c r="H51" s="287" t="n">
        <f aca="false">+G51/B$9</f>
        <v>4.85655201612903</v>
      </c>
    </row>
    <row r="52" customFormat="false" ht="12.75" hidden="false" customHeight="false" outlineLevel="0" collapsed="false">
      <c r="A52" s="280" t="s">
        <v>358</v>
      </c>
      <c r="B52" s="297" t="n">
        <v>1</v>
      </c>
      <c r="C52" s="280" t="s">
        <v>179</v>
      </c>
      <c r="D52" s="285" t="n">
        <v>100</v>
      </c>
      <c r="E52" s="286" t="n">
        <f aca="false">D52*B52</f>
        <v>100</v>
      </c>
      <c r="F52" s="287" t="n">
        <f aca="false">+E52/$B$9</f>
        <v>0.0806451612903226</v>
      </c>
      <c r="G52" s="286" t="n">
        <f aca="false">+D52*B52*AdjRate</f>
        <v>120</v>
      </c>
      <c r="H52" s="287" t="n">
        <f aca="false">+G52/B$9</f>
        <v>0.0967741935483871</v>
      </c>
    </row>
    <row r="53" customFormat="false" ht="12.75" hidden="false" customHeight="false" outlineLevel="0" collapsed="false">
      <c r="A53" s="280" t="s">
        <v>315</v>
      </c>
      <c r="B53" s="297" t="n">
        <f aca="false">G$7</f>
        <v>178.5</v>
      </c>
      <c r="C53" s="280" t="s">
        <v>258</v>
      </c>
      <c r="D53" s="285" t="n">
        <v>2</v>
      </c>
      <c r="E53" s="286" t="n">
        <f aca="false">D53*B53</f>
        <v>357</v>
      </c>
      <c r="F53" s="287" t="n">
        <f aca="false">+E53/$B$9</f>
        <v>0.287903225806452</v>
      </c>
      <c r="G53" s="286" t="n">
        <f aca="false">+D53*B53*AdjRate</f>
        <v>428.4</v>
      </c>
      <c r="H53" s="287" t="n">
        <f aca="false">+G53/B$9</f>
        <v>0.345483870967742</v>
      </c>
    </row>
    <row r="54" customFormat="false" ht="12.75" hidden="false" customHeight="false" outlineLevel="0" collapsed="false">
      <c r="A54" s="280" t="s">
        <v>322</v>
      </c>
      <c r="B54" s="297" t="n">
        <f aca="false">G$11</f>
        <v>450</v>
      </c>
      <c r="C54" s="280" t="s">
        <v>258</v>
      </c>
      <c r="D54" s="285" t="n">
        <v>2.25</v>
      </c>
      <c r="E54" s="286" t="n">
        <f aca="false">D54*B54</f>
        <v>1012.5</v>
      </c>
      <c r="F54" s="287" t="n">
        <f aca="false">+E54/$B$9</f>
        <v>0.816532258064516</v>
      </c>
      <c r="G54" s="286" t="n">
        <f aca="false">+E54*AdjRate</f>
        <v>1215</v>
      </c>
      <c r="H54" s="287" t="n">
        <f aca="false">+G54/B$9</f>
        <v>0.979838709677419</v>
      </c>
    </row>
    <row r="55" customFormat="false" ht="12.75" hidden="false" customHeight="false" outlineLevel="0" collapsed="false">
      <c r="A55" s="280"/>
      <c r="B55" s="297"/>
      <c r="C55" s="280"/>
      <c r="D55" s="285"/>
      <c r="E55" s="286"/>
      <c r="F55" s="287"/>
      <c r="G55" s="286"/>
      <c r="H55" s="287"/>
    </row>
    <row r="56" customFormat="false" ht="12.75" hidden="false" customHeight="false" outlineLevel="0" collapsed="false">
      <c r="A56" s="279" t="s">
        <v>360</v>
      </c>
      <c r="B56" s="297"/>
      <c r="C56" s="280"/>
      <c r="D56" s="285"/>
      <c r="E56" s="286"/>
      <c r="F56" s="287"/>
      <c r="G56" s="286"/>
      <c r="H56" s="287"/>
    </row>
    <row r="57" customFormat="false" ht="12.75" hidden="false" customHeight="false" outlineLevel="0" collapsed="false">
      <c r="A57" s="280" t="s">
        <v>361</v>
      </c>
      <c r="B57" s="297" t="n">
        <f aca="false">B$15</f>
        <v>1639.77166666667</v>
      </c>
      <c r="C57" s="280" t="s">
        <v>258</v>
      </c>
      <c r="D57" s="285" t="n">
        <v>2.5</v>
      </c>
      <c r="E57" s="286" t="n">
        <f aca="false">D57*B57</f>
        <v>4099.42916666667</v>
      </c>
      <c r="F57" s="287" t="n">
        <f aca="false">+E57/$B$9</f>
        <v>3.30599126344086</v>
      </c>
      <c r="G57" s="286" t="n">
        <f aca="false">+E57*AdjRate</f>
        <v>4919.315</v>
      </c>
      <c r="H57" s="287" t="n">
        <f aca="false">+G57/B$9</f>
        <v>3.96718951612903</v>
      </c>
    </row>
    <row r="58" customFormat="false" ht="12.75" hidden="false" customHeight="false" outlineLevel="0" collapsed="false">
      <c r="A58" s="280" t="s">
        <v>362</v>
      </c>
      <c r="B58" s="297" t="n">
        <f aca="false">+B8</f>
        <v>767</v>
      </c>
      <c r="C58" s="280" t="s">
        <v>258</v>
      </c>
      <c r="D58" s="285" t="n">
        <v>1.9</v>
      </c>
      <c r="E58" s="286" t="n">
        <f aca="false">D58*B58</f>
        <v>1457.3</v>
      </c>
      <c r="F58" s="287" t="n">
        <f aca="false">+E58/$B$9</f>
        <v>1.17524193548387</v>
      </c>
      <c r="G58" s="286" t="n">
        <f aca="false">+E58*AdjRate</f>
        <v>1748.76</v>
      </c>
      <c r="H58" s="287" t="n">
        <f aca="false">+G58/B$9</f>
        <v>1.41029032258065</v>
      </c>
    </row>
    <row r="59" customFormat="false" ht="12.75" hidden="false" customHeight="false" outlineLevel="0" collapsed="false">
      <c r="A59" s="280" t="s">
        <v>363</v>
      </c>
      <c r="B59" s="297" t="n">
        <f aca="false">G$6</f>
        <v>872.771666666667</v>
      </c>
      <c r="C59" s="280" t="s">
        <v>258</v>
      </c>
      <c r="D59" s="285" t="n">
        <v>1.2</v>
      </c>
      <c r="E59" s="286" t="n">
        <f aca="false">D59*B59</f>
        <v>1047.326</v>
      </c>
      <c r="F59" s="287" t="n">
        <f aca="false">+E59/$B$9</f>
        <v>0.844617741935484</v>
      </c>
      <c r="G59" s="286" t="n">
        <f aca="false">+E59*AdjRate</f>
        <v>1256.7912</v>
      </c>
      <c r="H59" s="287" t="n">
        <f aca="false">+G59/B$9</f>
        <v>1.01354129032258</v>
      </c>
    </row>
    <row r="60" customFormat="false" ht="12.75" hidden="false" customHeight="false" outlineLevel="0" collapsed="false">
      <c r="A60" s="280" t="s">
        <v>364</v>
      </c>
      <c r="B60" s="297" t="n">
        <f aca="false">B$15</f>
        <v>1639.77166666667</v>
      </c>
      <c r="C60" s="280" t="s">
        <v>258</v>
      </c>
      <c r="D60" s="285" t="n">
        <v>3.5</v>
      </c>
      <c r="E60" s="286" t="n">
        <f aca="false">D60*B60</f>
        <v>5739.20083333333</v>
      </c>
      <c r="F60" s="287" t="n">
        <f aca="false">+E60/$B$9</f>
        <v>4.6283877688172</v>
      </c>
      <c r="G60" s="286" t="n">
        <f aca="false">+E60*AdjRate</f>
        <v>6887.041</v>
      </c>
      <c r="H60" s="287" t="n">
        <f aca="false">+G60/B$9</f>
        <v>5.55406532258064</v>
      </c>
    </row>
    <row r="61" customFormat="false" ht="12.75" hidden="false" customHeight="false" outlineLevel="0" collapsed="false">
      <c r="A61" s="280" t="s">
        <v>365</v>
      </c>
      <c r="B61" s="297" t="n">
        <v>1</v>
      </c>
      <c r="C61" s="280" t="s">
        <v>179</v>
      </c>
      <c r="D61" s="285" t="n">
        <v>285</v>
      </c>
      <c r="E61" s="286" t="n">
        <f aca="false">D61*B61</f>
        <v>285</v>
      </c>
      <c r="F61" s="287" t="n">
        <f aca="false">+E61/$B$9</f>
        <v>0.229838709677419</v>
      </c>
      <c r="G61" s="286" t="n">
        <f aca="false">+E61*AdjRate</f>
        <v>342</v>
      </c>
      <c r="H61" s="287" t="n">
        <f aca="false">+G61/B$9</f>
        <v>0.275806451612903</v>
      </c>
    </row>
    <row r="62" customFormat="false" ht="12.75" hidden="false" customHeight="false" outlineLevel="0" collapsed="false">
      <c r="A62" s="280" t="s">
        <v>366</v>
      </c>
      <c r="B62" s="297" t="n">
        <f aca="false">G13</f>
        <v>1</v>
      </c>
      <c r="C62" s="280" t="s">
        <v>367</v>
      </c>
      <c r="D62" s="285" t="n">
        <v>285</v>
      </c>
      <c r="E62" s="286" t="n">
        <f aca="false">D62*B62</f>
        <v>285</v>
      </c>
      <c r="F62" s="287" t="n">
        <f aca="false">+E62/$B$9</f>
        <v>0.229838709677419</v>
      </c>
      <c r="G62" s="286" t="n">
        <f aca="false">+E62*AdjRate</f>
        <v>342</v>
      </c>
      <c r="H62" s="287" t="n">
        <f aca="false">+G62/B$9</f>
        <v>0.275806451612903</v>
      </c>
    </row>
    <row r="63" customFormat="false" ht="12.75" hidden="false" customHeight="false" outlineLevel="0" collapsed="false">
      <c r="A63" s="280" t="s">
        <v>368</v>
      </c>
      <c r="B63" s="297" t="n">
        <f aca="false">B$9</f>
        <v>1240</v>
      </c>
      <c r="C63" s="280" t="s">
        <v>258</v>
      </c>
      <c r="D63" s="285" t="n">
        <v>0.6</v>
      </c>
      <c r="E63" s="286" t="n">
        <f aca="false">D63*B63</f>
        <v>744</v>
      </c>
      <c r="F63" s="287" t="n">
        <f aca="false">+E63/$B$9</f>
        <v>0.6</v>
      </c>
      <c r="G63" s="286" t="n">
        <f aca="false">+E63*AdjRate</f>
        <v>892.8</v>
      </c>
      <c r="H63" s="287" t="n">
        <f aca="false">+G63/B$9</f>
        <v>0.72</v>
      </c>
    </row>
    <row r="64" customFormat="false" ht="12.75" hidden="false" customHeight="false" outlineLevel="0" collapsed="false">
      <c r="A64" s="280" t="s">
        <v>328</v>
      </c>
      <c r="B64" s="297" t="n">
        <f aca="false">G14</f>
        <v>9</v>
      </c>
      <c r="C64" s="280" t="s">
        <v>369</v>
      </c>
      <c r="D64" s="285" t="n">
        <v>85</v>
      </c>
      <c r="E64" s="286" t="n">
        <f aca="false">D64*B64</f>
        <v>765</v>
      </c>
      <c r="F64" s="287" t="n">
        <f aca="false">+E64/$B$9</f>
        <v>0.616935483870968</v>
      </c>
      <c r="G64" s="286" t="n">
        <f aca="false">+E64*AdjRate</f>
        <v>918</v>
      </c>
      <c r="H64" s="287" t="n">
        <f aca="false">+G64/B$9</f>
        <v>0.740322580645161</v>
      </c>
    </row>
    <row r="65" customFormat="false" ht="12.75" hidden="false" customHeight="false" outlineLevel="0" collapsed="false">
      <c r="A65" s="280" t="s">
        <v>370</v>
      </c>
      <c r="B65" s="297" t="n">
        <f aca="false">B$9</f>
        <v>1240</v>
      </c>
      <c r="C65" s="280" t="s">
        <v>258</v>
      </c>
      <c r="D65" s="285" t="n">
        <v>0.6</v>
      </c>
      <c r="E65" s="286" t="n">
        <f aca="false">D65*B65</f>
        <v>744</v>
      </c>
      <c r="F65" s="287" t="n">
        <f aca="false">+E65/$B$9</f>
        <v>0.6</v>
      </c>
      <c r="G65" s="286" t="n">
        <f aca="false">+D65*B65*AdjRate</f>
        <v>892.8</v>
      </c>
      <c r="H65" s="287" t="n">
        <f aca="false">+G65/B$9</f>
        <v>0.72</v>
      </c>
    </row>
    <row r="66" customFormat="false" ht="12.75" hidden="false" customHeight="false" outlineLevel="0" collapsed="false">
      <c r="A66" s="280" t="s">
        <v>371</v>
      </c>
      <c r="B66" s="297" t="n">
        <v>33</v>
      </c>
      <c r="C66" s="280" t="s">
        <v>200</v>
      </c>
      <c r="D66" s="285" t="n">
        <v>60</v>
      </c>
      <c r="E66" s="286" t="n">
        <f aca="false">D66*B66</f>
        <v>1980</v>
      </c>
      <c r="F66" s="287" t="n">
        <f aca="false">+E66/$B$9</f>
        <v>1.59677419354839</v>
      </c>
      <c r="G66" s="286" t="n">
        <f aca="false">+D66*B66*AdjRate</f>
        <v>2376</v>
      </c>
      <c r="H66" s="287" t="n">
        <f aca="false">+G66/B$9</f>
        <v>1.91612903225806</v>
      </c>
    </row>
    <row r="67" customFormat="false" ht="12.75" hidden="false" customHeight="false" outlineLevel="0" collapsed="false">
      <c r="A67" s="280" t="s">
        <v>372</v>
      </c>
      <c r="B67" s="297" t="n">
        <v>16</v>
      </c>
      <c r="C67" s="280" t="s">
        <v>200</v>
      </c>
      <c r="D67" s="285" t="n">
        <v>30</v>
      </c>
      <c r="E67" s="286" t="n">
        <f aca="false">D67*B67</f>
        <v>480</v>
      </c>
      <c r="F67" s="287" t="n">
        <f aca="false">+E67/$B$9</f>
        <v>0.387096774193548</v>
      </c>
      <c r="G67" s="286" t="n">
        <f aca="false">+E67*AdjRate</f>
        <v>576</v>
      </c>
      <c r="H67" s="287" t="n">
        <f aca="false">+G67/B$9</f>
        <v>0.464516129032258</v>
      </c>
    </row>
    <row r="68" customFormat="false" ht="12.75" hidden="false" customHeight="false" outlineLevel="0" collapsed="false">
      <c r="A68" s="280"/>
      <c r="B68" s="297"/>
      <c r="C68" s="280"/>
      <c r="D68" s="285"/>
      <c r="E68" s="286"/>
      <c r="F68" s="287"/>
      <c r="G68" s="286"/>
      <c r="H68" s="287"/>
    </row>
    <row r="69" customFormat="false" ht="12.75" hidden="false" customHeight="false" outlineLevel="0" collapsed="false">
      <c r="A69" s="279" t="s">
        <v>373</v>
      </c>
      <c r="B69" s="297"/>
      <c r="C69" s="280"/>
      <c r="D69" s="285"/>
      <c r="E69" s="286"/>
      <c r="F69" s="287"/>
      <c r="G69" s="286"/>
      <c r="H69" s="287"/>
    </row>
    <row r="70" customFormat="false" ht="12.75" hidden="false" customHeight="false" outlineLevel="0" collapsed="false">
      <c r="A70" s="280" t="s">
        <v>324</v>
      </c>
      <c r="B70" s="297" t="n">
        <f aca="false">G12</f>
        <v>9</v>
      </c>
      <c r="C70" s="280" t="s">
        <v>374</v>
      </c>
      <c r="D70" s="285" t="n">
        <v>85</v>
      </c>
      <c r="E70" s="286" t="n">
        <f aca="false">D70*B70</f>
        <v>765</v>
      </c>
      <c r="F70" s="287" t="n">
        <f aca="false">+E70/$B$9</f>
        <v>0.616935483870968</v>
      </c>
      <c r="G70" s="286" t="n">
        <f aca="false">+D70*B70*AdjRate</f>
        <v>918</v>
      </c>
      <c r="H70" s="287" t="n">
        <f aca="false">+G70/B$9</f>
        <v>0.740322580645161</v>
      </c>
    </row>
    <row r="71" customFormat="false" ht="12.75" hidden="false" customHeight="false" outlineLevel="0" collapsed="false">
      <c r="A71" s="280" t="s">
        <v>375</v>
      </c>
      <c r="B71" s="297" t="n">
        <v>0</v>
      </c>
      <c r="C71" s="280" t="s">
        <v>179</v>
      </c>
      <c r="D71" s="285" t="n">
        <v>0</v>
      </c>
      <c r="E71" s="286" t="n">
        <f aca="false">D71*B71</f>
        <v>0</v>
      </c>
      <c r="F71" s="287" t="n">
        <f aca="false">+E71/$B$9</f>
        <v>0</v>
      </c>
      <c r="G71" s="286" t="n">
        <f aca="false">+D71*B71*AdjRate</f>
        <v>0</v>
      </c>
      <c r="H71" s="287" t="n">
        <f aca="false">+G71/B$9</f>
        <v>0</v>
      </c>
    </row>
    <row r="72" customFormat="false" ht="12.75" hidden="false" customHeight="false" outlineLevel="0" collapsed="false">
      <c r="A72" s="280" t="s">
        <v>376</v>
      </c>
      <c r="B72" s="297" t="n">
        <v>36</v>
      </c>
      <c r="C72" s="280" t="s">
        <v>258</v>
      </c>
      <c r="D72" s="285" t="n">
        <v>5</v>
      </c>
      <c r="E72" s="286" t="n">
        <f aca="false">D72*B72</f>
        <v>180</v>
      </c>
      <c r="F72" s="287" t="n">
        <f aca="false">+E72/$B$9</f>
        <v>0.145161290322581</v>
      </c>
      <c r="G72" s="286" t="n">
        <f aca="false">+E72*AdjRate</f>
        <v>216</v>
      </c>
      <c r="H72" s="287" t="n">
        <f aca="false">+G72/B$9</f>
        <v>0.174193548387097</v>
      </c>
    </row>
    <row r="73" customFormat="false" ht="12.75" hidden="false" customHeight="false" outlineLevel="0" collapsed="false">
      <c r="A73" s="280"/>
      <c r="B73" s="297"/>
      <c r="C73" s="280"/>
      <c r="D73" s="285"/>
      <c r="E73" s="286"/>
      <c r="F73" s="287"/>
      <c r="G73" s="286"/>
      <c r="H73" s="287"/>
    </row>
    <row r="74" customFormat="false" ht="12.75" hidden="false" customHeight="false" outlineLevel="0" collapsed="false">
      <c r="A74" s="279" t="s">
        <v>377</v>
      </c>
      <c r="B74" s="297"/>
      <c r="C74" s="280"/>
      <c r="D74" s="285"/>
      <c r="E74" s="286"/>
      <c r="F74" s="287"/>
      <c r="G74" s="286"/>
      <c r="H74" s="287"/>
    </row>
    <row r="75" customFormat="false" ht="12.75" hidden="false" customHeight="false" outlineLevel="0" collapsed="false">
      <c r="A75" s="280" t="s">
        <v>378</v>
      </c>
      <c r="B75" s="297" t="n">
        <f aca="false">B9*1.3/100</f>
        <v>16.12</v>
      </c>
      <c r="C75" s="280" t="s">
        <v>379</v>
      </c>
      <c r="D75" s="285" t="n">
        <v>52</v>
      </c>
      <c r="E75" s="286" t="n">
        <f aca="false">D75*B75</f>
        <v>838.24</v>
      </c>
      <c r="F75" s="287" t="n">
        <f aca="false">+E75/$B$9</f>
        <v>0.676</v>
      </c>
      <c r="G75" s="286" t="n">
        <f aca="false">+E75*AdjRate</f>
        <v>1005.888</v>
      </c>
      <c r="H75" s="287" t="n">
        <f aca="false">+G75/B$9</f>
        <v>0.8112</v>
      </c>
    </row>
    <row r="76" customFormat="false" ht="12.75" hidden="false" customHeight="false" outlineLevel="0" collapsed="false">
      <c r="A76" s="280" t="s">
        <v>380</v>
      </c>
      <c r="B76" s="297" t="n">
        <v>1</v>
      </c>
      <c r="C76" s="280" t="s">
        <v>179</v>
      </c>
      <c r="D76" s="285" t="n">
        <v>200</v>
      </c>
      <c r="E76" s="286" t="n">
        <f aca="false">D76*B76</f>
        <v>200</v>
      </c>
      <c r="F76" s="287" t="n">
        <f aca="false">+E76/$B$9</f>
        <v>0.161290322580645</v>
      </c>
      <c r="G76" s="286" t="n">
        <f aca="false">+D76*B76*AdjRate</f>
        <v>240</v>
      </c>
      <c r="H76" s="287" t="n">
        <f aca="false">+G76/B$9</f>
        <v>0.193548387096774</v>
      </c>
    </row>
    <row r="77" customFormat="false" ht="12.75" hidden="false" customHeight="false" outlineLevel="0" collapsed="false">
      <c r="A77" s="280" t="s">
        <v>381</v>
      </c>
      <c r="B77" s="297" t="n">
        <f aca="false">B$9</f>
        <v>1240</v>
      </c>
      <c r="C77" s="280" t="s">
        <v>258</v>
      </c>
      <c r="D77" s="285" t="n">
        <v>0.75</v>
      </c>
      <c r="E77" s="286" t="n">
        <f aca="false">D77*B77</f>
        <v>930</v>
      </c>
      <c r="F77" s="287" t="n">
        <f aca="false">+E77/$B$9</f>
        <v>0.75</v>
      </c>
      <c r="G77" s="286" t="n">
        <f aca="false">+D77*B77*AdjRate</f>
        <v>1116</v>
      </c>
      <c r="H77" s="287" t="n">
        <f aca="false">+G77/B$9</f>
        <v>0.9</v>
      </c>
    </row>
    <row r="78" customFormat="false" ht="12.75" hidden="false" customHeight="false" outlineLevel="0" collapsed="false">
      <c r="A78" s="280" t="s">
        <v>382</v>
      </c>
      <c r="B78" s="297" t="n">
        <f aca="false">B$9</f>
        <v>1240</v>
      </c>
      <c r="C78" s="280" t="s">
        <v>258</v>
      </c>
      <c r="D78" s="285" t="n">
        <v>3</v>
      </c>
      <c r="E78" s="286" t="n">
        <f aca="false">D78*B78</f>
        <v>3720</v>
      </c>
      <c r="F78" s="287" t="n">
        <f aca="false">+E78/$B$9</f>
        <v>3</v>
      </c>
      <c r="G78" s="286" t="n">
        <f aca="false">+E78*AdjRate</f>
        <v>4464</v>
      </c>
      <c r="H78" s="287" t="n">
        <f aca="false">+G78/B$9</f>
        <v>3.6</v>
      </c>
    </row>
    <row r="79" customFormat="false" ht="12.75" hidden="false" customHeight="false" outlineLevel="0" collapsed="false">
      <c r="A79" s="280"/>
      <c r="B79" s="297"/>
      <c r="C79" s="280"/>
      <c r="D79" s="285"/>
      <c r="E79" s="286"/>
      <c r="F79" s="287"/>
      <c r="G79" s="286"/>
      <c r="H79" s="287"/>
    </row>
    <row r="80" customFormat="false" ht="12.75" hidden="false" customHeight="false" outlineLevel="0" collapsed="false">
      <c r="A80" s="279" t="s">
        <v>311</v>
      </c>
      <c r="B80" s="297"/>
      <c r="C80" s="280"/>
      <c r="D80" s="285"/>
      <c r="E80" s="286"/>
      <c r="F80" s="287"/>
      <c r="G80" s="286"/>
      <c r="H80" s="287"/>
    </row>
    <row r="81" customFormat="false" ht="12.75" hidden="false" customHeight="false" outlineLevel="0" collapsed="false">
      <c r="A81" s="280" t="s">
        <v>383</v>
      </c>
      <c r="B81" s="297" t="n">
        <f aca="false">+G5</f>
        <v>315</v>
      </c>
      <c r="C81" s="280" t="s">
        <v>258</v>
      </c>
      <c r="D81" s="285" t="n">
        <v>5</v>
      </c>
      <c r="E81" s="286" t="n">
        <f aca="false">D81*B81</f>
        <v>1575</v>
      </c>
      <c r="F81" s="287" t="n">
        <f aca="false">+E81/$B$9</f>
        <v>1.27016129032258</v>
      </c>
      <c r="G81" s="286" t="n">
        <f aca="false">+E81*AdjRate</f>
        <v>1890</v>
      </c>
      <c r="H81" s="287" t="n">
        <f aca="false">+G81/B$9</f>
        <v>1.5241935483871</v>
      </c>
    </row>
    <row r="82" customFormat="false" ht="12.75" hidden="false" customHeight="false" outlineLevel="0" collapsed="false">
      <c r="A82" s="280" t="s">
        <v>384</v>
      </c>
      <c r="B82" s="297" t="n">
        <f aca="false">B$9</f>
        <v>1240</v>
      </c>
      <c r="C82" s="280" t="s">
        <v>258</v>
      </c>
      <c r="D82" s="285" t="n">
        <v>2</v>
      </c>
      <c r="E82" s="286" t="n">
        <f aca="false">D82*B82</f>
        <v>2480</v>
      </c>
      <c r="F82" s="287" t="n">
        <f aca="false">+E82/$B$9</f>
        <v>2</v>
      </c>
      <c r="G82" s="286" t="n">
        <f aca="false">+E82*AdjRate</f>
        <v>2976</v>
      </c>
      <c r="H82" s="287" t="n">
        <f aca="false">+G82/B$9</f>
        <v>2.4</v>
      </c>
    </row>
    <row r="83" customFormat="false" ht="12.75" hidden="false" customHeight="false" outlineLevel="0" collapsed="false">
      <c r="A83" s="280" t="s">
        <v>385</v>
      </c>
      <c r="B83" s="297" t="n">
        <f aca="false">B$15</f>
        <v>1639.77166666667</v>
      </c>
      <c r="C83" s="280" t="s">
        <v>258</v>
      </c>
      <c r="D83" s="285" t="n">
        <v>0.6</v>
      </c>
      <c r="E83" s="286" t="n">
        <f aca="false">D83*B83</f>
        <v>983.863</v>
      </c>
      <c r="F83" s="287" t="n">
        <f aca="false">+E83/$B$9</f>
        <v>0.793437903225806</v>
      </c>
      <c r="G83" s="286" t="n">
        <f aca="false">+E83*AdjRate</f>
        <v>1180.6356</v>
      </c>
      <c r="H83" s="287" t="n">
        <f aca="false">+G83/B$9</f>
        <v>0.952125483870968</v>
      </c>
    </row>
    <row r="84" customFormat="false" ht="12.75" hidden="false" customHeight="false" outlineLevel="0" collapsed="false">
      <c r="A84" s="280" t="s">
        <v>421</v>
      </c>
      <c r="B84" s="297" t="n">
        <v>48</v>
      </c>
      <c r="C84" s="280" t="s">
        <v>258</v>
      </c>
      <c r="D84" s="285" t="n">
        <v>5.5</v>
      </c>
      <c r="E84" s="286" t="n">
        <f aca="false">D84*B84</f>
        <v>264</v>
      </c>
      <c r="F84" s="287" t="n">
        <f aca="false">+E84/$B$9</f>
        <v>0.212903225806452</v>
      </c>
      <c r="G84" s="286" t="n">
        <f aca="false">+E84*AdjRate</f>
        <v>316.8</v>
      </c>
      <c r="H84" s="287" t="n">
        <f aca="false">+G84/B$9</f>
        <v>0.255483870967742</v>
      </c>
    </row>
    <row r="85" customFormat="false" ht="12.75" hidden="false" customHeight="false" outlineLevel="0" collapsed="false">
      <c r="A85" s="280" t="s">
        <v>387</v>
      </c>
      <c r="B85" s="297" t="n">
        <f aca="false">(B9-35-150-150-100)/9</f>
        <v>89.4444444444444</v>
      </c>
      <c r="C85" s="280" t="s">
        <v>388</v>
      </c>
      <c r="D85" s="285" t="n">
        <v>15</v>
      </c>
      <c r="E85" s="286" t="n">
        <f aca="false">D85*B85</f>
        <v>1341.66666666667</v>
      </c>
      <c r="F85" s="287" t="n">
        <f aca="false">+E85/$B$9</f>
        <v>1.08198924731183</v>
      </c>
      <c r="G85" s="286" t="n">
        <f aca="false">+E85*AdjRate</f>
        <v>1610</v>
      </c>
      <c r="H85" s="287" t="n">
        <f aca="false">+G85/B$9</f>
        <v>1.29838709677419</v>
      </c>
    </row>
    <row r="86" customFormat="false" ht="12.75" hidden="false" customHeight="false" outlineLevel="0" collapsed="false">
      <c r="A86" s="280" t="s">
        <v>389</v>
      </c>
      <c r="B86" s="297" t="n">
        <v>27</v>
      </c>
      <c r="C86" s="280" t="s">
        <v>200</v>
      </c>
      <c r="D86" s="285" t="n">
        <v>24</v>
      </c>
      <c r="E86" s="286" t="n">
        <f aca="false">D86*B86</f>
        <v>648</v>
      </c>
      <c r="F86" s="287" t="n">
        <f aca="false">+E86/$B$9</f>
        <v>0.52258064516129</v>
      </c>
      <c r="G86" s="286" t="n">
        <f aca="false">+E86*AdjRate</f>
        <v>777.6</v>
      </c>
      <c r="H86" s="287" t="n">
        <f aca="false">+G86/B$9</f>
        <v>0.627096774193548</v>
      </c>
    </row>
    <row r="87" customFormat="false" ht="12.75" hidden="false" customHeight="false" outlineLevel="0" collapsed="false">
      <c r="A87" s="280" t="s">
        <v>390</v>
      </c>
      <c r="B87" s="297" t="n">
        <v>9</v>
      </c>
      <c r="C87" s="280" t="s">
        <v>200</v>
      </c>
      <c r="D87" s="285" t="n">
        <v>24</v>
      </c>
      <c r="E87" s="286" t="n">
        <f aca="false">D87*B87</f>
        <v>216</v>
      </c>
      <c r="F87" s="287" t="n">
        <f aca="false">+E87/$B$9</f>
        <v>0.174193548387097</v>
      </c>
      <c r="G87" s="286" t="n">
        <f aca="false">+E87*AdjRate</f>
        <v>259.2</v>
      </c>
      <c r="H87" s="287" t="n">
        <f aca="false">+G87/B$9</f>
        <v>0.209032258064516</v>
      </c>
    </row>
    <row r="88" customFormat="false" ht="12.75" hidden="false" customHeight="false" outlineLevel="0" collapsed="false">
      <c r="A88" s="280" t="s">
        <v>391</v>
      </c>
      <c r="B88" s="297" t="n">
        <v>2</v>
      </c>
      <c r="C88" s="280" t="s">
        <v>392</v>
      </c>
      <c r="D88" s="285" t="n">
        <v>40</v>
      </c>
      <c r="E88" s="286" t="n">
        <f aca="false">D88*B88</f>
        <v>80</v>
      </c>
      <c r="F88" s="287" t="n">
        <f aca="false">+E88/$B$9</f>
        <v>0.0645161290322581</v>
      </c>
      <c r="G88" s="286" t="n">
        <f aca="false">+E88*AdjRate</f>
        <v>96</v>
      </c>
      <c r="H88" s="287" t="n">
        <f aca="false">+G88/B$9</f>
        <v>0.0774193548387097</v>
      </c>
    </row>
    <row r="89" customFormat="false" ht="12.75" hidden="false" customHeight="false" outlineLevel="0" collapsed="false">
      <c r="A89" s="280" t="s">
        <v>393</v>
      </c>
      <c r="B89" s="297" t="n">
        <v>0</v>
      </c>
      <c r="C89" s="280" t="s">
        <v>394</v>
      </c>
      <c r="D89" s="285" t="n">
        <v>750</v>
      </c>
      <c r="E89" s="286" t="n">
        <f aca="false">D89*B89</f>
        <v>0</v>
      </c>
      <c r="F89" s="287" t="n">
        <f aca="false">+E89/$B$9</f>
        <v>0</v>
      </c>
      <c r="G89" s="286" t="n">
        <f aca="false">+E89*AdjRate</f>
        <v>0</v>
      </c>
      <c r="H89" s="287" t="n">
        <f aca="false">+G89/B$9</f>
        <v>0</v>
      </c>
    </row>
    <row r="90" customFormat="false" ht="12.75" hidden="false" customHeight="false" outlineLevel="0" collapsed="false">
      <c r="A90" s="280" t="s">
        <v>395</v>
      </c>
      <c r="B90" s="297" t="n">
        <v>1</v>
      </c>
      <c r="C90" s="280" t="s">
        <v>394</v>
      </c>
      <c r="D90" s="285" t="n">
        <v>300</v>
      </c>
      <c r="E90" s="286" t="n">
        <f aca="false">D90*B90</f>
        <v>300</v>
      </c>
      <c r="F90" s="287" t="n">
        <f aca="false">+E90/$B$9</f>
        <v>0.241935483870968</v>
      </c>
      <c r="G90" s="286" t="n">
        <f aca="false">+D90*B90*AdjRate</f>
        <v>360</v>
      </c>
      <c r="H90" s="287" t="n">
        <f aca="false">+G90/B$9</f>
        <v>0.290322580645161</v>
      </c>
    </row>
    <row r="91" customFormat="false" ht="12.75" hidden="false" customHeight="false" outlineLevel="0" collapsed="false">
      <c r="A91" s="280" t="s">
        <v>396</v>
      </c>
      <c r="B91" s="297" t="n">
        <f aca="false">G12</f>
        <v>9</v>
      </c>
      <c r="C91" s="280" t="s">
        <v>397</v>
      </c>
      <c r="D91" s="285" t="n">
        <v>35</v>
      </c>
      <c r="E91" s="286" t="n">
        <f aca="false">D91*B91</f>
        <v>315</v>
      </c>
      <c r="F91" s="287" t="n">
        <f aca="false">+E91/$B$9</f>
        <v>0.254032258064516</v>
      </c>
      <c r="G91" s="286" t="n">
        <f aca="false">+D91*B91*AdjRate</f>
        <v>378</v>
      </c>
      <c r="H91" s="287" t="n">
        <f aca="false">+G91/B$9</f>
        <v>0.304838709677419</v>
      </c>
    </row>
    <row r="92" customFormat="false" ht="12.75" hidden="false" customHeight="false" outlineLevel="0" collapsed="false">
      <c r="A92" s="280" t="s">
        <v>398</v>
      </c>
      <c r="B92" s="297" t="n">
        <v>0</v>
      </c>
      <c r="C92" s="280" t="s">
        <v>179</v>
      </c>
      <c r="D92" s="285" t="n">
        <v>0</v>
      </c>
      <c r="E92" s="286" t="n">
        <f aca="false">D92*B92</f>
        <v>0</v>
      </c>
      <c r="F92" s="287" t="n">
        <f aca="false">+E92/$B$9</f>
        <v>0</v>
      </c>
      <c r="G92" s="286" t="n">
        <f aca="false">+E92*AdjRate</f>
        <v>0</v>
      </c>
      <c r="H92" s="287" t="n">
        <f aca="false">+G92/B$9</f>
        <v>0</v>
      </c>
    </row>
    <row r="93" customFormat="false" ht="12.75" hidden="false" customHeight="false" outlineLevel="0" collapsed="false">
      <c r="A93" s="280"/>
      <c r="B93" s="297"/>
      <c r="C93" s="280"/>
      <c r="D93" s="285"/>
      <c r="E93" s="286"/>
      <c r="F93" s="287"/>
      <c r="G93" s="286"/>
      <c r="H93" s="287"/>
    </row>
    <row r="94" customFormat="false" ht="12.75" hidden="false" customHeight="false" outlineLevel="0" collapsed="false">
      <c r="A94" s="279" t="s">
        <v>399</v>
      </c>
      <c r="B94" s="297"/>
      <c r="C94" s="280"/>
      <c r="D94" s="285"/>
      <c r="E94" s="286"/>
      <c r="F94" s="287"/>
      <c r="G94" s="286"/>
      <c r="H94" s="287"/>
    </row>
    <row r="95" customFormat="false" ht="12.75" hidden="false" customHeight="false" outlineLevel="0" collapsed="false">
      <c r="A95" s="280" t="s">
        <v>400</v>
      </c>
      <c r="B95" s="297" t="n">
        <v>1</v>
      </c>
      <c r="C95" s="280" t="s">
        <v>179</v>
      </c>
      <c r="D95" s="285" t="n">
        <v>500</v>
      </c>
      <c r="E95" s="286" t="n">
        <f aca="false">D95*B95</f>
        <v>500</v>
      </c>
      <c r="F95" s="287" t="n">
        <f aca="false">+E95/$B$9</f>
        <v>0.403225806451613</v>
      </c>
      <c r="G95" s="286" t="n">
        <f aca="false">+D95*B95*AdjRate</f>
        <v>600</v>
      </c>
      <c r="H95" s="287" t="n">
        <f aca="false">+G95/B$9</f>
        <v>0.483870967741936</v>
      </c>
    </row>
    <row r="96" customFormat="false" ht="12.75" hidden="false" customHeight="false" outlineLevel="0" collapsed="false">
      <c r="A96" s="280" t="s">
        <v>401</v>
      </c>
      <c r="B96" s="297" t="n">
        <v>0</v>
      </c>
      <c r="C96" s="280" t="s">
        <v>402</v>
      </c>
      <c r="D96" s="285" t="n">
        <v>650</v>
      </c>
      <c r="E96" s="286" t="n">
        <f aca="false">D96*B96</f>
        <v>0</v>
      </c>
      <c r="F96" s="287" t="n">
        <f aca="false">+E96/$B$9</f>
        <v>0</v>
      </c>
      <c r="G96" s="286" t="n">
        <f aca="false">+D96*B96*AdjRate</f>
        <v>0</v>
      </c>
      <c r="H96" s="287" t="n">
        <f aca="false">+G96/B$9</f>
        <v>0</v>
      </c>
    </row>
    <row r="97" customFormat="false" ht="12.75" hidden="false" customHeight="false" outlineLevel="0" collapsed="false">
      <c r="A97" s="280" t="s">
        <v>403</v>
      </c>
      <c r="B97" s="297" t="n">
        <v>1</v>
      </c>
      <c r="C97" s="280" t="s">
        <v>404</v>
      </c>
      <c r="D97" s="285" t="n">
        <v>700</v>
      </c>
      <c r="E97" s="286" t="n">
        <f aca="false">D97*B97</f>
        <v>700</v>
      </c>
      <c r="F97" s="287" t="n">
        <f aca="false">+E97/$B$9</f>
        <v>0.564516129032258</v>
      </c>
      <c r="G97" s="286" t="n">
        <f aca="false">+E97*AdjRate</f>
        <v>840</v>
      </c>
      <c r="H97" s="287" t="n">
        <f aca="false">+G97/B$9</f>
        <v>0.67741935483871</v>
      </c>
    </row>
    <row r="98" customFormat="false" ht="12.75" hidden="false" customHeight="false" outlineLevel="0" collapsed="false">
      <c r="A98" s="280"/>
      <c r="B98" s="297"/>
      <c r="C98" s="280"/>
      <c r="D98" s="285"/>
      <c r="E98" s="286"/>
      <c r="F98" s="287"/>
      <c r="G98" s="286"/>
      <c r="H98" s="287"/>
    </row>
    <row r="99" customFormat="false" ht="12.75" hidden="false" customHeight="false" outlineLevel="0" collapsed="false">
      <c r="A99" s="279" t="s">
        <v>405</v>
      </c>
      <c r="B99" s="297"/>
      <c r="C99" s="280"/>
      <c r="D99" s="285"/>
      <c r="E99" s="286"/>
      <c r="F99" s="287"/>
      <c r="G99" s="286"/>
      <c r="H99" s="287"/>
    </row>
    <row r="100" customFormat="false" ht="12.75" hidden="false" customHeight="false" outlineLevel="0" collapsed="false">
      <c r="A100" s="280" t="s">
        <v>406</v>
      </c>
      <c r="B100" s="297" t="n">
        <f aca="false">B$15</f>
        <v>1639.77166666667</v>
      </c>
      <c r="C100" s="280" t="s">
        <v>258</v>
      </c>
      <c r="D100" s="285" t="n">
        <v>2.25</v>
      </c>
      <c r="E100" s="286" t="n">
        <f aca="false">D100*B100</f>
        <v>3689.48625</v>
      </c>
      <c r="F100" s="287" t="n">
        <f aca="false">+E100/$B$9</f>
        <v>2.97539213709677</v>
      </c>
      <c r="G100" s="286" t="n">
        <f aca="false">+D100*B100*AdjRate</f>
        <v>4427.3835</v>
      </c>
      <c r="H100" s="287" t="n">
        <f aca="false">+G100/B$9</f>
        <v>3.57047056451613</v>
      </c>
    </row>
    <row r="101" customFormat="false" ht="12.75" hidden="false" customHeight="false" outlineLevel="0" collapsed="false">
      <c r="A101" s="280" t="s">
        <v>407</v>
      </c>
      <c r="B101" s="297" t="n">
        <v>1</v>
      </c>
      <c r="C101" s="280" t="s">
        <v>179</v>
      </c>
      <c r="D101" s="285" t="n">
        <v>750</v>
      </c>
      <c r="E101" s="286" t="n">
        <f aca="false">D101*B101</f>
        <v>750</v>
      </c>
      <c r="F101" s="287" t="n">
        <f aca="false">+E101/$B$9</f>
        <v>0.604838709677419</v>
      </c>
      <c r="G101" s="286" t="n">
        <f aca="false">+D101*B101*AdjRate</f>
        <v>900</v>
      </c>
      <c r="H101" s="287" t="n">
        <f aca="false">+G101/B$9</f>
        <v>0.725806451612903</v>
      </c>
    </row>
    <row r="102" customFormat="false" ht="12.75" hidden="false" customHeight="false" outlineLevel="0" collapsed="false">
      <c r="A102" s="280" t="s">
        <v>408</v>
      </c>
      <c r="B102" s="297" t="n">
        <v>1</v>
      </c>
      <c r="C102" s="280" t="s">
        <v>179</v>
      </c>
      <c r="D102" s="285" t="n">
        <v>150</v>
      </c>
      <c r="E102" s="286" t="n">
        <f aca="false">D102*B102</f>
        <v>150</v>
      </c>
      <c r="F102" s="287" t="n">
        <f aca="false">+E102/$B$9</f>
        <v>0.120967741935484</v>
      </c>
      <c r="G102" s="286" t="n">
        <f aca="false">+E102*AdjRate</f>
        <v>180</v>
      </c>
      <c r="H102" s="287" t="n">
        <f aca="false">+G102/B$9</f>
        <v>0.145161290322581</v>
      </c>
    </row>
    <row r="103" customFormat="false" ht="12.75" hidden="false" customHeight="false" outlineLevel="0" collapsed="false">
      <c r="A103" s="280"/>
      <c r="B103" s="297"/>
      <c r="C103" s="280"/>
      <c r="D103" s="285"/>
      <c r="E103" s="286"/>
      <c r="F103" s="287"/>
      <c r="G103" s="286"/>
      <c r="H103" s="287"/>
    </row>
    <row r="104" customFormat="false" ht="12.75" hidden="false" customHeight="false" outlineLevel="0" collapsed="false">
      <c r="A104" s="279" t="s">
        <v>409</v>
      </c>
      <c r="B104" s="297"/>
      <c r="C104" s="280"/>
      <c r="D104" s="285"/>
      <c r="E104" s="286"/>
      <c r="F104" s="287"/>
      <c r="G104" s="286"/>
      <c r="H104" s="287"/>
    </row>
    <row r="105" customFormat="false" ht="12.75" hidden="false" customHeight="false" outlineLevel="0" collapsed="false">
      <c r="A105" s="280" t="s">
        <v>410</v>
      </c>
      <c r="B105" s="297" t="n">
        <v>1</v>
      </c>
      <c r="C105" s="280" t="s">
        <v>179</v>
      </c>
      <c r="D105" s="285" t="n">
        <v>4200</v>
      </c>
      <c r="E105" s="286" t="n">
        <f aca="false">D105*B105</f>
        <v>4200</v>
      </c>
      <c r="F105" s="287" t="n">
        <f aca="false">+E105/$B$9</f>
        <v>3.38709677419355</v>
      </c>
      <c r="G105" s="286" t="n">
        <f aca="false">+E105*AdjRate</f>
        <v>5040</v>
      </c>
      <c r="H105" s="287" t="n">
        <f aca="false">+G105/B$9</f>
        <v>4.06451612903226</v>
      </c>
    </row>
    <row r="106" customFormat="false" ht="12.75" hidden="false" customHeight="false" outlineLevel="0" collapsed="false">
      <c r="A106" s="280" t="s">
        <v>411</v>
      </c>
      <c r="B106" s="297" t="n">
        <v>25</v>
      </c>
      <c r="C106" s="280" t="s">
        <v>200</v>
      </c>
      <c r="D106" s="285" t="n">
        <v>15</v>
      </c>
      <c r="E106" s="286" t="n">
        <f aca="false">D106*B106</f>
        <v>375</v>
      </c>
      <c r="F106" s="287" t="n">
        <f aca="false">+E106/$B$9</f>
        <v>0.30241935483871</v>
      </c>
      <c r="G106" s="286" t="n">
        <f aca="false">+E106*AdjRate</f>
        <v>450</v>
      </c>
      <c r="H106" s="287" t="n">
        <f aca="false">+G106/B$9</f>
        <v>0.362903225806452</v>
      </c>
    </row>
    <row r="107" customFormat="false" ht="12.75" hidden="false" customHeight="false" outlineLevel="0" collapsed="false">
      <c r="A107" s="280" t="s">
        <v>412</v>
      </c>
      <c r="B107" s="297" t="n">
        <v>1</v>
      </c>
      <c r="C107" s="280" t="s">
        <v>179</v>
      </c>
      <c r="D107" s="285" t="n">
        <v>2000</v>
      </c>
      <c r="E107" s="286" t="n">
        <f aca="false">D107*B107</f>
        <v>2000</v>
      </c>
      <c r="F107" s="287" t="n">
        <f aca="false">+E107/$B$9</f>
        <v>1.61290322580645</v>
      </c>
      <c r="G107" s="286" t="n">
        <f aca="false">+E107*AdjRate</f>
        <v>2400</v>
      </c>
      <c r="H107" s="287" t="n">
        <f aca="false">+G107/B$9</f>
        <v>1.93548387096774</v>
      </c>
    </row>
    <row r="108" customFormat="false" ht="12.75" hidden="false" customHeight="false" outlineLevel="0" collapsed="false">
      <c r="A108" s="280" t="s">
        <v>413</v>
      </c>
      <c r="B108" s="297" t="n">
        <v>1</v>
      </c>
      <c r="C108" s="280" t="s">
        <v>179</v>
      </c>
      <c r="D108" s="285" t="n">
        <v>990</v>
      </c>
      <c r="E108" s="286" t="n">
        <f aca="false">D108*B108</f>
        <v>990</v>
      </c>
      <c r="F108" s="287" t="n">
        <f aca="false">+E108/$B$9</f>
        <v>0.798387096774194</v>
      </c>
      <c r="G108" s="286" t="n">
        <f aca="false">+D108*B108*AdjRate</f>
        <v>1188</v>
      </c>
      <c r="H108" s="287" t="n">
        <f aca="false">+G108/B$9</f>
        <v>0.958064516129032</v>
      </c>
    </row>
    <row r="109" customFormat="false" ht="12.75" hidden="false" customHeight="false" outlineLevel="0" collapsed="false">
      <c r="A109" s="280" t="s">
        <v>414</v>
      </c>
      <c r="B109" s="297" t="n">
        <f aca="false">B$9</f>
        <v>1240</v>
      </c>
      <c r="C109" s="280" t="s">
        <v>179</v>
      </c>
      <c r="D109" s="285" t="n">
        <v>2.85</v>
      </c>
      <c r="E109" s="286" t="n">
        <f aca="false">D109*B109</f>
        <v>3534</v>
      </c>
      <c r="F109" s="287" t="n">
        <f aca="false">+E109/$B$9</f>
        <v>2.85</v>
      </c>
      <c r="G109" s="286" t="n">
        <f aca="false">+D109*B109*AdjRate</f>
        <v>4240.8</v>
      </c>
      <c r="H109" s="287" t="n">
        <f aca="false">+G109/B$9</f>
        <v>3.42</v>
      </c>
    </row>
    <row r="110" customFormat="false" ht="12.75" hidden="false" customHeight="false" outlineLevel="0" collapsed="false">
      <c r="A110" s="280" t="s">
        <v>273</v>
      </c>
      <c r="B110" s="297" t="n">
        <f aca="false">ConstTime</f>
        <v>6</v>
      </c>
      <c r="C110" s="280" t="s">
        <v>274</v>
      </c>
      <c r="D110" s="285" t="n">
        <f aca="false">((1000*52)/12+250+100)/4</f>
        <v>1170.83333333333</v>
      </c>
      <c r="E110" s="286" t="n">
        <f aca="false">D110*B110</f>
        <v>7025</v>
      </c>
      <c r="F110" s="287" t="n">
        <f aca="false">+E110/$B$9</f>
        <v>5.66532258064516</v>
      </c>
      <c r="G110" s="286" t="n">
        <f aca="false">+(D110*B110)*AdjRate</f>
        <v>8430</v>
      </c>
      <c r="H110" s="287" t="n">
        <f aca="false">+G110/B$9</f>
        <v>6.79838709677419</v>
      </c>
    </row>
    <row r="111" customFormat="false" ht="13.5" hidden="false" customHeight="false" outlineLevel="0" collapsed="false">
      <c r="A111" s="289" t="s">
        <v>415</v>
      </c>
      <c r="B111" s="289"/>
      <c r="C111" s="289"/>
      <c r="D111" s="289"/>
      <c r="E111" s="290" t="n">
        <f aca="false">SUM(E18:E110)</f>
        <v>65675.36475</v>
      </c>
      <c r="F111" s="291" t="n">
        <f aca="false">+E111/$B$9</f>
        <v>52.9640038306452</v>
      </c>
      <c r="G111" s="290" t="n">
        <f aca="false">SUM(G18:G110)</f>
        <v>78810.4377</v>
      </c>
      <c r="H111" s="291" t="n">
        <f aca="false">SUM(H18:H110)</f>
        <v>63.5568045967742</v>
      </c>
    </row>
    <row r="112" customFormat="false" ht="13.5" hidden="false" customHeight="false" outlineLevel="0" collapsed="false">
      <c r="A112" s="280"/>
      <c r="B112" s="280"/>
      <c r="C112" s="280"/>
      <c r="D112" s="280"/>
      <c r="E112" s="286" t="n">
        <f aca="false">+G111-E111</f>
        <v>13135.07295</v>
      </c>
      <c r="F112" s="286"/>
      <c r="G112" s="280"/>
      <c r="H112" s="280"/>
    </row>
    <row r="113" customFormat="false" ht="12.75" hidden="false" customHeight="false" outlineLevel="0" collapsed="false">
      <c r="D113" s="57"/>
      <c r="E113" s="57"/>
      <c r="F113" s="57"/>
    </row>
    <row r="114" customFormat="false" ht="12.75" hidden="false" customHeight="false" outlineLevel="0" collapsed="false">
      <c r="D114" s="57"/>
      <c r="E114" s="57"/>
      <c r="F114" s="57"/>
    </row>
    <row r="115" customFormat="false" ht="12.75" hidden="false" customHeight="false" outlineLevel="0" collapsed="false">
      <c r="D115" s="57"/>
      <c r="E115" s="57"/>
      <c r="F115" s="57"/>
    </row>
    <row r="116" customFormat="false" ht="12.75" hidden="false" customHeight="false" outlineLevel="0" collapsed="false">
      <c r="D116" s="57"/>
      <c r="E116" s="57"/>
      <c r="F116" s="57"/>
    </row>
    <row r="117" customFormat="false" ht="12.75" hidden="false" customHeight="false" outlineLevel="0" collapsed="false">
      <c r="D117" s="57"/>
      <c r="E117" s="57"/>
      <c r="F117" s="57"/>
    </row>
    <row r="118" customFormat="false" ht="12.75" hidden="false" customHeight="false" outlineLevel="0" collapsed="false">
      <c r="D118" s="57"/>
      <c r="E118" s="57"/>
      <c r="F118" s="57"/>
    </row>
    <row r="119" customFormat="false" ht="12.75" hidden="false" customHeight="false" outlineLevel="0" collapsed="false">
      <c r="D119" s="57"/>
      <c r="E119" s="57"/>
      <c r="F119" s="57"/>
    </row>
    <row r="120" customFormat="false" ht="12.75" hidden="false" customHeight="false" outlineLevel="0" collapsed="false">
      <c r="D120" s="57"/>
      <c r="E120" s="57"/>
      <c r="F120" s="57"/>
    </row>
    <row r="121" customFormat="false" ht="12.75" hidden="false" customHeight="false" outlineLevel="0" collapsed="false">
      <c r="D121" s="57"/>
      <c r="E121" s="57"/>
      <c r="F121" s="57"/>
    </row>
    <row r="122" customFormat="false" ht="12.75" hidden="false" customHeight="false" outlineLevel="0" collapsed="false">
      <c r="D122" s="57"/>
      <c r="E122" s="57"/>
      <c r="F122" s="57"/>
    </row>
    <row r="123" customFormat="false" ht="12.75" hidden="false" customHeight="false" outlineLevel="0" collapsed="false">
      <c r="D123" s="57"/>
      <c r="E123" s="57"/>
      <c r="F123" s="57"/>
    </row>
    <row r="124" customFormat="false" ht="12.75" hidden="false" customHeight="false" outlineLevel="0" collapsed="false">
      <c r="D124" s="57"/>
      <c r="E124" s="57"/>
      <c r="F124" s="57"/>
    </row>
    <row r="125" customFormat="false" ht="12.75" hidden="false" customHeight="false" outlineLevel="0" collapsed="false">
      <c r="D125" s="57"/>
      <c r="E125" s="57"/>
      <c r="F125" s="57"/>
    </row>
    <row r="126" customFormat="false" ht="12.75" hidden="false" customHeight="false" outlineLevel="0" collapsed="false">
      <c r="D126" s="57"/>
      <c r="E126" s="57"/>
      <c r="F126" s="57"/>
    </row>
    <row r="127" customFormat="false" ht="12.75" hidden="false" customHeight="false" outlineLevel="0" collapsed="false">
      <c r="D127" s="57"/>
      <c r="E127" s="57"/>
      <c r="F127" s="57"/>
    </row>
    <row r="128" customFormat="false" ht="12.75" hidden="false" customHeight="false" outlineLevel="0" collapsed="false">
      <c r="D128" s="57"/>
      <c r="E128" s="57"/>
      <c r="F128" s="57"/>
    </row>
    <row r="129" customFormat="false" ht="12.75" hidden="false" customHeight="false" outlineLevel="0" collapsed="false">
      <c r="D129" s="57"/>
      <c r="E129" s="57"/>
      <c r="F129" s="57"/>
    </row>
    <row r="130" customFormat="false" ht="12.75" hidden="false" customHeight="false" outlineLevel="0" collapsed="false">
      <c r="D130" s="57"/>
      <c r="E130" s="57"/>
      <c r="F130" s="57"/>
    </row>
    <row r="131" customFormat="false" ht="12.75" hidden="false" customHeight="false" outlineLevel="0" collapsed="false">
      <c r="D131" s="57"/>
      <c r="E131" s="57"/>
      <c r="F131" s="57"/>
    </row>
    <row r="132" customFormat="false" ht="12.75" hidden="false" customHeight="false" outlineLevel="0" collapsed="false">
      <c r="D132" s="57"/>
      <c r="E132" s="57"/>
      <c r="F132" s="57"/>
    </row>
    <row r="133" customFormat="false" ht="12.75" hidden="false" customHeight="false" outlineLevel="0" collapsed="false">
      <c r="D133" s="57"/>
      <c r="E133" s="57"/>
      <c r="F133" s="57"/>
    </row>
    <row r="134" customFormat="false" ht="12.75" hidden="false" customHeight="false" outlineLevel="0" collapsed="false">
      <c r="D134" s="57"/>
      <c r="E134" s="57"/>
      <c r="F134" s="57"/>
    </row>
    <row r="135" customFormat="false" ht="12.75" hidden="false" customHeight="false" outlineLevel="0" collapsed="false">
      <c r="D135" s="57"/>
      <c r="E135" s="57"/>
      <c r="F135" s="57"/>
    </row>
    <row r="136" customFormat="false" ht="12.75" hidden="false" customHeight="false" outlineLevel="0" collapsed="false">
      <c r="D136" s="57"/>
      <c r="E136" s="57"/>
      <c r="F136" s="57"/>
    </row>
    <row r="137" customFormat="false" ht="12.75" hidden="false" customHeight="false" outlineLevel="0" collapsed="false">
      <c r="D137" s="57"/>
      <c r="E137" s="57"/>
      <c r="F137" s="57"/>
    </row>
    <row r="138" customFormat="false" ht="12.75" hidden="false" customHeight="false" outlineLevel="0" collapsed="false">
      <c r="D138" s="57"/>
      <c r="E138" s="57"/>
      <c r="F138" s="57"/>
    </row>
    <row r="139" customFormat="false" ht="12.75" hidden="false" customHeight="false" outlineLevel="0" collapsed="false">
      <c r="D139" s="57"/>
      <c r="E139" s="57"/>
      <c r="F139" s="57"/>
    </row>
    <row r="140" customFormat="false" ht="12.75" hidden="false" customHeight="false" outlineLevel="0" collapsed="false">
      <c r="D140" s="57"/>
      <c r="E140" s="57"/>
      <c r="F140" s="57"/>
    </row>
    <row r="141" customFormat="false" ht="12.75" hidden="false" customHeight="false" outlineLevel="0" collapsed="false">
      <c r="D141" s="57"/>
      <c r="E141" s="57"/>
      <c r="F141" s="57"/>
    </row>
    <row r="142" customFormat="false" ht="12.75" hidden="false" customHeight="false" outlineLevel="0" collapsed="false">
      <c r="D142" s="57"/>
      <c r="E142" s="57"/>
      <c r="F142" s="57"/>
    </row>
  </sheetData>
  <mergeCells count="1">
    <mergeCell ref="A1:H1"/>
  </mergeCells>
  <printOptions headings="false" gridLines="false" gridLinesSet="true" horizontalCentered="true" verticalCentered="false"/>
  <pageMargins left="0.25" right="0.25" top="0.984027777777778" bottom="0.984027777777778" header="0.5" footer="0.5"/>
  <pageSetup paperSize="1" scale="100" fitToWidth="1" fitToHeight="2" pageOrder="downThenOver" orientation="portrait" blackAndWhite="false" draft="false" cellComments="none" horizontalDpi="300" verticalDpi="300" copies="1"/>
  <headerFooter differentFirst="false" differentOddEven="false">
    <oddHeader>&amp;C&amp;"Garamond,Bold"&amp;12WESTGATE &amp;&amp; CAMERON LOOP
96 CONDOMINIUMS</oddHeader>
    <oddFooter>&amp;L&amp;"Garamond,Regular"&amp;8&amp;F&amp;C&amp;"Garamond,Regular"&amp;8&amp;P Of &amp;N&amp;R&amp;"Garamond,Regular"&amp;8&amp;D</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1999-10-05T07:56:59Z</dcterms:created>
  <dc:creator>George W. Richards</dc:creator>
  <dc:description/>
  <dc:language>en-US</dc:language>
  <cp:lastModifiedBy>George W. Richards</cp:lastModifiedBy>
  <cp:lastPrinted>2000-09-06T11:15:33Z</cp:lastPrinted>
  <dcterms:modified xsi:type="dcterms:W3CDTF">2000-09-08T09:08:39Z</dcterms:modified>
  <cp:revision>0</cp:revision>
  <dc:subject/>
  <dc:title/>
</cp:coreProperties>
</file>